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mzubi\Desktop\Pricing proposal\Final documents to AER\"/>
    </mc:Choice>
  </mc:AlternateContent>
  <bookViews>
    <workbookView xWindow="930" yWindow="0" windowWidth="20970" windowHeight="6870" tabRatio="830" firstSheet="7" activeTab="15"/>
  </bookViews>
  <sheets>
    <sheet name="Cover" sheetId="27" r:id="rId1"/>
    <sheet name="TOC" sheetId="28" r:id="rId2"/>
    <sheet name="Diagram" sheetId="30" r:id="rId3"/>
    <sheet name="Inputs_Prices" sheetId="31" r:id="rId4"/>
    <sheet name="Inputs_Volumes" sheetId="32" r:id="rId5"/>
    <sheet name="Inputs_Other" sheetId="33" r:id="rId6"/>
    <sheet name="Calc_Revenue" sheetId="34" r:id="rId7"/>
    <sheet name="Calc_A_SA_Cost" sheetId="37" r:id="rId8"/>
    <sheet name="Calc_LRMC_Tariff" sheetId="38" r:id="rId9"/>
    <sheet name="Calc_Residual_Tariff" sheetId="39" r:id="rId10"/>
    <sheet name="Calc_Allocated_Tariff" sheetId="36" r:id="rId11"/>
    <sheet name="Output_Revenue" sheetId="35" r:id="rId12"/>
    <sheet name="Output_AER_Compliance" sheetId="40" r:id="rId13"/>
    <sheet name="Output_Charts" sheetId="41" r:id="rId14"/>
    <sheet name="Output_Tariffs" sheetId="42" r:id="rId15"/>
    <sheet name="Output_Pricing_Proposal" sheetId="43" r:id="rId16"/>
    <sheet name="Lookup" sheetId="4" r:id="rId17"/>
    <sheet name="Checks" sheetId="25" r:id="rId18"/>
  </sheets>
  <externalReferences>
    <externalReference r:id="rId19"/>
    <externalReference r:id="rId20"/>
    <externalReference r:id="rId21"/>
    <externalReference r:id="rId22"/>
    <externalReference r:id="rId23"/>
  </externalReferences>
  <definedNames>
    <definedName name="anscount" hidden="1">1</definedName>
    <definedName name="Base_Year">Lookup!$E$11</definedName>
    <definedName name="Cents_to_Dollars">Lookup!$D$32</definedName>
    <definedName name="CRCP_span">CONCATENATE(CRCP_y1, " to ",CRCP_y5)</definedName>
    <definedName name="Days_In_Wk">Lookup!$D$29</definedName>
    <definedName name="Days_In_Yr">Lookup!$D$30</definedName>
    <definedName name="Dollars">Lookup!$D$46</definedName>
    <definedName name="Dollars_to_Thousands">Lookup!$D$33</definedName>
    <definedName name="End_year">Lookup!$F$77</definedName>
    <definedName name="Error">Lookup!$D$36</definedName>
    <definedName name="Factor">Lookup!$D$49</definedName>
    <definedName name="FRCP_1to5">"2015-16 to 2019-20"</definedName>
    <definedName name="FRCP_span">CONCATENATE(FRCP_y1, " to ", FRCP_y5)</definedName>
    <definedName name="Half">Lookup!$D$31</definedName>
    <definedName name="HTML_CodePage" hidden="1">1252</definedName>
    <definedName name="HTML_Control" hidden="1">{"'petroleum sales data'!$A$1:$L$49"}</definedName>
    <definedName name="HTML_Description" hidden="1">"This is a chart of Petroleum Sales figures up to and including June 1998"</definedName>
    <definedName name="HTML_Email" hidden="1">"tony.waite@dme.nt.gov.au"</definedName>
    <definedName name="HTML_Header" hidden="1">"Petroleum Sales Figures 1998"</definedName>
    <definedName name="HTML_LastUpdate" hidden="1">"24/08/98"</definedName>
    <definedName name="HTML_LineAfter" hidden="1">FALSE</definedName>
    <definedName name="HTML_LineBefore" hidden="1">FALSE</definedName>
    <definedName name="HTML_Name" hidden="1">"Tony Waite"</definedName>
    <definedName name="HTML_OBDlg2" hidden="1">TRUE</definedName>
    <definedName name="HTML_OBDlg4" hidden="1">TRUE</definedName>
    <definedName name="HTML_OS" hidden="1">0</definedName>
    <definedName name="HTML_PathFile" hidden="1">"G:\Energy\Safety &amp; Environment\WEBPAGES\statistics\Production\MyHTML.htm"</definedName>
    <definedName name="HTML_Title" hidden="1">"petsale_1998"</definedName>
    <definedName name="Kilometres">Lookup!$D$61</definedName>
    <definedName name="LU_Basis">Lookup!$D$66:$D$71</definedName>
    <definedName name="LU_Fee_Based_Services">[1]Lookup!$D$102:$D$128</definedName>
    <definedName name="LU_Quoted_Services">[1]Lookup!$D$133:$D$148</definedName>
    <definedName name="LU_Revenue_Input">Lookup!$D$82:$D$84</definedName>
    <definedName name="LU_Tariff_Assignments">Lookup!$D$98:$D$109</definedName>
    <definedName name="LU_Tariff_Classes">Lookup!$D$91:$D$94</definedName>
    <definedName name="LU_Tariff_Type">Lookup!$E$98:$E$109</definedName>
    <definedName name="LU_Timing">Lookup!$D$75:$D$78</definedName>
    <definedName name="LU_Timing_Value">Lookup!$E$75:$E$78</definedName>
    <definedName name="LU_Units">Lookup!$D$45:$D$62</definedName>
    <definedName name="Mid_year">Lookup!$D$76</definedName>
    <definedName name="Millions">Lookup!$D$47</definedName>
    <definedName name="Model_Name">Cover!$B$3</definedName>
    <definedName name="Model_Start_Date">Lookup!$E$10</definedName>
    <definedName name="Mths_In_Mth">Lookup!$D$25</definedName>
    <definedName name="Mths_In_Qtr">Lookup!$D$26</definedName>
    <definedName name="Mths_In_Yr">Lookup!$D$28</definedName>
    <definedName name="NA">Lookup!$D$35</definedName>
    <definedName name="Network_Cost_Allocators">Inputs_Other!$M$178:$M$183</definedName>
    <definedName name="Network_Element">Inputs_Other!$D$178:$D$183</definedName>
    <definedName name="No">Lookup!$D$41</definedName>
    <definedName name="No_Input">Lookup!$D$84</definedName>
    <definedName name="Nominal">Lookup!$D$71</definedName>
    <definedName name="Number">Lookup!$D$50</definedName>
    <definedName name="Ok">Lookup!$D$34</definedName>
    <definedName name="Percent">Lookup!$D$45</definedName>
    <definedName name="Qtrs_In_Yr">Lookup!$D$27</definedName>
    <definedName name="RCP_1to5">"2015-16 to 2019-20"</definedName>
    <definedName name="Real2018">Lookup!$D$66</definedName>
    <definedName name="Real2019">Lookup!$D$67</definedName>
    <definedName name="Real2020">Lookup!$D$68</definedName>
    <definedName name="solver_cvg" hidden="1">0.0000001</definedName>
    <definedName name="solver_drv" hidden="1">1</definedName>
    <definedName name="solver_est" hidden="1">1</definedName>
    <definedName name="solver_itr" hidden="1">10000</definedName>
    <definedName name="solver_lin" hidden="1">2</definedName>
    <definedName name="solver_neg" hidden="1">2</definedName>
    <definedName name="solver_num" hidden="1">0</definedName>
    <definedName name="solver_nwt" hidden="1">1</definedName>
    <definedName name="solver_pre" hidden="1">0.000000001</definedName>
    <definedName name="solver_scl" hidden="1">2</definedName>
    <definedName name="solver_sho" hidden="1">2</definedName>
    <definedName name="solver_tim" hidden="1">1000</definedName>
    <definedName name="solver_tol" hidden="1">0.000000001</definedName>
    <definedName name="solver_typ" hidden="1">3</definedName>
    <definedName name="solver_val" hidden="1">0</definedName>
    <definedName name="Start_year">Lookup!$D$75</definedName>
    <definedName name="Tariff_Assignment">Inputs_Other!$D$98:$D$104</definedName>
    <definedName name="Thousands">Lookup!$D$48</definedName>
    <definedName name="Title_Msg">Checks!$H$10</definedName>
    <definedName name="TiTree" hidden="1">{"'petroleum sales data'!$A$1:$L$49"}</definedName>
    <definedName name="Yes">Lookup!$D$40</definedName>
    <definedName name="Yes_No">Lookup!$D$40:$D$41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4" i="43" l="1"/>
  <c r="G114" i="43"/>
  <c r="F114" i="43"/>
  <c r="E114" i="43"/>
  <c r="H113" i="43"/>
  <c r="G113" i="43"/>
  <c r="F113" i="43"/>
  <c r="E113" i="43"/>
  <c r="H112" i="43"/>
  <c r="G112" i="43"/>
  <c r="F112" i="43"/>
  <c r="E112" i="43"/>
  <c r="J398" i="43" l="1"/>
  <c r="I398" i="43"/>
  <c r="H398" i="43"/>
  <c r="G398" i="43"/>
  <c r="J397" i="43"/>
  <c r="I397" i="43"/>
  <c r="H397" i="43"/>
  <c r="G397" i="43"/>
  <c r="J396" i="43"/>
  <c r="I396" i="43"/>
  <c r="H396" i="43"/>
  <c r="G396" i="43"/>
  <c r="J395" i="43"/>
  <c r="I395" i="43"/>
  <c r="H395" i="43"/>
  <c r="G395" i="43"/>
  <c r="J394" i="43"/>
  <c r="I394" i="43"/>
  <c r="H394" i="43"/>
  <c r="G394" i="43"/>
  <c r="J393" i="43"/>
  <c r="I393" i="43"/>
  <c r="H393" i="43"/>
  <c r="G393" i="43"/>
  <c r="J392" i="43"/>
  <c r="I392" i="43"/>
  <c r="H392" i="43"/>
  <c r="G392" i="43"/>
  <c r="J391" i="43"/>
  <c r="I391" i="43"/>
  <c r="H391" i="43"/>
  <c r="G391" i="43"/>
  <c r="J390" i="43"/>
  <c r="I390" i="43"/>
  <c r="H390" i="43"/>
  <c r="G390" i="43"/>
  <c r="J389" i="43"/>
  <c r="I389" i="43"/>
  <c r="H389" i="43"/>
  <c r="G389" i="43"/>
  <c r="J388" i="43"/>
  <c r="I388" i="43"/>
  <c r="H388" i="43"/>
  <c r="G388" i="43"/>
  <c r="J387" i="43"/>
  <c r="I387" i="43"/>
  <c r="H387" i="43"/>
  <c r="G387" i="43"/>
  <c r="J386" i="43"/>
  <c r="I386" i="43"/>
  <c r="H386" i="43"/>
  <c r="G386" i="43"/>
  <c r="J385" i="43"/>
  <c r="I385" i="43"/>
  <c r="H385" i="43"/>
  <c r="G385" i="43"/>
  <c r="J384" i="43"/>
  <c r="I384" i="43"/>
  <c r="H384" i="43"/>
  <c r="G384" i="43"/>
  <c r="J383" i="43"/>
  <c r="I383" i="43"/>
  <c r="H383" i="43"/>
  <c r="G383" i="43"/>
  <c r="J382" i="43"/>
  <c r="I382" i="43"/>
  <c r="H382" i="43"/>
  <c r="G382" i="43"/>
  <c r="J381" i="43"/>
  <c r="I381" i="43"/>
  <c r="H381" i="43"/>
  <c r="G381" i="43"/>
  <c r="J380" i="43"/>
  <c r="I380" i="43"/>
  <c r="H380" i="43"/>
  <c r="G380" i="43"/>
  <c r="J379" i="43"/>
  <c r="I379" i="43"/>
  <c r="H379" i="43"/>
  <c r="G379" i="43"/>
  <c r="J378" i="43"/>
  <c r="I378" i="43"/>
  <c r="H378" i="43"/>
  <c r="G378" i="43"/>
  <c r="J377" i="43"/>
  <c r="I377" i="43"/>
  <c r="H377" i="43"/>
  <c r="G377" i="43"/>
  <c r="J376" i="43"/>
  <c r="I376" i="43"/>
  <c r="H376" i="43"/>
  <c r="G376" i="43"/>
  <c r="J375" i="43"/>
  <c r="I375" i="43"/>
  <c r="H375" i="43"/>
  <c r="G375" i="43"/>
  <c r="J374" i="43"/>
  <c r="I374" i="43"/>
  <c r="H374" i="43"/>
  <c r="G374" i="43"/>
  <c r="J373" i="43"/>
  <c r="I373" i="43"/>
  <c r="H373" i="43"/>
  <c r="G373" i="43"/>
  <c r="J372" i="43"/>
  <c r="I372" i="43"/>
  <c r="H372" i="43"/>
  <c r="G372" i="43"/>
  <c r="F398" i="43"/>
  <c r="F397" i="43"/>
  <c r="F396" i="43"/>
  <c r="F395" i="43"/>
  <c r="F394" i="43"/>
  <c r="F393" i="43"/>
  <c r="F392" i="43"/>
  <c r="F391" i="43"/>
  <c r="F390" i="43"/>
  <c r="F389" i="43"/>
  <c r="F388" i="43"/>
  <c r="F387" i="43"/>
  <c r="F386" i="43"/>
  <c r="F385" i="43"/>
  <c r="F384" i="43"/>
  <c r="F383" i="43"/>
  <c r="F382" i="43"/>
  <c r="F381" i="43"/>
  <c r="F380" i="43"/>
  <c r="F379" i="43"/>
  <c r="F378" i="43"/>
  <c r="F377" i="43"/>
  <c r="F376" i="43"/>
  <c r="F375" i="43"/>
  <c r="F374" i="43"/>
  <c r="F373" i="43"/>
  <c r="F372" i="43"/>
  <c r="D372" i="43" a="1"/>
  <c r="D397" i="43" s="1"/>
  <c r="J364" i="43"/>
  <c r="I364" i="43"/>
  <c r="H364" i="43"/>
  <c r="G364" i="43"/>
  <c r="J363" i="43"/>
  <c r="I363" i="43"/>
  <c r="H363" i="43"/>
  <c r="G363" i="43"/>
  <c r="J362" i="43"/>
  <c r="I362" i="43"/>
  <c r="H362" i="43"/>
  <c r="G362" i="43"/>
  <c r="J361" i="43"/>
  <c r="I361" i="43"/>
  <c r="H361" i="43"/>
  <c r="G361" i="43"/>
  <c r="J360" i="43"/>
  <c r="I360" i="43"/>
  <c r="H360" i="43"/>
  <c r="G360" i="43"/>
  <c r="J359" i="43"/>
  <c r="I359" i="43"/>
  <c r="H359" i="43"/>
  <c r="G359" i="43"/>
  <c r="J358" i="43"/>
  <c r="I358" i="43"/>
  <c r="H358" i="43"/>
  <c r="G358" i="43"/>
  <c r="J357" i="43"/>
  <c r="I357" i="43"/>
  <c r="H357" i="43"/>
  <c r="G357" i="43"/>
  <c r="J356" i="43"/>
  <c r="I356" i="43"/>
  <c r="H356" i="43"/>
  <c r="G356" i="43"/>
  <c r="J355" i="43"/>
  <c r="I355" i="43"/>
  <c r="H355" i="43"/>
  <c r="G355" i="43"/>
  <c r="J354" i="43"/>
  <c r="I354" i="43"/>
  <c r="H354" i="43"/>
  <c r="G354" i="43"/>
  <c r="J353" i="43"/>
  <c r="I353" i="43"/>
  <c r="H353" i="43"/>
  <c r="G353" i="43"/>
  <c r="J352" i="43"/>
  <c r="I352" i="43"/>
  <c r="H352" i="43"/>
  <c r="G352" i="43"/>
  <c r="J351" i="43"/>
  <c r="I351" i="43"/>
  <c r="H351" i="43"/>
  <c r="G351" i="43"/>
  <c r="J350" i="43"/>
  <c r="I350" i="43"/>
  <c r="H350" i="43"/>
  <c r="G350" i="43"/>
  <c r="J349" i="43"/>
  <c r="I349" i="43"/>
  <c r="H349" i="43"/>
  <c r="G349" i="43"/>
  <c r="F364" i="43"/>
  <c r="F363" i="43"/>
  <c r="F362" i="43"/>
  <c r="F361" i="43"/>
  <c r="F360" i="43"/>
  <c r="F359" i="43"/>
  <c r="F358" i="43"/>
  <c r="F357" i="43"/>
  <c r="F356" i="43"/>
  <c r="F355" i="43"/>
  <c r="F354" i="43"/>
  <c r="F353" i="43"/>
  <c r="F352" i="43"/>
  <c r="F351" i="43"/>
  <c r="F350" i="43"/>
  <c r="F349" i="43"/>
  <c r="D349" i="43" a="1"/>
  <c r="D364" i="43" s="1"/>
  <c r="J342" i="43"/>
  <c r="I342" i="43"/>
  <c r="H342" i="43"/>
  <c r="G342" i="43"/>
  <c r="J341" i="43"/>
  <c r="I341" i="43"/>
  <c r="H341" i="43"/>
  <c r="G341" i="43"/>
  <c r="J340" i="43"/>
  <c r="I340" i="43"/>
  <c r="H340" i="43"/>
  <c r="G340" i="43"/>
  <c r="F342" i="43"/>
  <c r="F341" i="43"/>
  <c r="F340" i="43"/>
  <c r="J334" i="43"/>
  <c r="I334" i="43"/>
  <c r="H334" i="43"/>
  <c r="G334" i="43"/>
  <c r="F334" i="43"/>
  <c r="J333" i="43"/>
  <c r="I333" i="43"/>
  <c r="H333" i="43"/>
  <c r="G333" i="43"/>
  <c r="F333" i="43"/>
  <c r="J332" i="43"/>
  <c r="I332" i="43"/>
  <c r="H332" i="43"/>
  <c r="G332" i="43"/>
  <c r="F332" i="43"/>
  <c r="J330" i="43"/>
  <c r="I330" i="43"/>
  <c r="H330" i="43"/>
  <c r="G330" i="43"/>
  <c r="F330" i="43"/>
  <c r="J329" i="43"/>
  <c r="I329" i="43"/>
  <c r="H329" i="43"/>
  <c r="G329" i="43"/>
  <c r="F329" i="43"/>
  <c r="J328" i="43"/>
  <c r="I328" i="43"/>
  <c r="H328" i="43"/>
  <c r="G328" i="43"/>
  <c r="F328" i="43"/>
  <c r="J326" i="43"/>
  <c r="I326" i="43"/>
  <c r="H326" i="43"/>
  <c r="G326" i="43"/>
  <c r="F326" i="43"/>
  <c r="J325" i="43"/>
  <c r="I325" i="43"/>
  <c r="H325" i="43"/>
  <c r="G325" i="43"/>
  <c r="F325" i="43"/>
  <c r="J324" i="43"/>
  <c r="I324" i="43"/>
  <c r="H324" i="43"/>
  <c r="G324" i="43"/>
  <c r="F324" i="43"/>
  <c r="J322" i="43"/>
  <c r="I322" i="43"/>
  <c r="H322" i="43"/>
  <c r="G322" i="43"/>
  <c r="F322" i="43"/>
  <c r="J320" i="43"/>
  <c r="I320" i="43"/>
  <c r="H320" i="43"/>
  <c r="G320" i="43"/>
  <c r="F320" i="43"/>
  <c r="J319" i="43"/>
  <c r="I319" i="43"/>
  <c r="H319" i="43"/>
  <c r="G319" i="43"/>
  <c r="F319" i="43"/>
  <c r="J318" i="43"/>
  <c r="I318" i="43"/>
  <c r="H318" i="43"/>
  <c r="G318" i="43"/>
  <c r="F318" i="43"/>
  <c r="J316" i="43"/>
  <c r="I316" i="43"/>
  <c r="H316" i="43"/>
  <c r="G316" i="43"/>
  <c r="F316" i="43"/>
  <c r="J315" i="43"/>
  <c r="I315" i="43"/>
  <c r="H315" i="43"/>
  <c r="G315" i="43"/>
  <c r="F315" i="43"/>
  <c r="J313" i="43"/>
  <c r="I313" i="43"/>
  <c r="H313" i="43"/>
  <c r="G313" i="43"/>
  <c r="F313" i="43"/>
  <c r="J312" i="43"/>
  <c r="I312" i="43"/>
  <c r="H312" i="43"/>
  <c r="G312" i="43"/>
  <c r="F312" i="43"/>
  <c r="D398" i="43" l="1"/>
  <c r="D382" i="43"/>
  <c r="D386" i="43"/>
  <c r="D374" i="43"/>
  <c r="D390" i="43"/>
  <c r="D378" i="43"/>
  <c r="D394" i="43"/>
  <c r="D375" i="43"/>
  <c r="D379" i="43"/>
  <c r="D383" i="43"/>
  <c r="D387" i="43"/>
  <c r="D391" i="43"/>
  <c r="D395" i="43"/>
  <c r="D372" i="43"/>
  <c r="D376" i="43"/>
  <c r="D380" i="43"/>
  <c r="D384" i="43"/>
  <c r="D388" i="43"/>
  <c r="D392" i="43"/>
  <c r="D396" i="43"/>
  <c r="D373" i="43"/>
  <c r="D377" i="43"/>
  <c r="D381" i="43"/>
  <c r="D385" i="43"/>
  <c r="D389" i="43"/>
  <c r="D393" i="43"/>
  <c r="D360" i="43"/>
  <c r="D349" i="43"/>
  <c r="D353" i="43"/>
  <c r="D357" i="43"/>
  <c r="D361" i="43"/>
  <c r="D350" i="43"/>
  <c r="D354" i="43"/>
  <c r="D358" i="43"/>
  <c r="D362" i="43"/>
  <c r="D351" i="43"/>
  <c r="D355" i="43"/>
  <c r="D359" i="43"/>
  <c r="D363" i="43"/>
  <c r="D352" i="43"/>
  <c r="D356" i="43"/>
  <c r="D159" i="43" a="1"/>
  <c r="D174" i="43" s="1"/>
  <c r="D182" i="43" a="1"/>
  <c r="D206" i="43" s="1"/>
  <c r="E144" i="43"/>
  <c r="E143" i="43"/>
  <c r="E142" i="43"/>
  <c r="E141" i="43"/>
  <c r="D159" i="43" l="1"/>
  <c r="D163" i="43"/>
  <c r="D167" i="43"/>
  <c r="D171" i="43"/>
  <c r="D160" i="43"/>
  <c r="D164" i="43"/>
  <c r="D168" i="43"/>
  <c r="D172" i="43"/>
  <c r="D161" i="43"/>
  <c r="D165" i="43"/>
  <c r="D169" i="43"/>
  <c r="D173" i="43"/>
  <c r="D162" i="43"/>
  <c r="D166" i="43"/>
  <c r="D170" i="43"/>
  <c r="D183" i="43"/>
  <c r="D187" i="43"/>
  <c r="D191" i="43"/>
  <c r="D195" i="43"/>
  <c r="D199" i="43"/>
  <c r="D203" i="43"/>
  <c r="D207" i="43"/>
  <c r="D184" i="43"/>
  <c r="D188" i="43"/>
  <c r="D192" i="43"/>
  <c r="D196" i="43"/>
  <c r="D200" i="43"/>
  <c r="D204" i="43"/>
  <c r="D208" i="43"/>
  <c r="D201" i="43"/>
  <c r="D185" i="43"/>
  <c r="D189" i="43"/>
  <c r="D193" i="43"/>
  <c r="D197" i="43"/>
  <c r="D205" i="43"/>
  <c r="D182" i="43"/>
  <c r="D186" i="43"/>
  <c r="D190" i="43"/>
  <c r="D194" i="43"/>
  <c r="D198" i="43"/>
  <c r="D202" i="43"/>
  <c r="F160" i="43" l="1"/>
  <c r="G160" i="43" s="1"/>
  <c r="F171" i="43"/>
  <c r="G171" i="43" s="1"/>
  <c r="F164" i="43"/>
  <c r="G164" i="43" s="1"/>
  <c r="F159" i="43"/>
  <c r="G159" i="43" s="1"/>
  <c r="F168" i="43"/>
  <c r="G168" i="43" s="1"/>
  <c r="F169" i="43"/>
  <c r="G169" i="43" s="1"/>
  <c r="F162" i="43"/>
  <c r="G162" i="43" s="1"/>
  <c r="F163" i="43"/>
  <c r="G163" i="43" s="1"/>
  <c r="F161" i="43"/>
  <c r="G161" i="43" s="1"/>
  <c r="F170" i="43"/>
  <c r="G170" i="43" s="1"/>
  <c r="F165" i="43"/>
  <c r="G165" i="43" s="1"/>
  <c r="F174" i="43"/>
  <c r="G174" i="43" s="1"/>
  <c r="F172" i="43"/>
  <c r="G172" i="43" s="1"/>
  <c r="F173" i="43"/>
  <c r="G173" i="43" s="1"/>
  <c r="F166" i="43"/>
  <c r="G166" i="43" s="1"/>
  <c r="F167" i="43"/>
  <c r="G167" i="43" s="1"/>
  <c r="F184" i="43"/>
  <c r="G184" i="43" s="1"/>
  <c r="F205" i="43"/>
  <c r="G205" i="43" s="1"/>
  <c r="F208" i="43"/>
  <c r="G208" i="43" s="1"/>
  <c r="F199" i="43"/>
  <c r="G199" i="43" s="1"/>
  <c r="F188" i="43"/>
  <c r="G188" i="43" s="1"/>
  <c r="F186" i="43"/>
  <c r="G186" i="43" s="1"/>
  <c r="F202" i="43"/>
  <c r="G202" i="43" s="1"/>
  <c r="F187" i="43"/>
  <c r="G187" i="43" s="1"/>
  <c r="F203" i="43"/>
  <c r="G203" i="43" s="1"/>
  <c r="F192" i="43"/>
  <c r="G192" i="43" s="1"/>
  <c r="F182" i="43"/>
  <c r="G182" i="43" s="1"/>
  <c r="F197" i="43"/>
  <c r="G197" i="43" s="1"/>
  <c r="F194" i="43"/>
  <c r="G194" i="43" s="1"/>
  <c r="F195" i="43"/>
  <c r="G195" i="43" s="1"/>
  <c r="F200" i="43"/>
  <c r="G200" i="43" s="1"/>
  <c r="F189" i="43"/>
  <c r="G189" i="43" s="1"/>
  <c r="F198" i="43"/>
  <c r="G198" i="43" s="1"/>
  <c r="F183" i="43"/>
  <c r="G183" i="43" s="1"/>
  <c r="F204" i="43"/>
  <c r="G204" i="43" s="1"/>
  <c r="F193" i="43"/>
  <c r="G193" i="43" s="1"/>
  <c r="F190" i="43"/>
  <c r="G190" i="43" s="1"/>
  <c r="F206" i="43"/>
  <c r="G206" i="43" s="1"/>
  <c r="F191" i="43"/>
  <c r="G191" i="43" s="1"/>
  <c r="F207" i="43"/>
  <c r="G207" i="43" s="1"/>
  <c r="F196" i="43"/>
  <c r="G196" i="43" s="1"/>
  <c r="F185" i="43"/>
  <c r="G185" i="43" s="1"/>
  <c r="F201" i="43"/>
  <c r="G201" i="43" s="1"/>
  <c r="N113" i="43" l="1"/>
  <c r="L113" i="43"/>
  <c r="N114" i="43"/>
  <c r="L114" i="43"/>
  <c r="N112" i="43"/>
  <c r="L112" i="43"/>
  <c r="M113" i="43" l="1"/>
  <c r="O113" i="43"/>
  <c r="Q152" i="43" l="1"/>
  <c r="O152" i="43"/>
  <c r="Q151" i="43"/>
  <c r="O151" i="43"/>
  <c r="Q150" i="43"/>
  <c r="O150" i="43"/>
  <c r="K86" i="43" l="1"/>
  <c r="E86" i="43" s="1"/>
  <c r="J4" i="43"/>
  <c r="R16" i="43"/>
  <c r="R17" i="43" s="1"/>
  <c r="R14" i="43"/>
  <c r="R15" i="43" s="1"/>
  <c r="R10" i="43"/>
  <c r="R11" i="43" s="1"/>
  <c r="R12" i="43" s="1"/>
  <c r="R13" i="43" s="1"/>
  <c r="N152" i="43"/>
  <c r="N150" i="43"/>
  <c r="N151" i="43"/>
  <c r="V12" i="43"/>
  <c r="V13" i="43" s="1"/>
  <c r="B6" i="43" l="1"/>
  <c r="B21" i="43"/>
  <c r="B288" i="43"/>
  <c r="F302" i="43"/>
  <c r="E302" i="43"/>
  <c r="B300" i="43"/>
  <c r="B125" i="43"/>
  <c r="B263" i="43"/>
  <c r="B243" i="43"/>
  <c r="B229" i="43"/>
  <c r="J86" i="43"/>
  <c r="E9" i="43"/>
  <c r="J232" i="43"/>
  <c r="G232" i="43" s="1"/>
  <c r="O8" i="43"/>
  <c r="I232" i="43"/>
  <c r="F232" i="43" s="1"/>
  <c r="S8" i="43"/>
  <c r="N149" i="43"/>
  <c r="F9" i="43"/>
  <c r="P149" i="43"/>
  <c r="P152" i="43"/>
  <c r="V16" i="43"/>
  <c r="V17" i="43" s="1"/>
  <c r="P150" i="43"/>
  <c r="V10" i="43"/>
  <c r="P151" i="43"/>
  <c r="V14" i="43"/>
  <c r="V15" i="43" s="1"/>
  <c r="G152" i="43" l="1"/>
  <c r="F152" i="43"/>
  <c r="G151" i="43"/>
  <c r="F151" i="43"/>
  <c r="G150" i="43"/>
  <c r="F150" i="43"/>
  <c r="E70" i="43"/>
  <c r="F70" i="43"/>
  <c r="G70" i="43"/>
  <c r="F64" i="43"/>
  <c r="K4" i="43"/>
  <c r="E305" i="43" l="1"/>
  <c r="E304" i="43"/>
  <c r="E303" i="43"/>
  <c r="F303" i="43"/>
  <c r="F305" i="43"/>
  <c r="F304" i="43"/>
  <c r="E297" i="43"/>
  <c r="E293" i="43"/>
  <c r="E296" i="43"/>
  <c r="E292" i="43"/>
  <c r="E295" i="43"/>
  <c r="E291" i="43"/>
  <c r="E294" i="43"/>
  <c r="E89" i="43"/>
  <c r="F87" i="43"/>
  <c r="E83" i="43"/>
  <c r="G81" i="43"/>
  <c r="G77" i="43"/>
  <c r="F76" i="43"/>
  <c r="E75" i="43"/>
  <c r="I239" i="43"/>
  <c r="F235" i="43"/>
  <c r="H238" i="43"/>
  <c r="E235" i="43"/>
  <c r="E79" i="43"/>
  <c r="G75" i="43"/>
  <c r="H236" i="43"/>
  <c r="F237" i="43"/>
  <c r="E237" i="43"/>
  <c r="F86" i="43"/>
  <c r="E90" i="43"/>
  <c r="E87" i="43"/>
  <c r="F79" i="43"/>
  <c r="F77" i="43"/>
  <c r="E76" i="43"/>
  <c r="F74" i="43"/>
  <c r="E72" i="43"/>
  <c r="I238" i="43"/>
  <c r="F234" i="43"/>
  <c r="E234" i="43"/>
  <c r="E92" i="43"/>
  <c r="F88" i="43"/>
  <c r="F81" i="43"/>
  <c r="E77" i="43"/>
  <c r="E74" i="43"/>
  <c r="H240" i="43"/>
  <c r="E88" i="43"/>
  <c r="E81" i="43"/>
  <c r="G76" i="43"/>
  <c r="F75" i="43"/>
  <c r="I240" i="43"/>
  <c r="H239" i="43"/>
  <c r="G86" i="43"/>
  <c r="I236" i="43"/>
  <c r="E64" i="43"/>
  <c r="T17" i="43"/>
  <c r="S16" i="43"/>
  <c r="T14" i="43"/>
  <c r="S13" i="43"/>
  <c r="T11" i="43"/>
  <c r="Q17" i="43"/>
  <c r="Q11" i="43"/>
  <c r="P14" i="43"/>
  <c r="P10" i="43"/>
  <c r="O14" i="43"/>
  <c r="O10" i="43"/>
  <c r="T13" i="43"/>
  <c r="P15" i="43"/>
  <c r="O11" i="43"/>
  <c r="S17" i="43"/>
  <c r="U15" i="43"/>
  <c r="S14" i="43"/>
  <c r="T12" i="43"/>
  <c r="S11" i="43"/>
  <c r="Q16" i="43"/>
  <c r="P17" i="43"/>
  <c r="P13" i="43"/>
  <c r="O17" i="43"/>
  <c r="O13" i="43"/>
  <c r="U13" i="43"/>
  <c r="T10" i="43"/>
  <c r="Q15" i="43"/>
  <c r="P12" i="43"/>
  <c r="O16" i="43"/>
  <c r="U11" i="43"/>
  <c r="Q13" i="43"/>
  <c r="O15" i="43"/>
  <c r="U16" i="43"/>
  <c r="T15" i="43"/>
  <c r="S12" i="43"/>
  <c r="P16" i="43"/>
  <c r="O12" i="43"/>
  <c r="U17" i="43"/>
  <c r="T16" i="43"/>
  <c r="S15" i="43"/>
  <c r="S10" i="43"/>
  <c r="P11" i="43"/>
  <c r="G134" i="43"/>
  <c r="F130" i="43"/>
  <c r="F134" i="43"/>
  <c r="E131" i="43"/>
  <c r="G133" i="43"/>
  <c r="F131" i="43"/>
  <c r="F135" i="43"/>
  <c r="E133" i="43"/>
  <c r="G131" i="43"/>
  <c r="F132" i="43"/>
  <c r="E129" i="43"/>
  <c r="E134" i="43"/>
  <c r="G135" i="43"/>
  <c r="F129" i="43"/>
  <c r="F133" i="43"/>
  <c r="E130" i="43"/>
  <c r="E135" i="43"/>
  <c r="E62" i="43"/>
  <c r="B3" i="40"/>
  <c r="B4" i="40"/>
  <c r="B5" i="40"/>
  <c r="B6" i="40"/>
  <c r="B7" i="40"/>
  <c r="B8" i="40"/>
  <c r="B9" i="40"/>
  <c r="B10" i="40"/>
  <c r="G305" i="43" l="1"/>
  <c r="G304" i="43"/>
  <c r="G303" i="43"/>
  <c r="W12" i="43"/>
  <c r="E12" i="43" s="1"/>
  <c r="X12" i="43"/>
  <c r="F12" i="43" s="1"/>
  <c r="X10" i="43"/>
  <c r="F10" i="43" s="1"/>
  <c r="X14" i="43"/>
  <c r="F14" i="43" s="1"/>
  <c r="W17" i="43"/>
  <c r="E17" i="43" s="1"/>
  <c r="W10" i="43"/>
  <c r="E10" i="43" s="1"/>
  <c r="W14" i="43"/>
  <c r="E14" i="43" s="1"/>
  <c r="X11" i="43"/>
  <c r="F11" i="43" s="1"/>
  <c r="X17" i="43"/>
  <c r="F17" i="43" s="1"/>
  <c r="W11" i="43"/>
  <c r="E11" i="43" s="1"/>
  <c r="X16" i="43"/>
  <c r="F16" i="43" s="1"/>
  <c r="W16" i="43"/>
  <c r="E16" i="43" s="1"/>
  <c r="X15" i="43"/>
  <c r="F15" i="43" s="1"/>
  <c r="W15" i="43"/>
  <c r="E15" i="43" s="1"/>
  <c r="W13" i="43"/>
  <c r="E13" i="43" s="1"/>
  <c r="X13" i="43"/>
  <c r="F13" i="43" s="1"/>
  <c r="O207" i="40"/>
  <c r="S52" i="32"/>
  <c r="R52" i="32"/>
  <c r="Q52" i="32"/>
  <c r="P52" i="32"/>
  <c r="O52" i="32"/>
  <c r="S51" i="32"/>
  <c r="R51" i="32"/>
  <c r="Q51" i="32"/>
  <c r="P51" i="32"/>
  <c r="O51" i="32"/>
  <c r="S50" i="32"/>
  <c r="R50" i="32"/>
  <c r="Q50" i="32"/>
  <c r="P50" i="32"/>
  <c r="O50" i="32"/>
  <c r="S49" i="32"/>
  <c r="R49" i="32"/>
  <c r="Q49" i="32"/>
  <c r="P49" i="32"/>
  <c r="O49" i="32"/>
  <c r="S48" i="32"/>
  <c r="R48" i="32"/>
  <c r="Q48" i="32"/>
  <c r="P48" i="32"/>
  <c r="O48" i="32"/>
  <c r="S47" i="32"/>
  <c r="R47" i="32"/>
  <c r="Q47" i="32"/>
  <c r="P47" i="32"/>
  <c r="O47" i="32"/>
  <c r="S40" i="32"/>
  <c r="R40" i="32"/>
  <c r="Q40" i="32"/>
  <c r="P40" i="32"/>
  <c r="O40" i="32"/>
  <c r="S39" i="32"/>
  <c r="R39" i="32"/>
  <c r="Q39" i="32"/>
  <c r="P39" i="32"/>
  <c r="O39" i="32"/>
  <c r="S38" i="32"/>
  <c r="R38" i="32"/>
  <c r="Q38" i="32"/>
  <c r="P38" i="32"/>
  <c r="O38" i="32"/>
  <c r="S37" i="32"/>
  <c r="R37" i="32"/>
  <c r="Q37" i="32"/>
  <c r="P37" i="32"/>
  <c r="O37" i="32"/>
  <c r="S36" i="32"/>
  <c r="R36" i="32"/>
  <c r="Q36" i="32"/>
  <c r="P36" i="32"/>
  <c r="O36" i="32"/>
  <c r="S35" i="32"/>
  <c r="R35" i="32"/>
  <c r="Q35" i="32"/>
  <c r="P35" i="32"/>
  <c r="O35" i="32"/>
  <c r="S34" i="32"/>
  <c r="R34" i="32"/>
  <c r="Q34" i="32"/>
  <c r="P34" i="32"/>
  <c r="O112" i="43" s="1"/>
  <c r="O34" i="32"/>
  <c r="M112" i="43" s="1"/>
  <c r="S27" i="32"/>
  <c r="R27" i="32"/>
  <c r="Q27" i="32"/>
  <c r="P27" i="32"/>
  <c r="O27" i="32"/>
  <c r="S26" i="32"/>
  <c r="R26" i="32"/>
  <c r="Q26" i="32"/>
  <c r="P26" i="32"/>
  <c r="O26" i="32"/>
  <c r="S25" i="32"/>
  <c r="R25" i="32"/>
  <c r="Q25" i="32"/>
  <c r="P25" i="32"/>
  <c r="O25" i="32"/>
  <c r="S24" i="32"/>
  <c r="R24" i="32"/>
  <c r="Q24" i="32"/>
  <c r="P24" i="32"/>
  <c r="O24" i="32"/>
  <c r="S23" i="32"/>
  <c r="R23" i="32"/>
  <c r="Q23" i="32"/>
  <c r="P23" i="32"/>
  <c r="O23" i="32"/>
  <c r="S22" i="32"/>
  <c r="R22" i="32"/>
  <c r="Q22" i="32"/>
  <c r="P22" i="32"/>
  <c r="O22" i="32"/>
  <c r="S21" i="32"/>
  <c r="R21" i="32"/>
  <c r="Q21" i="32"/>
  <c r="P21" i="32"/>
  <c r="O21" i="32"/>
  <c r="O114" i="43" l="1"/>
  <c r="M114" i="43"/>
  <c r="S57" i="33"/>
  <c r="R57" i="33"/>
  <c r="Q57" i="33"/>
  <c r="P57" i="33"/>
  <c r="O57" i="33"/>
  <c r="S48" i="33"/>
  <c r="R48" i="33"/>
  <c r="Q48" i="33"/>
  <c r="P48" i="33"/>
  <c r="O48" i="33"/>
  <c r="S20" i="41" l="1"/>
  <c r="R20" i="41" s="1"/>
  <c r="S41" i="41" l="1"/>
  <c r="E19" i="32"/>
  <c r="E32" i="32"/>
  <c r="I58" i="31" l="1"/>
  <c r="H58" i="31"/>
  <c r="F58" i="31"/>
  <c r="E58" i="31"/>
  <c r="S127" i="40" a="1"/>
  <c r="S127" i="40" s="1"/>
  <c r="R127" i="40" a="1"/>
  <c r="R127" i="40" s="1"/>
  <c r="Q127" i="40" a="1"/>
  <c r="Q127" i="40" s="1"/>
  <c r="P127" i="40" a="1"/>
  <c r="P127" i="40" s="1"/>
  <c r="S126" i="40" a="1"/>
  <c r="S126" i="40" s="1"/>
  <c r="R126" i="40" a="1"/>
  <c r="R126" i="40" s="1"/>
  <c r="Q126" i="40" a="1"/>
  <c r="Q126" i="40" s="1"/>
  <c r="P126" i="40" a="1"/>
  <c r="P126" i="40" s="1"/>
  <c r="S125" i="40" a="1"/>
  <c r="S125" i="40" s="1"/>
  <c r="R125" i="40" a="1"/>
  <c r="R125" i="40" s="1"/>
  <c r="Q125" i="40" a="1"/>
  <c r="Q125" i="40" s="1"/>
  <c r="P125" i="40" a="1"/>
  <c r="P125" i="40" s="1"/>
  <c r="D28" i="25"/>
  <c r="D28" i="28" l="1"/>
  <c r="E39" i="42" l="1"/>
  <c r="D39" i="42"/>
  <c r="E38" i="42"/>
  <c r="D38" i="42"/>
  <c r="E37" i="42"/>
  <c r="D37" i="42"/>
  <c r="E35" i="42"/>
  <c r="D35" i="42"/>
  <c r="E34" i="42"/>
  <c r="D34" i="42"/>
  <c r="E33" i="42"/>
  <c r="D33" i="42"/>
  <c r="E31" i="42"/>
  <c r="D31" i="42"/>
  <c r="E30" i="42"/>
  <c r="D30" i="42"/>
  <c r="E29" i="42"/>
  <c r="D29" i="42"/>
  <c r="E27" i="42"/>
  <c r="D27" i="42"/>
  <c r="E26" i="42"/>
  <c r="D26" i="42"/>
  <c r="E25" i="42"/>
  <c r="D25" i="42"/>
  <c r="E23" i="42"/>
  <c r="D23" i="42"/>
  <c r="E22" i="42"/>
  <c r="D22" i="42"/>
  <c r="E21" i="42"/>
  <c r="D21" i="42"/>
  <c r="E19" i="42"/>
  <c r="D19" i="42"/>
  <c r="E18" i="42"/>
  <c r="D18" i="42"/>
  <c r="E17" i="42"/>
  <c r="D17" i="42"/>
  <c r="N96" i="33" l="1"/>
  <c r="A1" i="43" l="1"/>
  <c r="H28" i="25" s="1"/>
  <c r="G17" i="43" l="1"/>
  <c r="H17" i="43" s="1"/>
  <c r="G15" i="43"/>
  <c r="H15" i="43" s="1"/>
  <c r="G13" i="43"/>
  <c r="H13" i="43" s="1"/>
  <c r="G11" i="43"/>
  <c r="H11" i="43" s="1"/>
  <c r="G16" i="43"/>
  <c r="H16" i="43" s="1"/>
  <c r="G14" i="43"/>
  <c r="H14" i="43" s="1"/>
  <c r="G12" i="43"/>
  <c r="H12" i="43" s="1"/>
  <c r="G10" i="43"/>
  <c r="H10" i="43" s="1"/>
  <c r="H33" i="42" l="1"/>
  <c r="H31" i="42"/>
  <c r="H38" i="42"/>
  <c r="H17" i="42"/>
  <c r="H29" i="42"/>
  <c r="H30" i="42"/>
  <c r="H23" i="42"/>
  <c r="H13" i="42"/>
  <c r="G21" i="42"/>
  <c r="H35" i="42"/>
  <c r="H37" i="42"/>
  <c r="H39" i="42"/>
  <c r="G13" i="42"/>
  <c r="G33" i="42"/>
  <c r="G18" i="42"/>
  <c r="G22" i="42"/>
  <c r="G31" i="42"/>
  <c r="G29" i="42"/>
  <c r="G30" i="42"/>
  <c r="G34" i="42"/>
  <c r="G38" i="42"/>
  <c r="J239" i="43"/>
  <c r="G35" i="42"/>
  <c r="G17" i="42"/>
  <c r="H21" i="42"/>
  <c r="J236" i="43"/>
  <c r="G23" i="42"/>
  <c r="G37" i="42"/>
  <c r="J240" i="43"/>
  <c r="G39" i="42"/>
  <c r="D27" i="25"/>
  <c r="D27" i="28"/>
  <c r="B4" i="42"/>
  <c r="B3" i="42"/>
  <c r="A1" i="42"/>
  <c r="H27" i="25" s="1"/>
  <c r="J238" i="43" l="1"/>
  <c r="G235" i="43"/>
  <c r="I20" i="40" l="1"/>
  <c r="H34" i="40"/>
  <c r="I34" i="40"/>
  <c r="J34" i="40"/>
  <c r="H45" i="40"/>
  <c r="I45" i="40"/>
  <c r="J45" i="40"/>
  <c r="O48" i="40"/>
  <c r="P48" i="40"/>
  <c r="Q48" i="40"/>
  <c r="R48" i="40"/>
  <c r="S48" i="40"/>
  <c r="O50" i="40"/>
  <c r="P50" i="40"/>
  <c r="Q50" i="40"/>
  <c r="R50" i="40"/>
  <c r="S50" i="40"/>
  <c r="I52" i="40"/>
  <c r="J52" i="40"/>
  <c r="J71" i="33"/>
  <c r="I71" i="33"/>
  <c r="H71" i="33"/>
  <c r="S142" i="40"/>
  <c r="R142" i="40"/>
  <c r="Q142" i="40"/>
  <c r="P142" i="40"/>
  <c r="D152" i="40"/>
  <c r="J137" i="40"/>
  <c r="I137" i="40"/>
  <c r="H137" i="40"/>
  <c r="J117" i="40"/>
  <c r="I117" i="40"/>
  <c r="H117" i="40"/>
  <c r="D117" i="40"/>
  <c r="J41" i="33"/>
  <c r="I41" i="33"/>
  <c r="H41" i="33"/>
  <c r="J26" i="33"/>
  <c r="I26" i="33"/>
  <c r="H26" i="33"/>
  <c r="M111" i="36" l="1"/>
  <c r="C90" i="36"/>
  <c r="M94" i="36"/>
  <c r="B6" i="30"/>
  <c r="C68" i="41"/>
  <c r="I155" i="36"/>
  <c r="I138" i="36"/>
  <c r="I121" i="36"/>
  <c r="I104" i="36"/>
  <c r="B10" i="36"/>
  <c r="H10" i="36"/>
  <c r="H67" i="36" s="1"/>
  <c r="I10" i="36"/>
  <c r="I67" i="36" s="1"/>
  <c r="J10" i="36"/>
  <c r="J21" i="36"/>
  <c r="J38" i="36"/>
  <c r="J28" i="36"/>
  <c r="I38" i="36"/>
  <c r="D28" i="36"/>
  <c r="I151" i="36"/>
  <c r="I150" i="36"/>
  <c r="I149" i="36"/>
  <c r="I148" i="36"/>
  <c r="I147" i="36"/>
  <c r="I146" i="36"/>
  <c r="I145" i="36"/>
  <c r="I153" i="36" s="1"/>
  <c r="D143" i="36"/>
  <c r="I134" i="36"/>
  <c r="I133" i="36"/>
  <c r="I132" i="36"/>
  <c r="I131" i="36"/>
  <c r="I130" i="36"/>
  <c r="I129" i="36"/>
  <c r="I128" i="36"/>
  <c r="I136" i="36" s="1"/>
  <c r="D126" i="36"/>
  <c r="I117" i="36"/>
  <c r="I116" i="36"/>
  <c r="I115" i="36"/>
  <c r="I114" i="36"/>
  <c r="I113" i="36"/>
  <c r="I112" i="36"/>
  <c r="I111" i="36"/>
  <c r="I119" i="36" s="1"/>
  <c r="D109" i="36"/>
  <c r="I100" i="36"/>
  <c r="I99" i="36"/>
  <c r="I98" i="36"/>
  <c r="I97" i="36"/>
  <c r="I96" i="36"/>
  <c r="I95" i="36"/>
  <c r="I94" i="36"/>
  <c r="I102" i="36" s="1"/>
  <c r="D92" i="36"/>
  <c r="C124" i="36"/>
  <c r="D136" i="36" s="1"/>
  <c r="C107" i="36"/>
  <c r="I60" i="36"/>
  <c r="I77" i="36"/>
  <c r="S75" i="36"/>
  <c r="R75" i="36"/>
  <c r="Q75" i="36"/>
  <c r="P75" i="36"/>
  <c r="O75" i="36"/>
  <c r="S74" i="36"/>
  <c r="R74" i="36"/>
  <c r="Q74" i="36"/>
  <c r="P74" i="36"/>
  <c r="O74" i="36"/>
  <c r="S73" i="36"/>
  <c r="R73" i="36"/>
  <c r="Q73" i="36"/>
  <c r="P73" i="36"/>
  <c r="O73" i="36"/>
  <c r="S72" i="36"/>
  <c r="R72" i="36"/>
  <c r="Q72" i="36"/>
  <c r="P72" i="36"/>
  <c r="O72" i="36"/>
  <c r="S71" i="36"/>
  <c r="R71" i="36"/>
  <c r="Q71" i="36"/>
  <c r="P71" i="36"/>
  <c r="O71" i="36"/>
  <c r="S70" i="36"/>
  <c r="R70" i="36"/>
  <c r="Q70" i="36"/>
  <c r="P70" i="36"/>
  <c r="O70" i="36"/>
  <c r="S69" i="36"/>
  <c r="R69" i="36"/>
  <c r="Q69" i="36"/>
  <c r="P69" i="36"/>
  <c r="O69" i="36"/>
  <c r="S58" i="36"/>
  <c r="R58" i="36"/>
  <c r="Q58" i="36"/>
  <c r="P58" i="36"/>
  <c r="O58" i="36"/>
  <c r="S57" i="36"/>
  <c r="R57" i="36"/>
  <c r="Q57" i="36"/>
  <c r="P57" i="36"/>
  <c r="O57" i="36"/>
  <c r="S56" i="36"/>
  <c r="R56" i="36"/>
  <c r="Q56" i="36"/>
  <c r="P56" i="36"/>
  <c r="O56" i="36"/>
  <c r="S55" i="36"/>
  <c r="R55" i="36"/>
  <c r="Q55" i="36"/>
  <c r="P55" i="36"/>
  <c r="O55" i="36"/>
  <c r="S54" i="36"/>
  <c r="R54" i="36"/>
  <c r="Q54" i="36"/>
  <c r="P54" i="36"/>
  <c r="O54" i="36"/>
  <c r="S53" i="36"/>
  <c r="R53" i="36"/>
  <c r="Q53" i="36"/>
  <c r="P53" i="36"/>
  <c r="O53" i="36"/>
  <c r="S52" i="36"/>
  <c r="R52" i="36"/>
  <c r="Q52" i="36"/>
  <c r="P52" i="36"/>
  <c r="O52" i="36"/>
  <c r="D77" i="36"/>
  <c r="D67" i="36"/>
  <c r="M171" i="33"/>
  <c r="N171" i="33"/>
  <c r="M154" i="33"/>
  <c r="N154" i="33"/>
  <c r="P154" i="33"/>
  <c r="P62" i="36" s="1"/>
  <c r="Q154" i="33"/>
  <c r="Q62" i="36" s="1"/>
  <c r="R154" i="33"/>
  <c r="R62" i="36" s="1"/>
  <c r="S154" i="33"/>
  <c r="S62" i="36" s="1"/>
  <c r="P171" i="33"/>
  <c r="P79" i="36" s="1"/>
  <c r="Q171" i="33"/>
  <c r="Q79" i="36" s="1"/>
  <c r="R171" i="33"/>
  <c r="R79" i="36" s="1"/>
  <c r="S171" i="33"/>
  <c r="S79" i="36" s="1"/>
  <c r="S9" i="36"/>
  <c r="R9" i="36"/>
  <c r="Q9" i="36"/>
  <c r="P9" i="36"/>
  <c r="O9" i="36"/>
  <c r="N9" i="36"/>
  <c r="M9" i="36"/>
  <c r="B9" i="36"/>
  <c r="B8" i="36"/>
  <c r="B7" i="36"/>
  <c r="B6" i="36"/>
  <c r="B5" i="36"/>
  <c r="D60" i="36"/>
  <c r="D50" i="36"/>
  <c r="Q44" i="41"/>
  <c r="Q47" i="41"/>
  <c r="Q50" i="41"/>
  <c r="Q53" i="41"/>
  <c r="Q56" i="41"/>
  <c r="Q42" i="41"/>
  <c r="H21" i="36" l="1"/>
  <c r="Q121" i="36"/>
  <c r="D119" i="36"/>
  <c r="S121" i="36"/>
  <c r="P121" i="36"/>
  <c r="R121" i="36"/>
  <c r="O121" i="36"/>
  <c r="I21" i="36"/>
  <c r="H28" i="36"/>
  <c r="I28" i="36"/>
  <c r="I143" i="36"/>
  <c r="I126" i="36"/>
  <c r="D153" i="36"/>
  <c r="H143" i="36"/>
  <c r="H126" i="36"/>
  <c r="I109" i="36"/>
  <c r="H109" i="36"/>
  <c r="I92" i="36"/>
  <c r="H92" i="36"/>
  <c r="H50" i="36"/>
  <c r="S60" i="36"/>
  <c r="S63" i="36" s="1"/>
  <c r="P77" i="36"/>
  <c r="S77" i="36"/>
  <c r="R77" i="36"/>
  <c r="Q77" i="36"/>
  <c r="R60" i="36"/>
  <c r="R63" i="36" s="1"/>
  <c r="O60" i="36"/>
  <c r="O77" i="36"/>
  <c r="I50" i="36"/>
  <c r="Q60" i="36"/>
  <c r="Q63" i="36" s="1"/>
  <c r="P60" i="36"/>
  <c r="P63" i="36" s="1"/>
  <c r="S104" i="36" l="1"/>
  <c r="O104" i="36"/>
  <c r="P104" i="36"/>
  <c r="R104" i="36"/>
  <c r="Q104" i="36"/>
  <c r="S80" i="36"/>
  <c r="P80" i="36"/>
  <c r="R80" i="36"/>
  <c r="Q80" i="36"/>
  <c r="P98" i="36"/>
  <c r="R97" i="36"/>
  <c r="P97" i="36"/>
  <c r="O95" i="36"/>
  <c r="R96" i="36"/>
  <c r="O96" i="36"/>
  <c r="Q96" i="36"/>
  <c r="P100" i="36"/>
  <c r="P94" i="36"/>
  <c r="Q94" i="36"/>
  <c r="Q97" i="36"/>
  <c r="S99" i="36"/>
  <c r="O100" i="36"/>
  <c r="R94" i="36"/>
  <c r="R95" i="36"/>
  <c r="R98" i="36"/>
  <c r="R99" i="36"/>
  <c r="Q99" i="36"/>
  <c r="R100" i="36"/>
  <c r="P96" i="36"/>
  <c r="P99" i="36"/>
  <c r="O98" i="36"/>
  <c r="O97" i="36"/>
  <c r="O94" i="36"/>
  <c r="S94" i="36"/>
  <c r="S96" i="36"/>
  <c r="S98" i="36"/>
  <c r="S97" i="36"/>
  <c r="S100" i="36"/>
  <c r="Q95" i="36"/>
  <c r="Q100" i="36"/>
  <c r="Q98" i="36"/>
  <c r="P95" i="36"/>
  <c r="O99" i="36"/>
  <c r="S95" i="36"/>
  <c r="O102" i="36" l="1"/>
  <c r="O105" i="36" s="1"/>
  <c r="Q102" i="36"/>
  <c r="Q105" i="36" s="1"/>
  <c r="S102" i="36"/>
  <c r="S105" i="36" s="1"/>
  <c r="P102" i="36"/>
  <c r="P105" i="36" s="1"/>
  <c r="R102" i="36"/>
  <c r="R105" i="36" s="1"/>
  <c r="A105" i="36" l="1"/>
  <c r="C39" i="41" l="1"/>
  <c r="C15" i="41"/>
  <c r="I114" i="39"/>
  <c r="H114" i="39"/>
  <c r="I97" i="39"/>
  <c r="H97" i="39"/>
  <c r="J85" i="39"/>
  <c r="I85" i="39"/>
  <c r="J75" i="39"/>
  <c r="I75" i="39"/>
  <c r="H75" i="39"/>
  <c r="C56" i="39"/>
  <c r="E126" i="39" s="1"/>
  <c r="Q52" i="41" s="1"/>
  <c r="J68" i="39"/>
  <c r="I68" i="39"/>
  <c r="J58" i="39"/>
  <c r="I58" i="39"/>
  <c r="H58" i="39"/>
  <c r="C39" i="39"/>
  <c r="E125" i="39" s="1"/>
  <c r="Q51" i="41" s="1"/>
  <c r="J51" i="39"/>
  <c r="I51" i="39"/>
  <c r="J41" i="39"/>
  <c r="I41" i="39"/>
  <c r="H41" i="39"/>
  <c r="J34" i="39"/>
  <c r="I34" i="39"/>
  <c r="J155" i="38"/>
  <c r="I155" i="38"/>
  <c r="J110" i="38"/>
  <c r="I110" i="38"/>
  <c r="J65" i="38"/>
  <c r="I65" i="38"/>
  <c r="C22" i="39"/>
  <c r="J10" i="39"/>
  <c r="I10" i="39"/>
  <c r="H10" i="39"/>
  <c r="B10" i="39"/>
  <c r="S9" i="39"/>
  <c r="R9" i="39"/>
  <c r="Q9" i="39"/>
  <c r="P9" i="39"/>
  <c r="O9" i="39"/>
  <c r="N9" i="39"/>
  <c r="M9" i="39"/>
  <c r="B9" i="39"/>
  <c r="B8" i="39"/>
  <c r="B7" i="39"/>
  <c r="B6" i="39"/>
  <c r="B5" i="39"/>
  <c r="J24" i="39"/>
  <c r="I24" i="39"/>
  <c r="H24" i="39"/>
  <c r="B115" i="38"/>
  <c r="J145" i="38"/>
  <c r="I145" i="38"/>
  <c r="H145" i="38"/>
  <c r="J132" i="38"/>
  <c r="I132" i="38"/>
  <c r="H132" i="38"/>
  <c r="J119" i="38"/>
  <c r="I119" i="38"/>
  <c r="H119" i="38"/>
  <c r="B70" i="38"/>
  <c r="J100" i="38"/>
  <c r="I100" i="38"/>
  <c r="H100" i="38"/>
  <c r="J87" i="38"/>
  <c r="I87" i="38"/>
  <c r="H87" i="38"/>
  <c r="J74" i="38"/>
  <c r="I74" i="38"/>
  <c r="H74" i="38"/>
  <c r="J20" i="38"/>
  <c r="I20" i="38"/>
  <c r="H20" i="38"/>
  <c r="J55" i="38"/>
  <c r="I55" i="38"/>
  <c r="H55" i="38"/>
  <c r="J42" i="38"/>
  <c r="I42" i="38"/>
  <c r="H42" i="38"/>
  <c r="J10" i="38"/>
  <c r="I10" i="38"/>
  <c r="H10" i="38"/>
  <c r="B10" i="38"/>
  <c r="S9" i="38"/>
  <c r="R9" i="38"/>
  <c r="Q9" i="38"/>
  <c r="P9" i="38"/>
  <c r="O9" i="38"/>
  <c r="N9" i="38"/>
  <c r="M9" i="38"/>
  <c r="B9" i="38"/>
  <c r="B8" i="38"/>
  <c r="B7" i="38"/>
  <c r="B6" i="38"/>
  <c r="B5" i="38"/>
  <c r="J29" i="38"/>
  <c r="I29" i="38"/>
  <c r="H29" i="38"/>
  <c r="B25" i="38"/>
  <c r="F19" i="34"/>
  <c r="H19" i="34"/>
  <c r="I19" i="34"/>
  <c r="J19" i="34"/>
  <c r="I25" i="34"/>
  <c r="J25" i="34"/>
  <c r="V87" i="37"/>
  <c r="V88" i="37"/>
  <c r="V89" i="37"/>
  <c r="V90" i="37"/>
  <c r="V91" i="37"/>
  <c r="V92" i="37"/>
  <c r="V93" i="37"/>
  <c r="V94" i="37"/>
  <c r="V95" i="37"/>
  <c r="V96" i="37"/>
  <c r="V97" i="37"/>
  <c r="V98" i="37"/>
  <c r="V99" i="37"/>
  <c r="V100" i="37"/>
  <c r="V101" i="37"/>
  <c r="V102" i="37"/>
  <c r="V103" i="37"/>
  <c r="V86" i="37"/>
  <c r="D51" i="37"/>
  <c r="V62" i="37"/>
  <c r="V63" i="37"/>
  <c r="V64" i="37"/>
  <c r="V65" i="37"/>
  <c r="V66" i="37"/>
  <c r="V67" i="37"/>
  <c r="V68" i="37"/>
  <c r="V69" i="37"/>
  <c r="V70" i="37"/>
  <c r="V71" i="37"/>
  <c r="V72" i="37"/>
  <c r="V73" i="37"/>
  <c r="V74" i="37"/>
  <c r="V75" i="37"/>
  <c r="V76" i="37"/>
  <c r="V77" i="37"/>
  <c r="V78" i="37"/>
  <c r="V61" i="37"/>
  <c r="F39" i="37"/>
  <c r="J33" i="37"/>
  <c r="I33" i="37"/>
  <c r="H33" i="37"/>
  <c r="F27" i="37"/>
  <c r="J21" i="37"/>
  <c r="I21" i="37"/>
  <c r="H21" i="37"/>
  <c r="E128" i="39" l="1"/>
  <c r="Q54" i="41" s="1"/>
  <c r="E120" i="39"/>
  <c r="Q46" i="41" s="1"/>
  <c r="E117" i="39"/>
  <c r="Q43" i="41" s="1"/>
  <c r="E129" i="39"/>
  <c r="Q55" i="41" s="1"/>
  <c r="E119" i="39"/>
  <c r="Q45" i="41" s="1"/>
  <c r="E131" i="39"/>
  <c r="Q57" i="41" s="1"/>
  <c r="E132" i="39"/>
  <c r="Q58" i="41" s="1"/>
  <c r="E122" i="39"/>
  <c r="Q48" i="41" s="1"/>
  <c r="E123" i="39"/>
  <c r="Q49" i="41" s="1"/>
  <c r="D26" i="25"/>
  <c r="D26" i="28"/>
  <c r="B4" i="41"/>
  <c r="B3" i="41"/>
  <c r="H26" i="25"/>
  <c r="D25" i="25" l="1"/>
  <c r="D25" i="28"/>
  <c r="D201" i="40"/>
  <c r="F196" i="40"/>
  <c r="J190" i="40"/>
  <c r="I190" i="40"/>
  <c r="H190" i="40"/>
  <c r="D190" i="40"/>
  <c r="F185" i="40"/>
  <c r="J179" i="40"/>
  <c r="I179" i="40"/>
  <c r="H179" i="40"/>
  <c r="D179" i="40"/>
  <c r="M95" i="40"/>
  <c r="S85" i="40"/>
  <c r="R85" i="40"/>
  <c r="Q85" i="40"/>
  <c r="P85" i="40"/>
  <c r="O85" i="40"/>
  <c r="N85" i="40"/>
  <c r="M85" i="40"/>
  <c r="S81" i="40"/>
  <c r="R81" i="40"/>
  <c r="Q81" i="40"/>
  <c r="P81" i="40"/>
  <c r="O81" i="40"/>
  <c r="S79" i="40"/>
  <c r="R79" i="40"/>
  <c r="Q79" i="40"/>
  <c r="P79" i="40"/>
  <c r="O79" i="40"/>
  <c r="N81" i="40"/>
  <c r="M81" i="40"/>
  <c r="N79" i="40"/>
  <c r="M79" i="40"/>
  <c r="N78" i="40"/>
  <c r="M78" i="40"/>
  <c r="N76" i="40"/>
  <c r="M76" i="40"/>
  <c r="J84" i="33"/>
  <c r="J73" i="33" s="1"/>
  <c r="J74" i="33" s="1"/>
  <c r="J75" i="33" s="1"/>
  <c r="J86" i="33" s="1"/>
  <c r="I84" i="33"/>
  <c r="I73" i="33" s="1"/>
  <c r="I74" i="33" s="1"/>
  <c r="I75" i="33" s="1"/>
  <c r="I86" i="33" s="1"/>
  <c r="H84" i="33"/>
  <c r="H73" i="33" s="1"/>
  <c r="H74" i="33" s="1"/>
  <c r="H75" i="33" s="1"/>
  <c r="H86" i="33" s="1"/>
  <c r="J81" i="33"/>
  <c r="I81" i="33"/>
  <c r="H81" i="33"/>
  <c r="M96" i="40" l="1"/>
  <c r="I100" i="40"/>
  <c r="J100" i="40"/>
  <c r="H100" i="40"/>
  <c r="J87" i="40"/>
  <c r="I87" i="40"/>
  <c r="H87" i="40"/>
  <c r="J93" i="40"/>
  <c r="I93" i="40"/>
  <c r="H93" i="40"/>
  <c r="N83" i="40"/>
  <c r="M83" i="40"/>
  <c r="F174" i="40"/>
  <c r="J168" i="40"/>
  <c r="I168" i="40"/>
  <c r="H168" i="40"/>
  <c r="D168" i="40"/>
  <c r="J83" i="40"/>
  <c r="I83" i="40"/>
  <c r="J78" i="40"/>
  <c r="J79" i="40" s="1"/>
  <c r="J80" i="40" s="1"/>
  <c r="J81" i="40" s="1"/>
  <c r="I78" i="40"/>
  <c r="I79" i="40" s="1"/>
  <c r="I80" i="40" s="1"/>
  <c r="I81" i="40" s="1"/>
  <c r="H78" i="40"/>
  <c r="H79" i="40" s="1"/>
  <c r="H80" i="40" s="1"/>
  <c r="H81" i="40" s="1"/>
  <c r="J74" i="40"/>
  <c r="I74" i="40"/>
  <c r="H74" i="40"/>
  <c r="J10" i="40"/>
  <c r="I10" i="40"/>
  <c r="H10" i="40"/>
  <c r="S9" i="40"/>
  <c r="R9" i="40"/>
  <c r="Q9" i="40"/>
  <c r="P9" i="40"/>
  <c r="O9" i="40"/>
  <c r="N9" i="40"/>
  <c r="M9" i="40"/>
  <c r="J96" i="33"/>
  <c r="D59" i="37"/>
  <c r="J10" i="37"/>
  <c r="D84" i="37"/>
  <c r="M87" i="40" l="1"/>
  <c r="N87" i="40"/>
  <c r="J84" i="37"/>
  <c r="J51" i="37"/>
  <c r="J59" i="37"/>
  <c r="M97" i="40" l="1"/>
  <c r="N97" i="40"/>
  <c r="M98" i="40" l="1"/>
  <c r="N98" i="40"/>
  <c r="D22" i="25"/>
  <c r="D21" i="25"/>
  <c r="D20" i="25"/>
  <c r="D24" i="25"/>
  <c r="D23" i="25"/>
  <c r="D20" i="28"/>
  <c r="D24" i="28"/>
  <c r="D16" i="28"/>
  <c r="D19" i="28"/>
  <c r="D18" i="28"/>
  <c r="D17" i="28"/>
  <c r="B4" i="39"/>
  <c r="B3" i="39"/>
  <c r="B4" i="38"/>
  <c r="B3" i="38"/>
  <c r="I10" i="37"/>
  <c r="I51" i="37" s="1"/>
  <c r="H10" i="37"/>
  <c r="H51" i="37" s="1"/>
  <c r="B10" i="37"/>
  <c r="S9" i="37"/>
  <c r="R9" i="37"/>
  <c r="Q9" i="37"/>
  <c r="P9" i="37"/>
  <c r="O9" i="37"/>
  <c r="N9" i="37"/>
  <c r="M9" i="37"/>
  <c r="B9" i="37"/>
  <c r="B8" i="37"/>
  <c r="B7" i="37"/>
  <c r="B6" i="37"/>
  <c r="B5" i="37"/>
  <c r="B4" i="37"/>
  <c r="B3" i="37"/>
  <c r="J43" i="35"/>
  <c r="I43" i="35"/>
  <c r="J33" i="35"/>
  <c r="I33" i="35"/>
  <c r="H33" i="35"/>
  <c r="F33" i="35"/>
  <c r="D33" i="35"/>
  <c r="D43" i="35"/>
  <c r="B4" i="36"/>
  <c r="B3" i="36"/>
  <c r="M100" i="40" l="1"/>
  <c r="H84" i="37"/>
  <c r="H59" i="37"/>
  <c r="I84" i="37"/>
  <c r="I59" i="37"/>
  <c r="N95" i="40" l="1"/>
  <c r="J27" i="35"/>
  <c r="I27" i="35"/>
  <c r="J24" i="35"/>
  <c r="J25" i="35" s="1"/>
  <c r="I24" i="35"/>
  <c r="I25" i="35" s="1"/>
  <c r="H24" i="35"/>
  <c r="H25" i="35" s="1"/>
  <c r="J21" i="35"/>
  <c r="I21" i="35"/>
  <c r="H21" i="35"/>
  <c r="D82" i="35"/>
  <c r="D46" i="35" s="1"/>
  <c r="D81" i="35"/>
  <c r="D45" i="35" s="1"/>
  <c r="D99" i="35"/>
  <c r="D98" i="35"/>
  <c r="J98" i="35"/>
  <c r="I98" i="35"/>
  <c r="H98" i="35"/>
  <c r="J81" i="35"/>
  <c r="J45" i="35" s="1"/>
  <c r="I81" i="35"/>
  <c r="I45" i="35" s="1"/>
  <c r="H81" i="35"/>
  <c r="H45" i="35" s="1"/>
  <c r="J77" i="35"/>
  <c r="J41" i="35" s="1"/>
  <c r="I77" i="35"/>
  <c r="I41" i="35" s="1"/>
  <c r="H77" i="35"/>
  <c r="H41" i="35" s="1"/>
  <c r="J76" i="35"/>
  <c r="J40" i="35" s="1"/>
  <c r="I76" i="35"/>
  <c r="I40" i="35" s="1"/>
  <c r="H76" i="35"/>
  <c r="H40" i="35" s="1"/>
  <c r="J75" i="35"/>
  <c r="J39" i="35" s="1"/>
  <c r="I75" i="35"/>
  <c r="I39" i="35" s="1"/>
  <c r="H75" i="35"/>
  <c r="H39" i="35" s="1"/>
  <c r="J74" i="35"/>
  <c r="J38" i="35" s="1"/>
  <c r="I74" i="35"/>
  <c r="I38" i="35" s="1"/>
  <c r="H74" i="35"/>
  <c r="H38" i="35" s="1"/>
  <c r="J73" i="35"/>
  <c r="J37" i="35" s="1"/>
  <c r="I73" i="35"/>
  <c r="I37" i="35" s="1"/>
  <c r="H73" i="35"/>
  <c r="H37" i="35" s="1"/>
  <c r="J72" i="35"/>
  <c r="J36" i="35" s="1"/>
  <c r="I72" i="35"/>
  <c r="I36" i="35" s="1"/>
  <c r="H72" i="35"/>
  <c r="H36" i="35" s="1"/>
  <c r="J71" i="35"/>
  <c r="J35" i="35" s="1"/>
  <c r="I71" i="35"/>
  <c r="I35" i="35" s="1"/>
  <c r="H71" i="35"/>
  <c r="H35" i="35" s="1"/>
  <c r="J94" i="35"/>
  <c r="I94" i="35"/>
  <c r="H94" i="35"/>
  <c r="J93" i="35"/>
  <c r="I93" i="35"/>
  <c r="H93" i="35"/>
  <c r="J92" i="35"/>
  <c r="I92" i="35"/>
  <c r="H92" i="35"/>
  <c r="J91" i="35"/>
  <c r="I91" i="35"/>
  <c r="H91" i="35"/>
  <c r="J90" i="35"/>
  <c r="I90" i="35"/>
  <c r="H90" i="35"/>
  <c r="J89" i="35"/>
  <c r="I89" i="35"/>
  <c r="H89" i="35"/>
  <c r="J88" i="35"/>
  <c r="I88" i="35"/>
  <c r="H88" i="35"/>
  <c r="F94" i="35"/>
  <c r="F93" i="35"/>
  <c r="F92" i="35"/>
  <c r="F91" i="35"/>
  <c r="F90" i="35"/>
  <c r="F89" i="35"/>
  <c r="F88" i="35"/>
  <c r="D94" i="35"/>
  <c r="D93" i="35"/>
  <c r="D92" i="35"/>
  <c r="D91" i="35"/>
  <c r="D90" i="35"/>
  <c r="D89" i="35"/>
  <c r="D88" i="35"/>
  <c r="C84" i="35"/>
  <c r="J96" i="35"/>
  <c r="I96" i="35"/>
  <c r="J86" i="35"/>
  <c r="I86" i="35"/>
  <c r="H86" i="35"/>
  <c r="F86" i="35"/>
  <c r="D86" i="35"/>
  <c r="N96" i="40" l="1"/>
  <c r="D96" i="35"/>
  <c r="D25" i="35"/>
  <c r="D19" i="25"/>
  <c r="D18" i="25"/>
  <c r="D17" i="25"/>
  <c r="D16" i="25"/>
  <c r="B4" i="25"/>
  <c r="B3" i="25"/>
  <c r="E78" i="4"/>
  <c r="D78" i="4"/>
  <c r="D70" i="4"/>
  <c r="D62" i="4"/>
  <c r="E60" i="4"/>
  <c r="E59" i="4"/>
  <c r="E58" i="4"/>
  <c r="E57" i="4"/>
  <c r="E56" i="4"/>
  <c r="E55" i="4"/>
  <c r="E54" i="4"/>
  <c r="E53" i="4"/>
  <c r="E52" i="4"/>
  <c r="E51" i="4"/>
  <c r="J17" i="4"/>
  <c r="K17" i="4" s="1"/>
  <c r="L17" i="4" s="1"/>
  <c r="M17" i="4" s="1"/>
  <c r="B4" i="4"/>
  <c r="B3" i="4"/>
  <c r="A1" i="4"/>
  <c r="J79" i="35"/>
  <c r="I79" i="35"/>
  <c r="F77" i="35"/>
  <c r="F41" i="35" s="1"/>
  <c r="D77" i="35"/>
  <c r="D41" i="35" s="1"/>
  <c r="F76" i="35"/>
  <c r="F40" i="35" s="1"/>
  <c r="D76" i="35"/>
  <c r="D40" i="35" s="1"/>
  <c r="F75" i="35"/>
  <c r="F39" i="35" s="1"/>
  <c r="D75" i="35"/>
  <c r="D39" i="35" s="1"/>
  <c r="F74" i="35"/>
  <c r="F38" i="35" s="1"/>
  <c r="D74" i="35"/>
  <c r="D38" i="35" s="1"/>
  <c r="F73" i="35"/>
  <c r="F37" i="35" s="1"/>
  <c r="D73" i="35"/>
  <c r="D37" i="35" s="1"/>
  <c r="F72" i="35"/>
  <c r="F36" i="35" s="1"/>
  <c r="D72" i="35"/>
  <c r="D36" i="35" s="1"/>
  <c r="F71" i="35"/>
  <c r="F35" i="35" s="1"/>
  <c r="D71" i="35"/>
  <c r="D35" i="35" s="1"/>
  <c r="J69" i="35"/>
  <c r="I69" i="35"/>
  <c r="H69" i="35"/>
  <c r="F69" i="35"/>
  <c r="D69" i="35"/>
  <c r="C67" i="35"/>
  <c r="F64" i="35"/>
  <c r="J62" i="35"/>
  <c r="I62" i="35"/>
  <c r="J52" i="35"/>
  <c r="I52" i="35"/>
  <c r="H52" i="35"/>
  <c r="F52" i="35"/>
  <c r="D52" i="35"/>
  <c r="C50" i="35"/>
  <c r="J10" i="35"/>
  <c r="I10" i="35"/>
  <c r="H10" i="35"/>
  <c r="B10" i="35"/>
  <c r="S9" i="35"/>
  <c r="R9" i="35"/>
  <c r="Q9" i="35"/>
  <c r="P9" i="35"/>
  <c r="O9" i="35"/>
  <c r="B9" i="35"/>
  <c r="B8" i="35"/>
  <c r="B7" i="35"/>
  <c r="B6" i="35"/>
  <c r="B5" i="35"/>
  <c r="B4" i="35"/>
  <c r="B3" i="35"/>
  <c r="J70" i="34"/>
  <c r="I70" i="34"/>
  <c r="F68" i="34"/>
  <c r="D68" i="34"/>
  <c r="F67" i="34"/>
  <c r="D67" i="34"/>
  <c r="F66" i="34"/>
  <c r="D66" i="34"/>
  <c r="F65" i="34"/>
  <c r="D65" i="34"/>
  <c r="J63" i="34"/>
  <c r="I63" i="34"/>
  <c r="H63" i="34"/>
  <c r="F63" i="34"/>
  <c r="D63" i="34"/>
  <c r="C61" i="34"/>
  <c r="D23" i="34" s="1"/>
  <c r="J57" i="34"/>
  <c r="I57" i="34"/>
  <c r="F55" i="34"/>
  <c r="D55" i="34"/>
  <c r="F54" i="34"/>
  <c r="D54" i="34"/>
  <c r="F53" i="34"/>
  <c r="D53" i="34"/>
  <c r="F52" i="34"/>
  <c r="D52" i="34"/>
  <c r="F51" i="34"/>
  <c r="D51" i="34"/>
  <c r="F50" i="34"/>
  <c r="D50" i="34"/>
  <c r="F49" i="34"/>
  <c r="D49" i="34"/>
  <c r="J47" i="34"/>
  <c r="I47" i="34"/>
  <c r="H47" i="34"/>
  <c r="F47" i="34"/>
  <c r="D47" i="34"/>
  <c r="C45" i="34"/>
  <c r="D22" i="34" s="1"/>
  <c r="J41" i="34"/>
  <c r="I41" i="34"/>
  <c r="F39" i="34"/>
  <c r="D39" i="34"/>
  <c r="F38" i="34"/>
  <c r="D38" i="34"/>
  <c r="F37" i="34"/>
  <c r="D37" i="34"/>
  <c r="F36" i="34"/>
  <c r="D36" i="34"/>
  <c r="S35" i="34"/>
  <c r="R35" i="34"/>
  <c r="Q35" i="34"/>
  <c r="P35" i="34"/>
  <c r="O35" i="34"/>
  <c r="F35" i="34"/>
  <c r="D35" i="34"/>
  <c r="F34" i="34"/>
  <c r="D34" i="34"/>
  <c r="F33" i="34"/>
  <c r="D33" i="34"/>
  <c r="J31" i="34"/>
  <c r="I31" i="34"/>
  <c r="H31" i="34"/>
  <c r="F31" i="34"/>
  <c r="D31" i="34"/>
  <c r="C29" i="34"/>
  <c r="D21" i="34" s="1"/>
  <c r="J10" i="34"/>
  <c r="I10" i="34"/>
  <c r="H10" i="34"/>
  <c r="B10" i="34"/>
  <c r="S9" i="34"/>
  <c r="R9" i="34"/>
  <c r="Q9" i="34"/>
  <c r="P9" i="34"/>
  <c r="O9" i="34"/>
  <c r="B9" i="34"/>
  <c r="B8" i="34"/>
  <c r="B7" i="34"/>
  <c r="B6" i="34"/>
  <c r="B5" i="34"/>
  <c r="B4" i="34"/>
  <c r="B3" i="34"/>
  <c r="D104" i="33"/>
  <c r="D103" i="33"/>
  <c r="D102" i="33"/>
  <c r="D101" i="33"/>
  <c r="D100" i="33"/>
  <c r="D99" i="33"/>
  <c r="D98" i="33"/>
  <c r="O96" i="33"/>
  <c r="I96" i="33"/>
  <c r="H96" i="33"/>
  <c r="D96" i="33"/>
  <c r="F130" i="33"/>
  <c r="D130" i="33"/>
  <c r="F129" i="33"/>
  <c r="D129" i="33"/>
  <c r="F128" i="33"/>
  <c r="D128" i="33"/>
  <c r="F127" i="33"/>
  <c r="D127" i="33"/>
  <c r="F126" i="33"/>
  <c r="D126" i="33"/>
  <c r="F125" i="33"/>
  <c r="D125" i="33"/>
  <c r="F124" i="33"/>
  <c r="D124" i="33"/>
  <c r="F123" i="33"/>
  <c r="D123" i="33"/>
  <c r="F122" i="33"/>
  <c r="D122" i="33"/>
  <c r="F121" i="33"/>
  <c r="D121" i="33"/>
  <c r="F120" i="33"/>
  <c r="D120" i="33"/>
  <c r="F119" i="33"/>
  <c r="D119" i="33"/>
  <c r="F118" i="33"/>
  <c r="D118" i="33"/>
  <c r="F117" i="33"/>
  <c r="D117" i="33"/>
  <c r="F116" i="33"/>
  <c r="D116" i="33"/>
  <c r="F115" i="33"/>
  <c r="D115" i="33"/>
  <c r="F114" i="33"/>
  <c r="D114" i="33"/>
  <c r="F113" i="33"/>
  <c r="D113" i="33"/>
  <c r="I111" i="33"/>
  <c r="H111" i="33"/>
  <c r="F111" i="33"/>
  <c r="I192" i="33"/>
  <c r="H192" i="33"/>
  <c r="D192" i="33"/>
  <c r="M187" i="33"/>
  <c r="A187" i="33" s="1"/>
  <c r="A1" i="33" s="1"/>
  <c r="H18" i="25" s="1"/>
  <c r="I185" i="33"/>
  <c r="M183" i="33"/>
  <c r="M128" i="36" s="1"/>
  <c r="M145" i="36" s="1"/>
  <c r="I176" i="33"/>
  <c r="H176" i="33"/>
  <c r="O154" i="33"/>
  <c r="O62" i="36" s="1"/>
  <c r="O63" i="36" s="1"/>
  <c r="A63" i="36" s="1"/>
  <c r="I154" i="33"/>
  <c r="I142" i="33"/>
  <c r="H142" i="33"/>
  <c r="D142" i="33"/>
  <c r="O171" i="33"/>
  <c r="O79" i="36" s="1"/>
  <c r="O80" i="36" s="1"/>
  <c r="A80" i="36" s="1"/>
  <c r="I171" i="33"/>
  <c r="I159" i="33"/>
  <c r="H159" i="33"/>
  <c r="D159" i="33"/>
  <c r="J10" i="33"/>
  <c r="I10" i="33"/>
  <c r="H10" i="33"/>
  <c r="B10" i="33"/>
  <c r="S9" i="33"/>
  <c r="R9" i="33"/>
  <c r="Q9" i="33"/>
  <c r="P9" i="33"/>
  <c r="O9" i="33"/>
  <c r="N9" i="33"/>
  <c r="M9" i="33"/>
  <c r="B9" i="33"/>
  <c r="B8" i="33"/>
  <c r="B7" i="33"/>
  <c r="B6" i="33"/>
  <c r="B5" i="33"/>
  <c r="B4" i="33"/>
  <c r="B3" i="33"/>
  <c r="F52" i="32"/>
  <c r="D52" i="32"/>
  <c r="F51" i="32"/>
  <c r="D51" i="32"/>
  <c r="F50" i="32"/>
  <c r="D50" i="32"/>
  <c r="F49" i="32"/>
  <c r="D49" i="32"/>
  <c r="F48" i="32"/>
  <c r="D48" i="32"/>
  <c r="F47" i="32"/>
  <c r="D47" i="32"/>
  <c r="I45" i="32"/>
  <c r="H45" i="32"/>
  <c r="F45" i="32"/>
  <c r="E45" i="32"/>
  <c r="D45" i="32"/>
  <c r="C43" i="32"/>
  <c r="F40" i="32"/>
  <c r="D40" i="32"/>
  <c r="F39" i="32"/>
  <c r="D39" i="32"/>
  <c r="F38" i="32"/>
  <c r="D38" i="32"/>
  <c r="F37" i="32"/>
  <c r="D37" i="32"/>
  <c r="F36" i="32"/>
  <c r="D36" i="32"/>
  <c r="F35" i="32"/>
  <c r="D35" i="32"/>
  <c r="F34" i="32"/>
  <c r="D34" i="32"/>
  <c r="I32" i="32"/>
  <c r="H32" i="32"/>
  <c r="F32" i="32"/>
  <c r="D32" i="32"/>
  <c r="C30" i="32"/>
  <c r="F27" i="32"/>
  <c r="D27" i="32"/>
  <c r="F26" i="32"/>
  <c r="D26" i="32"/>
  <c r="F25" i="32"/>
  <c r="D25" i="32"/>
  <c r="F24" i="32"/>
  <c r="D24" i="32"/>
  <c r="F23" i="32"/>
  <c r="D23" i="32"/>
  <c r="F22" i="32"/>
  <c r="D22" i="32"/>
  <c r="F21" i="32"/>
  <c r="D21" i="32"/>
  <c r="I19" i="32"/>
  <c r="H19" i="32"/>
  <c r="F19" i="32"/>
  <c r="D19" i="32"/>
  <c r="C17" i="32"/>
  <c r="I10" i="32"/>
  <c r="H10" i="32"/>
  <c r="B10" i="32"/>
  <c r="S9" i="32"/>
  <c r="R9" i="32"/>
  <c r="Q9" i="32"/>
  <c r="P9" i="32"/>
  <c r="O9" i="32"/>
  <c r="N9" i="32"/>
  <c r="M9" i="32"/>
  <c r="B9" i="32"/>
  <c r="B8" i="32"/>
  <c r="B7" i="32"/>
  <c r="B6" i="32"/>
  <c r="B5" i="32"/>
  <c r="B4" i="32"/>
  <c r="B3" i="32"/>
  <c r="I45" i="31"/>
  <c r="H45" i="31"/>
  <c r="F45" i="31"/>
  <c r="E45" i="31"/>
  <c r="D45" i="31"/>
  <c r="I32" i="31"/>
  <c r="H32" i="31"/>
  <c r="F32" i="31"/>
  <c r="E32" i="31"/>
  <c r="D32" i="31"/>
  <c r="I19" i="31"/>
  <c r="H19" i="31"/>
  <c r="F19" i="31"/>
  <c r="E19" i="31"/>
  <c r="D19" i="31"/>
  <c r="I10" i="31"/>
  <c r="H10" i="31"/>
  <c r="B10" i="31"/>
  <c r="S9" i="31"/>
  <c r="R9" i="31"/>
  <c r="Q9" i="31"/>
  <c r="P9" i="31"/>
  <c r="O9" i="31"/>
  <c r="N9" i="31"/>
  <c r="M9" i="31"/>
  <c r="B9" i="31"/>
  <c r="B8" i="31"/>
  <c r="B7" i="31"/>
  <c r="B6" i="31"/>
  <c r="B5" i="31"/>
  <c r="B4" i="31"/>
  <c r="B3" i="31"/>
  <c r="A1" i="31"/>
  <c r="H16" i="25" s="1"/>
  <c r="B4" i="30"/>
  <c r="B3" i="30"/>
  <c r="A1" i="30"/>
  <c r="D33" i="28"/>
  <c r="D32" i="28"/>
  <c r="D12" i="28"/>
  <c r="D11" i="28"/>
  <c r="D10" i="28"/>
  <c r="B6" i="28"/>
  <c r="B4" i="28"/>
  <c r="J15" i="4" l="1"/>
  <c r="N100" i="40"/>
  <c r="M7" i="36"/>
  <c r="M7" i="39"/>
  <c r="M7" i="38"/>
  <c r="M7" i="40"/>
  <c r="M7" i="37"/>
  <c r="N17" i="4"/>
  <c r="M7" i="33"/>
  <c r="M7" i="32"/>
  <c r="M7" i="31"/>
  <c r="Q138" i="36"/>
  <c r="P138" i="36"/>
  <c r="O138" i="36"/>
  <c r="S138" i="36"/>
  <c r="R138" i="36"/>
  <c r="S131" i="36"/>
  <c r="R133" i="36"/>
  <c r="P133" i="36"/>
  <c r="Q132" i="36"/>
  <c r="Q129" i="36"/>
  <c r="O129" i="36"/>
  <c r="P130" i="36"/>
  <c r="S130" i="36"/>
  <c r="Q134" i="36"/>
  <c r="P132" i="36"/>
  <c r="O134" i="36"/>
  <c r="R131" i="36"/>
  <c r="P131" i="36"/>
  <c r="O128" i="36"/>
  <c r="P129" i="36"/>
  <c r="S133" i="36"/>
  <c r="S128" i="36"/>
  <c r="Q130" i="36"/>
  <c r="R132" i="36"/>
  <c r="S132" i="36"/>
  <c r="R134" i="36"/>
  <c r="O132" i="36"/>
  <c r="Q133" i="36"/>
  <c r="P134" i="36"/>
  <c r="P128" i="36"/>
  <c r="O131" i="36"/>
  <c r="O130" i="36"/>
  <c r="R130" i="36"/>
  <c r="S129" i="36"/>
  <c r="O133" i="36"/>
  <c r="S134" i="36"/>
  <c r="R128" i="36"/>
  <c r="R129" i="36"/>
  <c r="Q131" i="36"/>
  <c r="Q128" i="36"/>
  <c r="D43" i="39" a="1"/>
  <c r="D102" i="38" a="1"/>
  <c r="D89" i="38" a="1"/>
  <c r="D76" i="38" a="1"/>
  <c r="D57" i="38" a="1"/>
  <c r="D44" i="38" a="1"/>
  <c r="D31" i="38" a="1"/>
  <c r="D26" i="39" a="1"/>
  <c r="D147" i="38" a="1"/>
  <c r="D99" i="39" a="1"/>
  <c r="D60" i="39" a="1"/>
  <c r="D77" i="39" a="1"/>
  <c r="D121" i="38" a="1"/>
  <c r="D134" i="38" a="1"/>
  <c r="D21" i="37"/>
  <c r="D33" i="37"/>
  <c r="D62" i="35"/>
  <c r="D23" i="35"/>
  <c r="D79" i="35"/>
  <c r="D24" i="35"/>
  <c r="D87" i="37"/>
  <c r="U87" i="37" s="1"/>
  <c r="D62" i="37"/>
  <c r="U62" i="37" s="1"/>
  <c r="D63" i="37"/>
  <c r="U63" i="37" s="1"/>
  <c r="D88" i="37"/>
  <c r="U88" i="37" s="1"/>
  <c r="D92" i="37"/>
  <c r="U92" i="37" s="1"/>
  <c r="D67" i="37"/>
  <c r="U67" i="37" s="1"/>
  <c r="D71" i="37"/>
  <c r="U71" i="37" s="1"/>
  <c r="D96" i="37"/>
  <c r="U96" i="37" s="1"/>
  <c r="D100" i="37"/>
  <c r="U100" i="37" s="1"/>
  <c r="D75" i="37"/>
  <c r="U75" i="37" s="1"/>
  <c r="D74" i="37"/>
  <c r="U74" i="37" s="1"/>
  <c r="D99" i="37"/>
  <c r="U99" i="37" s="1"/>
  <c r="E59" i="37"/>
  <c r="E84" i="37"/>
  <c r="D103" i="37"/>
  <c r="U103" i="37" s="1"/>
  <c r="D78" i="37"/>
  <c r="U78" i="37" s="1"/>
  <c r="D64" i="37"/>
  <c r="U64" i="37" s="1"/>
  <c r="D89" i="37"/>
  <c r="U89" i="37" s="1"/>
  <c r="D93" i="37"/>
  <c r="U93" i="37" s="1"/>
  <c r="D68" i="37"/>
  <c r="U68" i="37" s="1"/>
  <c r="D72" i="37"/>
  <c r="U72" i="37" s="1"/>
  <c r="D97" i="37"/>
  <c r="U97" i="37" s="1"/>
  <c r="D101" i="37"/>
  <c r="U101" i="37" s="1"/>
  <c r="D76" i="37"/>
  <c r="U76" i="37" s="1"/>
  <c r="D66" i="37"/>
  <c r="U66" i="37" s="1"/>
  <c r="D91" i="37"/>
  <c r="U91" i="37" s="1"/>
  <c r="D86" i="37"/>
  <c r="U86" i="37" s="1"/>
  <c r="D61" i="37"/>
  <c r="U61" i="37" s="1"/>
  <c r="D65" i="37"/>
  <c r="U65" i="37" s="1"/>
  <c r="D90" i="37"/>
  <c r="U90" i="37" s="1"/>
  <c r="D94" i="37"/>
  <c r="U94" i="37" s="1"/>
  <c r="D69" i="37"/>
  <c r="U69" i="37" s="1"/>
  <c r="D98" i="37"/>
  <c r="U98" i="37" s="1"/>
  <c r="D73" i="37"/>
  <c r="U73" i="37" s="1"/>
  <c r="D102" i="37"/>
  <c r="U102" i="37" s="1"/>
  <c r="D77" i="37"/>
  <c r="U77" i="37" s="1"/>
  <c r="D70" i="37"/>
  <c r="U70" i="37" s="1"/>
  <c r="D95" i="37"/>
  <c r="U95" i="37" s="1"/>
  <c r="E62" i="37"/>
  <c r="E87" i="37"/>
  <c r="E91" i="37"/>
  <c r="E66" i="37"/>
  <c r="E95" i="37"/>
  <c r="E70" i="37"/>
  <c r="E99" i="37"/>
  <c r="E74" i="37"/>
  <c r="E103" i="37"/>
  <c r="E78" i="37"/>
  <c r="E88" i="37"/>
  <c r="E63" i="37"/>
  <c r="E92" i="37"/>
  <c r="E67" i="37"/>
  <c r="E71" i="37"/>
  <c r="E96" i="37"/>
  <c r="E75" i="37"/>
  <c r="E100" i="37"/>
  <c r="E64" i="37"/>
  <c r="E89" i="37"/>
  <c r="E68" i="37"/>
  <c r="E93" i="37"/>
  <c r="E72" i="37"/>
  <c r="E97" i="37"/>
  <c r="E101" i="37"/>
  <c r="E76" i="37"/>
  <c r="E61" i="37"/>
  <c r="E86" i="37"/>
  <c r="E90" i="37"/>
  <c r="E65" i="37"/>
  <c r="E94" i="37"/>
  <c r="E69" i="37"/>
  <c r="E73" i="37"/>
  <c r="E98" i="37"/>
  <c r="E102" i="37"/>
  <c r="E77" i="37"/>
  <c r="M185" i="33"/>
  <c r="A1" i="32"/>
  <c r="H17" i="25" s="1"/>
  <c r="O89" i="35"/>
  <c r="Q90" i="35"/>
  <c r="P90" i="35"/>
  <c r="O90" i="35"/>
  <c r="O88" i="35"/>
  <c r="S88" i="35"/>
  <c r="Q88" i="35"/>
  <c r="R90" i="35"/>
  <c r="Q89" i="35"/>
  <c r="R88" i="35"/>
  <c r="P89" i="35"/>
  <c r="S90" i="35"/>
  <c r="P88" i="35"/>
  <c r="S89" i="35"/>
  <c r="R89" i="35"/>
  <c r="J16" i="4"/>
  <c r="K15" i="4" s="1"/>
  <c r="Q56" i="35"/>
  <c r="S56" i="35"/>
  <c r="R56" i="35"/>
  <c r="O56" i="35"/>
  <c r="P56" i="35"/>
  <c r="F98" i="35"/>
  <c r="F45" i="35" s="1"/>
  <c r="F81" i="35"/>
  <c r="O95" i="40" l="1"/>
  <c r="J18" i="4"/>
  <c r="J19" i="4" s="1"/>
  <c r="N7" i="36"/>
  <c r="N7" i="38"/>
  <c r="N7" i="39"/>
  <c r="N7" i="40"/>
  <c r="N7" i="37"/>
  <c r="N7" i="33"/>
  <c r="N7" i="32"/>
  <c r="N7" i="31"/>
  <c r="O17" i="4"/>
  <c r="S155" i="36"/>
  <c r="O155" i="36"/>
  <c r="R155" i="36"/>
  <c r="Q155" i="36"/>
  <c r="P155" i="36"/>
  <c r="O136" i="36"/>
  <c r="O139" i="36" s="1"/>
  <c r="R136" i="36"/>
  <c r="R139" i="36" s="1"/>
  <c r="P136" i="36"/>
  <c r="P139" i="36" s="1"/>
  <c r="S136" i="36"/>
  <c r="S139" i="36" s="1"/>
  <c r="Q136" i="36"/>
  <c r="Q139" i="36" s="1"/>
  <c r="D81" i="39"/>
  <c r="D78" i="39"/>
  <c r="D83" i="39"/>
  <c r="D77" i="39"/>
  <c r="D82" i="39"/>
  <c r="D79" i="39"/>
  <c r="D80" i="39"/>
  <c r="D31" i="39"/>
  <c r="D28" i="39"/>
  <c r="D30" i="39"/>
  <c r="D32" i="39"/>
  <c r="D27" i="39"/>
  <c r="D29" i="39"/>
  <c r="D26" i="39"/>
  <c r="D79" i="38"/>
  <c r="D82" i="38"/>
  <c r="D76" i="38"/>
  <c r="D77" i="38"/>
  <c r="D80" i="38"/>
  <c r="D78" i="38"/>
  <c r="D81" i="38"/>
  <c r="D64" i="39"/>
  <c r="D62" i="39"/>
  <c r="D60" i="39"/>
  <c r="D65" i="39"/>
  <c r="D61" i="39"/>
  <c r="D66" i="39"/>
  <c r="D63" i="39"/>
  <c r="D31" i="38"/>
  <c r="D33" i="38"/>
  <c r="D35" i="38"/>
  <c r="D32" i="38"/>
  <c r="D36" i="38"/>
  <c r="D37" i="38"/>
  <c r="D34" i="38"/>
  <c r="D94" i="38"/>
  <c r="D90" i="38"/>
  <c r="D93" i="38"/>
  <c r="D95" i="38"/>
  <c r="D91" i="38"/>
  <c r="D92" i="38"/>
  <c r="D89" i="38"/>
  <c r="O89" i="38" s="1"/>
  <c r="D138" i="38"/>
  <c r="D140" i="38"/>
  <c r="O140" i="38" s="1"/>
  <c r="D134" i="38"/>
  <c r="D135" i="38"/>
  <c r="D137" i="38"/>
  <c r="D139" i="38"/>
  <c r="D136" i="38"/>
  <c r="D103" i="39"/>
  <c r="D99" i="39"/>
  <c r="D100" i="39"/>
  <c r="D102" i="39"/>
  <c r="D104" i="39"/>
  <c r="D101" i="39"/>
  <c r="D105" i="39"/>
  <c r="D47" i="38"/>
  <c r="D45" i="38"/>
  <c r="D46" i="38"/>
  <c r="D44" i="38"/>
  <c r="D49" i="38"/>
  <c r="D50" i="38"/>
  <c r="D48" i="38"/>
  <c r="D104" i="38"/>
  <c r="D107" i="38"/>
  <c r="D106" i="38"/>
  <c r="D102" i="38"/>
  <c r="D103" i="38"/>
  <c r="D108" i="38"/>
  <c r="D105" i="38"/>
  <c r="D124" i="38"/>
  <c r="D125" i="38"/>
  <c r="D121" i="38"/>
  <c r="D122" i="38"/>
  <c r="D126" i="38"/>
  <c r="D127" i="38"/>
  <c r="D123" i="38"/>
  <c r="D152" i="38"/>
  <c r="D151" i="38"/>
  <c r="D149" i="38"/>
  <c r="D150" i="38"/>
  <c r="D148" i="38"/>
  <c r="D147" i="38"/>
  <c r="D153" i="38"/>
  <c r="D60" i="38"/>
  <c r="D62" i="38"/>
  <c r="D61" i="38"/>
  <c r="D57" i="38"/>
  <c r="D59" i="38"/>
  <c r="D58" i="38"/>
  <c r="D63" i="38"/>
  <c r="D47" i="39"/>
  <c r="D48" i="39"/>
  <c r="D44" i="39"/>
  <c r="D45" i="39"/>
  <c r="D43" i="39"/>
  <c r="D49" i="39"/>
  <c r="D46" i="39"/>
  <c r="K16" i="4"/>
  <c r="O7" i="36" l="1"/>
  <c r="O7" i="39"/>
  <c r="O7" i="38"/>
  <c r="O7" i="40"/>
  <c r="O7" i="37"/>
  <c r="P17" i="4"/>
  <c r="O7" i="34"/>
  <c r="O7" i="32"/>
  <c r="O7" i="31"/>
  <c r="O7" i="35"/>
  <c r="O7" i="33"/>
  <c r="A139" i="36"/>
  <c r="D121" i="39"/>
  <c r="D122" i="39"/>
  <c r="D123" i="39"/>
  <c r="O136" i="38"/>
  <c r="P136" i="38"/>
  <c r="Q136" i="38"/>
  <c r="S136" i="38"/>
  <c r="R136" i="38"/>
  <c r="S134" i="38"/>
  <c r="R134" i="38"/>
  <c r="O134" i="38"/>
  <c r="Q134" i="38"/>
  <c r="P134" i="38"/>
  <c r="D132" i="39"/>
  <c r="D130" i="39"/>
  <c r="D131" i="39"/>
  <c r="D119" i="39"/>
  <c r="D118" i="39"/>
  <c r="R46" i="38"/>
  <c r="P46" i="38"/>
  <c r="O46" i="38"/>
  <c r="Q46" i="38"/>
  <c r="S46" i="38"/>
  <c r="D120" i="39"/>
  <c r="D116" i="39"/>
  <c r="D117" i="39"/>
  <c r="D128" i="39"/>
  <c r="D129" i="39"/>
  <c r="D127" i="39"/>
  <c r="D124" i="39"/>
  <c r="D126" i="39"/>
  <c r="D125" i="39"/>
  <c r="Q135" i="38"/>
  <c r="R135" i="38"/>
  <c r="S135" i="38"/>
  <c r="O135" i="38"/>
  <c r="P135" i="38"/>
  <c r="L15" i="4"/>
  <c r="L16" i="4" s="1"/>
  <c r="K18" i="4"/>
  <c r="K19" i="4" s="1"/>
  <c r="P7" i="36" l="1"/>
  <c r="P7" i="39"/>
  <c r="P7" i="38"/>
  <c r="P7" i="40"/>
  <c r="P7" i="37"/>
  <c r="Q17" i="4"/>
  <c r="P7" i="31"/>
  <c r="P7" i="32"/>
  <c r="P7" i="35"/>
  <c r="P7" i="33"/>
  <c r="P7" i="34"/>
  <c r="L18" i="4"/>
  <c r="L19" i="4" s="1"/>
  <c r="M15" i="4"/>
  <c r="M5" i="40" l="1"/>
  <c r="M5" i="36"/>
  <c r="M5" i="39"/>
  <c r="M5" i="38"/>
  <c r="Q7" i="36"/>
  <c r="Q7" i="39"/>
  <c r="Q7" i="38"/>
  <c r="Q7" i="40"/>
  <c r="Q7" i="37"/>
  <c r="Q7" i="35"/>
  <c r="Q7" i="33"/>
  <c r="Q7" i="32"/>
  <c r="R17" i="4"/>
  <c r="Q7" i="34"/>
  <c r="Q7" i="31"/>
  <c r="M5" i="37"/>
  <c r="M16" i="4"/>
  <c r="M5" i="32"/>
  <c r="M5" i="33"/>
  <c r="M5" i="31"/>
  <c r="M6" i="40" l="1"/>
  <c r="M6" i="36"/>
  <c r="M6" i="39"/>
  <c r="M6" i="38"/>
  <c r="R7" i="36"/>
  <c r="R7" i="38"/>
  <c r="R7" i="39"/>
  <c r="R7" i="40"/>
  <c r="R7" i="37"/>
  <c r="R7" i="35"/>
  <c r="R7" i="33"/>
  <c r="R7" i="32"/>
  <c r="S17" i="4"/>
  <c r="R7" i="34"/>
  <c r="R7" i="31"/>
  <c r="M6" i="37"/>
  <c r="M18" i="4"/>
  <c r="M6" i="31"/>
  <c r="N15" i="4"/>
  <c r="M6" i="32"/>
  <c r="M6" i="33"/>
  <c r="N5" i="40" l="1"/>
  <c r="N5" i="36"/>
  <c r="N5" i="38"/>
  <c r="N5" i="39"/>
  <c r="M8" i="36"/>
  <c r="M8" i="39"/>
  <c r="M8" i="38"/>
  <c r="S7" i="36"/>
  <c r="S7" i="39"/>
  <c r="S7" i="38"/>
  <c r="S7" i="40"/>
  <c r="S7" i="37"/>
  <c r="S7" i="34"/>
  <c r="S7" i="35"/>
  <c r="S7" i="31"/>
  <c r="S7" i="33"/>
  <c r="S7" i="32"/>
  <c r="M8" i="40"/>
  <c r="M19" i="4"/>
  <c r="N5" i="37"/>
  <c r="M8" i="37"/>
  <c r="N16" i="4"/>
  <c r="N5" i="33"/>
  <c r="N5" i="31"/>
  <c r="N5" i="32"/>
  <c r="M8" i="31"/>
  <c r="M8" i="32"/>
  <c r="M8" i="33"/>
  <c r="N6" i="40" l="1"/>
  <c r="N6" i="36"/>
  <c r="N6" i="38"/>
  <c r="N6" i="39"/>
  <c r="M10" i="40"/>
  <c r="N6" i="37"/>
  <c r="O15" i="4"/>
  <c r="N18" i="4"/>
  <c r="N6" i="32"/>
  <c r="N6" i="33"/>
  <c r="N6" i="31"/>
  <c r="M10" i="33"/>
  <c r="M71" i="33" s="1"/>
  <c r="N8" i="36" l="1"/>
  <c r="N8" i="38"/>
  <c r="N8" i="39"/>
  <c r="O5" i="40"/>
  <c r="O5" i="36"/>
  <c r="O5" i="38"/>
  <c r="O5" i="39"/>
  <c r="M81" i="33"/>
  <c r="M159" i="33"/>
  <c r="M142" i="33"/>
  <c r="M93" i="40"/>
  <c r="N8" i="40"/>
  <c r="N19" i="4"/>
  <c r="M74" i="40"/>
  <c r="O5" i="37"/>
  <c r="N8" i="37"/>
  <c r="N8" i="32"/>
  <c r="N8" i="31"/>
  <c r="N8" i="33"/>
  <c r="O5" i="33"/>
  <c r="O5" i="32"/>
  <c r="O16" i="4"/>
  <c r="O5" i="35"/>
  <c r="O5" i="31"/>
  <c r="O5" i="34"/>
  <c r="O6" i="40" l="1"/>
  <c r="O6" i="36"/>
  <c r="O6" i="38"/>
  <c r="O6" i="39"/>
  <c r="N10" i="40"/>
  <c r="O6" i="37"/>
  <c r="O6" i="33"/>
  <c r="O6" i="32"/>
  <c r="P15" i="4"/>
  <c r="O6" i="35"/>
  <c r="O18" i="4"/>
  <c r="O6" i="31"/>
  <c r="O6" i="34"/>
  <c r="N10" i="33"/>
  <c r="N71" i="33" s="1"/>
  <c r="U19" i="4"/>
  <c r="P5" i="40" l="1"/>
  <c r="P5" i="36"/>
  <c r="P5" i="39"/>
  <c r="P5" i="38"/>
  <c r="O8" i="36"/>
  <c r="O8" i="38"/>
  <c r="O8" i="39"/>
  <c r="N26" i="33"/>
  <c r="N81" i="33"/>
  <c r="N159" i="33"/>
  <c r="N142" i="33"/>
  <c r="N93" i="40"/>
  <c r="O8" i="40"/>
  <c r="O19" i="4"/>
  <c r="N74" i="40"/>
  <c r="P5" i="37"/>
  <c r="O8" i="37"/>
  <c r="P5" i="33"/>
  <c r="P5" i="32"/>
  <c r="P16" i="4"/>
  <c r="P5" i="35"/>
  <c r="P5" i="34"/>
  <c r="P5" i="31"/>
  <c r="O8" i="33"/>
  <c r="O8" i="32"/>
  <c r="O8" i="35"/>
  <c r="O8" i="31"/>
  <c r="O8" i="34"/>
  <c r="O10" i="36" l="1"/>
  <c r="O10" i="39"/>
  <c r="O10" i="38"/>
  <c r="P6" i="40"/>
  <c r="P6" i="36"/>
  <c r="P6" i="38"/>
  <c r="P6" i="39"/>
  <c r="O10" i="40"/>
  <c r="P6" i="37"/>
  <c r="O10" i="37"/>
  <c r="O51" i="37" s="1"/>
  <c r="O10" i="35"/>
  <c r="O10" i="33"/>
  <c r="O81" i="33" s="1"/>
  <c r="O10" i="32"/>
  <c r="O10" i="34"/>
  <c r="O19" i="34" s="1"/>
  <c r="O10" i="31"/>
  <c r="O58" i="31" s="1"/>
  <c r="P6" i="33"/>
  <c r="P6" i="32"/>
  <c r="Q15" i="4"/>
  <c r="P6" i="35"/>
  <c r="P18" i="4"/>
  <c r="P6" i="31"/>
  <c r="P6" i="34"/>
  <c r="O41" i="39" l="1"/>
  <c r="O75" i="39"/>
  <c r="O114" i="39"/>
  <c r="O97" i="39"/>
  <c r="O58" i="39"/>
  <c r="O24" i="39"/>
  <c r="Q5" i="40"/>
  <c r="Q5" i="36"/>
  <c r="Q5" i="39"/>
  <c r="Q5" i="38"/>
  <c r="O119" i="38"/>
  <c r="O55" i="38"/>
  <c r="O20" i="38"/>
  <c r="O132" i="38"/>
  <c r="O145" i="38"/>
  <c r="O74" i="38"/>
  <c r="O100" i="38"/>
  <c r="O29" i="38"/>
  <c r="O87" i="38"/>
  <c r="O42" i="38"/>
  <c r="P8" i="36"/>
  <c r="P8" i="38"/>
  <c r="P8" i="39"/>
  <c r="O67" i="36"/>
  <c r="O92" i="36"/>
  <c r="O50" i="36"/>
  <c r="O143" i="36"/>
  <c r="O109" i="36"/>
  <c r="O21" i="36"/>
  <c r="O28" i="36"/>
  <c r="O126" i="36"/>
  <c r="O34" i="40"/>
  <c r="O45" i="40"/>
  <c r="O152" i="40"/>
  <c r="O61" i="40"/>
  <c r="O41" i="33"/>
  <c r="O71" i="33"/>
  <c r="O137" i="40"/>
  <c r="O105" i="40"/>
  <c r="O117" i="40"/>
  <c r="O26" i="33"/>
  <c r="O33" i="35"/>
  <c r="O33" i="37"/>
  <c r="O21" i="37"/>
  <c r="O190" i="40"/>
  <c r="O201" i="40"/>
  <c r="O93" i="40"/>
  <c r="O179" i="40"/>
  <c r="O74" i="40"/>
  <c r="O168" i="40"/>
  <c r="P8" i="40"/>
  <c r="P19" i="4"/>
  <c r="O84" i="37"/>
  <c r="O59" i="37"/>
  <c r="P8" i="37"/>
  <c r="Q5" i="37"/>
  <c r="P8" i="33"/>
  <c r="P8" i="32"/>
  <c r="P8" i="35"/>
  <c r="P8" i="34"/>
  <c r="P8" i="31"/>
  <c r="O19" i="32"/>
  <c r="O32" i="32"/>
  <c r="O45" i="32"/>
  <c r="O142" i="33"/>
  <c r="O159" i="33"/>
  <c r="O19" i="31"/>
  <c r="O45" i="31"/>
  <c r="O32" i="31"/>
  <c r="O47" i="34"/>
  <c r="O31" i="34"/>
  <c r="O63" i="34"/>
  <c r="Q16" i="4"/>
  <c r="Q5" i="34"/>
  <c r="Q5" i="35"/>
  <c r="Q5" i="33"/>
  <c r="Q5" i="32"/>
  <c r="Q5" i="31"/>
  <c r="O21" i="35"/>
  <c r="O69" i="35"/>
  <c r="O86" i="35"/>
  <c r="O52" i="35"/>
  <c r="Q6" i="40" l="1"/>
  <c r="Q6" i="36"/>
  <c r="Q6" i="39"/>
  <c r="Q6" i="38"/>
  <c r="P10" i="40"/>
  <c r="P45" i="40" s="1"/>
  <c r="P10" i="36"/>
  <c r="P10" i="39"/>
  <c r="P10" i="38"/>
  <c r="Q6" i="37"/>
  <c r="P10" i="37"/>
  <c r="P51" i="37" s="1"/>
  <c r="R15" i="4"/>
  <c r="Q6" i="34"/>
  <c r="Q6" i="35"/>
  <c r="Q18" i="4"/>
  <c r="Q6" i="33"/>
  <c r="Q6" i="32"/>
  <c r="Q6" i="31"/>
  <c r="P10" i="35"/>
  <c r="P10" i="33"/>
  <c r="P81" i="33" s="1"/>
  <c r="P10" i="32"/>
  <c r="P10" i="34"/>
  <c r="P19" i="34" s="1"/>
  <c r="P10" i="31"/>
  <c r="P74" i="40" l="1"/>
  <c r="P201" i="40"/>
  <c r="P190" i="40"/>
  <c r="P34" i="40"/>
  <c r="P61" i="40"/>
  <c r="P168" i="40"/>
  <c r="P137" i="40"/>
  <c r="P179" i="40"/>
  <c r="P117" i="40"/>
  <c r="P152" i="40"/>
  <c r="P93" i="40"/>
  <c r="P105" i="40"/>
  <c r="R5" i="40"/>
  <c r="R5" i="36"/>
  <c r="R5" i="38"/>
  <c r="R5" i="39"/>
  <c r="P145" i="38"/>
  <c r="P100" i="38"/>
  <c r="P20" i="38"/>
  <c r="P55" i="38"/>
  <c r="P42" i="38"/>
  <c r="P119" i="38"/>
  <c r="P74" i="38"/>
  <c r="P29" i="38"/>
  <c r="P132" i="38"/>
  <c r="P87" i="38"/>
  <c r="P41" i="39"/>
  <c r="P58" i="39"/>
  <c r="P114" i="39"/>
  <c r="P24" i="39"/>
  <c r="P97" i="39"/>
  <c r="P75" i="39"/>
  <c r="P67" i="36"/>
  <c r="P143" i="36"/>
  <c r="P92" i="36"/>
  <c r="P50" i="36"/>
  <c r="P28" i="36"/>
  <c r="P126" i="36"/>
  <c r="P109" i="36"/>
  <c r="P21" i="36"/>
  <c r="Q8" i="36"/>
  <c r="Q8" i="39"/>
  <c r="Q8" i="38"/>
  <c r="P41" i="33"/>
  <c r="P71" i="33"/>
  <c r="P26" i="33"/>
  <c r="P33" i="35"/>
  <c r="P33" i="37"/>
  <c r="P21" i="37"/>
  <c r="Q8" i="40"/>
  <c r="Q19" i="4"/>
  <c r="G10" i="41" s="1"/>
  <c r="P84" i="37"/>
  <c r="P59" i="37"/>
  <c r="Q8" i="37"/>
  <c r="R5" i="37"/>
  <c r="P63" i="34"/>
  <c r="P47" i="34"/>
  <c r="P31" i="34"/>
  <c r="P142" i="33"/>
  <c r="P159" i="33"/>
  <c r="Q8" i="34"/>
  <c r="Q8" i="35"/>
  <c r="Q8" i="33"/>
  <c r="Q8" i="32"/>
  <c r="Q8" i="31"/>
  <c r="P45" i="31"/>
  <c r="P32" i="31"/>
  <c r="P19" i="31"/>
  <c r="P45" i="32"/>
  <c r="P19" i="32"/>
  <c r="P32" i="32"/>
  <c r="P21" i="35"/>
  <c r="P52" i="35"/>
  <c r="P86" i="35"/>
  <c r="P69" i="35"/>
  <c r="R5" i="34"/>
  <c r="R5" i="35"/>
  <c r="R5" i="33"/>
  <c r="R5" i="32"/>
  <c r="R16" i="4"/>
  <c r="R5" i="31"/>
  <c r="R6" i="40" l="1"/>
  <c r="R6" i="36"/>
  <c r="R6" i="38"/>
  <c r="R6" i="39"/>
  <c r="Q10" i="40"/>
  <c r="Q34" i="40" s="1"/>
  <c r="Q10" i="36"/>
  <c r="Q10" i="38"/>
  <c r="Q10" i="39"/>
  <c r="R6" i="37"/>
  <c r="Q10" i="37"/>
  <c r="Q51" i="37" s="1"/>
  <c r="Q10" i="31"/>
  <c r="Q10" i="34"/>
  <c r="Q19" i="34" s="1"/>
  <c r="Q10" i="35"/>
  <c r="Q10" i="32"/>
  <c r="Q10" i="33"/>
  <c r="Q81" i="33" s="1"/>
  <c r="S15" i="4"/>
  <c r="R6" i="34"/>
  <c r="R6" i="35"/>
  <c r="R18" i="4"/>
  <c r="R6" i="33"/>
  <c r="R6" i="32"/>
  <c r="R6" i="31"/>
  <c r="Q190" i="40" l="1"/>
  <c r="Q168" i="40"/>
  <c r="Q201" i="40"/>
  <c r="Q61" i="40"/>
  <c r="Q45" i="40"/>
  <c r="Q74" i="40"/>
  <c r="Q137" i="40"/>
  <c r="Q179" i="40"/>
  <c r="Q117" i="40"/>
  <c r="Q152" i="40"/>
  <c r="Q93" i="40"/>
  <c r="Q105" i="40"/>
  <c r="Q29" i="38"/>
  <c r="Q100" i="38"/>
  <c r="Q87" i="38"/>
  <c r="Q55" i="38"/>
  <c r="Q132" i="38"/>
  <c r="Q42" i="38"/>
  <c r="Q20" i="38"/>
  <c r="Q119" i="38"/>
  <c r="Q145" i="38"/>
  <c r="Q74" i="38"/>
  <c r="R8" i="36"/>
  <c r="R8" i="38"/>
  <c r="R8" i="39"/>
  <c r="Q41" i="39"/>
  <c r="Q58" i="39"/>
  <c r="Q114" i="39"/>
  <c r="Q97" i="39"/>
  <c r="Q24" i="39"/>
  <c r="Q75" i="39"/>
  <c r="Q67" i="36"/>
  <c r="Q126" i="36"/>
  <c r="Q92" i="36"/>
  <c r="Q109" i="36"/>
  <c r="Q50" i="36"/>
  <c r="Q21" i="36"/>
  <c r="Q143" i="36"/>
  <c r="Q28" i="36"/>
  <c r="S5" i="40"/>
  <c r="S5" i="36"/>
  <c r="S5" i="39"/>
  <c r="S5" i="38"/>
  <c r="Q41" i="33"/>
  <c r="Q71" i="33"/>
  <c r="Q26" i="33"/>
  <c r="Q33" i="35"/>
  <c r="Q33" i="37"/>
  <c r="Q21" i="37"/>
  <c r="R8" i="40"/>
  <c r="R19" i="4"/>
  <c r="Q84" i="37"/>
  <c r="Q59" i="37"/>
  <c r="R8" i="37"/>
  <c r="S5" i="37"/>
  <c r="Q159" i="33"/>
  <c r="Q142" i="33"/>
  <c r="Q63" i="34"/>
  <c r="Q47" i="34"/>
  <c r="Q31" i="34"/>
  <c r="Q45" i="32"/>
  <c r="Q19" i="32"/>
  <c r="Q32" i="32"/>
  <c r="Q45" i="31"/>
  <c r="Q32" i="31"/>
  <c r="Q19" i="31"/>
  <c r="R8" i="34"/>
  <c r="R8" i="35"/>
  <c r="R8" i="33"/>
  <c r="R8" i="32"/>
  <c r="R8" i="31"/>
  <c r="Q69" i="35"/>
  <c r="Q52" i="35"/>
  <c r="Q86" i="35"/>
  <c r="Q21" i="35"/>
  <c r="S5" i="35"/>
  <c r="S5" i="33"/>
  <c r="S5" i="32"/>
  <c r="S16" i="4"/>
  <c r="S5" i="34"/>
  <c r="S5" i="31"/>
  <c r="S6" i="40" l="1"/>
  <c r="S6" i="36"/>
  <c r="S6" i="39"/>
  <c r="S6" i="38"/>
  <c r="R10" i="40"/>
  <c r="R45" i="40" s="1"/>
  <c r="R10" i="36"/>
  <c r="R10" i="39"/>
  <c r="R10" i="38"/>
  <c r="S6" i="37"/>
  <c r="R10" i="37"/>
  <c r="R51" i="37" s="1"/>
  <c r="R10" i="34"/>
  <c r="R19" i="34" s="1"/>
  <c r="R10" i="35"/>
  <c r="R10" i="32"/>
  <c r="R10" i="31"/>
  <c r="R10" i="33"/>
  <c r="R81" i="33" s="1"/>
  <c r="S6" i="35"/>
  <c r="S18" i="4"/>
  <c r="S6" i="33"/>
  <c r="S6" i="32"/>
  <c r="S6" i="34"/>
  <c r="S6" i="31"/>
  <c r="R34" i="40" l="1"/>
  <c r="R74" i="40"/>
  <c r="R201" i="40"/>
  <c r="R137" i="40"/>
  <c r="R117" i="40"/>
  <c r="R179" i="40"/>
  <c r="R152" i="40"/>
  <c r="R168" i="40"/>
  <c r="R190" i="40"/>
  <c r="R61" i="40"/>
  <c r="R93" i="40"/>
  <c r="R105" i="40"/>
  <c r="R29" i="38"/>
  <c r="R87" i="38"/>
  <c r="R145" i="38"/>
  <c r="R132" i="38"/>
  <c r="R74" i="38"/>
  <c r="R100" i="38"/>
  <c r="R42" i="38"/>
  <c r="R119" i="38"/>
  <c r="R20" i="38"/>
  <c r="R55" i="38"/>
  <c r="R24" i="39"/>
  <c r="R114" i="39"/>
  <c r="R97" i="39"/>
  <c r="R75" i="39"/>
  <c r="R58" i="39"/>
  <c r="R41" i="39"/>
  <c r="R21" i="36"/>
  <c r="R143" i="36"/>
  <c r="R67" i="36"/>
  <c r="R50" i="36"/>
  <c r="R28" i="36"/>
  <c r="R109" i="36"/>
  <c r="R92" i="36"/>
  <c r="R126" i="36"/>
  <c r="S8" i="36"/>
  <c r="S8" i="39"/>
  <c r="S8" i="38"/>
  <c r="R41" i="33"/>
  <c r="R71" i="33"/>
  <c r="R26" i="33"/>
  <c r="R33" i="35"/>
  <c r="R33" i="37"/>
  <c r="R21" i="37"/>
  <c r="S8" i="40"/>
  <c r="S19" i="4"/>
  <c r="R84" i="37"/>
  <c r="R59" i="37"/>
  <c r="S8" i="37"/>
  <c r="R32" i="32"/>
  <c r="R45" i="32"/>
  <c r="R19" i="32"/>
  <c r="R159" i="33"/>
  <c r="R142" i="33"/>
  <c r="R69" i="35"/>
  <c r="R86" i="35"/>
  <c r="R52" i="35"/>
  <c r="R21" i="35"/>
  <c r="R63" i="34"/>
  <c r="R47" i="34"/>
  <c r="R31" i="34"/>
  <c r="R32" i="31"/>
  <c r="R45" i="31"/>
  <c r="R19" i="31"/>
  <c r="S8" i="35"/>
  <c r="S8" i="33"/>
  <c r="S8" i="32"/>
  <c r="S8" i="34"/>
  <c r="S8" i="31"/>
  <c r="S10" i="40" l="1"/>
  <c r="S45" i="40" s="1"/>
  <c r="S10" i="36"/>
  <c r="S10" i="39"/>
  <c r="S10" i="38"/>
  <c r="S34" i="40"/>
  <c r="S10" i="37"/>
  <c r="S51" i="37" s="1"/>
  <c r="S10" i="33"/>
  <c r="S81" i="33" s="1"/>
  <c r="S10" i="32"/>
  <c r="S10" i="35"/>
  <c r="S10" i="31"/>
  <c r="S10" i="34"/>
  <c r="S19" i="34" s="1"/>
  <c r="V19" i="4"/>
  <c r="S201" i="40" l="1"/>
  <c r="S93" i="40"/>
  <c r="S105" i="40"/>
  <c r="S168" i="40"/>
  <c r="S137" i="40"/>
  <c r="S74" i="40"/>
  <c r="S190" i="40"/>
  <c r="S61" i="40"/>
  <c r="S179" i="40"/>
  <c r="S117" i="40"/>
  <c r="S152" i="40"/>
  <c r="S41" i="39"/>
  <c r="S24" i="39"/>
  <c r="S58" i="39"/>
  <c r="S75" i="39"/>
  <c r="S114" i="39"/>
  <c r="S97" i="39"/>
  <c r="S145" i="38"/>
  <c r="S132" i="38"/>
  <c r="S74" i="38"/>
  <c r="S119" i="38"/>
  <c r="S55" i="38"/>
  <c r="S87" i="38"/>
  <c r="S20" i="38"/>
  <c r="S42" i="38"/>
  <c r="S29" i="38"/>
  <c r="S100" i="38"/>
  <c r="S21" i="36"/>
  <c r="S143" i="36"/>
  <c r="S109" i="36"/>
  <c r="S92" i="36"/>
  <c r="S28" i="36"/>
  <c r="S126" i="36"/>
  <c r="S50" i="36"/>
  <c r="S67" i="36"/>
  <c r="S41" i="33"/>
  <c r="S71" i="33"/>
  <c r="S26" i="33"/>
  <c r="S33" i="35"/>
  <c r="S33" i="37"/>
  <c r="S21" i="37"/>
  <c r="S84" i="37"/>
  <c r="S59" i="37"/>
  <c r="S47" i="34"/>
  <c r="S31" i="34"/>
  <c r="S63" i="34"/>
  <c r="S19" i="31"/>
  <c r="S45" i="31"/>
  <c r="S32" i="31"/>
  <c r="S21" i="35"/>
  <c r="S69" i="35"/>
  <c r="S52" i="35"/>
  <c r="S86" i="35"/>
  <c r="S45" i="32"/>
  <c r="S19" i="32"/>
  <c r="S32" i="32"/>
  <c r="S142" i="33"/>
  <c r="S159" i="33"/>
  <c r="S53" i="33" l="1"/>
  <c r="R53" i="33"/>
  <c r="Q53" i="33"/>
  <c r="P53" i="33"/>
  <c r="O53" i="33"/>
  <c r="O37" i="40" s="1"/>
  <c r="O47" i="40"/>
  <c r="P37" i="40" l="1"/>
  <c r="P141" i="40"/>
  <c r="O78" i="40"/>
  <c r="Q37" i="40"/>
  <c r="Q141" i="40"/>
  <c r="O39" i="40"/>
  <c r="O62" i="33"/>
  <c r="R37" i="40"/>
  <c r="R141" i="40"/>
  <c r="S37" i="40"/>
  <c r="S141" i="40"/>
  <c r="O83" i="40" l="1"/>
  <c r="O33" i="33"/>
  <c r="P33" i="33"/>
  <c r="P62" i="33"/>
  <c r="P39" i="40"/>
  <c r="O36" i="40" l="1"/>
  <c r="O40" i="40" s="1"/>
  <c r="O35" i="33"/>
  <c r="O22" i="38" s="1"/>
  <c r="Q62" i="33"/>
  <c r="Q39" i="40"/>
  <c r="P36" i="40"/>
  <c r="P47" i="40" s="1"/>
  <c r="E61" i="43" s="1"/>
  <c r="P140" i="40"/>
  <c r="Q33" i="33"/>
  <c r="O31" i="38" l="1"/>
  <c r="P35" i="33"/>
  <c r="Q35" i="33" s="1"/>
  <c r="O80" i="38"/>
  <c r="O33" i="38"/>
  <c r="O59" i="38" s="1"/>
  <c r="O28" i="39" s="1"/>
  <c r="O34" i="38"/>
  <c r="O37" i="38"/>
  <c r="O82" i="38"/>
  <c r="O32" i="38"/>
  <c r="O35" i="38"/>
  <c r="O123" i="38"/>
  <c r="O149" i="38" s="1"/>
  <c r="O62" i="39" s="1"/>
  <c r="O36" i="38"/>
  <c r="O121" i="38"/>
  <c r="O147" i="38" s="1"/>
  <c r="O60" i="39" s="1"/>
  <c r="O122" i="38"/>
  <c r="O148" i="38" s="1"/>
  <c r="O61" i="39" s="1"/>
  <c r="O79" i="38"/>
  <c r="O81" i="38"/>
  <c r="O49" i="40"/>
  <c r="O96" i="40"/>
  <c r="Q36" i="40"/>
  <c r="Q40" i="40" s="1"/>
  <c r="Q140" i="40"/>
  <c r="R39" i="40"/>
  <c r="R62" i="33"/>
  <c r="S33" i="33"/>
  <c r="R33" i="33"/>
  <c r="P78" i="40"/>
  <c r="G74" i="43" s="1"/>
  <c r="P40" i="40"/>
  <c r="P83" i="40" l="1"/>
  <c r="G79" i="43" s="1"/>
  <c r="P22" i="38"/>
  <c r="P32" i="38" s="1"/>
  <c r="Q47" i="40"/>
  <c r="Q78" i="40" s="1"/>
  <c r="Q83" i="40" s="1"/>
  <c r="O52" i="40"/>
  <c r="R35" i="33"/>
  <c r="Q22" i="38"/>
  <c r="R36" i="40"/>
  <c r="R40" i="40" s="1"/>
  <c r="R140" i="40"/>
  <c r="S39" i="40"/>
  <c r="S62" i="33"/>
  <c r="S36" i="40"/>
  <c r="S140" i="40"/>
  <c r="P80" i="38"/>
  <c r="P36" i="38"/>
  <c r="P31" i="38"/>
  <c r="P79" i="38"/>
  <c r="P82" i="38"/>
  <c r="P34" i="38"/>
  <c r="P33" i="38"/>
  <c r="P59" i="38" s="1"/>
  <c r="P28" i="39" s="1"/>
  <c r="P123" i="38"/>
  <c r="P149" i="38" s="1"/>
  <c r="P62" i="39" s="1"/>
  <c r="P37" i="38"/>
  <c r="P35" i="38" l="1"/>
  <c r="P81" i="38"/>
  <c r="P122" i="38"/>
  <c r="P148" i="38" s="1"/>
  <c r="P61" i="39" s="1"/>
  <c r="P121" i="38"/>
  <c r="P147" i="38" s="1"/>
  <c r="P60" i="39" s="1"/>
  <c r="O57" i="40"/>
  <c r="O23" i="36"/>
  <c r="O40" i="36" s="1"/>
  <c r="S40" i="40"/>
  <c r="S35" i="33"/>
  <c r="S22" i="38" s="1"/>
  <c r="R22" i="38"/>
  <c r="Q37" i="38"/>
  <c r="Q35" i="38"/>
  <c r="Q32" i="38"/>
  <c r="Q121" i="38"/>
  <c r="Q147" i="38" s="1"/>
  <c r="Q60" i="39" s="1"/>
  <c r="Q80" i="38"/>
  <c r="Q122" i="38"/>
  <c r="Q148" i="38" s="1"/>
  <c r="Q61" i="39" s="1"/>
  <c r="Q34" i="38"/>
  <c r="Q33" i="38"/>
  <c r="Q59" i="38" s="1"/>
  <c r="Q28" i="39" s="1"/>
  <c r="Q31" i="38"/>
  <c r="Q81" i="38"/>
  <c r="Q79" i="38"/>
  <c r="Q123" i="38"/>
  <c r="Q149" i="38" s="1"/>
  <c r="Q62" i="39" s="1"/>
  <c r="Q36" i="38"/>
  <c r="Q82" i="38"/>
  <c r="R47" i="40"/>
  <c r="S47" i="40" l="1"/>
  <c r="S78" i="40" s="1"/>
  <c r="S83" i="40" s="1"/>
  <c r="R78" i="40"/>
  <c r="R83" i="40" s="1"/>
  <c r="R37" i="38"/>
  <c r="R79" i="38"/>
  <c r="R80" i="38"/>
  <c r="R122" i="38"/>
  <c r="R148" i="38" s="1"/>
  <c r="R61" i="39" s="1"/>
  <c r="R121" i="38"/>
  <c r="R147" i="38" s="1"/>
  <c r="R60" i="39" s="1"/>
  <c r="R35" i="38"/>
  <c r="R33" i="38"/>
  <c r="R59" i="38" s="1"/>
  <c r="R28" i="39" s="1"/>
  <c r="R82" i="38"/>
  <c r="R36" i="38"/>
  <c r="R34" i="38"/>
  <c r="R123" i="38"/>
  <c r="R149" i="38" s="1"/>
  <c r="R62" i="39" s="1"/>
  <c r="R32" i="38"/>
  <c r="R31" i="38"/>
  <c r="R81" i="38"/>
  <c r="S32" i="38"/>
  <c r="S33" i="38"/>
  <c r="S59" i="38" s="1"/>
  <c r="S28" i="39" s="1"/>
  <c r="S36" i="38"/>
  <c r="S34" i="38"/>
  <c r="S81" i="38"/>
  <c r="S122" i="38"/>
  <c r="S148" i="38" s="1"/>
  <c r="S61" i="39" s="1"/>
  <c r="S31" i="38"/>
  <c r="S35" i="38"/>
  <c r="S123" i="38"/>
  <c r="S149" i="38" s="1"/>
  <c r="S62" i="39" s="1"/>
  <c r="S80" i="38"/>
  <c r="S37" i="38"/>
  <c r="S79" i="38"/>
  <c r="S121" i="38"/>
  <c r="S147" i="38" s="1"/>
  <c r="S60" i="39" s="1"/>
  <c r="S82" i="38"/>
  <c r="O91" i="38" l="1"/>
  <c r="P91" i="38" l="1"/>
  <c r="Q91" i="38" l="1"/>
  <c r="R91" i="38" l="1"/>
  <c r="S91" i="38"/>
  <c r="O37" i="34" l="1"/>
  <c r="O58" i="35" s="1"/>
  <c r="O48" i="38"/>
  <c r="O61" i="38" s="1"/>
  <c r="O68" i="34" l="1"/>
  <c r="O30" i="39"/>
  <c r="O49" i="38"/>
  <c r="O62" i="38" s="1"/>
  <c r="O38" i="34"/>
  <c r="O59" i="35" s="1"/>
  <c r="O50" i="38"/>
  <c r="O63" i="38" s="1"/>
  <c r="O39" i="34"/>
  <c r="O60" i="35" s="1"/>
  <c r="O31" i="39" l="1"/>
  <c r="O67" i="34"/>
  <c r="O93" i="35" s="1"/>
  <c r="O139" i="38"/>
  <c r="P37" i="34"/>
  <c r="P58" i="35" s="1"/>
  <c r="P48" i="38"/>
  <c r="P61" i="38" s="1"/>
  <c r="O32" i="39"/>
  <c r="O94" i="35"/>
  <c r="P30" i="39" l="1"/>
  <c r="Q48" i="38"/>
  <c r="Q61" i="38" s="1"/>
  <c r="P38" i="34"/>
  <c r="P59" i="35" s="1"/>
  <c r="P49" i="38"/>
  <c r="P62" i="38" s="1"/>
  <c r="P68" i="34"/>
  <c r="P94" i="35" s="1"/>
  <c r="P140" i="38"/>
  <c r="P50" i="38"/>
  <c r="P63" i="38" s="1"/>
  <c r="P39" i="34"/>
  <c r="P60" i="35" s="1"/>
  <c r="Q140" i="38" l="1"/>
  <c r="P31" i="39"/>
  <c r="P32" i="39"/>
  <c r="Q49" i="38"/>
  <c r="Q62" i="38" s="1"/>
  <c r="R48" i="38"/>
  <c r="R61" i="38" s="1"/>
  <c r="Q50" i="38"/>
  <c r="Q63" i="38" s="1"/>
  <c r="P67" i="34"/>
  <c r="P93" i="35" s="1"/>
  <c r="P139" i="38"/>
  <c r="Q139" i="38" l="1"/>
  <c r="S50" i="38"/>
  <c r="S63" i="38" s="1"/>
  <c r="S48" i="38"/>
  <c r="S61" i="38" s="1"/>
  <c r="R50" i="38"/>
  <c r="R63" i="38" s="1"/>
  <c r="S140" i="38"/>
  <c r="R140" i="38"/>
  <c r="R49" i="38"/>
  <c r="R62" i="38" s="1"/>
  <c r="S49" i="38" l="1"/>
  <c r="S62" i="38" s="1"/>
  <c r="R139" i="38"/>
  <c r="O55" i="34" l="1"/>
  <c r="O54" i="34"/>
  <c r="S139" i="38"/>
  <c r="O66" i="34" l="1"/>
  <c r="O92" i="35" s="1"/>
  <c r="O138" i="38"/>
  <c r="O94" i="38"/>
  <c r="O107" i="38" s="1"/>
  <c r="O76" i="35"/>
  <c r="O40" i="35" s="1"/>
  <c r="O95" i="38"/>
  <c r="O108" i="38" s="1"/>
  <c r="O93" i="38"/>
  <c r="O106" i="38" s="1"/>
  <c r="O53" i="34"/>
  <c r="O75" i="35" s="1"/>
  <c r="O77" i="35"/>
  <c r="O41" i="35" s="1"/>
  <c r="O39" i="35" l="1"/>
  <c r="P138" i="38"/>
  <c r="P66" i="34"/>
  <c r="P92" i="35" s="1"/>
  <c r="O48" i="39"/>
  <c r="O47" i="39"/>
  <c r="P54" i="34"/>
  <c r="P76" i="35" s="1"/>
  <c r="P40" i="35" s="1"/>
  <c r="P94" i="38"/>
  <c r="P107" i="38" s="1"/>
  <c r="O49" i="39"/>
  <c r="P55" i="34"/>
  <c r="P77" i="35" s="1"/>
  <c r="P41" i="35" s="1"/>
  <c r="S80" i="41" s="1"/>
  <c r="P95" i="38"/>
  <c r="P108" i="38" s="1"/>
  <c r="P93" i="38"/>
  <c r="P106" i="38" s="1"/>
  <c r="Q93" i="38" l="1"/>
  <c r="Q106" i="38" s="1"/>
  <c r="Q94" i="38"/>
  <c r="Q107" i="38" s="1"/>
  <c r="P48" i="39"/>
  <c r="P193" i="40"/>
  <c r="F216" i="43" s="1"/>
  <c r="Q138" i="38"/>
  <c r="P49" i="39"/>
  <c r="S79" i="41"/>
  <c r="O193" i="40"/>
  <c r="Q95" i="38"/>
  <c r="Q108" i="38" s="1"/>
  <c r="O194" i="40"/>
  <c r="R93" i="38" l="1"/>
  <c r="R106" i="38" s="1"/>
  <c r="R94" i="38"/>
  <c r="R107" i="38" s="1"/>
  <c r="S93" i="38"/>
  <c r="S106" i="38" s="1"/>
  <c r="S95" i="38"/>
  <c r="S108" i="38" s="1"/>
  <c r="R138" i="38"/>
  <c r="P121" i="40"/>
  <c r="S138" i="38"/>
  <c r="R95" i="38"/>
  <c r="R108" i="38" s="1"/>
  <c r="S94" i="38" l="1"/>
  <c r="S107" i="38" s="1"/>
  <c r="O45" i="38" l="1"/>
  <c r="O58" i="38" s="1"/>
  <c r="O34" i="34"/>
  <c r="O55" i="35" s="1"/>
  <c r="O36" i="34"/>
  <c r="O27" i="39" l="1"/>
  <c r="O65" i="34"/>
  <c r="O33" i="34" l="1"/>
  <c r="O44" i="38"/>
  <c r="P65" i="34"/>
  <c r="O52" i="34"/>
  <c r="P36" i="34"/>
  <c r="P34" i="34" l="1"/>
  <c r="P55" i="35" s="1"/>
  <c r="P45" i="38"/>
  <c r="P58" i="38" s="1"/>
  <c r="P33" i="34"/>
  <c r="P44" i="38"/>
  <c r="O57" i="38"/>
  <c r="O54" i="35"/>
  <c r="P57" i="38" l="1"/>
  <c r="Q45" i="38"/>
  <c r="Q58" i="38" s="1"/>
  <c r="O26" i="39"/>
  <c r="P27" i="39"/>
  <c r="P54" i="35"/>
  <c r="R45" i="38" l="1"/>
  <c r="R58" i="38" s="1"/>
  <c r="Q44" i="38"/>
  <c r="P26" i="39"/>
  <c r="R44" i="38" l="1"/>
  <c r="S45" i="38"/>
  <c r="S58" i="38" s="1"/>
  <c r="O47" i="38"/>
  <c r="Q57" i="38"/>
  <c r="S44" i="38" l="1"/>
  <c r="O60" i="38"/>
  <c r="O65" i="38" s="1"/>
  <c r="O67" i="38"/>
  <c r="O57" i="35"/>
  <c r="O41" i="34"/>
  <c r="R57" i="38"/>
  <c r="O68" i="38" l="1"/>
  <c r="O64" i="35"/>
  <c r="O21" i="34"/>
  <c r="O43" i="34"/>
  <c r="O29" i="39"/>
  <c r="O62" i="35"/>
  <c r="P47" i="38"/>
  <c r="S57" i="38"/>
  <c r="O34" i="39" l="1"/>
  <c r="P60" i="38"/>
  <c r="P65" i="38" s="1"/>
  <c r="P67" i="38"/>
  <c r="O36" i="39"/>
  <c r="O23" i="35"/>
  <c r="Q47" i="38"/>
  <c r="P57" i="35"/>
  <c r="P41" i="34"/>
  <c r="O65" i="35"/>
  <c r="O37" i="39" l="1"/>
  <c r="R47" i="38"/>
  <c r="P64" i="35"/>
  <c r="P43" i="34"/>
  <c r="P21" i="34"/>
  <c r="Q60" i="38"/>
  <c r="Q65" i="38" s="1"/>
  <c r="Q67" i="38"/>
  <c r="P68" i="38"/>
  <c r="S47" i="38"/>
  <c r="P29" i="39"/>
  <c r="P62" i="35"/>
  <c r="Q68" i="38" l="1"/>
  <c r="P36" i="39"/>
  <c r="P23" i="35"/>
  <c r="P65" i="35"/>
  <c r="R60" i="38"/>
  <c r="R65" i="38" s="1"/>
  <c r="R67" i="38"/>
  <c r="P34" i="39"/>
  <c r="S60" i="38"/>
  <c r="S65" i="38" s="1"/>
  <c r="S67" i="38"/>
  <c r="S68" i="38" l="1"/>
  <c r="O137" i="38"/>
  <c r="R68" i="38"/>
  <c r="P37" i="39"/>
  <c r="O74" i="35"/>
  <c r="O92" i="38"/>
  <c r="O105" i="38" s="1"/>
  <c r="A68" i="38" l="1"/>
  <c r="O46" i="39"/>
  <c r="P137" i="38"/>
  <c r="O70" i="34"/>
  <c r="O91" i="35"/>
  <c r="O38" i="35" s="1"/>
  <c r="O96" i="35" l="1"/>
  <c r="P91" i="35"/>
  <c r="P70" i="34"/>
  <c r="P92" i="38"/>
  <c r="P105" i="38" s="1"/>
  <c r="Q137" i="38"/>
  <c r="O72" i="34"/>
  <c r="O23" i="34"/>
  <c r="O98" i="35"/>
  <c r="O99" i="35" l="1"/>
  <c r="R137" i="38"/>
  <c r="Q92" i="38"/>
  <c r="Q105" i="38" s="1"/>
  <c r="P96" i="35"/>
  <c r="O25" i="35"/>
  <c r="P89" i="38"/>
  <c r="P90" i="38"/>
  <c r="P23" i="34"/>
  <c r="P72" i="34"/>
  <c r="P98" i="35"/>
  <c r="P99" i="35" l="1"/>
  <c r="R92" i="38"/>
  <c r="R105" i="38" s="1"/>
  <c r="O50" i="34"/>
  <c r="O90" i="38"/>
  <c r="S137" i="38"/>
  <c r="Q89" i="38"/>
  <c r="P25" i="35"/>
  <c r="Q90" i="38" l="1"/>
  <c r="R89" i="38"/>
  <c r="S92" i="38"/>
  <c r="S105" i="38" s="1"/>
  <c r="O72" i="35"/>
  <c r="O36" i="35" s="1"/>
  <c r="S89" i="38" l="1"/>
  <c r="R90" i="38"/>
  <c r="S90" i="38" l="1"/>
  <c r="E225" i="43" l="1"/>
  <c r="O76" i="38" l="1"/>
  <c r="P77" i="38" l="1"/>
  <c r="P103" i="38" s="1"/>
  <c r="R77" i="38"/>
  <c r="R103" i="38" s="1"/>
  <c r="Q77" i="38"/>
  <c r="Q103" i="38" s="1"/>
  <c r="S77" i="38"/>
  <c r="S103" i="38" s="1"/>
  <c r="O77" i="38"/>
  <c r="R124" i="38"/>
  <c r="P124" i="38"/>
  <c r="O124" i="38"/>
  <c r="S124" i="38"/>
  <c r="Q124" i="38"/>
  <c r="R76" i="38"/>
  <c r="Q76" i="38"/>
  <c r="S76" i="38"/>
  <c r="P76" i="38"/>
  <c r="R125" i="38"/>
  <c r="R151" i="38" s="1"/>
  <c r="Q125" i="38"/>
  <c r="Q151" i="38" s="1"/>
  <c r="O125" i="38"/>
  <c r="S125" i="38"/>
  <c r="S151" i="38" s="1"/>
  <c r="P125" i="38"/>
  <c r="P151" i="38" s="1"/>
  <c r="P64" i="39" s="1"/>
  <c r="P126" i="38"/>
  <c r="P152" i="38" s="1"/>
  <c r="P65" i="39" s="1"/>
  <c r="P82" i="39" s="1"/>
  <c r="S126" i="38"/>
  <c r="S152" i="38" s="1"/>
  <c r="Q126" i="38"/>
  <c r="Q152" i="38" s="1"/>
  <c r="R126" i="38"/>
  <c r="R152" i="38" s="1"/>
  <c r="O126" i="38"/>
  <c r="P78" i="38"/>
  <c r="P104" i="38" s="1"/>
  <c r="R78" i="38"/>
  <c r="R104" i="38" s="1"/>
  <c r="O78" i="38"/>
  <c r="Q78" i="38"/>
  <c r="Q104" i="38" s="1"/>
  <c r="S78" i="38"/>
  <c r="S104" i="38" s="1"/>
  <c r="O152" i="38" l="1"/>
  <c r="O65" i="39" s="1"/>
  <c r="O82" i="39" s="1"/>
  <c r="O104" i="38"/>
  <c r="O151" i="38"/>
  <c r="O64" i="39" s="1"/>
  <c r="O81" i="39" s="1"/>
  <c r="O103" i="38"/>
  <c r="O44" i="39" s="1"/>
  <c r="O78" i="39" s="1"/>
  <c r="S127" i="38"/>
  <c r="S153" i="38" s="1"/>
  <c r="P127" i="38"/>
  <c r="P153" i="38" s="1"/>
  <c r="P66" i="39" s="1"/>
  <c r="P83" i="39" s="1"/>
  <c r="O127" i="38"/>
  <c r="R127" i="38"/>
  <c r="R153" i="38" s="1"/>
  <c r="Q127" i="38"/>
  <c r="Q153" i="38" s="1"/>
  <c r="S102" i="38"/>
  <c r="S112" i="38"/>
  <c r="P150" i="38"/>
  <c r="O102" i="38"/>
  <c r="O112" i="38"/>
  <c r="Q150" i="38"/>
  <c r="R150" i="38"/>
  <c r="Q102" i="38"/>
  <c r="Q112" i="38"/>
  <c r="S150" i="38"/>
  <c r="S157" i="38"/>
  <c r="P102" i="38"/>
  <c r="P112" i="38"/>
  <c r="R102" i="38"/>
  <c r="R112" i="38"/>
  <c r="O150" i="38"/>
  <c r="Q157" i="38" l="1"/>
  <c r="O153" i="38"/>
  <c r="O66" i="39" s="1"/>
  <c r="O83" i="39" s="1"/>
  <c r="O157" i="38"/>
  <c r="O63" i="39"/>
  <c r="Q155" i="38"/>
  <c r="P63" i="39"/>
  <c r="P155" i="38"/>
  <c r="P70" i="39" s="1"/>
  <c r="P110" i="38"/>
  <c r="Q110" i="38"/>
  <c r="R155" i="38"/>
  <c r="S110" i="38"/>
  <c r="R110" i="38"/>
  <c r="S155" i="38"/>
  <c r="R157" i="38"/>
  <c r="O110" i="38"/>
  <c r="P157" i="38"/>
  <c r="Q158" i="38" l="1"/>
  <c r="O155" i="38"/>
  <c r="O70" i="39" s="1"/>
  <c r="P158" i="38"/>
  <c r="R158" i="38"/>
  <c r="O113" i="38"/>
  <c r="S158" i="38"/>
  <c r="S113" i="38"/>
  <c r="Q113" i="38"/>
  <c r="P68" i="39"/>
  <c r="P71" i="39" s="1"/>
  <c r="P113" i="38"/>
  <c r="R113" i="38"/>
  <c r="O80" i="39"/>
  <c r="O68" i="39"/>
  <c r="O71" i="39" l="1"/>
  <c r="O158" i="38"/>
  <c r="A158" i="38" s="1"/>
  <c r="A113" i="38"/>
  <c r="A1" i="38" l="1"/>
  <c r="H21" i="25" s="1"/>
  <c r="U117" i="36" l="1"/>
  <c r="U116" i="36"/>
  <c r="U115" i="36"/>
  <c r="U114" i="36"/>
  <c r="U113" i="36"/>
  <c r="U112" i="36"/>
  <c r="U111" i="36"/>
  <c r="G26" i="42" l="1"/>
  <c r="O51" i="34"/>
  <c r="Q112" i="36"/>
  <c r="Q146" i="36" s="1"/>
  <c r="O112" i="36"/>
  <c r="O146" i="36" s="1"/>
  <c r="O31" i="36" s="1"/>
  <c r="R112" i="36"/>
  <c r="R146" i="36" s="1"/>
  <c r="S112" i="36"/>
  <c r="S146" i="36" s="1"/>
  <c r="P112" i="36"/>
  <c r="P146" i="36" s="1"/>
  <c r="Q116" i="36"/>
  <c r="Q150" i="36" s="1"/>
  <c r="O116" i="36"/>
  <c r="O150" i="36" s="1"/>
  <c r="O35" i="36" s="1"/>
  <c r="R116" i="36"/>
  <c r="R150" i="36" s="1"/>
  <c r="P116" i="36"/>
  <c r="P150" i="36" s="1"/>
  <c r="S116" i="36"/>
  <c r="S150" i="36" s="1"/>
  <c r="S113" i="36"/>
  <c r="S147" i="36" s="1"/>
  <c r="P113" i="36"/>
  <c r="P147" i="36" s="1"/>
  <c r="Q113" i="36"/>
  <c r="Q147" i="36" s="1"/>
  <c r="O113" i="36"/>
  <c r="O147" i="36" s="1"/>
  <c r="O32" i="36" s="1"/>
  <c r="R113" i="36"/>
  <c r="R147" i="36" s="1"/>
  <c r="S117" i="36"/>
  <c r="S151" i="36" s="1"/>
  <c r="R117" i="36"/>
  <c r="R151" i="36" s="1"/>
  <c r="O117" i="36"/>
  <c r="O151" i="36" s="1"/>
  <c r="O36" i="36" s="1"/>
  <c r="P117" i="36"/>
  <c r="P151" i="36" s="1"/>
  <c r="Q117" i="36"/>
  <c r="Q151" i="36" s="1"/>
  <c r="P114" i="36"/>
  <c r="P148" i="36" s="1"/>
  <c r="Q114" i="36"/>
  <c r="Q148" i="36" s="1"/>
  <c r="R114" i="36"/>
  <c r="R148" i="36" s="1"/>
  <c r="O114" i="36"/>
  <c r="O148" i="36" s="1"/>
  <c r="O33" i="36" s="1"/>
  <c r="S114" i="36"/>
  <c r="S148" i="36" s="1"/>
  <c r="O111" i="36"/>
  <c r="P111" i="36"/>
  <c r="R111" i="36"/>
  <c r="Q111" i="36"/>
  <c r="S111" i="36"/>
  <c r="O115" i="36"/>
  <c r="O149" i="36" s="1"/>
  <c r="O34" i="36" s="1"/>
  <c r="S115" i="36"/>
  <c r="S149" i="36" s="1"/>
  <c r="P115" i="36"/>
  <c r="P149" i="36" s="1"/>
  <c r="Q115" i="36"/>
  <c r="Q149" i="36" s="1"/>
  <c r="R115" i="36"/>
  <c r="R149" i="36" s="1"/>
  <c r="I23" i="42" l="1"/>
  <c r="Q65" i="34"/>
  <c r="H18" i="42"/>
  <c r="P50" i="34"/>
  <c r="P72" i="35" s="1"/>
  <c r="P36" i="35" s="1"/>
  <c r="S75" i="41" s="1"/>
  <c r="H34" i="42"/>
  <c r="P53" i="34"/>
  <c r="P75" i="35" s="1"/>
  <c r="P39" i="35" s="1"/>
  <c r="S78" i="41" s="1"/>
  <c r="H22" i="42"/>
  <c r="P52" i="34"/>
  <c r="P74" i="35" s="1"/>
  <c r="P38" i="35" s="1"/>
  <c r="S77" i="41" s="1"/>
  <c r="O73" i="35"/>
  <c r="O37" i="35" s="1"/>
  <c r="G237" i="43"/>
  <c r="H26" i="42"/>
  <c r="P51" i="34"/>
  <c r="P73" i="35" s="1"/>
  <c r="P37" i="35" s="1"/>
  <c r="R119" i="36"/>
  <c r="R122" i="36" s="1"/>
  <c r="R145" i="36"/>
  <c r="R153" i="36" s="1"/>
  <c r="R156" i="36" s="1"/>
  <c r="P119" i="36"/>
  <c r="P122" i="36" s="1"/>
  <c r="P145" i="36"/>
  <c r="P153" i="36" s="1"/>
  <c r="P156" i="36" s="1"/>
  <c r="S119" i="36"/>
  <c r="S122" i="36" s="1"/>
  <c r="S145" i="36"/>
  <c r="S153" i="36" s="1"/>
  <c r="S156" i="36" s="1"/>
  <c r="O119" i="36"/>
  <c r="O122" i="36" s="1"/>
  <c r="O145" i="36"/>
  <c r="G14" i="42"/>
  <c r="O49" i="34"/>
  <c r="P131" i="40"/>
  <c r="Q119" i="36"/>
  <c r="Q122" i="36" s="1"/>
  <c r="Q145" i="36"/>
  <c r="Q153" i="36" s="1"/>
  <c r="Q156" i="36" s="1"/>
  <c r="I17" i="42" l="1"/>
  <c r="Q34" i="34"/>
  <c r="Q55" i="35" s="1"/>
  <c r="I39" i="42"/>
  <c r="Q68" i="34"/>
  <c r="I38" i="42"/>
  <c r="Q55" i="34"/>
  <c r="I35" i="42"/>
  <c r="Q66" i="34"/>
  <c r="Q92" i="35" s="1"/>
  <c r="Q64" i="39" s="1"/>
  <c r="I30" i="42"/>
  <c r="Q54" i="34"/>
  <c r="I37" i="42"/>
  <c r="Q39" i="34"/>
  <c r="Q60" i="35" s="1"/>
  <c r="I33" i="42"/>
  <c r="Q37" i="34"/>
  <c r="Q58" i="35" s="1"/>
  <c r="I21" i="42"/>
  <c r="Q36" i="34"/>
  <c r="Q57" i="35" s="1"/>
  <c r="Q91" i="35"/>
  <c r="I13" i="42"/>
  <c r="Q33" i="34"/>
  <c r="I31" i="42"/>
  <c r="Q67" i="34"/>
  <c r="J23" i="42"/>
  <c r="R65" i="34"/>
  <c r="I29" i="42"/>
  <c r="Q38" i="34"/>
  <c r="Q59" i="35" s="1"/>
  <c r="P46" i="39"/>
  <c r="P80" i="39" s="1"/>
  <c r="I34" i="42"/>
  <c r="Q53" i="34"/>
  <c r="Q75" i="35" s="1"/>
  <c r="P44" i="39"/>
  <c r="P78" i="39" s="1"/>
  <c r="I18" i="42"/>
  <c r="Q50" i="34"/>
  <c r="Q72" i="35" s="1"/>
  <c r="P47" i="39"/>
  <c r="P81" i="39" s="1"/>
  <c r="P194" i="40"/>
  <c r="I26" i="42"/>
  <c r="Q51" i="34"/>
  <c r="Q73" i="35" s="1"/>
  <c r="Q37" i="35" s="1"/>
  <c r="P45" i="39"/>
  <c r="P79" i="39" s="1"/>
  <c r="S76" i="41"/>
  <c r="O45" i="39"/>
  <c r="O79" i="39" s="1"/>
  <c r="O71" i="35"/>
  <c r="O35" i="35" s="1"/>
  <c r="O57" i="34"/>
  <c r="O153" i="36"/>
  <c r="O156" i="36" s="1"/>
  <c r="A156" i="36" s="1"/>
  <c r="O30" i="36"/>
  <c r="G234" i="43"/>
  <c r="A122" i="36"/>
  <c r="H14" i="42"/>
  <c r="P49" i="34"/>
  <c r="P145" i="40"/>
  <c r="P143" i="40"/>
  <c r="P122" i="40" l="1"/>
  <c r="P132" i="40" s="1"/>
  <c r="G216" i="43"/>
  <c r="Q30" i="39"/>
  <c r="Q39" i="35"/>
  <c r="Q27" i="39"/>
  <c r="Q36" i="35"/>
  <c r="Q29" i="39"/>
  <c r="J31" i="42"/>
  <c r="R67" i="34"/>
  <c r="J30" i="42"/>
  <c r="R54" i="34"/>
  <c r="J35" i="42"/>
  <c r="R66" i="34"/>
  <c r="R92" i="35" s="1"/>
  <c r="R64" i="39" s="1"/>
  <c r="R91" i="35"/>
  <c r="Q54" i="35"/>
  <c r="Q41" i="34"/>
  <c r="Q32" i="39"/>
  <c r="Q94" i="35"/>
  <c r="Q66" i="39" s="1"/>
  <c r="J17" i="42"/>
  <c r="R34" i="34"/>
  <c r="R55" i="35" s="1"/>
  <c r="J33" i="42"/>
  <c r="R37" i="34"/>
  <c r="R58" i="35" s="1"/>
  <c r="Q31" i="39"/>
  <c r="Q93" i="35"/>
  <c r="Q65" i="39" s="1"/>
  <c r="Q76" i="35"/>
  <c r="Q48" i="39" s="1"/>
  <c r="Q77" i="35"/>
  <c r="Q49" i="39" s="1"/>
  <c r="Q63" i="39"/>
  <c r="J38" i="42"/>
  <c r="R55" i="34"/>
  <c r="J39" i="42"/>
  <c r="R68" i="34"/>
  <c r="J29" i="42"/>
  <c r="R38" i="34"/>
  <c r="R59" i="35" s="1"/>
  <c r="J37" i="42"/>
  <c r="R39" i="34"/>
  <c r="R60" i="35" s="1"/>
  <c r="K23" i="42"/>
  <c r="S65" i="34"/>
  <c r="J21" i="42"/>
  <c r="R36" i="34"/>
  <c r="R57" i="35" s="1"/>
  <c r="Q70" i="34"/>
  <c r="J34" i="42"/>
  <c r="R53" i="34"/>
  <c r="R75" i="35" s="1"/>
  <c r="Q47" i="39"/>
  <c r="Q81" i="39" s="1"/>
  <c r="J22" i="42"/>
  <c r="R52" i="34"/>
  <c r="R74" i="35" s="1"/>
  <c r="Q44" i="39"/>
  <c r="I22" i="42"/>
  <c r="Q52" i="34"/>
  <c r="Q74" i="35" s="1"/>
  <c r="Q38" i="35" s="1"/>
  <c r="Q45" i="39"/>
  <c r="Q79" i="39" s="1"/>
  <c r="J26" i="42"/>
  <c r="R51" i="34"/>
  <c r="R73" i="35" s="1"/>
  <c r="R37" i="35" s="1"/>
  <c r="O38" i="36"/>
  <c r="O41" i="36" s="1"/>
  <c r="I14" i="42"/>
  <c r="Q49" i="34"/>
  <c r="P71" i="35"/>
  <c r="P35" i="35" s="1"/>
  <c r="P57" i="34"/>
  <c r="O59" i="34"/>
  <c r="O22" i="34"/>
  <c r="O25" i="34" s="1"/>
  <c r="O27" i="34" s="1"/>
  <c r="O81" i="35"/>
  <c r="Q143" i="40"/>
  <c r="Q145" i="40"/>
  <c r="O79" i="35"/>
  <c r="O43" i="39"/>
  <c r="Q40" i="35" l="1"/>
  <c r="Q193" i="40" s="1"/>
  <c r="Q121" i="40" s="1"/>
  <c r="Q131" i="40" s="1"/>
  <c r="Q78" i="39"/>
  <c r="R29" i="39"/>
  <c r="R38" i="35"/>
  <c r="R30" i="39"/>
  <c r="R39" i="35"/>
  <c r="R27" i="39"/>
  <c r="Q41" i="35"/>
  <c r="Q194" i="40" s="1"/>
  <c r="Q122" i="40" s="1"/>
  <c r="Q132" i="40" s="1"/>
  <c r="R70" i="34"/>
  <c r="R98" i="35" s="1"/>
  <c r="Q68" i="39"/>
  <c r="K31" i="42"/>
  <c r="S67" i="34"/>
  <c r="K39" i="42"/>
  <c r="S68" i="34"/>
  <c r="K17" i="42"/>
  <c r="S34" i="34"/>
  <c r="S55" i="35" s="1"/>
  <c r="J13" i="42"/>
  <c r="R33" i="34"/>
  <c r="S91" i="35"/>
  <c r="R31" i="39"/>
  <c r="R77" i="35"/>
  <c r="R49" i="39" s="1"/>
  <c r="R76" i="35"/>
  <c r="R48" i="39" s="1"/>
  <c r="R32" i="39"/>
  <c r="R94" i="35"/>
  <c r="R66" i="39" s="1"/>
  <c r="Q82" i="39"/>
  <c r="Q64" i="35"/>
  <c r="Q43" i="34"/>
  <c r="Q21" i="34"/>
  <c r="R93" i="35"/>
  <c r="R65" i="39" s="1"/>
  <c r="K13" i="42"/>
  <c r="S33" i="34"/>
  <c r="R63" i="39"/>
  <c r="K30" i="42"/>
  <c r="S54" i="34"/>
  <c r="K37" i="42"/>
  <c r="S39" i="34"/>
  <c r="S60" i="35" s="1"/>
  <c r="K29" i="42"/>
  <c r="S38" i="34"/>
  <c r="S59" i="35" s="1"/>
  <c r="K38" i="42"/>
  <c r="S55" i="34"/>
  <c r="K35" i="42"/>
  <c r="S66" i="34"/>
  <c r="S92" i="35" s="1"/>
  <c r="S64" i="39" s="1"/>
  <c r="Q72" i="34"/>
  <c r="Q23" i="34"/>
  <c r="Q98" i="35"/>
  <c r="Q96" i="35"/>
  <c r="Q83" i="39"/>
  <c r="Q26" i="39"/>
  <c r="Q34" i="39" s="1"/>
  <c r="Q62" i="35"/>
  <c r="R46" i="39"/>
  <c r="K18" i="42"/>
  <c r="S50" i="34"/>
  <c r="S72" i="35" s="1"/>
  <c r="K22" i="42"/>
  <c r="S52" i="34"/>
  <c r="S74" i="35" s="1"/>
  <c r="Q46" i="39"/>
  <c r="Q80" i="39" s="1"/>
  <c r="J18" i="42"/>
  <c r="R50" i="34"/>
  <c r="R72" i="35" s="1"/>
  <c r="R36" i="35" s="1"/>
  <c r="R47" i="39"/>
  <c r="K34" i="42"/>
  <c r="S53" i="34"/>
  <c r="S75" i="35" s="1"/>
  <c r="K26" i="42"/>
  <c r="S51" i="34"/>
  <c r="S73" i="35" s="1"/>
  <c r="S37" i="35" s="1"/>
  <c r="R45" i="39"/>
  <c r="R79" i="39" s="1"/>
  <c r="J14" i="42"/>
  <c r="R49" i="34"/>
  <c r="R143" i="40"/>
  <c r="R145" i="40"/>
  <c r="O77" i="39"/>
  <c r="O51" i="39"/>
  <c r="P81" i="35"/>
  <c r="P22" i="34"/>
  <c r="P25" i="34" s="1"/>
  <c r="P27" i="34" s="1"/>
  <c r="P59" i="34"/>
  <c r="O24" i="35"/>
  <c r="O27" i="35" s="1"/>
  <c r="O53" i="39"/>
  <c r="O82" i="35"/>
  <c r="P79" i="35"/>
  <c r="P43" i="39"/>
  <c r="S74" i="41"/>
  <c r="O43" i="35"/>
  <c r="O192" i="40"/>
  <c r="O53" i="37"/>
  <c r="Q71" i="35"/>
  <c r="Q35" i="35" s="1"/>
  <c r="Q57" i="34"/>
  <c r="S81" i="41" l="1"/>
  <c r="O29" i="35"/>
  <c r="O76" i="40"/>
  <c r="F72" i="43" s="1"/>
  <c r="R81" i="39"/>
  <c r="R40" i="35"/>
  <c r="R41" i="35"/>
  <c r="R194" i="40" s="1"/>
  <c r="R122" i="40" s="1"/>
  <c r="R132" i="40" s="1"/>
  <c r="S27" i="39"/>
  <c r="S36" i="35"/>
  <c r="R23" i="34"/>
  <c r="R72" i="34"/>
  <c r="R96" i="35"/>
  <c r="R99" i="35" s="1"/>
  <c r="R80" i="39"/>
  <c r="Q99" i="35"/>
  <c r="R68" i="39"/>
  <c r="Q65" i="35"/>
  <c r="Q36" i="39"/>
  <c r="Q37" i="39" s="1"/>
  <c r="Q23" i="35"/>
  <c r="Q25" i="35"/>
  <c r="Q70" i="39"/>
  <c r="Q71" i="39" s="1"/>
  <c r="S77" i="35"/>
  <c r="S49" i="39" s="1"/>
  <c r="S31" i="39"/>
  <c r="S76" i="35"/>
  <c r="S48" i="39" s="1"/>
  <c r="S54" i="35"/>
  <c r="R83" i="39"/>
  <c r="S70" i="34"/>
  <c r="K33" i="42"/>
  <c r="S37" i="34"/>
  <c r="S58" i="35" s="1"/>
  <c r="S63" i="39"/>
  <c r="K21" i="42"/>
  <c r="S36" i="34"/>
  <c r="S57" i="35" s="1"/>
  <c r="S32" i="39"/>
  <c r="R82" i="39"/>
  <c r="R193" i="40"/>
  <c r="R121" i="40" s="1"/>
  <c r="R131" i="40" s="1"/>
  <c r="R54" i="35"/>
  <c r="R41" i="34"/>
  <c r="S94" i="35"/>
  <c r="S66" i="39" s="1"/>
  <c r="S93" i="35"/>
  <c r="S65" i="39" s="1"/>
  <c r="S46" i="39"/>
  <c r="S47" i="39"/>
  <c r="R44" i="39"/>
  <c r="R78" i="39" s="1"/>
  <c r="S44" i="39"/>
  <c r="P82" i="35"/>
  <c r="S45" i="39"/>
  <c r="S79" i="39" s="1"/>
  <c r="K14" i="42"/>
  <c r="S49" i="34"/>
  <c r="O88" i="37"/>
  <c r="O63" i="37"/>
  <c r="O77" i="37"/>
  <c r="O91" i="37"/>
  <c r="O73" i="37"/>
  <c r="O92" i="37"/>
  <c r="O86" i="37"/>
  <c r="O62" i="37"/>
  <c r="O100" i="37"/>
  <c r="O66" i="37"/>
  <c r="O65" i="37"/>
  <c r="O90" i="37"/>
  <c r="O96" i="37"/>
  <c r="O78" i="37"/>
  <c r="O76" i="37"/>
  <c r="O69" i="37"/>
  <c r="O74" i="37"/>
  <c r="O101" i="37"/>
  <c r="O99" i="37"/>
  <c r="O67" i="37"/>
  <c r="O68" i="37"/>
  <c r="O103" i="37"/>
  <c r="O98" i="37"/>
  <c r="O95" i="37"/>
  <c r="O61" i="37"/>
  <c r="O71" i="37"/>
  <c r="O87" i="37"/>
  <c r="O72" i="37"/>
  <c r="O93" i="37"/>
  <c r="O64" i="37"/>
  <c r="O70" i="37"/>
  <c r="O97" i="37"/>
  <c r="O102" i="37"/>
  <c r="O89" i="37"/>
  <c r="O75" i="37"/>
  <c r="O94" i="37"/>
  <c r="O85" i="39"/>
  <c r="O99" i="39" s="1"/>
  <c r="R21" i="41" s="1"/>
  <c r="Q59" i="34"/>
  <c r="Q22" i="34"/>
  <c r="Q25" i="34" s="1"/>
  <c r="Q27" i="34" s="1"/>
  <c r="Q81" i="35"/>
  <c r="P77" i="39"/>
  <c r="P85" i="39" s="1"/>
  <c r="P51" i="39"/>
  <c r="P87" i="39" s="1"/>
  <c r="P53" i="37"/>
  <c r="Q79" i="35"/>
  <c r="Q43" i="39"/>
  <c r="P192" i="40"/>
  <c r="E216" i="43" s="1"/>
  <c r="P43" i="35"/>
  <c r="O55" i="40"/>
  <c r="O63" i="40" s="1"/>
  <c r="O196" i="40"/>
  <c r="O197" i="40" s="1"/>
  <c r="O45" i="35"/>
  <c r="O46" i="35" s="1"/>
  <c r="R71" i="35"/>
  <c r="R57" i="34"/>
  <c r="P24" i="35"/>
  <c r="P27" i="35" s="1"/>
  <c r="P53" i="39"/>
  <c r="O54" i="39"/>
  <c r="O87" i="39"/>
  <c r="S145" i="40"/>
  <c r="S143" i="40"/>
  <c r="P29" i="35" l="1"/>
  <c r="P76" i="40"/>
  <c r="G72" i="43" s="1"/>
  <c r="R35" i="35"/>
  <c r="S29" i="39"/>
  <c r="S80" i="39" s="1"/>
  <c r="S38" i="35"/>
  <c r="S78" i="39"/>
  <c r="O88" i="39"/>
  <c r="S40" i="35"/>
  <c r="S193" i="40" s="1"/>
  <c r="S121" i="40" s="1"/>
  <c r="S131" i="40" s="1"/>
  <c r="S30" i="39"/>
  <c r="S81" i="39" s="1"/>
  <c r="S39" i="35"/>
  <c r="S41" i="35"/>
  <c r="R70" i="39"/>
  <c r="R71" i="39" s="1"/>
  <c r="R25" i="35"/>
  <c r="S82" i="39"/>
  <c r="S83" i="39"/>
  <c r="S96" i="35"/>
  <c r="S41" i="34"/>
  <c r="S72" i="34"/>
  <c r="A72" i="34" s="1"/>
  <c r="S23" i="34"/>
  <c r="S98" i="35"/>
  <c r="R64" i="35"/>
  <c r="R43" i="34"/>
  <c r="R21" i="34"/>
  <c r="S26" i="39"/>
  <c r="S62" i="35"/>
  <c r="R26" i="39"/>
  <c r="R34" i="39" s="1"/>
  <c r="R62" i="35"/>
  <c r="S68" i="39"/>
  <c r="P88" i="39"/>
  <c r="P45" i="35"/>
  <c r="P46" i="35" s="1"/>
  <c r="P55" i="40"/>
  <c r="P196" i="40"/>
  <c r="P197" i="40" s="1"/>
  <c r="Q24" i="35"/>
  <c r="Q27" i="35" s="1"/>
  <c r="Q53" i="39"/>
  <c r="Q82" i="35"/>
  <c r="O25" i="37"/>
  <c r="O172" i="40" s="1"/>
  <c r="R22" i="34"/>
  <c r="R59" i="34"/>
  <c r="R81" i="35"/>
  <c r="P120" i="40"/>
  <c r="P130" i="40" s="1"/>
  <c r="P99" i="39"/>
  <c r="S21" i="41" s="1"/>
  <c r="P120" i="39"/>
  <c r="P127" i="39"/>
  <c r="P121" i="39"/>
  <c r="P118" i="39"/>
  <c r="P100" i="39"/>
  <c r="P105" i="39"/>
  <c r="P117" i="39"/>
  <c r="P119" i="39"/>
  <c r="P126" i="39"/>
  <c r="P116" i="39"/>
  <c r="P103" i="39"/>
  <c r="P102" i="39"/>
  <c r="P123" i="39"/>
  <c r="P131" i="39"/>
  <c r="P122" i="39"/>
  <c r="P125" i="39"/>
  <c r="P104" i="39"/>
  <c r="P128" i="39"/>
  <c r="P130" i="39"/>
  <c r="P124" i="39"/>
  <c r="P129" i="39"/>
  <c r="P132" i="39"/>
  <c r="P101" i="39"/>
  <c r="Q53" i="37"/>
  <c r="O116" i="39"/>
  <c r="R42" i="41" s="1"/>
  <c r="O122" i="39"/>
  <c r="O126" i="39"/>
  <c r="O130" i="39"/>
  <c r="O118" i="39"/>
  <c r="O103" i="39"/>
  <c r="O127" i="39"/>
  <c r="O128" i="39"/>
  <c r="O131" i="39"/>
  <c r="O121" i="39"/>
  <c r="O104" i="39"/>
  <c r="O105" i="39"/>
  <c r="O102" i="39"/>
  <c r="O124" i="39"/>
  <c r="O125" i="39"/>
  <c r="O132" i="39"/>
  <c r="O129" i="39"/>
  <c r="O100" i="39"/>
  <c r="O123" i="39"/>
  <c r="O117" i="39"/>
  <c r="O119" i="39"/>
  <c r="O120" i="39"/>
  <c r="O101" i="39"/>
  <c r="O27" i="37"/>
  <c r="O23" i="37"/>
  <c r="O170" i="40" s="1"/>
  <c r="O174" i="40"/>
  <c r="O37" i="37"/>
  <c r="O183" i="40" s="1"/>
  <c r="R79" i="35"/>
  <c r="R43" i="39"/>
  <c r="O87" i="40"/>
  <c r="F83" i="43" s="1"/>
  <c r="Q77" i="39"/>
  <c r="Q51" i="39"/>
  <c r="Q87" i="39" s="1"/>
  <c r="P69" i="37"/>
  <c r="P63" i="37"/>
  <c r="P102" i="37"/>
  <c r="P96" i="37"/>
  <c r="P95" i="37"/>
  <c r="P76" i="37"/>
  <c r="P87" i="37"/>
  <c r="P66" i="37"/>
  <c r="P67" i="37"/>
  <c r="P71" i="37"/>
  <c r="P86" i="37"/>
  <c r="P73" i="37"/>
  <c r="P61" i="37"/>
  <c r="P62" i="37"/>
  <c r="P89" i="37"/>
  <c r="P93" i="37"/>
  <c r="P99" i="37"/>
  <c r="P88" i="37"/>
  <c r="P65" i="37"/>
  <c r="P101" i="37"/>
  <c r="P68" i="37"/>
  <c r="P75" i="37"/>
  <c r="P98" i="37"/>
  <c r="P64" i="37"/>
  <c r="P78" i="37"/>
  <c r="P90" i="37"/>
  <c r="P97" i="37"/>
  <c r="P77" i="37"/>
  <c r="P70" i="37"/>
  <c r="P94" i="37"/>
  <c r="P103" i="37"/>
  <c r="P91" i="37"/>
  <c r="P72" i="37"/>
  <c r="P100" i="37"/>
  <c r="P92" i="37"/>
  <c r="P74" i="37"/>
  <c r="O24" i="37"/>
  <c r="O171" i="40" s="1"/>
  <c r="S71" i="35"/>
  <c r="S35" i="35" s="1"/>
  <c r="S57" i="34"/>
  <c r="P54" i="39"/>
  <c r="Q192" i="40"/>
  <c r="Q43" i="35"/>
  <c r="O36" i="37"/>
  <c r="O182" i="40" s="1"/>
  <c r="O185" i="40"/>
  <c r="O35" i="37"/>
  <c r="O181" i="40" s="1"/>
  <c r="O39" i="37"/>
  <c r="P87" i="40" l="1"/>
  <c r="G83" i="43" s="1"/>
  <c r="Q29" i="35"/>
  <c r="Q76" i="40"/>
  <c r="Q87" i="40" s="1"/>
  <c r="Q97" i="40" s="1"/>
  <c r="Q98" i="40" s="1"/>
  <c r="S50" i="41"/>
  <c r="R50" i="41"/>
  <c r="S25" i="41"/>
  <c r="R25" i="41"/>
  <c r="S22" i="41"/>
  <c r="R22" i="41"/>
  <c r="S48" i="41"/>
  <c r="R48" i="41"/>
  <c r="S45" i="41"/>
  <c r="R45" i="41"/>
  <c r="S55" i="41"/>
  <c r="R55" i="41"/>
  <c r="S24" i="41"/>
  <c r="R24" i="41"/>
  <c r="S57" i="41"/>
  <c r="R57" i="41"/>
  <c r="S44" i="41"/>
  <c r="R44" i="41"/>
  <c r="S43" i="41"/>
  <c r="R43" i="41"/>
  <c r="S58" i="41"/>
  <c r="R58" i="41"/>
  <c r="S27" i="41"/>
  <c r="R27" i="41"/>
  <c r="S54" i="41"/>
  <c r="R54" i="41"/>
  <c r="S56" i="41"/>
  <c r="R56" i="41"/>
  <c r="S46" i="41"/>
  <c r="R46" i="41"/>
  <c r="S47" i="41"/>
  <c r="R47" i="41"/>
  <c r="S23" i="41"/>
  <c r="R23" i="41"/>
  <c r="S49" i="41"/>
  <c r="R49" i="41"/>
  <c r="S51" i="41"/>
  <c r="R51" i="41"/>
  <c r="S26" i="41"/>
  <c r="R26" i="41"/>
  <c r="S53" i="41"/>
  <c r="R53" i="41"/>
  <c r="S52" i="41"/>
  <c r="R52" i="41"/>
  <c r="S99" i="35"/>
  <c r="A99" i="35" s="1"/>
  <c r="S194" i="40"/>
  <c r="S122" i="40" s="1"/>
  <c r="S132" i="40" s="1"/>
  <c r="S34" i="39"/>
  <c r="S43" i="34"/>
  <c r="A43" i="34" s="1"/>
  <c r="S64" i="35"/>
  <c r="S65" i="35" s="1"/>
  <c r="S21" i="34"/>
  <c r="R36" i="39"/>
  <c r="R37" i="39" s="1"/>
  <c r="R23" i="35"/>
  <c r="S23" i="35"/>
  <c r="S36" i="39"/>
  <c r="S25" i="35"/>
  <c r="S70" i="39"/>
  <c r="S71" i="39" s="1"/>
  <c r="A71" i="39" s="1"/>
  <c r="R25" i="34"/>
  <c r="R65" i="35"/>
  <c r="Q54" i="39"/>
  <c r="O40" i="37"/>
  <c r="P24" i="37"/>
  <c r="P171" i="40" s="1"/>
  <c r="F215" i="43" s="1"/>
  <c r="S79" i="35"/>
  <c r="S43" i="39"/>
  <c r="P37" i="37"/>
  <c r="P183" i="40" s="1"/>
  <c r="G217" i="43" s="1"/>
  <c r="P25" i="37"/>
  <c r="P172" i="40" s="1"/>
  <c r="G215" i="43" s="1"/>
  <c r="R24" i="35"/>
  <c r="R53" i="39"/>
  <c r="S42" i="41"/>
  <c r="O134" i="39"/>
  <c r="O137" i="39" s="1"/>
  <c r="P134" i="39"/>
  <c r="P137" i="39" s="1"/>
  <c r="O203" i="40"/>
  <c r="Q120" i="40"/>
  <c r="Q130" i="40" s="1"/>
  <c r="P174" i="40"/>
  <c r="P27" i="37"/>
  <c r="P23" i="37"/>
  <c r="P170" i="40" s="1"/>
  <c r="E215" i="43" s="1"/>
  <c r="O97" i="40"/>
  <c r="F89" i="43" s="1"/>
  <c r="O28" i="37"/>
  <c r="R82" i="35"/>
  <c r="O186" i="40"/>
  <c r="R77" i="39"/>
  <c r="R51" i="39"/>
  <c r="O205" i="40"/>
  <c r="Q77" i="37"/>
  <c r="Q63" i="37"/>
  <c r="Q94" i="37"/>
  <c r="Q103" i="37"/>
  <c r="Q86" i="37"/>
  <c r="Q89" i="37"/>
  <c r="Q73" i="37"/>
  <c r="Q61" i="37"/>
  <c r="Q90" i="37"/>
  <c r="Q92" i="37"/>
  <c r="Q101" i="37"/>
  <c r="Q64" i="37"/>
  <c r="Q96" i="37"/>
  <c r="Q93" i="37"/>
  <c r="Q62" i="37"/>
  <c r="Q71" i="37"/>
  <c r="Q88" i="37"/>
  <c r="Q74" i="37"/>
  <c r="Q67" i="37"/>
  <c r="Q75" i="37"/>
  <c r="Q65" i="37"/>
  <c r="Q99" i="37"/>
  <c r="Q95" i="37"/>
  <c r="Q87" i="37"/>
  <c r="Q78" i="37"/>
  <c r="Q68" i="37"/>
  <c r="Q69" i="37"/>
  <c r="Q97" i="37"/>
  <c r="Q98" i="37"/>
  <c r="Q72" i="37"/>
  <c r="Q70" i="37"/>
  <c r="Q76" i="37"/>
  <c r="Q100" i="37"/>
  <c r="Q66" i="37"/>
  <c r="Q91" i="37"/>
  <c r="Q102" i="37"/>
  <c r="P107" i="39"/>
  <c r="P110" i="39" s="1"/>
  <c r="Q45" i="35"/>
  <c r="Q46" i="35" s="1"/>
  <c r="Q55" i="40"/>
  <c r="Q196" i="40"/>
  <c r="Q197" i="40" s="1"/>
  <c r="O204" i="40"/>
  <c r="S22" i="34"/>
  <c r="S59" i="34"/>
  <c r="A59" i="34" s="1"/>
  <c r="S81" i="35"/>
  <c r="P39" i="37"/>
  <c r="P185" i="40"/>
  <c r="P35" i="37"/>
  <c r="P181" i="40" s="1"/>
  <c r="E217" i="43" s="1"/>
  <c r="P36" i="37"/>
  <c r="P182" i="40" s="1"/>
  <c r="F217" i="43" s="1"/>
  <c r="Q85" i="39"/>
  <c r="Q99" i="39" s="1"/>
  <c r="R192" i="40"/>
  <c r="R43" i="35"/>
  <c r="O175" i="40"/>
  <c r="O107" i="39"/>
  <c r="O110" i="39" s="1"/>
  <c r="G218" i="43" l="1"/>
  <c r="E218" i="43"/>
  <c r="F218" i="43"/>
  <c r="P97" i="40"/>
  <c r="G89" i="43" s="1"/>
  <c r="S28" i="41"/>
  <c r="S59" i="41"/>
  <c r="R59" i="41"/>
  <c r="R28" i="41"/>
  <c r="R53" i="37"/>
  <c r="R66" i="37" s="1"/>
  <c r="R27" i="34"/>
  <c r="S37" i="39"/>
  <c r="A37" i="39" s="1"/>
  <c r="A65" i="35"/>
  <c r="R27" i="35"/>
  <c r="S25" i="34"/>
  <c r="S27" i="34" s="1"/>
  <c r="P204" i="40"/>
  <c r="P205" i="40"/>
  <c r="P186" i="40"/>
  <c r="S82" i="35"/>
  <c r="A82" i="35" s="1"/>
  <c r="Q25" i="37"/>
  <c r="Q172" i="40" s="1"/>
  <c r="R54" i="39"/>
  <c r="R87" i="39"/>
  <c r="Q88" i="39"/>
  <c r="Q128" i="39"/>
  <c r="Q119" i="39"/>
  <c r="Q131" i="39"/>
  <c r="Q116" i="39"/>
  <c r="Q121" i="39"/>
  <c r="Q125" i="39"/>
  <c r="Q117" i="39"/>
  <c r="Q101" i="39"/>
  <c r="Q105" i="39"/>
  <c r="Q124" i="39"/>
  <c r="Q123" i="39"/>
  <c r="Q102" i="39"/>
  <c r="Q129" i="39"/>
  <c r="Q103" i="39"/>
  <c r="Q132" i="39"/>
  <c r="Q100" i="39"/>
  <c r="Q127" i="39"/>
  <c r="Q118" i="39"/>
  <c r="Q130" i="39"/>
  <c r="Q120" i="39"/>
  <c r="Q126" i="39"/>
  <c r="Q104" i="39"/>
  <c r="Q122" i="39"/>
  <c r="P40" i="37"/>
  <c r="Q37" i="37"/>
  <c r="Q183" i="40" s="1"/>
  <c r="Q205" i="40" s="1"/>
  <c r="Q35" i="37"/>
  <c r="Q181" i="40" s="1"/>
  <c r="Q185" i="40"/>
  <c r="Q39" i="37"/>
  <c r="R85" i="39"/>
  <c r="P28" i="37"/>
  <c r="S51" i="39"/>
  <c r="S87" i="39" s="1"/>
  <c r="S77" i="39"/>
  <c r="S85" i="39" s="1"/>
  <c r="Q36" i="37"/>
  <c r="Q182" i="40" s="1"/>
  <c r="Q174" i="40"/>
  <c r="Q23" i="37"/>
  <c r="Q170" i="40" s="1"/>
  <c r="Q27" i="37"/>
  <c r="O98" i="40"/>
  <c r="F90" i="43" s="1"/>
  <c r="P175" i="40"/>
  <c r="S192" i="40"/>
  <c r="S43" i="35"/>
  <c r="R95" i="37"/>
  <c r="R96" i="37"/>
  <c r="R77" i="37"/>
  <c r="R102" i="37"/>
  <c r="R101" i="37"/>
  <c r="R99" i="37"/>
  <c r="R61" i="37"/>
  <c r="R90" i="37"/>
  <c r="R69" i="37"/>
  <c r="R70" i="37"/>
  <c r="R74" i="37"/>
  <c r="R94" i="37"/>
  <c r="R68" i="37"/>
  <c r="R88" i="37"/>
  <c r="R120" i="40"/>
  <c r="R130" i="40" s="1"/>
  <c r="P203" i="40"/>
  <c r="Q24" i="37"/>
  <c r="Q171" i="40" s="1"/>
  <c r="S24" i="35"/>
  <c r="S27" i="35" s="1"/>
  <c r="S53" i="39"/>
  <c r="P98" i="40" l="1"/>
  <c r="G90" i="43" s="1"/>
  <c r="P207" i="40"/>
  <c r="R65" i="37"/>
  <c r="R76" i="37"/>
  <c r="R97" i="37"/>
  <c r="R71" i="37"/>
  <c r="R103" i="37"/>
  <c r="R98" i="37"/>
  <c r="R62" i="37"/>
  <c r="R92" i="37"/>
  <c r="R63" i="37"/>
  <c r="R64" i="37"/>
  <c r="R93" i="37"/>
  <c r="R86" i="37"/>
  <c r="R89" i="37"/>
  <c r="S29" i="35"/>
  <c r="S76" i="40"/>
  <c r="S87" i="40" s="1"/>
  <c r="S97" i="40" s="1"/>
  <c r="S98" i="40" s="1"/>
  <c r="R29" i="35"/>
  <c r="R76" i="40"/>
  <c r="R87" i="40" s="1"/>
  <c r="R97" i="40" s="1"/>
  <c r="R98" i="40" s="1"/>
  <c r="R67" i="37"/>
  <c r="R73" i="37"/>
  <c r="R91" i="37"/>
  <c r="R75" i="37"/>
  <c r="A27" i="34"/>
  <c r="A1" i="34" s="1"/>
  <c r="H19" i="25" s="1"/>
  <c r="R100" i="37"/>
  <c r="R87" i="37"/>
  <c r="R72" i="37"/>
  <c r="R78" i="37"/>
  <c r="R196" i="40"/>
  <c r="R197" i="40" s="1"/>
  <c r="R55" i="40"/>
  <c r="R45" i="35"/>
  <c r="R46" i="35" s="1"/>
  <c r="S53" i="37"/>
  <c r="S97" i="37" s="1"/>
  <c r="S88" i="39"/>
  <c r="Q107" i="39"/>
  <c r="Q110" i="39" s="1"/>
  <c r="Q204" i="40"/>
  <c r="R102" i="39"/>
  <c r="R117" i="39"/>
  <c r="R125" i="39"/>
  <c r="R130" i="39"/>
  <c r="R116" i="39"/>
  <c r="R101" i="39"/>
  <c r="R105" i="39"/>
  <c r="R131" i="39"/>
  <c r="R118" i="39"/>
  <c r="R124" i="39"/>
  <c r="R119" i="39"/>
  <c r="R104" i="39"/>
  <c r="R129" i="39"/>
  <c r="R121" i="39"/>
  <c r="R123" i="39"/>
  <c r="R127" i="39"/>
  <c r="R100" i="39"/>
  <c r="R120" i="39"/>
  <c r="R126" i="39"/>
  <c r="R132" i="39"/>
  <c r="R128" i="39"/>
  <c r="R122" i="39"/>
  <c r="R103" i="39"/>
  <c r="S120" i="40"/>
  <c r="S130" i="40" s="1"/>
  <c r="Q28" i="37"/>
  <c r="Q40" i="37"/>
  <c r="Q134" i="39"/>
  <c r="Q137" i="39" s="1"/>
  <c r="S54" i="39"/>
  <c r="A54" i="39" s="1"/>
  <c r="O100" i="40"/>
  <c r="F92" i="43" s="1"/>
  <c r="Q186" i="40"/>
  <c r="R88" i="39"/>
  <c r="S55" i="40"/>
  <c r="S196" i="40"/>
  <c r="S197" i="40" s="1"/>
  <c r="S45" i="35"/>
  <c r="S46" i="35" s="1"/>
  <c r="Q175" i="40"/>
  <c r="S99" i="39"/>
  <c r="S118" i="39"/>
  <c r="S131" i="39"/>
  <c r="S132" i="39"/>
  <c r="S126" i="39"/>
  <c r="S104" i="39"/>
  <c r="S105" i="39"/>
  <c r="S124" i="39"/>
  <c r="S125" i="39"/>
  <c r="S122" i="39"/>
  <c r="S121" i="39"/>
  <c r="S100" i="39"/>
  <c r="S102" i="39"/>
  <c r="S117" i="39"/>
  <c r="S129" i="39"/>
  <c r="S128" i="39"/>
  <c r="S116" i="39"/>
  <c r="S103" i="39"/>
  <c r="S120" i="39"/>
  <c r="S123" i="39"/>
  <c r="S130" i="39"/>
  <c r="S127" i="39"/>
  <c r="S119" i="39"/>
  <c r="S101" i="39"/>
  <c r="R99" i="39"/>
  <c r="Q203" i="40"/>
  <c r="R35" i="37" l="1"/>
  <c r="R181" i="40" s="1"/>
  <c r="R24" i="37"/>
  <c r="R171" i="40" s="1"/>
  <c r="R36" i="37"/>
  <c r="R182" i="40" s="1"/>
  <c r="R37" i="37"/>
  <c r="R183" i="40" s="1"/>
  <c r="Q207" i="40"/>
  <c r="R39" i="37"/>
  <c r="A46" i="35"/>
  <c r="R185" i="40"/>
  <c r="A29" i="35"/>
  <c r="R174" i="40"/>
  <c r="R25" i="37"/>
  <c r="R172" i="40" s="1"/>
  <c r="R27" i="37"/>
  <c r="R23" i="37"/>
  <c r="R170" i="40" s="1"/>
  <c r="A197" i="40"/>
  <c r="A88" i="39"/>
  <c r="S71" i="37"/>
  <c r="S103" i="37"/>
  <c r="S72" i="37"/>
  <c r="S76" i="37"/>
  <c r="S78" i="37"/>
  <c r="S63" i="37"/>
  <c r="S65" i="37"/>
  <c r="S98" i="37"/>
  <c r="S74" i="37"/>
  <c r="S99" i="37"/>
  <c r="S64" i="37"/>
  <c r="S89" i="37"/>
  <c r="S100" i="37"/>
  <c r="S94" i="37"/>
  <c r="S101" i="37"/>
  <c r="S66" i="37"/>
  <c r="S96" i="37"/>
  <c r="S102" i="37"/>
  <c r="S68" i="37"/>
  <c r="S91" i="37"/>
  <c r="S69" i="37"/>
  <c r="S95" i="37"/>
  <c r="S62" i="37"/>
  <c r="S88" i="37"/>
  <c r="S77" i="37"/>
  <c r="S87" i="37"/>
  <c r="S92" i="37"/>
  <c r="S67" i="37"/>
  <c r="S70" i="37"/>
  <c r="S86" i="37"/>
  <c r="S93" i="37"/>
  <c r="S73" i="37"/>
  <c r="S75" i="37"/>
  <c r="S90" i="37"/>
  <c r="S61" i="37"/>
  <c r="R134" i="39"/>
  <c r="R137" i="39" s="1"/>
  <c r="R204" i="40"/>
  <c r="P95" i="40"/>
  <c r="G87" i="43" s="1"/>
  <c r="O107" i="40"/>
  <c r="R107" i="39"/>
  <c r="R110" i="39" s="1"/>
  <c r="S134" i="39"/>
  <c r="S137" i="39" s="1"/>
  <c r="S107" i="39"/>
  <c r="S110" i="39" s="1"/>
  <c r="R186" i="40" l="1"/>
  <c r="R40" i="37"/>
  <c r="R205" i="40"/>
  <c r="A1" i="35"/>
  <c r="H23" i="25" s="1"/>
  <c r="R175" i="40"/>
  <c r="R28" i="37"/>
  <c r="R203" i="40"/>
  <c r="H26" i="40"/>
  <c r="S37" i="37"/>
  <c r="S183" i="40" s="1"/>
  <c r="S27" i="37"/>
  <c r="S174" i="40"/>
  <c r="S24" i="37"/>
  <c r="S171" i="40" s="1"/>
  <c r="S25" i="37"/>
  <c r="S172" i="40" s="1"/>
  <c r="S23" i="37"/>
  <c r="S170" i="40" s="1"/>
  <c r="S35" i="37"/>
  <c r="S181" i="40" s="1"/>
  <c r="S36" i="37"/>
  <c r="S182" i="40" s="1"/>
  <c r="S185" i="40"/>
  <c r="S39" i="37"/>
  <c r="A137" i="39"/>
  <c r="A110" i="39"/>
  <c r="P96" i="40"/>
  <c r="G88" i="43" s="1"/>
  <c r="P49" i="40"/>
  <c r="E63" i="43" s="1"/>
  <c r="E65" i="43" l="1"/>
  <c r="R207" i="40"/>
  <c r="P100" i="40"/>
  <c r="G92" i="43" s="1"/>
  <c r="S204" i="40"/>
  <c r="A204" i="40" s="1"/>
  <c r="S175" i="40"/>
  <c r="A175" i="40" s="1"/>
  <c r="S205" i="40"/>
  <c r="A205" i="40" s="1"/>
  <c r="A1" i="39"/>
  <c r="H22" i="25" s="1"/>
  <c r="S186" i="40"/>
  <c r="A186" i="40" s="1"/>
  <c r="S40" i="37"/>
  <c r="A40" i="37" s="1"/>
  <c r="S28" i="37"/>
  <c r="A28" i="37" s="1"/>
  <c r="S203" i="40"/>
  <c r="P144" i="40"/>
  <c r="P147" i="40" s="1"/>
  <c r="P52" i="40"/>
  <c r="P107" i="40"/>
  <c r="Q95" i="40"/>
  <c r="A203" i="40" l="1"/>
  <c r="S207" i="40"/>
  <c r="A207" i="40" s="1"/>
  <c r="A1" i="37"/>
  <c r="H20" i="25" s="1"/>
  <c r="P23" i="36"/>
  <c r="P57" i="40"/>
  <c r="P63" i="40"/>
  <c r="Q96" i="40"/>
  <c r="Q100" i="40" s="1"/>
  <c r="Q49" i="40"/>
  <c r="P155" i="40"/>
  <c r="P156" i="40"/>
  <c r="P154" i="40"/>
  <c r="P158" i="40" l="1"/>
  <c r="Q107" i="40"/>
  <c r="R95" i="40"/>
  <c r="Q52" i="40"/>
  <c r="Q144" i="40"/>
  <c r="Q147" i="40" s="1"/>
  <c r="P36" i="36"/>
  <c r="R80" i="41" s="1"/>
  <c r="P35" i="36"/>
  <c r="R79" i="41" s="1"/>
  <c r="P33" i="36"/>
  <c r="R77" i="41" s="1"/>
  <c r="P32" i="36"/>
  <c r="R76" i="41" s="1"/>
  <c r="P40" i="36"/>
  <c r="P34" i="36"/>
  <c r="R78" i="41" s="1"/>
  <c r="P31" i="36"/>
  <c r="R75" i="41" s="1"/>
  <c r="P30" i="36"/>
  <c r="R74" i="41" s="1"/>
  <c r="AR21" i="31" l="1"/>
  <c r="AR24" i="31"/>
  <c r="AR25" i="31"/>
  <c r="AR23" i="31"/>
  <c r="AR26" i="31"/>
  <c r="AR20" i="31"/>
  <c r="AR22" i="31"/>
  <c r="R81" i="41"/>
  <c r="R96" i="40"/>
  <c r="R100" i="40" s="1"/>
  <c r="R49" i="40"/>
  <c r="P38" i="36"/>
  <c r="P41" i="36" s="1"/>
  <c r="Q156" i="40"/>
  <c r="Q155" i="40"/>
  <c r="Q154" i="40"/>
  <c r="Q23" i="36"/>
  <c r="Q57" i="40"/>
  <c r="Q63" i="40"/>
  <c r="Q35" i="36" l="1"/>
  <c r="Q40" i="36"/>
  <c r="Q34" i="36"/>
  <c r="Q32" i="36"/>
  <c r="Q30" i="36"/>
  <c r="Q31" i="36"/>
  <c r="Q33" i="36"/>
  <c r="Q36" i="36"/>
  <c r="Q158" i="40"/>
  <c r="R144" i="40"/>
  <c r="R147" i="40" s="1"/>
  <c r="R52" i="40"/>
  <c r="S95" i="40"/>
  <c r="R107" i="40"/>
  <c r="H24" i="40" s="1"/>
  <c r="R63" i="40" l="1"/>
  <c r="H23" i="40" s="1"/>
  <c r="R57" i="40"/>
  <c r="R23" i="36"/>
  <c r="R155" i="40"/>
  <c r="R156" i="40"/>
  <c r="R154" i="40"/>
  <c r="S49" i="40"/>
  <c r="S96" i="40"/>
  <c r="S100" i="40" s="1"/>
  <c r="Q38" i="36"/>
  <c r="Q41" i="36" s="1"/>
  <c r="S107" i="40" l="1"/>
  <c r="A107" i="40" s="1"/>
  <c r="S52" i="40"/>
  <c r="S144" i="40"/>
  <c r="S147" i="40" s="1"/>
  <c r="R33" i="36"/>
  <c r="R34" i="36"/>
  <c r="R30" i="36"/>
  <c r="R35" i="36"/>
  <c r="R36" i="36"/>
  <c r="R40" i="36"/>
  <c r="R31" i="36"/>
  <c r="R32" i="36"/>
  <c r="R158" i="40"/>
  <c r="H25" i="40" s="1"/>
  <c r="I25" i="40" s="1"/>
  <c r="S155" i="40" l="1"/>
  <c r="A155" i="40" s="1"/>
  <c r="S156" i="40"/>
  <c r="A156" i="40" s="1"/>
  <c r="S154" i="40"/>
  <c r="R38" i="36"/>
  <c r="R41" i="36" s="1"/>
  <c r="S23" i="36"/>
  <c r="S63" i="40"/>
  <c r="A63" i="40" s="1"/>
  <c r="S57" i="40"/>
  <c r="A57" i="40" s="1"/>
  <c r="S158" i="40" l="1"/>
  <c r="A158" i="40" s="1"/>
  <c r="A154" i="40"/>
  <c r="S35" i="36"/>
  <c r="S34" i="36"/>
  <c r="S33" i="36"/>
  <c r="S32" i="36"/>
  <c r="S31" i="36"/>
  <c r="S36" i="36"/>
  <c r="S30" i="36"/>
  <c r="S40" i="36"/>
  <c r="A1" i="40" l="1"/>
  <c r="H25" i="25" s="1"/>
  <c r="S38" i="36"/>
  <c r="S41" i="36" s="1"/>
  <c r="A41" i="36" s="1"/>
  <c r="A1" i="36" s="1"/>
  <c r="H24" i="25" s="1"/>
  <c r="H30" i="25" l="1"/>
  <c r="H8" i="25" s="1"/>
  <c r="H10" i="25" s="1"/>
  <c r="B2" i="25" l="1"/>
  <c r="B2" i="30"/>
  <c r="B2" i="33"/>
  <c r="B2" i="35"/>
  <c r="B2" i="34"/>
  <c r="B2" i="31"/>
  <c r="B2" i="38"/>
  <c r="B2" i="4"/>
  <c r="B2" i="41"/>
  <c r="B2" i="36"/>
  <c r="B2" i="42"/>
  <c r="B2" i="39"/>
  <c r="B2" i="37"/>
  <c r="B2" i="28"/>
  <c r="B2" i="32"/>
  <c r="B2" i="40"/>
</calcChain>
</file>

<file path=xl/sharedStrings.xml><?xml version="1.0" encoding="utf-8"?>
<sst xmlns="http://schemas.openxmlformats.org/spreadsheetml/2006/main" count="2479" uniqueCount="562">
  <si>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</si>
  <si>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</si>
  <si>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</si>
  <si>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</si>
  <si>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</si>
  <si>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</si>
  <si>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</si>
  <si>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</si>
  <si>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</si>
  <si>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</si>
  <si>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</si>
  <si>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</si>
  <si>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</si>
  <si>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</si>
  <si>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</si>
  <si>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</si>
  <si>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</si>
  <si>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</si>
  <si>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</si>
  <si>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</si>
  <si>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</si>
  <si>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</si>
  <si>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</si>
  <si>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</si>
  <si>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</si>
  <si>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</si>
  <si>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</si>
  <si>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</si>
  <si>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</si>
  <si>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</si>
  <si>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</si>
  <si>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</si>
  <si>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</si>
  <si>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</si>
  <si>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</si>
  <si>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</si>
  <si>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</si>
  <si>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</si>
  <si>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</si>
  <si>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</si>
  <si>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</si>
  <si>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</si>
  <si>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</si>
  <si>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</si>
  <si>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</si>
  <si>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</si>
  <si>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</si>
  <si>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</si>
  <si>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</si>
  <si>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</si>
  <si>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</si>
  <si>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</si>
  <si>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</si>
  <si>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</si>
  <si>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</si>
  <si>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</si>
  <si>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</si>
  <si>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</si>
  <si>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</si>
  <si>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</si>
  <si>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</si>
  <si>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</si>
  <si>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</si>
  <si>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Actual</t>
  </si>
  <si>
    <t>Source</t>
  </si>
  <si>
    <t>Unit</t>
  </si>
  <si>
    <t>Basis</t>
  </si>
  <si>
    <t>Timing</t>
  </si>
  <si>
    <t>Real $2018</t>
  </si>
  <si>
    <t>Nominal</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</si>
  <si>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</si>
  <si>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</si>
  <si>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</si>
  <si>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</si>
  <si>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</si>
  <si>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</si>
  <si>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</si>
  <si>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</si>
  <si>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</si>
  <si>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</si>
  <si>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</si>
  <si>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</si>
  <si>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</si>
  <si>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</si>
  <si>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</si>
  <si>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</si>
  <si>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</si>
  <si>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</si>
  <si>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Total</t>
  </si>
  <si>
    <t>Calculated</t>
  </si>
  <si>
    <t>Not Applicable</t>
  </si>
  <si>
    <t>Number</t>
  </si>
  <si>
    <t>Check</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</si>
  <si>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</si>
  <si>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</si>
  <si>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</si>
  <si>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</si>
  <si>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Inputs - Prices</t>
  </si>
  <si>
    <t>Price Inputs by Tariff Type</t>
  </si>
  <si>
    <t>Tariff Assignment</t>
  </si>
  <si>
    <t>Tariff Components</t>
  </si>
  <si>
    <t>Tariff Class</t>
  </si>
  <si>
    <t>LV Residential Accumulation</t>
  </si>
  <si>
    <t>LV Residential Accumulation SAC</t>
  </si>
  <si>
    <t>LV &lt;750MWh</t>
  </si>
  <si>
    <t>LV Non-Residential Accumulation</t>
  </si>
  <si>
    <t>LV Non-Residential Accumulation SAC</t>
  </si>
  <si>
    <t>LV Unmetered</t>
  </si>
  <si>
    <t>LV Unmetered 12hr SAC</t>
  </si>
  <si>
    <t>LV Smart Meter</t>
  </si>
  <si>
    <t>LV Smart meter &lt;40MWh SAC</t>
  </si>
  <si>
    <t>HV Smart meter &lt;750MWh</t>
  </si>
  <si>
    <t>HV Smart meter &lt;750MWh SAC</t>
  </si>
  <si>
    <t>HV</t>
  </si>
  <si>
    <t>LV &gt;750MWh</t>
  </si>
  <si>
    <t>LV &gt;750MWh SAC</t>
  </si>
  <si>
    <t>HV &gt;750MWh</t>
  </si>
  <si>
    <t>HV &gt;750MWh SAC</t>
  </si>
  <si>
    <t>$/month/meter</t>
  </si>
  <si>
    <t>$/day/per NMI</t>
  </si>
  <si>
    <t>Consumption</t>
  </si>
  <si>
    <t>¢/kWh</t>
  </si>
  <si>
    <t>Demand</t>
  </si>
  <si>
    <t>$/kVA</t>
  </si>
  <si>
    <t>LV Smart meter &gt;40MWh</t>
  </si>
  <si>
    <t>PWC</t>
  </si>
  <si>
    <t>NMI-days</t>
  </si>
  <si>
    <t>Meter-month</t>
  </si>
  <si>
    <t>kWh</t>
  </si>
  <si>
    <t>kVA</t>
  </si>
  <si>
    <t>NMI</t>
  </si>
  <si>
    <t>Tariff Classes</t>
  </si>
  <si>
    <t>LU_Tariff_Classes</t>
  </si>
  <si>
    <t>LV Unmetered 12hr</t>
  </si>
  <si>
    <t>LV Unmetered 12hr - 24hr</t>
  </si>
  <si>
    <t>LV Smart meter &lt;40MWh</t>
  </si>
  <si>
    <t>Tariff Assignments</t>
  </si>
  <si>
    <t>LU_Tariff_Assignments</t>
  </si>
  <si>
    <t>Check - Target Value</t>
  </si>
  <si>
    <t>Various</t>
  </si>
  <si>
    <t>Inputs - Volumes</t>
  </si>
  <si>
    <t>Inputs - Other</t>
  </si>
  <si>
    <t>Calculation - Cost of Supply - Revenue</t>
  </si>
  <si>
    <t>Volume Inputs by Tariff Type</t>
  </si>
  <si>
    <t>Dollars_to_Thousands</t>
  </si>
  <si>
    <t>Cents_to_Dollars</t>
  </si>
  <si>
    <t>Coincident Demand</t>
  </si>
  <si>
    <t>NMI Count</t>
  </si>
  <si>
    <t>Item</t>
  </si>
  <si>
    <t>Inflation rate</t>
  </si>
  <si>
    <t>Nominal Vanilla WACC</t>
  </si>
  <si>
    <t xml:space="preserve">Real vanilla WACC </t>
  </si>
  <si>
    <t>AER</t>
  </si>
  <si>
    <t>Transmission</t>
  </si>
  <si>
    <t>Zone Substations</t>
  </si>
  <si>
    <t>HV Distribution</t>
  </si>
  <si>
    <t>Distribution Substations</t>
  </si>
  <si>
    <t>LV Distribution</t>
  </si>
  <si>
    <t>Common Services</t>
  </si>
  <si>
    <t>LV Distribution Weighting</t>
  </si>
  <si>
    <t>Network Element</t>
  </si>
  <si>
    <t>LU_Tariff_Type</t>
  </si>
  <si>
    <t>LV Smart meter</t>
  </si>
  <si>
    <t>Total Revenue</t>
  </si>
  <si>
    <t>Revenue</t>
  </si>
  <si>
    <t>Calculation - Avoidable and Stand-alone Cost</t>
  </si>
  <si>
    <t>Avoidable and Stand-alone Cost</t>
  </si>
  <si>
    <t>Avoidable Network Cost</t>
  </si>
  <si>
    <t>Stand-alone network cost</t>
  </si>
  <si>
    <t>Avoidable  network cost %</t>
  </si>
  <si>
    <t>Stand-alone  network cost %</t>
  </si>
  <si>
    <t>FY20</t>
  </si>
  <si>
    <t>Calculation - LRMC by Tariff</t>
  </si>
  <si>
    <t>Real $2020</t>
  </si>
  <si>
    <t>Real $2019</t>
  </si>
  <si>
    <t>Real2018</t>
  </si>
  <si>
    <t>Real2019</t>
  </si>
  <si>
    <t>Real2020</t>
  </si>
  <si>
    <t>SAC</t>
  </si>
  <si>
    <t>Real 2019 to Nominal</t>
  </si>
  <si>
    <t>Peak Demand</t>
  </si>
  <si>
    <t>Calculation - Residual Cost</t>
  </si>
  <si>
    <t>Revenue from DUoS</t>
  </si>
  <si>
    <t>Adjusted annual smoothed revenue (AARt)</t>
  </si>
  <si>
    <t>DMIS adjustments (It)</t>
  </si>
  <si>
    <t>Annual adjustments (Bt)</t>
  </si>
  <si>
    <t>Cost pass through amounts (Ct)</t>
  </si>
  <si>
    <t>Opening balance</t>
  </si>
  <si>
    <t>Interest on opening balance</t>
  </si>
  <si>
    <t>Under/over recovery of revenue for regulatory year</t>
  </si>
  <si>
    <t>Interest on under/over recovery for regulatory year</t>
  </si>
  <si>
    <t>Closing Balance</t>
  </si>
  <si>
    <t>Stand Alone Cost</t>
  </si>
  <si>
    <t>Avoidable Cost</t>
  </si>
  <si>
    <t>Pass or Fail</t>
  </si>
  <si>
    <t>Output - Charts</t>
  </si>
  <si>
    <t>Tariff</t>
  </si>
  <si>
    <t>Component</t>
  </si>
  <si>
    <t>Residual Cost Charts</t>
  </si>
  <si>
    <t>Power and Water Corporation</t>
  </si>
  <si>
    <t>Pricing Model - Power and Water Corporation</t>
  </si>
  <si>
    <t>Compliance Checks</t>
  </si>
  <si>
    <t>This section projects the unders and overs account balance that forms part of the price control mechanism.  Tariffs should be set in a way that seeks to reduce the balance to zero by the end of the relevant tariff compliance year.</t>
  </si>
  <si>
    <t>Account</t>
  </si>
  <si>
    <t>Account Balance</t>
  </si>
  <si>
    <t>This section compares the revenue forecast for each tariff class and year of the regulatory period against the estimated stand alone and avoidable costs.  If revenue is below stand alone cost or above avoidable cost then the check is failed.</t>
  </si>
  <si>
    <t>If the balance is forecast to be non-zero, then the check is failed.</t>
  </si>
  <si>
    <t>Forecast Revenue by Tariff Type</t>
  </si>
  <si>
    <t>FY</t>
  </si>
  <si>
    <t>Check for errors</t>
  </si>
  <si>
    <t>Summary</t>
  </si>
  <si>
    <t>Tariff Type</t>
  </si>
  <si>
    <t>Below</t>
  </si>
  <si>
    <t>Other Inputs</t>
  </si>
  <si>
    <t>Determination Values</t>
  </si>
  <si>
    <t>This sheet forecasts stand alone and avoidable costs for each network element and tariff class.</t>
  </si>
  <si>
    <t>Detail</t>
  </si>
  <si>
    <t>Network cost allocation</t>
  </si>
  <si>
    <t>Forecast revenue</t>
  </si>
  <si>
    <t>Total revenue</t>
  </si>
  <si>
    <t>This section calculates the stand alone and avoidable network costs by multiplying forecast revenue by two factors.  The first allocates that revenue over the network cost element.  The second identifies the share of costs that could be considered either stand alone or avoidable.</t>
  </si>
  <si>
    <t>Stand alone costs are those that would be incurred if a service provider were only providing services to a given tariff class.  Avoidable costs are those that could be avoided if those services were no longer provided.</t>
  </si>
  <si>
    <t>Forecast Revenue</t>
  </si>
  <si>
    <t>Revenue by Tariff Type</t>
  </si>
  <si>
    <t>Index</t>
  </si>
  <si>
    <t>Inflation Adjustment</t>
  </si>
  <si>
    <t>Residual Costs by Tariff Type</t>
  </si>
  <si>
    <t>Allocators</t>
  </si>
  <si>
    <t>Simplified</t>
  </si>
  <si>
    <t>Residual Costs</t>
  </si>
  <si>
    <t>This section calculates residual costs as the difference between forecast revenue (from the 'Output_Revenue' sheet) and forecast LRMC revenue (from the 'Calc_LRMC_Tariff' sheet).</t>
  </si>
  <si>
    <t>This sheet forecasts residual costs for each tariff and tariff type.  It also calculates the percentage allocation of residual costs across tariffs and tariff types.</t>
  </si>
  <si>
    <t>This section calculates the allocation of residual costs across tariffs and tariff types for each year.</t>
  </si>
  <si>
    <t>Allocation Across Tariffs and Tariff Types</t>
  </si>
  <si>
    <t>LRMC</t>
  </si>
  <si>
    <t>This sheet forecasts long-run marginal costs for each tariff and tariff type.  This is done by multiplying forecast volumes for each tariff and tariff type by the corresponding LRMC tariff.</t>
  </si>
  <si>
    <t>LRMC Tariffs</t>
  </si>
  <si>
    <t>The resulting revenue forecast is referred to as 'LRMC Revenue'.</t>
  </si>
  <si>
    <t>LRMC tariffs are input to the 'Inputs_Other' sheet and calculated in PWC's separate LRMC model.  As those tariffs are in $2019 they are indexed to the to $nominal for each year.</t>
  </si>
  <si>
    <t>x Volumes</t>
  </si>
  <si>
    <t>= LRMC Revenue</t>
  </si>
  <si>
    <t>Demand Data</t>
  </si>
  <si>
    <t>Cost Allocation Inputs</t>
  </si>
  <si>
    <t>LV Distribution Factor</t>
  </si>
  <si>
    <t>Combined</t>
  </si>
  <si>
    <t>Allowed Revenue Allocation</t>
  </si>
  <si>
    <t>Maximum allowed revenue</t>
  </si>
  <si>
    <t>Allocated Costs</t>
  </si>
  <si>
    <t>This sheet allocates maximum allowed revenue across tariffs to allow comparison against forecast revenue.  This is a proxy for the efficient cost allocation for each tariff.</t>
  </si>
  <si>
    <t>Maximum allowed revenue is sourced from the 'Output_AER_Compliance' sheet and includes any under or over recovery that is included in the unders and overs account.</t>
  </si>
  <si>
    <t>Revenue is allocated using cost-based allocators calculated below.</t>
  </si>
  <si>
    <t>Cost-based Allocators</t>
  </si>
  <si>
    <t>This sub-section sources the NMI count and coincident maximum demand data from the 'Inputs_Other' sheet.  This demand related data is used to determine the cost-based allocators.</t>
  </si>
  <si>
    <t>Network Cost Weights</t>
  </si>
  <si>
    <t>Weight</t>
  </si>
  <si>
    <t xml:space="preserve">This sub-section calculates the cost-based allocators by first determining allocators for each network element (e.g. transmission, zone substations) by tariff.  </t>
  </si>
  <si>
    <t>The allocators for the LV distribution element are based on NMI count and are adjusted for the assumed low voltage distribution factors that apply to each tariff.</t>
  </si>
  <si>
    <t>Aggregating the weights for each network element gives the combined cost based allocators, which sum to 100% for a given year.</t>
  </si>
  <si>
    <t>Allocated Revenue</t>
  </si>
  <si>
    <t>Revenue by Tariff</t>
  </si>
  <si>
    <t>Comparison Charts</t>
  </si>
  <si>
    <t>Maximum Allowed Revenue</t>
  </si>
  <si>
    <t>Comparison Year:</t>
  </si>
  <si>
    <t>This sheet lets the model user assess both the residual cost and forecast revenue allocation across tariffs for a nominated comparison year.</t>
  </si>
  <si>
    <t>Forecast Revenue Chart</t>
  </si>
  <si>
    <t>Output - AER Compliance</t>
  </si>
  <si>
    <t>Output - Forecast Revenue</t>
  </si>
  <si>
    <t>This sheet inputs various values used in the model to calculate stand alone costs, avoidable costs, and residual costs, and to allocate revenues across tariffs.</t>
  </si>
  <si>
    <t>LRMC Inputs</t>
  </si>
  <si>
    <t>Stand-alone and Avoidable Cost Inputs</t>
  </si>
  <si>
    <t>Usage</t>
  </si>
  <si>
    <t>This section inputs LRMC estimates by tariff and charging parameter.  These are sourced from PWC's LRMC model and are used to calculate the estimated LRMC for each tariff.</t>
  </si>
  <si>
    <t>This section inputs assumptions used to estimate stand alone and avoidable cost for each tariff class.</t>
  </si>
  <si>
    <t>The third sub-section includes network cost weights, which are used to allocate costs across network elements (e.g. transmission, zone substations etc).</t>
  </si>
  <si>
    <t>This section inputs assumptions and data used to allocate maximum allowed revenue (a proxy for efficient costs) across tariffs.  The first and second subsections include NMI count and coincident demand forecasts respectively.</t>
  </si>
  <si>
    <t>The fourth sub-section includes LV distribution network weights, which are used to weight NMI counts when determining what share of maximum allowed revenue to allocate to LV distribution.</t>
  </si>
  <si>
    <t>Model Diagram</t>
  </si>
  <si>
    <t>Calculation - Allocated Cost</t>
  </si>
  <si>
    <t>Inflation</t>
  </si>
  <si>
    <t>ABS</t>
  </si>
  <si>
    <t>Consumer Price Index</t>
  </si>
  <si>
    <t>Quarter</t>
  </si>
  <si>
    <t>X-Factor</t>
  </si>
  <si>
    <t>Annual Adjustments</t>
  </si>
  <si>
    <t>X-Factors</t>
  </si>
  <si>
    <t>2020-21 update</t>
  </si>
  <si>
    <t>2021-22 update</t>
  </si>
  <si>
    <t>2022-23 update</t>
  </si>
  <si>
    <t>2023-24 update</t>
  </si>
  <si>
    <t>Rate of return</t>
  </si>
  <si>
    <t>Real vanilla WACC</t>
  </si>
  <si>
    <t>Nominal vanilla WACC</t>
  </si>
  <si>
    <t>Final decision</t>
  </si>
  <si>
    <t>Most recent</t>
  </si>
  <si>
    <t>Note: uses the latest X factors available, including from any return on debt updates</t>
  </si>
  <si>
    <t>Note: uses the latest real vanilla WACC available, including from any return on debt updates</t>
  </si>
  <si>
    <t>Note: nominal rate of return updated to reflect actual inflation</t>
  </si>
  <si>
    <t>This section inputs values from relevant network price determinations, including for annual return on debt updates.  The first sub-section inputs inflation inputs.  The second sub-section inputs revenue, X-factor and rate of return values.</t>
  </si>
  <si>
    <t>Annual smoothed revenue requirement</t>
  </si>
  <si>
    <t>Note: set to zero as per Appendix B of Attachment 13 of the Distribution Determination.</t>
  </si>
  <si>
    <t>Under/Over Recovery</t>
  </si>
  <si>
    <t>Revenue deliberately under-recovered in year</t>
  </si>
  <si>
    <t>(A) Revenue from DUoS</t>
  </si>
  <si>
    <r>
      <rPr>
        <i/>
        <sz val="10"/>
        <rFont val="Helvetica"/>
      </rPr>
      <t>less</t>
    </r>
    <r>
      <rPr>
        <sz val="10"/>
        <rFont val="Helvetica"/>
      </rPr>
      <t xml:space="preserve"> (B) Allowable Revenue for regulatory year</t>
    </r>
  </si>
  <si>
    <t xml:space="preserve">(A minus B plus C) Under/over recovery </t>
  </si>
  <si>
    <r>
      <rPr>
        <i/>
        <sz val="10"/>
        <color theme="1"/>
        <rFont val="Helvetica"/>
      </rPr>
      <t>plus</t>
    </r>
    <r>
      <rPr>
        <sz val="10"/>
        <color theme="1"/>
        <rFont val="Helvetica"/>
        <family val="2"/>
      </rPr>
      <t xml:space="preserve"> (C) Revenue deliberately under-recovered in year</t>
    </r>
  </si>
  <si>
    <t>Projected Closing Balance Close to Zero</t>
  </si>
  <si>
    <t>Price Change</t>
  </si>
  <si>
    <t>Side Constraint</t>
  </si>
  <si>
    <t>Constraint</t>
  </si>
  <si>
    <t>Price change</t>
  </si>
  <si>
    <t>Constraint Factor</t>
  </si>
  <si>
    <t>Components</t>
  </si>
  <si>
    <t>Expected revenues for regulatory year t-1</t>
  </si>
  <si>
    <t>Expected revenues for regulatory year t</t>
  </si>
  <si>
    <t>Incentive Scheme Adjustments (I't)</t>
  </si>
  <si>
    <t>Annual Adjustment Factors (B't)</t>
  </si>
  <si>
    <t>Approved Pass Through Amounts (C't)</t>
  </si>
  <si>
    <t>Pricing side constraint factor</t>
  </si>
  <si>
    <t>Note: expected revenues for year t for a given tariff class calculated by multiplying quantities for year t against prices for year t-1 for each component and tariff of that class</t>
  </si>
  <si>
    <t>This section compares the proposed price change for each tariff class and regulatory year against the side constraint.  If the price change is greater than the side constraint, then the check is failed. The side constraint only applies from year 2 of the regulatory period.</t>
  </si>
  <si>
    <t>The fourth sub-section inputs annual adjustments.  And the fifth sub-section inputs revenue and other inputs used to set up the unders and overs account.</t>
  </si>
  <si>
    <t>Note: these values are from the Utilities Commission determination, adjusted for actual inflation.</t>
  </si>
  <si>
    <t>Formula Inputs</t>
  </si>
  <si>
    <t>Check 2: Unders and Overs Account Balance</t>
  </si>
  <si>
    <t>Check 3: Side Constraint</t>
  </si>
  <si>
    <t>Check 4: Stand Alone and Avoidable Costs</t>
  </si>
  <si>
    <r>
      <t xml:space="preserve">The </t>
    </r>
    <r>
      <rPr>
        <b/>
        <sz val="8"/>
        <color theme="4"/>
        <rFont val="Helvetica"/>
      </rPr>
      <t>second</t>
    </r>
    <r>
      <rPr>
        <sz val="8"/>
        <color theme="4"/>
        <rFont val="Helvetica"/>
        <family val="2"/>
      </rPr>
      <t xml:space="preserve"> check is that the projected balance of the unders and overs account is zero for the relevant tariff compliance year.</t>
    </r>
  </si>
  <si>
    <r>
      <t xml:space="preserve">The </t>
    </r>
    <r>
      <rPr>
        <b/>
        <sz val="8"/>
        <color theme="4"/>
        <rFont val="Helvetica"/>
      </rPr>
      <t>third</t>
    </r>
    <r>
      <rPr>
        <sz val="8"/>
        <color theme="4"/>
        <rFont val="Helvetica"/>
        <family val="2"/>
      </rPr>
      <t xml:space="preserve"> check is that the project revenue for each tariff class does not increase by more than the side constraint.</t>
    </r>
  </si>
  <si>
    <r>
      <t xml:space="preserve">The </t>
    </r>
    <r>
      <rPr>
        <b/>
        <sz val="8"/>
        <color theme="4"/>
        <rFont val="Helvetica"/>
      </rPr>
      <t>fourth</t>
    </r>
    <r>
      <rPr>
        <sz val="8"/>
        <color theme="4"/>
        <rFont val="Helvetica"/>
        <family val="2"/>
      </rPr>
      <t xml:space="preserve"> check is that projected revenue for each of the three tariff classes falls between stand alone and avoidable costs.</t>
    </r>
  </si>
  <si>
    <t>Forecast Inflation (from final decision)</t>
  </si>
  <si>
    <t>This sheet tests whether the projected revenue satisfies four checks.</t>
  </si>
  <si>
    <t>Overall</t>
  </si>
  <si>
    <t>Maximum Allowable Revenue</t>
  </si>
  <si>
    <t>Maximum Allowable Revenue (MAR)</t>
  </si>
  <si>
    <t>Total MAR</t>
  </si>
  <si>
    <t>Forecast Revenue Not Exceed Maximum Allowable Revenue</t>
  </si>
  <si>
    <t>Check 1: Maximum Allowable Revenue</t>
  </si>
  <si>
    <r>
      <t xml:space="preserve">The </t>
    </r>
    <r>
      <rPr>
        <b/>
        <sz val="8"/>
        <color theme="4"/>
        <rFont val="Helvetica"/>
      </rPr>
      <t>first</t>
    </r>
    <r>
      <rPr>
        <sz val="8"/>
        <color theme="4"/>
        <rFont val="Helvetica"/>
        <family val="2"/>
      </rPr>
      <t xml:space="preserve"> check is that the forecast revenue does not exceed the maximum allowable revenue for the relevant tariff compliance year.</t>
    </r>
  </si>
  <si>
    <t>Output - Tariffs</t>
  </si>
  <si>
    <t>Standard Control Services indicative tariffs 2019‐2024</t>
  </si>
  <si>
    <t>Charge</t>
  </si>
  <si>
    <t>2019‐20</t>
  </si>
  <si>
    <t>2020‐21</t>
  </si>
  <si>
    <t>2021‐22</t>
  </si>
  <si>
    <t>2022‐23</t>
  </si>
  <si>
    <t>2023‐24</t>
  </si>
  <si>
    <t>Basis of charging</t>
  </si>
  <si>
    <t>Time period</t>
  </si>
  <si>
    <t>Indicative charge</t>
  </si>
  <si>
    <t>$ per day per NMI</t>
  </si>
  <si>
    <t>anytime</t>
  </si>
  <si>
    <r>
      <t>peak</t>
    </r>
    <r>
      <rPr>
        <vertAlign val="superscript"/>
        <sz val="10"/>
        <rFont val="Calibri"/>
        <family val="2"/>
      </rPr>
      <t>1</t>
    </r>
  </si>
  <si>
    <t/>
  </si>
  <si>
    <t>Tariff 7: HV Majors Tariff</t>
  </si>
  <si>
    <t>Tariff 6: HV Minors Tariff</t>
  </si>
  <si>
    <t>Tariff 5: LV Majors Tariff</t>
  </si>
  <si>
    <t>Tariff 4: Unmetered Tariff</t>
  </si>
  <si>
    <t>Tariff 3: LV Smart Meter Tariff</t>
  </si>
  <si>
    <t>Tariff 2: Non-residential Tariff</t>
  </si>
  <si>
    <t>Tariff 1: Residential Tariff</t>
  </si>
  <si>
    <t>$/kVA/month</t>
  </si>
  <si>
    <t>$/kWh</t>
  </si>
  <si>
    <t>Anytime Energy Charge</t>
  </si>
  <si>
    <t>SAC 
$ / day / NMI</t>
  </si>
  <si>
    <t>$/day/meter</t>
  </si>
  <si>
    <t>Dedicated CT and VT meters</t>
  </si>
  <si>
    <t>3 Phase Meters</t>
  </si>
  <si>
    <t>1 Phase Meters (including Prepayment)</t>
  </si>
  <si>
    <t>Annual Charge</t>
  </si>
  <si>
    <t>Price</t>
  </si>
  <si>
    <t>Metering service provision charges (for Types 1 – 6 meters)</t>
  </si>
  <si>
    <t>Table 11: ACS metering pricing parameters</t>
  </si>
  <si>
    <t>* Includes ACS Metering</t>
  </si>
  <si>
    <t>Large Industrial (6,000,000 kWh pa - HV)</t>
  </si>
  <si>
    <t>Industrial (1,000,000 kWh pa - LV)</t>
  </si>
  <si>
    <t>Smart Meter (30,000 kWh pa) (non-residential)</t>
  </si>
  <si>
    <t>Non-Residential Accumulation Meter (30,000 kWh pa)</t>
  </si>
  <si>
    <t>Large Residential Smart Meter (15,000 kWh pa)</t>
  </si>
  <si>
    <t>Large Residential Accumulation Meter (15,000 kWh pa)</t>
  </si>
  <si>
    <t>Small Residential - average energy - Smart Meter (8500 kWh pa)</t>
  </si>
  <si>
    <t>Small Residential - average energy - Accumulation Meter (8500 kWh pa)</t>
  </si>
  <si>
    <t>%</t>
  </si>
  <si>
    <t>$</t>
  </si>
  <si>
    <t>Bill Movement</t>
  </si>
  <si>
    <t>Network Bill+</t>
  </si>
  <si>
    <t xml:space="preserve">Customer Type </t>
  </si>
  <si>
    <t>LV &gt;750 MWh</t>
  </si>
  <si>
    <t xml:space="preserve">LV&lt; 750 MWh </t>
  </si>
  <si>
    <t>S/kVA</t>
  </si>
  <si>
    <t>Avoidable cost</t>
  </si>
  <si>
    <t>Forecast 2019/20 tariff revenues</t>
  </si>
  <si>
    <t>Stand-alone cost</t>
  </si>
  <si>
    <t>LV&gt;750 MWh</t>
  </si>
  <si>
    <t>LV&lt; 750 MWh</t>
  </si>
  <si>
    <t>Tariff class</t>
  </si>
  <si>
    <t>Revenue and cost measures</t>
  </si>
  <si>
    <t>Customers connected to the HV network consuming greater than 750MWh p.a. per NMI</t>
  </si>
  <si>
    <t>Customers connected to the HV network consuming less than 750MWh p.a. per NMI</t>
  </si>
  <si>
    <t>HV*</t>
  </si>
  <si>
    <t>Customers connected to the LV network consuming greater than 750MWh p.a. per NMI</t>
  </si>
  <si>
    <t>LV &gt;750MWh*</t>
  </si>
  <si>
    <t>Unmetered supply (for street lighting, traffic lights and other unmetered devices)</t>
  </si>
  <si>
    <t>Customers consuming less than 750MWh p.a. per NMI with smart meters</t>
  </si>
  <si>
    <t>Non‐residential customers consuming less than 750MWh p.a. per NMI with standard accumulation meters</t>
  </si>
  <si>
    <t>Residential customers consuming less than 750MWh p.a. per NMI with standard accumulation meters</t>
  </si>
  <si>
    <t>Description of tariffs</t>
  </si>
  <si>
    <t>In the AER’s TAR formula, this value is the Annual adjustments (Bt) parameter.  However, the AER requires that when using this pro-forma unders and overs account format it to be set to zero to balance out.</t>
  </si>
  <si>
    <t xml:space="preserve">[1] </t>
  </si>
  <si>
    <t>**estimate.</t>
  </si>
  <si>
    <t>*actual outcome.</t>
  </si>
  <si>
    <t>Nominal WACC</t>
  </si>
  <si>
    <t>SCS unders and overs account</t>
  </si>
  <si>
    <t xml:space="preserve">Under/over recovery </t>
  </si>
  <si>
    <t>- Revenue deliberately under-recovered in year</t>
  </si>
  <si>
    <t>less allowable revenue for regulatory year</t>
  </si>
  <si>
    <t>+ Cost pass through amounts (Ct)</t>
  </si>
  <si>
    <t>+ Annual adjustments (Bt)</t>
  </si>
  <si>
    <t>+ DMIS adjustments (It)</t>
  </si>
  <si>
    <t>+ Adjusted annual smoothed revenue (AARt)</t>
  </si>
  <si>
    <t xml:space="preserve">Revenue from SCS </t>
  </si>
  <si>
    <t>t</t>
  </si>
  <si>
    <t>t-1</t>
  </si>
  <si>
    <t>t-2</t>
  </si>
  <si>
    <r>
      <t> </t>
    </r>
    <r>
      <rPr>
        <i/>
        <sz val="11"/>
        <color rgb="FF000000"/>
        <rFont val="Calibri"/>
        <family val="2"/>
        <scheme val="minor"/>
      </rPr>
      <t>Pricing year</t>
    </r>
  </si>
  <si>
    <t>Result of applying the revenue cap formula in section 13.4.6 of AER’s draft decision (which was retained in the final decision).</t>
  </si>
  <si>
    <t>Total Allowable Revenue</t>
  </si>
  <si>
    <t>Calculated from applying the unders and overs account using the AER’s required approach – see section 3.2.3</t>
  </si>
  <si>
    <t xml:space="preserve">The DMIS was not applied during the current regulatory control period and this is the first year of the new regulatory control period, so there is no DMIS related expenditure – see section 3.2.2 </t>
  </si>
  <si>
    <t>Taken from the AER’s final determination – see section 3.2.1</t>
  </si>
  <si>
    <t>Value</t>
  </si>
  <si>
    <t>Compliant</t>
  </si>
  <si>
    <t>¢/day/NMI</t>
  </si>
  <si>
    <t>System Access Charge</t>
  </si>
  <si>
    <t xml:space="preserve">Real </t>
  </si>
  <si>
    <t>Indicative tariffs (excludes GST)</t>
  </si>
  <si>
    <t>[2] NMI - National Meter Identifier which is allocated to each customer’s connection. SAC - System Access Charge.</t>
  </si>
  <si>
    <t>[3] Note that customers are also subject to metering charges, as Table 10 in the main report.</t>
  </si>
  <si>
    <t>T1: Residential Tariff</t>
  </si>
  <si>
    <t>T2: Non-Residential Tariff</t>
  </si>
  <si>
    <t>T3: LV Smart meter Tariff</t>
  </si>
  <si>
    <t>T6: HV Minors Tariff</t>
  </si>
  <si>
    <t>T5: LV Majors Tariff</t>
  </si>
  <si>
    <t>T7: HV Majors Tariff</t>
  </si>
  <si>
    <t>T4: Unmetered Tariff</t>
  </si>
  <si>
    <t xml:space="preserve">[1] The peak period rates apply to usage between 12pm and 9pm on any weekday, including public holidays.  For smart meter customer peak charges apply from 1 October through 31 March. For other customers peak charges are applied yearly.
</t>
  </si>
  <si>
    <t>Consumption Tariffs</t>
  </si>
  <si>
    <t>LV &gt;750MWh (top tier)</t>
  </si>
  <si>
    <t>SAC Tariff</t>
  </si>
  <si>
    <t>Peak Demand Tariff</t>
  </si>
  <si>
    <t>HV &gt;750MWh (top tier)</t>
  </si>
  <si>
    <t>Revised Regulatory Proposal Tariffs</t>
  </si>
  <si>
    <t>HV &gt;750MWh (top Tier)</t>
  </si>
  <si>
    <t>Power and Water Corporation (PWC) - Network Pricing Model</t>
  </si>
  <si>
    <t>No Errors Found</t>
  </si>
  <si>
    <t>This sheet tariffs by tariff type.  The units vary across the types.  All tariffs are in $nominal.</t>
  </si>
  <si>
    <t xml:space="preserve">This sheet inputs volumes by tariff type.  The units vary across the types. </t>
  </si>
  <si>
    <t>The purpose of this model is to assesses tariffs applicable to Power and Water Corporation customers and demonstrate compliance with AER requirements.</t>
  </si>
  <si>
    <t>Output - Pricing Proposal</t>
  </si>
  <si>
    <t>Network Bill</t>
  </si>
  <si>
    <t>Excluding GST</t>
  </si>
  <si>
    <t>GST Adjustment</t>
  </si>
  <si>
    <t>Including GST</t>
  </si>
  <si>
    <t>Index (Weighted Average for the eight capital cities)</t>
  </si>
  <si>
    <t>Annual Smoothed Revenue Requirement, X-factors, Real Vanilla WACC and Side Constraint</t>
  </si>
  <si>
    <t>Charging Parameter</t>
  </si>
  <si>
    <t>This sheet forecasts revenue by tariff type, calculated by multiplying forecast prices by forecast volumes from the 'Inputs_Prices' and 'Inputs_Volumes' sheets.</t>
  </si>
  <si>
    <t>Component index</t>
  </si>
  <si>
    <t>This is done using the most appropriate demand based allocator (e.g. NMI count or coincident demand) and scaling the result for an assumed network element weight.</t>
  </si>
  <si>
    <t>This sheet outputs forecast revenue by tariff type and tariff assignment.  This is useful to understand how revenue has and is projected to change over time.</t>
  </si>
  <si>
    <t>Tariff Compliance Year:</t>
  </si>
  <si>
    <t>Note: uses actual inflation where available and forecast inflation from the Distribution Determination where not.</t>
  </si>
  <si>
    <t>TSS LRMC estimate $/kVA per month</t>
  </si>
  <si>
    <t>LV &gt;750MWh Off-peak Demand</t>
  </si>
  <si>
    <t>HV &gt;750MWh Peak Demand</t>
  </si>
  <si>
    <t xml:space="preserve">HV &gt;750MWh Off-peak Demand </t>
  </si>
  <si>
    <t>LV &gt;750MWh Peak Demand</t>
  </si>
  <si>
    <t>Diversified LRMC by Tariff*</t>
  </si>
  <si>
    <t>FY21</t>
  </si>
  <si>
    <t>Note: these values are from the Utilities Commission determination</t>
  </si>
  <si>
    <t>Revenue Input Type</t>
  </si>
  <si>
    <t>Estimate</t>
  </si>
  <si>
    <t>LU_Revenue_Input</t>
  </si>
  <si>
    <t>No Input</t>
  </si>
  <si>
    <t>No_Input</t>
  </si>
  <si>
    <t>Note: actual or estimated revenue is used where input in the 'Inputs_Other' sheet, otherwise calculated revenues from the 'Output_Revenue' sheet are used.</t>
  </si>
  <si>
    <t>Unders and Overs Account Inputs</t>
  </si>
  <si>
    <t>Opening unders and overs account balance from prior period</t>
  </si>
  <si>
    <t>Adjusted annual smoothed revenue (AARt) from prior period</t>
  </si>
  <si>
    <t>Now</t>
  </si>
  <si>
    <t>Last year</t>
  </si>
  <si>
    <t>Pricing Year:</t>
  </si>
  <si>
    <t>kva</t>
  </si>
  <si>
    <t>kwh</t>
  </si>
  <si>
    <t>Total bill</t>
  </si>
  <si>
    <t>Meter</t>
  </si>
  <si>
    <t>Volumes</t>
  </si>
  <si>
    <t>* Dervied from LRMC estimates in PowerWater, Tariff Structure Statement, 01 April 2019, pg 16</t>
  </si>
  <si>
    <t>Table 3: 2020-21 SCS revenue cap inputs and outcome ($M)</t>
  </si>
  <si>
    <t>Table 2: Network tariff classes and tariffs</t>
  </si>
  <si>
    <t>Table 4: 2020-21 unders and overs account outcome ($M)</t>
  </si>
  <si>
    <t>Table 8: Long‐run marginal cost estimates (real $2018‐19)</t>
  </si>
  <si>
    <t>Table 5: Method to forecast customer, energy and demand volumes in 2020-21</t>
  </si>
  <si>
    <t>Steps</t>
  </si>
  <si>
    <t xml:space="preserve">Approach </t>
  </si>
  <si>
    <r>
      <t>Step 1</t>
    </r>
    <r>
      <rPr>
        <sz val="10"/>
        <color rgb="FF000000"/>
        <rFont val="Calibri"/>
        <family val="2"/>
      </rPr>
      <t xml:space="preserve"> -Estimate 2019-20 data based on 1 July to 31 December 2019 actual data</t>
    </r>
  </si>
  <si>
    <t xml:space="preserve">For customers with consumption above 750MWh, we used monthly data from smart meters from 1 July 2019 to 31 December 2019 to calculate actual consumption, demand and NMIs at 31 December 2020. We then used this as the basis of NMIs, and doubled the energy and demand to get full year estimates. </t>
  </si>
  <si>
    <t xml:space="preserve">For small customers, we assumed the same NMIs in our 2019-20 pricing proposal, but made some small adjustments to reflect that a smaller number of customers have moved onto smart meters. We have used large customers as a proxy to calculate the actual energy and demand compared to forecast. </t>
  </si>
  <si>
    <r>
      <t>Step 2</t>
    </r>
    <r>
      <rPr>
        <sz val="10"/>
        <color rgb="FF000000"/>
        <rFont val="Calibri"/>
        <family val="2"/>
      </rPr>
      <t xml:space="preserve"> -Forecast percentage change between 2019-20 and 2020-21</t>
    </r>
  </si>
  <si>
    <t xml:space="preserve">We have used the estimate in 2019-20 to re-base our forecasts. </t>
  </si>
  <si>
    <t xml:space="preserve">For NMIs we applied the rate of growth in AEMO’s forecasts for our 2019-24 regulatory determination (AEMO forecast). We considered this still provided the best outlook of customer growth, and the impact is immaterial. </t>
  </si>
  <si>
    <t xml:space="preserve">For consumption and demand, we applied the forecast growth in AEMO’s forecast, but then applied an additional reduction based on the trend in 2019-20. The result is a 2% decline in consumption and 1% increase in demand. </t>
  </si>
  <si>
    <t xml:space="preserve">Table 6: Key NMI, energy &amp; demand forecasts </t>
  </si>
  <si>
    <t>2019-20</t>
  </si>
  <si>
    <t>2020/21</t>
  </si>
  <si>
    <t>Parameter</t>
  </si>
  <si>
    <t>Forecast in 2019-20 pricing proposal</t>
  </si>
  <si>
    <t>Estimate 2019-20</t>
  </si>
  <si>
    <t>Forecast in 2020-21 proposal</t>
  </si>
  <si>
    <t>Energy (GWh)</t>
  </si>
  <si>
    <r>
      <t>Peak demand (MVA)*</t>
    </r>
    <r>
      <rPr>
        <sz val="8"/>
        <color rgb="FF000000"/>
        <rFont val="Calibri"/>
        <family val="2"/>
      </rPr>
      <t> </t>
    </r>
  </si>
  <si>
    <t>NMIs</t>
  </si>
  <si>
    <t>Table 7: Method to forecast customer, energy and demand volumes in 2020-21</t>
  </si>
  <si>
    <t>Daily SAC charge</t>
  </si>
  <si>
    <t xml:space="preserve">For each tariff grouping we are proposing to increase SAC significantly, as per our strategy in the AER approved TSS. The most material change is for residential customers on accumulation meters. This is to slowly align the SAC with non-residential and smart meter customers.  </t>
  </si>
  <si>
    <t xml:space="preserve">Energy charges </t>
  </si>
  <si>
    <t xml:space="preserve">We are proposing to reduce the energy charge for each tariff grouping as per our approved TSS.  The reduction is similar across tariff groupings but the largest reductions are for customers on smart meters, to ensure that customers on all tariffs on average receive a price reduction. </t>
  </si>
  <si>
    <t>Demand charges</t>
  </si>
  <si>
    <t>Overall, we expect to collect a greater proportion of revenue from demand charges compared to 2019-20. However in absolute terms we will be collecting less revenue due to the significant reduction in overall revenue. Our demand charges vary by tariff grouping and are aimed at gradually aligning our charges with LRMC consistent with our AER approved TSS. 
We will significantly increase the demand charge for low voltage large customers, where we are significantly below the LRMC. 
We are reducing the demand charge for low voltage smart customers, where we are currently above the LRMC. This also helps ensure that there is not a disincentive to be on a smart meter tariff compared to an accumulation tariff, consistent with our approach in the TSS. 
We are also marginally increasing the demand charge for high voltage large and small customers to align with LRMC estimates.</t>
  </si>
  <si>
    <t>Terms</t>
  </si>
  <si>
    <t xml:space="preserve">Source </t>
  </si>
  <si>
    <t xml:space="preserve">Inflation update </t>
  </si>
  <si>
    <t xml:space="preserve">Consistent with AER prescribed method we have updated inflation forecasts for 2020-21 to reflect the December 2019 ABS updates. Note this is consistent with SCS.  </t>
  </si>
  <si>
    <t>X-factor for metering services (Type 1 to 6)</t>
  </si>
  <si>
    <t>Consistent with AER final decision on page 21 of Attachment 15 (Table 15.7)</t>
  </si>
  <si>
    <t>X-factor re-connection, disconnection and final read</t>
  </si>
  <si>
    <t>Consistent with AER final decision on page 20 of Attachment 15 (Table 15.6)</t>
  </si>
  <si>
    <t>X-factor for all other services to apply to 2020-21</t>
  </si>
  <si>
    <t>Consistent with AER final decision on page on page 20 of Attachment 15 (Table 15.6)</t>
  </si>
  <si>
    <t>Table 9: ACS pricing parameters</t>
  </si>
  <si>
    <t>ACS Fee Based Services Pricing Parameters</t>
  </si>
  <si>
    <t>Fee based service provision charges</t>
  </si>
  <si>
    <t>$/request</t>
  </si>
  <si>
    <t>Table 11: ACS quoted services - Price list in 2020-21 - labour only (Nominal $, excluding GST)</t>
  </si>
  <si>
    <t>Quoted services provision charges</t>
  </si>
  <si>
    <t>$/hour</t>
  </si>
  <si>
    <t>* Cost of Prepayment meter software will be on charged according to customer requirements. Admin rate to be used to process cost recovery.</t>
  </si>
  <si>
    <t>Table 13: Stand‐alone and avoidable cost ($M per year)</t>
  </si>
  <si>
    <t>Values</t>
  </si>
  <si>
    <t>% change in revenue</t>
  </si>
  <si>
    <t xml:space="preserve">Table 19: Indicative price schedule for SCS (nominal $, excluding GST) </t>
  </si>
  <si>
    <t>Indicative</t>
  </si>
  <si>
    <t xml:space="preserve">Tariff 1: Residential </t>
  </si>
  <si>
    <t xml:space="preserve">Tariff 2: Non-residential </t>
  </si>
  <si>
    <t xml:space="preserve">Tariff 3: LV Smart Meter </t>
  </si>
  <si>
    <t xml:space="preserve">Tariff 4: Unmetered </t>
  </si>
  <si>
    <t xml:space="preserve">Tariff 5: LV Majors </t>
  </si>
  <si>
    <t xml:space="preserve">Tariff 6: HV Minors </t>
  </si>
  <si>
    <t xml:space="preserve">Tariff 7: HV Majors </t>
  </si>
  <si>
    <t>$/Year/Meter</t>
  </si>
  <si>
    <t xml:space="preserve">Table 20: Indicative price schedule for ACS Metering services (nominal $, excluding GST) </t>
  </si>
  <si>
    <t xml:space="preserve">Table 22: Indicative price schedule for ACS Fee based services (nominal $, excluding 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</si>
</sst>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8" formatCode="&quot;$&quot;#,##0.00;[Red]\-&quot;$&quot;#,##0.00"/>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quot;$&quot;#,##0_);\(&quot;$&quot;#,##0\);_(&quot;-&quot;_)"/>
    <numFmt numFmtId="176" formatCode="&quot;$&quot;#,##0.00"/>
    <numFmt numFmtId="177" formatCode="_(#,##0.000_);\(#,##0.000\);_(&quot;-&quot;_)"/>
    <numFmt numFmtId="178" formatCode="_(#,##0.00%_);\(#,##0.00%\);_(&quot;-&quot;_)"/>
    <numFmt numFmtId="179" formatCode="_(#,##0%_);\(#,##0%\);_(&quot;-&quot;_)"/>
    <numFmt numFmtId="180" formatCode="0.0%"/>
    <numFmt numFmtId="181" formatCode="mmm\-yyyy"/>
    <numFmt numFmtId="182" formatCode="0.000"/>
    <numFmt numFmtId="183" formatCode="#,##0,,;[Red]\-#,##0,,"/>
    <numFmt numFmtId="184" formatCode="#,##0,;[Red]\-#,##0,,"/>
    <numFmt numFmtId="185" formatCode="#,##0.000;[Red]\-#,##0.000;\-"/>
    <numFmt numFmtId="186" formatCode="#,##0.00000;[Red]\-#,##0.00000;\-"/>
    <numFmt numFmtId="187" formatCode="&quot;$&quot;#,##0.0000;[Red]\-&quot;$&quot;#,##0.0000"/>
    <numFmt numFmtId="188" formatCode="_-* #,##0.0_-;\-* #,##0.0_-;_-* &quot;-&quot;??_-;_-@_-"/>
    <numFmt numFmtId="189" formatCode="#,##0,;[Red]\-#,##0,;0"/>
    <numFmt numFmtId="190" formatCode="#,##0.0,;[Red]\-#,##0.0,;0.0"/>
    <numFmt numFmtId="191" formatCode="_(#,##0.00_);\(#,##0.00\);_(&quot;-&quot;_)"/>
    <numFmt numFmtId="192" formatCode="_(#,##0.0000_);\(#,##0.0000\);_(&quot;-&quot;_)"/>
    <numFmt numFmtId="193" formatCode="0.0000"/>
    <numFmt numFmtId="194" formatCode="0.00000"/>
  </numFmts>
  <fonts count="90" x14ac:knownFonts="1">
    <font>
      <sz val="8"/>
      <color rgb="FFFF0066"/>
      <name val="Helvetica"/>
      <family val="2"/>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1"/>
      <name val="Helvetica"/>
    </font>
    <font>
      <b/>
      <sz val="10"/>
      <name val="Helvetica"/>
      <family val="2"/>
    </font>
    <font>
      <sz val="10"/>
      <name val="Helvetica"/>
    </font>
    <font>
      <sz val="8"/>
      <color rgb="FFFF0066"/>
      <name val="Helvetica"/>
    </font>
    <font>
      <sz val="10"/>
      <color theme="1"/>
      <name val="Helvetica"/>
    </font>
    <font>
      <i/>
      <sz val="10"/>
      <name val="Helvetica"/>
    </font>
    <font>
      <sz val="8"/>
      <color rgb="FFFF0066"/>
      <name val="Helvetica"/>
      <family val="2"/>
    </font>
    <font>
      <sz val="10"/>
      <color rgb="FFFF0066"/>
      <name val="Calibri"/>
      <family val="2"/>
      <scheme val="minor"/>
    </font>
    <font>
      <sz val="10"/>
      <color theme="0"/>
      <name val="Calibri"/>
      <family val="2"/>
      <scheme val="minor"/>
    </font>
    <font>
      <sz val="10"/>
      <color theme="0" tint="-0.249977111117893"/>
      <name val="Calibri"/>
      <family val="2"/>
      <scheme val="minor"/>
    </font>
    <font>
      <sz val="10"/>
      <color theme="0" tint="-0.249977111117893"/>
      <name val="Calibri"/>
      <family val="2"/>
    </font>
    <font>
      <b/>
      <sz val="10"/>
      <color theme="0" tint="-0.249977111117893"/>
      <name val="Calibri"/>
      <family val="2"/>
      <scheme val="minor"/>
    </font>
    <font>
      <b/>
      <sz val="10"/>
      <color theme="0" tint="-0.249977111117893"/>
      <name val="Calibri"/>
      <family val="2"/>
    </font>
    <font>
      <b/>
      <sz val="10"/>
      <color theme="0"/>
      <name val="Calibri"/>
      <family val="2"/>
      <scheme val="minor"/>
    </font>
    <font>
      <b/>
      <sz val="8"/>
      <color theme="4"/>
      <name val="Helvetica"/>
    </font>
    <font>
      <i/>
      <sz val="8"/>
      <color theme="4"/>
      <name val="Helvetica"/>
    </font>
    <font>
      <b/>
      <i/>
      <sz val="10"/>
      <name val="Helvetica"/>
    </font>
    <font>
      <i/>
      <sz val="10"/>
      <color theme="1"/>
      <name val="Helvetica"/>
    </font>
    <font>
      <b/>
      <sz val="10"/>
      <color rgb="FFFFFFFF"/>
      <name val="Calibri"/>
      <family val="2"/>
    </font>
    <font>
      <sz val="10"/>
      <color rgb="FF231F20"/>
      <name val="Calibri"/>
      <family val="2"/>
    </font>
    <font>
      <sz val="10"/>
      <name val="Calibri"/>
      <family val="2"/>
    </font>
    <font>
      <vertAlign val="superscript"/>
      <sz val="10"/>
      <name val="Calibri"/>
      <family val="2"/>
    </font>
    <font>
      <sz val="8"/>
      <color theme="1"/>
      <name val="Calibri"/>
      <family val="2"/>
      <scheme val="minor"/>
    </font>
    <font>
      <sz val="10"/>
      <color theme="1"/>
      <name val="Calibri"/>
      <family val="2"/>
      <scheme val="minor"/>
    </font>
    <font>
      <b/>
      <sz val="10"/>
      <color rgb="FFFFFFFF"/>
      <name val="Calibri"/>
      <family val="2"/>
      <scheme val="minor"/>
    </font>
    <font>
      <sz val="10"/>
      <color rgb="FF4F81BD"/>
      <name val="Calibri"/>
      <family val="2"/>
      <scheme val="minor"/>
    </font>
    <font>
      <b/>
      <sz val="10"/>
      <color rgb="FF4F81BD"/>
      <name val="Calibri"/>
      <family val="2"/>
      <scheme val="minor"/>
    </font>
    <font>
      <sz val="10"/>
      <name val="Calibri"/>
      <family val="2"/>
      <scheme val="minor"/>
    </font>
    <font>
      <sz val="10"/>
      <color rgb="FF000000"/>
      <name val="Calibri"/>
      <family val="2"/>
    </font>
    <font>
      <sz val="10"/>
      <color rgb="FF000000"/>
      <name val="Calibri"/>
      <family val="2"/>
      <scheme val="minor"/>
    </font>
    <font>
      <sz val="9"/>
      <color rgb="FF000000"/>
      <name val="Calibri"/>
      <family val="2"/>
      <scheme val="minor"/>
    </font>
    <font>
      <sz val="8"/>
      <color theme="0" tint="-0.34998626667073579"/>
      <name val="Helvetica"/>
      <family val="2"/>
    </font>
    <font>
      <sz val="10"/>
      <color theme="0" tint="-0.34998626667073579"/>
      <name val="Calibri"/>
      <family val="2"/>
      <scheme val="minor"/>
    </font>
    <font>
      <sz val="11"/>
      <name val="Goudy Old Style"/>
      <family val="1"/>
    </font>
    <font>
      <b/>
      <sz val="11"/>
      <color rgb="FFFFFFFF"/>
      <name val="Calibri"/>
      <family val="2"/>
      <scheme val="minor"/>
    </font>
    <font>
      <u/>
      <sz val="11"/>
      <color theme="10"/>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i/>
      <sz val="11"/>
      <color rgb="FF00B050"/>
      <name val="Calibri"/>
      <family val="2"/>
      <scheme val="minor"/>
    </font>
    <font>
      <i/>
      <sz val="11"/>
      <color rgb="FF000000"/>
      <name val="Calibri"/>
      <family val="2"/>
      <scheme val="minor"/>
    </font>
    <font>
      <b/>
      <sz val="16"/>
      <color theme="4"/>
      <name val="Calibri"/>
      <family val="2"/>
      <scheme val="minor"/>
    </font>
    <font>
      <b/>
      <sz val="10"/>
      <name val="Calibri"/>
      <family val="2"/>
      <scheme val="minor"/>
    </font>
    <font>
      <b/>
      <sz val="11"/>
      <name val="Calibri"/>
      <family val="2"/>
      <scheme val="minor"/>
    </font>
    <font>
      <b/>
      <sz val="10"/>
      <name val="Helvetica"/>
    </font>
    <font>
      <sz val="10"/>
      <color rgb="FFFFFFFF"/>
      <name val="Calibri"/>
      <family val="2"/>
    </font>
    <font>
      <b/>
      <sz val="10"/>
      <color rgb="FF000000"/>
      <name val="Calibri"/>
      <family val="2"/>
    </font>
    <font>
      <sz val="8"/>
      <color rgb="FF000000"/>
      <name val="Calibri"/>
      <family val="2"/>
    </font>
    <font>
      <sz val="8"/>
      <color rgb="FFFF0066"/>
      <name val="Calibri"/>
      <family val="2"/>
    </font>
    <font>
      <b/>
      <sz val="9"/>
      <color rgb="FFFFFFFF"/>
      <name val="Calibri"/>
      <family val="2"/>
    </font>
    <font>
      <b/>
      <sz val="10"/>
      <name val="Calibri"/>
      <family val="2"/>
    </font>
    <font>
      <b/>
      <sz val="9"/>
      <name val="Calibri"/>
      <family val="2"/>
    </font>
    <font>
      <sz val="9"/>
      <name val="Calibri"/>
      <family val="2"/>
    </font>
    <font>
      <b/>
      <sz val="9"/>
      <color rgb="FF000000"/>
      <name val="Calibri"/>
      <family val="2"/>
      <scheme val="minor"/>
    </font>
  </fonts>
  <fills count="27">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6" tint="0.59999389629810485"/>
        <bgColor indexed="64"/>
      </patternFill>
    </fill>
    <fill>
      <patternFill patternType="solid">
        <fgColor theme="0" tint="-0.249977111117893"/>
        <bgColor indexed="64"/>
      </patternFill>
    </fill>
    <fill>
      <patternFill patternType="solid">
        <fgColor rgb="FF2A3D6F"/>
        <bgColor indexed="64"/>
      </patternFill>
    </fill>
    <fill>
      <patternFill patternType="solid">
        <fgColor rgb="FF1F497D"/>
        <bgColor indexed="64"/>
      </patternFill>
    </fill>
    <fill>
      <patternFill patternType="solid">
        <fgColor theme="0"/>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2F2F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right/>
      <top style="dotted">
        <color auto="1"/>
      </top>
      <bottom/>
      <diagonal/>
    </border>
    <border>
      <left style="thin">
        <color theme="0"/>
      </left>
      <right/>
      <top style="thin">
        <color theme="0"/>
      </top>
      <bottom style="thin">
        <color theme="0"/>
      </bottom>
      <diagonal/>
    </border>
    <border>
      <left/>
      <right style="dotted">
        <color auto="1"/>
      </right>
      <top/>
      <bottom/>
      <diagonal/>
    </border>
    <border>
      <left style="dotted">
        <color auto="1"/>
      </left>
      <right/>
      <top/>
      <bottom/>
      <diagonal/>
    </border>
    <border>
      <left style="dotted">
        <color auto="1"/>
      </left>
      <right style="dotted">
        <color auto="1"/>
      </right>
      <top style="dotted">
        <color auto="1"/>
      </top>
      <bottom style="dott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tted">
        <color auto="1"/>
      </left>
      <right/>
      <top/>
      <bottom style="thin">
        <color auto="1"/>
      </bottom>
      <diagonal/>
    </border>
    <border>
      <left/>
      <right style="thin">
        <color theme="0"/>
      </right>
      <top style="dotted">
        <color auto="1"/>
      </top>
      <bottom/>
      <diagonal/>
    </border>
    <border>
      <left style="thin">
        <color theme="0"/>
      </left>
      <right style="thin">
        <color theme="0"/>
      </right>
      <top style="dotted">
        <color auto="1"/>
      </top>
      <bottom style="thin">
        <color theme="0"/>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theme="0"/>
      </left>
      <right style="thin">
        <color theme="0"/>
      </right>
      <top/>
      <bottom style="thin">
        <color theme="0"/>
      </bottom>
      <diagonal/>
    </border>
    <border>
      <left/>
      <right style="medium">
        <color indexed="64"/>
      </right>
      <top/>
      <bottom/>
      <diagonal/>
    </border>
    <border>
      <left style="medium">
        <color indexed="64"/>
      </left>
      <right/>
      <top/>
      <bottom style="medium">
        <color indexed="64"/>
      </bottom>
      <diagonal/>
    </border>
  </borders>
  <cellStyleXfs count="73">
    <xf numFmtId="0" fontId="0" fillId="0" borderId="0"/>
    <xf numFmtId="168" fontId="4" fillId="0" borderId="0" applyFill="0" applyBorder="0" applyProtection="0">
      <alignment vertical="center"/>
    </xf>
    <xf numFmtId="0" fontId="8" fillId="0" borderId="0" applyNumberFormat="0" applyFill="0" applyBorder="0" applyAlignment="0" applyProtection="0"/>
    <xf numFmtId="0" fontId="33" fillId="11" borderId="0" applyBorder="0">
      <alignment horizontal="left" vertical="center"/>
    </xf>
    <xf numFmtId="0" fontId="3" fillId="3" borderId="0" applyProtection="0">
      <alignment vertical="center"/>
    </xf>
    <xf numFmtId="0" fontId="5" fillId="0" borderId="0" applyFill="0" applyProtection="0">
      <alignment vertical="center"/>
    </xf>
    <xf numFmtId="0" fontId="4" fillId="0" borderId="0" applyFill="0" applyBorder="0" applyProtection="0">
      <alignment vertical="center"/>
    </xf>
    <xf numFmtId="0" fontId="6"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6" fillId="0" borderId="0" applyFill="0" applyBorder="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4"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lignment horizontal="left" vertical="center"/>
    </xf>
    <xf numFmtId="0" fontId="20" fillId="0" borderId="0" applyFill="0" applyBorder="0">
      <alignment vertical="center"/>
    </xf>
    <xf numFmtId="0" fontId="30" fillId="0" borderId="0" applyFill="0" applyBorder="0">
      <alignment horizontal="left" vertical="center"/>
    </xf>
    <xf numFmtId="0" fontId="37"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5" fillId="0" borderId="0">
      <alignment horizontal="right" vertical="center"/>
    </xf>
    <xf numFmtId="0" fontId="22" fillId="13" borderId="0">
      <alignment horizontal="left" indent="3"/>
    </xf>
    <xf numFmtId="0" fontId="22" fillId="14" borderId="0">
      <alignment horizontal="left" indent="3"/>
    </xf>
    <xf numFmtId="173" fontId="7" fillId="0" borderId="0">
      <alignment horizontal="center" vertical="center"/>
    </xf>
    <xf numFmtId="174" fontId="24" fillId="12" borderId="4">
      <alignment horizontal="center" vertical="center"/>
      <protection locked="0"/>
    </xf>
    <xf numFmtId="174" fontId="7"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7" fillId="17" borderId="0"/>
    <xf numFmtId="165" fontId="35" fillId="3" borderId="4">
      <alignment horizontal="right" vertical="center"/>
      <protection locked="0"/>
    </xf>
    <xf numFmtId="0" fontId="43"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0" fontId="49" fillId="20" borderId="0" applyBorder="0">
      <alignment horizontal="left" vertical="center"/>
    </xf>
    <xf numFmtId="0" fontId="2" fillId="0" borderId="0"/>
    <xf numFmtId="43" fontId="2" fillId="0" borderId="0" applyFont="0" applyFill="0" applyBorder="0" applyAlignment="0" applyProtection="0"/>
    <xf numFmtId="0" fontId="71" fillId="0" borderId="0" applyNumberFormat="0" applyFill="0" applyBorder="0" applyAlignment="0" applyProtection="0"/>
    <xf numFmtId="9" fontId="2" fillId="0" borderId="0" applyFont="0" applyFill="0" applyBorder="0" applyAlignment="0" applyProtection="0"/>
    <xf numFmtId="0" fontId="33" fillId="11" borderId="0" applyBorder="0">
      <alignment horizontal="left" vertical="center"/>
    </xf>
    <xf numFmtId="0" fontId="29" fillId="0" borderId="0" applyFill="0" applyBorder="0">
      <alignment horizontal="left" vertical="center"/>
    </xf>
    <xf numFmtId="0" fontId="19" fillId="0" borderId="0" applyNumberFormat="0" applyFill="0" applyBorder="0">
      <alignment horizontal="left" vertical="center"/>
    </xf>
    <xf numFmtId="0" fontId="28" fillId="0" borderId="0" applyFill="0" applyBorder="0">
      <alignment vertical="center"/>
    </xf>
    <xf numFmtId="0" fontId="77" fillId="0" borderId="0" applyFill="0" applyBorder="0">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1">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6"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37"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1" fillId="0" borderId="0" xfId="37" applyFont="1" applyFill="1">
      <alignmen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28" fillId="0" borderId="0" xfId="37" applyAlignment="1">
      <alignment horizontal="left" vertical="center" indent="1"/>
    </xf>
    <xf numFmtId="0" fontId="33" fillId="11" borderId="0" xfId="3" applyFill="1">
      <alignment horizontal="left" vertical="center"/>
    </xf>
    <xf numFmtId="0" fontId="29" fillId="0" borderId="0" xfId="36" applyAlignment="1">
      <alignment horizontal="left" vertical="center" indent="1"/>
    </xf>
    <xf numFmtId="169" fontId="28" fillId="0" borderId="0" xfId="13" applyNumberFormat="1">
      <alignment horizontal="right" vertical="center"/>
    </xf>
    <xf numFmtId="173" fontId="7" fillId="0" borderId="0" xfId="44" applyAlignment="1">
      <alignment horizontal="center"/>
    </xf>
    <xf numFmtId="173" fontId="7"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7" fillId="0" borderId="0" xfId="35" applyBorder="1" applyAlignment="1">
      <alignment horizontal="center" vertical="center"/>
    </xf>
    <xf numFmtId="0" fontId="22" fillId="11" borderId="0" xfId="3" applyFont="1" applyBorder="1" applyAlignment="1">
      <alignment horizontal="center" vertical="center"/>
    </xf>
    <xf numFmtId="0" fontId="23"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Border="1" applyAlignment="1">
      <alignment horizontal="center" vertical="center"/>
      <protection locked="0"/>
    </xf>
    <xf numFmtId="0" fontId="0" fillId="0" borderId="0" xfId="0" applyAlignment="1"/>
    <xf numFmtId="0" fontId="30" fillId="0" borderId="0" xfId="34" applyFill="1" applyBorder="1" applyAlignment="1">
      <alignment vertical="center"/>
    </xf>
    <xf numFmtId="0" fontId="27" fillId="0" borderId="0" xfId="3" applyFont="1" applyFill="1">
      <alignment horizontal="left" vertical="center"/>
    </xf>
    <xf numFmtId="0" fontId="34" fillId="0" borderId="0" xfId="0" applyFont="1" applyFill="1" applyAlignment="1">
      <alignment horizontal="center"/>
    </xf>
    <xf numFmtId="0" fontId="19" fillId="0" borderId="0" xfId="32" applyBorder="1">
      <alignment horizontal="left" vertical="center"/>
    </xf>
    <xf numFmtId="0" fontId="19" fillId="0" borderId="0" xfId="32">
      <alignment horizontal="left" vertical="center"/>
    </xf>
    <xf numFmtId="0" fontId="19" fillId="0" borderId="0" xfId="32" applyAlignment="1">
      <alignment horizontal="center" vertical="center"/>
    </xf>
    <xf numFmtId="0" fontId="7" fillId="17" borderId="0" xfId="54"/>
    <xf numFmtId="0" fontId="29" fillId="16" borderId="4" xfId="53">
      <alignment horizontal="center" vertical="center"/>
      <protection locked="0"/>
    </xf>
    <xf numFmtId="165" fontId="29" fillId="3" borderId="4" xfId="14" applyFill="1">
      <alignment horizontal="right" vertical="center"/>
      <protection locked="0"/>
    </xf>
    <xf numFmtId="0" fontId="0" fillId="0" borderId="0" xfId="0" applyFill="1"/>
    <xf numFmtId="0" fontId="19"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170" fontId="28" fillId="0" borderId="0" xfId="11" applyAlignment="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0" fontId="37" fillId="0" borderId="2" xfId="35" applyBorder="1" applyAlignment="1">
      <alignment horizontal="center" vertical="center"/>
    </xf>
    <xf numFmtId="165" fontId="36" fillId="0" borderId="3" xfId="13" applyFont="1" applyFill="1" applyBorder="1" applyAlignment="1">
      <alignment horizontal="center" vertical="center"/>
    </xf>
    <xf numFmtId="0" fontId="37" fillId="0" borderId="3" xfId="35" applyFill="1" applyBorder="1" applyAlignment="1">
      <alignment horizontal="center" vertical="center"/>
    </xf>
    <xf numFmtId="167" fontId="29" fillId="12" borderId="4" xfId="16" applyAlignment="1">
      <alignment horizontal="center" vertical="center"/>
      <protection locked="0"/>
    </xf>
    <xf numFmtId="0" fontId="29" fillId="0" borderId="0" xfId="36" applyFill="1" applyAlignment="1">
      <alignment horizontal="center" vertical="center"/>
    </xf>
    <xf numFmtId="173" fontId="7" fillId="0" borderId="0" xfId="44" applyBorder="1" applyAlignment="1">
      <alignment horizontal="center" vertical="center"/>
    </xf>
    <xf numFmtId="0" fontId="37" fillId="0" borderId="0" xfId="35" applyAlignment="1">
      <alignment horizontal="center" vertical="center" wrapText="1"/>
    </xf>
    <xf numFmtId="0" fontId="37" fillId="0" borderId="2" xfId="35" applyBorder="1" applyAlignment="1">
      <alignment horizontal="center" vertical="center" wrapText="1"/>
    </xf>
    <xf numFmtId="0" fontId="37" fillId="0" borderId="3" xfId="35" applyFill="1" applyBorder="1">
      <alignment horizontal="left" vertical="center"/>
    </xf>
    <xf numFmtId="0" fontId="28" fillId="0" borderId="0" xfId="37" applyFill="1" applyAlignment="1">
      <alignment horizontal="center" vertical="center"/>
    </xf>
    <xf numFmtId="168" fontId="29" fillId="12" borderId="4" xfId="19" applyAlignment="1">
      <alignment horizontal="center" vertical="center"/>
      <protection locked="0"/>
    </xf>
    <xf numFmtId="169" fontId="29" fillId="12" borderId="4" xfId="14" applyNumberFormat="1" applyAlignment="1">
      <alignment horizontal="center" vertical="center"/>
      <protection locked="0"/>
    </xf>
    <xf numFmtId="169" fontId="36" fillId="0" borderId="3" xfId="13" applyNumberFormat="1" applyFont="1" applyFill="1" applyBorder="1" applyAlignment="1">
      <alignment horizontal="center" vertical="center"/>
    </xf>
    <xf numFmtId="175" fontId="28" fillId="0" borderId="0" xfId="40" applyNumberFormat="1" applyFill="1" applyAlignment="1">
      <alignment horizontal="center" vertical="center"/>
    </xf>
    <xf numFmtId="175" fontId="29" fillId="12" borderId="4" xfId="19" applyNumberFormat="1" applyAlignment="1">
      <alignment horizontal="center" vertical="center"/>
      <protection locked="0"/>
    </xf>
    <xf numFmtId="175" fontId="36" fillId="0" borderId="3" xfId="40" applyNumberFormat="1" applyFont="1" applyFill="1" applyBorder="1" applyAlignment="1">
      <alignment horizontal="center" vertical="center"/>
    </xf>
    <xf numFmtId="175" fontId="28" fillId="0" borderId="17" xfId="40" applyNumberFormat="1" applyFill="1" applyBorder="1" applyAlignment="1">
      <alignment horizontal="center" vertical="center"/>
    </xf>
    <xf numFmtId="0" fontId="0" fillId="17" borderId="0" xfId="0" applyFont="1" applyFill="1"/>
    <xf numFmtId="0" fontId="37" fillId="0" borderId="2" xfId="35" applyBorder="1" applyAlignment="1">
      <alignment horizontal="left" vertical="center"/>
    </xf>
    <xf numFmtId="176" fontId="0" fillId="0" borderId="0" xfId="0" applyNumberFormat="1" applyFont="1" applyFill="1"/>
    <xf numFmtId="167" fontId="28" fillId="0" borderId="0" xfId="15" applyAlignment="1">
      <alignment horizontal="center" vertical="center"/>
    </xf>
    <xf numFmtId="167" fontId="36" fillId="0" borderId="3" xfId="15" applyFont="1" applyFill="1" applyBorder="1" applyAlignment="1">
      <alignment horizontal="center" vertical="center"/>
    </xf>
    <xf numFmtId="165" fontId="29" fillId="12" borderId="4" xfId="14" applyNumberFormat="1" applyAlignment="1">
      <alignment horizontal="center" vertical="center"/>
      <protection locked="0"/>
    </xf>
    <xf numFmtId="0" fontId="28" fillId="0" borderId="0" xfId="37" applyAlignment="1">
      <alignment horizontal="left" vertical="center"/>
    </xf>
    <xf numFmtId="168" fontId="29" fillId="12" borderId="4" xfId="19" applyNumberFormat="1" applyAlignment="1">
      <alignment horizontal="center" vertical="center"/>
      <protection locked="0"/>
    </xf>
    <xf numFmtId="0" fontId="28" fillId="0" borderId="0" xfId="37" applyFill="1" applyAlignment="1">
      <alignment horizontal="left" vertical="center"/>
    </xf>
    <xf numFmtId="169" fontId="28" fillId="0" borderId="0" xfId="13" applyNumberFormat="1" applyFill="1" applyAlignment="1">
      <alignment horizontal="center" vertical="center"/>
    </xf>
    <xf numFmtId="0" fontId="37" fillId="0" borderId="0" xfId="35" applyAlignment="1">
      <alignment horizontal="left" vertical="center"/>
    </xf>
    <xf numFmtId="0" fontId="29" fillId="0" borderId="4" xfId="53" applyFill="1">
      <alignment horizontal="center" vertical="center"/>
      <protection locked="0"/>
    </xf>
    <xf numFmtId="0" fontId="29" fillId="0" borderId="0" xfId="36" applyFill="1" applyBorder="1">
      <alignment horizontal="left" vertical="center"/>
    </xf>
    <xf numFmtId="0" fontId="35" fillId="0" borderId="0" xfId="36" applyFont="1" applyFill="1" applyAlignment="1">
      <alignment horizontal="center" vertical="center"/>
    </xf>
    <xf numFmtId="0" fontId="35" fillId="0" borderId="0" xfId="36" applyFont="1" applyFill="1">
      <alignment horizontal="left" vertical="center"/>
    </xf>
    <xf numFmtId="0" fontId="7" fillId="0" borderId="0" xfId="0" applyFont="1" applyFill="1"/>
    <xf numFmtId="0" fontId="35" fillId="0" borderId="4" xfId="8" applyFont="1" applyFill="1" applyAlignment="1">
      <alignment horizontal="center" vertical="center"/>
      <protection locked="0"/>
    </xf>
    <xf numFmtId="0" fontId="35" fillId="0" borderId="4" xfId="53" applyFont="1" applyFill="1">
      <alignment horizontal="center" vertical="center"/>
      <protection locked="0"/>
    </xf>
    <xf numFmtId="0" fontId="35" fillId="0" borderId="4" xfId="53" applyFont="1" applyFill="1" applyAlignment="1">
      <alignment horizontal="left" vertical="center"/>
      <protection locked="0"/>
    </xf>
    <xf numFmtId="0" fontId="35" fillId="0" borderId="4" xfId="8" applyFont="1" applyFill="1">
      <alignment horizontal="left" vertical="center"/>
      <protection locked="0"/>
    </xf>
    <xf numFmtId="0" fontId="35" fillId="0" borderId="0" xfId="37" applyFont="1" applyFill="1" applyAlignment="1">
      <alignment horizontal="center" vertical="center"/>
    </xf>
    <xf numFmtId="168" fontId="28" fillId="0" borderId="0" xfId="40" applyNumberFormat="1" applyFill="1" applyAlignment="1">
      <alignment horizontal="center" vertical="center"/>
    </xf>
    <xf numFmtId="177" fontId="29" fillId="12" borderId="4" xfId="14" applyNumberFormat="1" applyAlignment="1">
      <alignment horizontal="center" vertical="center"/>
      <protection locked="0"/>
    </xf>
    <xf numFmtId="177" fontId="28" fillId="0" borderId="0" xfId="13" applyNumberFormat="1" applyFill="1" applyAlignment="1">
      <alignment horizontal="center" vertical="center"/>
    </xf>
    <xf numFmtId="0" fontId="38" fillId="0" borderId="3" xfId="35" applyFont="1" applyFill="1" applyBorder="1">
      <alignment horizontal="left" vertical="center"/>
    </xf>
    <xf numFmtId="0" fontId="39" fillId="0" borderId="0" xfId="0" applyFont="1"/>
    <xf numFmtId="0" fontId="39" fillId="0" borderId="0" xfId="0" applyFont="1" applyFill="1"/>
    <xf numFmtId="0" fontId="38" fillId="0" borderId="3" xfId="35" applyFont="1" applyFill="1" applyBorder="1" applyAlignment="1">
      <alignment horizontal="center" vertical="center"/>
    </xf>
    <xf numFmtId="175" fontId="40" fillId="0" borderId="3" xfId="40" applyNumberFormat="1" applyFont="1" applyFill="1" applyBorder="1" applyAlignment="1">
      <alignment horizontal="center" vertical="center"/>
    </xf>
    <xf numFmtId="178" fontId="29" fillId="12" borderId="4" xfId="16" applyNumberFormat="1" applyAlignment="1">
      <alignment horizontal="center" vertical="center"/>
      <protection locked="0"/>
    </xf>
    <xf numFmtId="175" fontId="28" fillId="17" borderId="0" xfId="40" applyNumberFormat="1" applyFill="1" applyAlignment="1">
      <alignment horizontal="center" vertical="center"/>
    </xf>
    <xf numFmtId="175" fontId="28" fillId="0" borderId="20" xfId="40" applyNumberFormat="1" applyFill="1" applyBorder="1" applyAlignment="1">
      <alignment horizontal="center" vertical="center"/>
    </xf>
    <xf numFmtId="175" fontId="28" fillId="0" borderId="21" xfId="40" applyNumberFormat="1" applyFill="1" applyBorder="1" applyAlignment="1">
      <alignment horizontal="center" vertical="center"/>
    </xf>
    <xf numFmtId="175" fontId="28" fillId="0" borderId="22" xfId="40" applyNumberFormat="1" applyFill="1" applyBorder="1" applyAlignment="1">
      <alignment horizontal="center" vertical="center"/>
    </xf>
    <xf numFmtId="173" fontId="7" fillId="0" borderId="0" xfId="44" applyFill="1" applyBorder="1" applyAlignment="1">
      <alignment horizontal="center" vertical="center"/>
    </xf>
    <xf numFmtId="0" fontId="43" fillId="0" borderId="0" xfId="56"/>
    <xf numFmtId="0" fontId="44" fillId="19" borderId="23" xfId="57" applyFont="1" applyFill="1" applyBorder="1" applyAlignment="1">
      <alignment horizontal="center" vertical="center" wrapText="1"/>
    </xf>
    <xf numFmtId="0" fontId="45" fillId="0" borderId="23" xfId="57" applyFont="1" applyBorder="1" applyAlignment="1">
      <alignment horizontal="center" vertical="center"/>
    </xf>
    <xf numFmtId="9" fontId="46" fillId="0" borderId="23" xfId="58" applyFont="1" applyBorder="1" applyAlignment="1">
      <alignment horizontal="center" vertical="center" wrapText="1"/>
    </xf>
    <xf numFmtId="0" fontId="45" fillId="0" borderId="23" xfId="57" applyFont="1" applyBorder="1" applyAlignment="1">
      <alignment horizontal="center" vertical="center" wrapText="1"/>
    </xf>
    <xf numFmtId="179" fontId="48" fillId="0" borderId="23" xfId="57" applyNumberFormat="1" applyFont="1" applyBorder="1" applyAlignment="1">
      <alignment horizontal="center" vertical="center" wrapText="1"/>
    </xf>
    <xf numFmtId="0" fontId="45" fillId="0" borderId="23" xfId="57" applyFont="1" applyBorder="1" applyAlignment="1">
      <alignment horizontal="center" vertical="center"/>
    </xf>
    <xf numFmtId="0" fontId="24" fillId="0" borderId="0" xfId="0" applyFont="1" applyFill="1"/>
    <xf numFmtId="0" fontId="24" fillId="18" borderId="19" xfId="53" applyFont="1" applyFill="1" applyBorder="1">
      <alignment horizontal="center" vertical="center"/>
      <protection locked="0"/>
    </xf>
    <xf numFmtId="0" fontId="51" fillId="0" borderId="0" xfId="0" applyFont="1" applyFill="1" applyAlignment="1">
      <alignment horizontal="left" indent="1"/>
    </xf>
    <xf numFmtId="0" fontId="37" fillId="0" borderId="0" xfId="35" applyBorder="1" applyAlignment="1">
      <alignment horizontal="center" vertical="center" wrapText="1"/>
    </xf>
    <xf numFmtId="0" fontId="49" fillId="19" borderId="26" xfId="57" applyFont="1" applyFill="1" applyBorder="1" applyAlignment="1">
      <alignment vertical="center" wrapText="1"/>
    </xf>
    <xf numFmtId="0" fontId="44" fillId="19" borderId="23" xfId="57" applyFont="1" applyFill="1" applyBorder="1" applyAlignment="1">
      <alignment horizontal="left" vertical="center" wrapText="1"/>
    </xf>
    <xf numFmtId="0" fontId="49" fillId="19" borderId="23" xfId="57" applyFont="1" applyFill="1" applyBorder="1" applyAlignment="1">
      <alignment horizontal="left" vertical="center" wrapText="1"/>
    </xf>
    <xf numFmtId="180" fontId="29" fillId="12" borderId="4" xfId="59" applyNumberFormat="1" applyFont="1" applyFill="1" applyBorder="1" applyAlignment="1" applyProtection="1">
      <alignment horizontal="center" vertical="center"/>
      <protection locked="0"/>
    </xf>
    <xf numFmtId="0" fontId="32" fillId="15" borderId="0" xfId="38" quotePrefix="1">
      <alignment horizontal="left" vertical="center"/>
    </xf>
    <xf numFmtId="0" fontId="0" fillId="0" borderId="0" xfId="0" applyFont="1" applyFill="1" applyAlignment="1">
      <alignment horizontal="center"/>
    </xf>
    <xf numFmtId="0" fontId="35" fillId="0" borderId="4" xfId="53" applyFont="1" applyFill="1" applyAlignment="1">
      <alignment horizontal="center" vertical="center"/>
      <protection locked="0"/>
    </xf>
    <xf numFmtId="175" fontId="45" fillId="0" borderId="23" xfId="40" applyNumberFormat="1" applyFont="1" applyFill="1" applyBorder="1" applyAlignment="1">
      <alignment horizontal="center" vertical="center"/>
    </xf>
    <xf numFmtId="175" fontId="47" fillId="0" borderId="23" xfId="40" applyNumberFormat="1" applyFont="1" applyFill="1" applyBorder="1" applyAlignment="1">
      <alignment horizontal="center" vertical="center"/>
    </xf>
    <xf numFmtId="169" fontId="4" fillId="0" borderId="1" xfId="13" applyNumberFormat="1" applyFont="1" applyFill="1" applyBorder="1" applyAlignment="1">
      <alignment horizontal="center" vertical="center"/>
    </xf>
    <xf numFmtId="0" fontId="52" fillId="0" borderId="2" xfId="35" applyFont="1" applyBorder="1" applyAlignment="1">
      <alignment horizontal="center" vertical="center" wrapText="1"/>
    </xf>
    <xf numFmtId="0" fontId="37" fillId="0" borderId="29" xfId="35" applyBorder="1" applyAlignment="1">
      <alignment horizontal="center" vertical="center" wrapText="1"/>
    </xf>
    <xf numFmtId="0" fontId="0" fillId="0" borderId="21" xfId="0" applyFont="1" applyFill="1" applyBorder="1"/>
    <xf numFmtId="0" fontId="0" fillId="0" borderId="0" xfId="0" applyFont="1" applyFill="1" applyBorder="1"/>
    <xf numFmtId="167" fontId="28" fillId="0" borderId="21" xfId="15" applyBorder="1" applyAlignment="1">
      <alignment horizontal="center" vertical="center"/>
    </xf>
    <xf numFmtId="167" fontId="28" fillId="0" borderId="0" xfId="15" applyBorder="1" applyAlignment="1">
      <alignment horizontal="center" vertical="center"/>
    </xf>
    <xf numFmtId="0" fontId="37" fillId="0" borderId="29" xfId="35" applyFont="1" applyBorder="1" applyAlignment="1">
      <alignment horizontal="center" vertical="center" wrapText="1"/>
    </xf>
    <xf numFmtId="0" fontId="35" fillId="0" borderId="0" xfId="36" applyFont="1" applyFill="1" applyAlignment="1">
      <alignment horizontal="left" vertical="center" indent="1"/>
    </xf>
    <xf numFmtId="181" fontId="29" fillId="12" borderId="4" xfId="14" applyNumberFormat="1" applyAlignment="1">
      <alignment horizontal="center" vertical="center"/>
      <protection locked="0"/>
    </xf>
    <xf numFmtId="178" fontId="35" fillId="0" borderId="4" xfId="16" applyNumberFormat="1" applyFont="1" applyFill="1" applyAlignment="1">
      <alignment horizontal="center" vertical="center"/>
      <protection locked="0"/>
    </xf>
    <xf numFmtId="0" fontId="41" fillId="0" borderId="0" xfId="36" applyFont="1" applyFill="1">
      <alignment horizontal="left" vertical="center"/>
    </xf>
    <xf numFmtId="0" fontId="38" fillId="0" borderId="31" xfId="8" applyFont="1" applyFill="1" applyBorder="1" applyAlignment="1">
      <alignment horizontal="center" vertical="center"/>
      <protection locked="0"/>
    </xf>
    <xf numFmtId="0" fontId="38" fillId="0" borderId="31" xfId="53" applyFont="1" applyFill="1" applyBorder="1">
      <alignment horizontal="center" vertical="center"/>
      <protection locked="0"/>
    </xf>
    <xf numFmtId="0" fontId="38" fillId="0" borderId="18" xfId="36" applyFont="1" applyFill="1" applyBorder="1" applyAlignment="1">
      <alignment horizontal="left" vertical="center" indent="1"/>
    </xf>
    <xf numFmtId="178" fontId="38" fillId="0" borderId="31" xfId="16" applyNumberFormat="1" applyFont="1" applyFill="1" applyBorder="1" applyAlignment="1">
      <alignment horizontal="center" vertical="center"/>
      <protection locked="0"/>
    </xf>
    <xf numFmtId="0" fontId="38" fillId="0" borderId="18" xfId="36" applyFont="1" applyFill="1" applyBorder="1" applyAlignment="1">
      <alignment horizontal="left" vertical="center"/>
    </xf>
    <xf numFmtId="0" fontId="40" fillId="0" borderId="0" xfId="37" applyFont="1">
      <alignment vertical="center"/>
    </xf>
    <xf numFmtId="0" fontId="53" fillId="0" borderId="0" xfId="37" applyFont="1">
      <alignment vertical="center"/>
    </xf>
    <xf numFmtId="0" fontId="35" fillId="0" borderId="4" xfId="53" applyFont="1" applyFill="1" applyAlignment="1">
      <alignment horizontal="left" vertical="center" indent="1"/>
      <protection locked="0"/>
    </xf>
    <xf numFmtId="178" fontId="28" fillId="0" borderId="0" xfId="59" applyNumberFormat="1" applyFont="1" applyFill="1" applyAlignment="1">
      <alignment horizontal="center" vertical="center"/>
    </xf>
    <xf numFmtId="175" fontId="28" fillId="17" borderId="30" xfId="40" applyNumberFormat="1" applyFill="1" applyBorder="1" applyAlignment="1">
      <alignment horizontal="center" vertical="center"/>
    </xf>
    <xf numFmtId="0" fontId="24" fillId="0" borderId="0" xfId="0" applyFont="1" applyFill="1" applyAlignment="1">
      <alignment horizontal="left" indent="1"/>
    </xf>
    <xf numFmtId="0" fontId="50" fillId="0" borderId="0" xfId="0" applyFont="1" applyFill="1"/>
    <xf numFmtId="0" fontId="7" fillId="0" borderId="0" xfId="36" applyFont="1" applyFill="1" applyAlignment="1">
      <alignment horizontal="center" vertical="center"/>
    </xf>
    <xf numFmtId="0" fontId="55" fillId="0" borderId="0" xfId="0" applyFont="1" applyAlignment="1">
      <alignment vertical="center"/>
    </xf>
    <xf numFmtId="183" fontId="35" fillId="0" borderId="0" xfId="0" applyNumberFormat="1" applyFont="1" applyFill="1"/>
    <xf numFmtId="184" fontId="35" fillId="0" borderId="0" xfId="0" applyNumberFormat="1" applyFont="1" applyFill="1"/>
    <xf numFmtId="0" fontId="43" fillId="0" borderId="0" xfId="56" applyAlignment="1">
      <alignment vertical="center"/>
    </xf>
    <xf numFmtId="0" fontId="43" fillId="0" borderId="0" xfId="56" quotePrefix="1" applyAlignment="1">
      <alignment vertical="center"/>
    </xf>
    <xf numFmtId="0" fontId="49" fillId="20" borderId="0" xfId="60" applyAlignment="1">
      <alignment horizontal="left" vertical="center"/>
    </xf>
    <xf numFmtId="0" fontId="2" fillId="0" borderId="0" xfId="61" applyAlignment="1">
      <alignment vertical="center"/>
    </xf>
    <xf numFmtId="0" fontId="58" fillId="0" borderId="0" xfId="61" applyFont="1" applyAlignment="1">
      <alignment vertical="center"/>
    </xf>
    <xf numFmtId="185" fontId="59" fillId="0" borderId="32" xfId="61" applyNumberFormat="1" applyFont="1" applyBorder="1" applyAlignment="1">
      <alignment horizontal="center" vertical="center" wrapText="1"/>
    </xf>
    <xf numFmtId="186" fontId="59" fillId="0" borderId="32" xfId="61" applyNumberFormat="1" applyFont="1" applyBorder="1" applyAlignment="1">
      <alignment horizontal="center" vertical="center" wrapText="1"/>
    </xf>
    <xf numFmtId="0" fontId="59" fillId="0" borderId="32" xfId="61" applyFont="1" applyBorder="1" applyAlignment="1">
      <alignment horizontal="left" vertical="center" wrapText="1"/>
    </xf>
    <xf numFmtId="185" fontId="59" fillId="0" borderId="0" xfId="61" applyNumberFormat="1" applyFont="1" applyAlignment="1">
      <alignment horizontal="center" vertical="center" wrapText="1"/>
    </xf>
    <xf numFmtId="186" fontId="59" fillId="0" borderId="0" xfId="61" applyNumberFormat="1" applyFont="1" applyAlignment="1">
      <alignment horizontal="center" vertical="center" wrapText="1"/>
    </xf>
    <xf numFmtId="0" fontId="59" fillId="0" borderId="0" xfId="61" applyFont="1" applyAlignment="1">
      <alignment horizontal="left" vertical="center" wrapText="1"/>
    </xf>
    <xf numFmtId="0" fontId="60" fillId="20" borderId="32" xfId="61" applyFont="1" applyFill="1" applyBorder="1" applyAlignment="1">
      <alignment horizontal="center" vertical="center" wrapText="1"/>
    </xf>
    <xf numFmtId="0" fontId="60" fillId="20" borderId="33" xfId="61" applyFont="1" applyFill="1" applyBorder="1" applyAlignment="1">
      <alignment horizontal="center" vertical="center" wrapText="1"/>
    </xf>
    <xf numFmtId="0" fontId="61" fillId="0" borderId="0" xfId="61" applyFont="1" applyAlignment="1">
      <alignment horizontal="left" vertical="center"/>
    </xf>
    <xf numFmtId="0" fontId="62" fillId="0" borderId="0" xfId="61" applyFont="1" applyAlignment="1">
      <alignment horizontal="left" vertical="center"/>
    </xf>
    <xf numFmtId="0" fontId="59" fillId="0" borderId="32" xfId="61" applyFont="1" applyBorder="1" applyAlignment="1">
      <alignment horizontal="center" vertical="center" wrapText="1"/>
    </xf>
    <xf numFmtId="0" fontId="59" fillId="0" borderId="32" xfId="61" applyFont="1" applyBorder="1" applyAlignment="1">
      <alignment horizontal="left" vertical="center" wrapText="1" indent="4"/>
    </xf>
    <xf numFmtId="0" fontId="59" fillId="0" borderId="0" xfId="61" applyFont="1" applyAlignment="1">
      <alignment horizontal="center" vertical="center" wrapText="1"/>
    </xf>
    <xf numFmtId="0" fontId="59" fillId="0" borderId="0" xfId="61" applyFont="1" applyAlignment="1">
      <alignment horizontal="left" vertical="center" wrapText="1" indent="4"/>
    </xf>
    <xf numFmtId="0" fontId="60" fillId="21" borderId="34" xfId="61" applyFont="1" applyFill="1" applyBorder="1" applyAlignment="1">
      <alignment horizontal="center" vertical="center" wrapText="1"/>
    </xf>
    <xf numFmtId="173" fontId="67" fillId="0" borderId="0" xfId="44" applyFont="1" applyFill="1" applyBorder="1" applyAlignment="1">
      <alignment horizontal="right" vertical="center"/>
    </xf>
    <xf numFmtId="0" fontId="68" fillId="0" borderId="0" xfId="56" applyFont="1" applyAlignment="1">
      <alignment vertical="center"/>
    </xf>
    <xf numFmtId="0" fontId="69" fillId="0" borderId="0" xfId="57" applyFont="1" applyBorder="1" applyAlignment="1">
      <alignment vertical="center" wrapText="1"/>
    </xf>
    <xf numFmtId="0" fontId="63" fillId="0" borderId="0" xfId="56" applyFont="1" applyAlignment="1">
      <alignment vertical="center"/>
    </xf>
    <xf numFmtId="179" fontId="64" fillId="0" borderId="35" xfId="57" applyNumberFormat="1" applyFont="1" applyBorder="1" applyAlignment="1">
      <alignment horizontal="center" vertical="center" wrapText="1"/>
    </xf>
    <xf numFmtId="169" fontId="64" fillId="0" borderId="35" xfId="57" applyNumberFormat="1" applyFont="1" applyFill="1" applyBorder="1" applyAlignment="1">
      <alignment horizontal="center" vertical="center" wrapText="1"/>
    </xf>
    <xf numFmtId="0" fontId="63" fillId="22" borderId="36" xfId="57" applyFont="1" applyFill="1" applyBorder="1" applyAlignment="1">
      <alignment vertical="center" wrapText="1"/>
    </xf>
    <xf numFmtId="0" fontId="63" fillId="0" borderId="36" xfId="57" applyFont="1" applyBorder="1" applyAlignment="1">
      <alignment vertical="center" wrapText="1"/>
    </xf>
    <xf numFmtId="169" fontId="64" fillId="0" borderId="35" xfId="57" applyNumberFormat="1" applyFont="1" applyBorder="1" applyAlignment="1">
      <alignment horizontal="center" vertical="center" wrapText="1"/>
    </xf>
    <xf numFmtId="0" fontId="60" fillId="20" borderId="35" xfId="57" applyFont="1" applyFill="1" applyBorder="1" applyAlignment="1">
      <alignment horizontal="center" vertical="center" wrapText="1"/>
    </xf>
    <xf numFmtId="0" fontId="43" fillId="0" borderId="0" xfId="56" applyFill="1" applyAlignment="1">
      <alignment vertical="center"/>
    </xf>
    <xf numFmtId="0" fontId="61" fillId="0" borderId="0" xfId="61" applyFont="1" applyAlignment="1">
      <alignment horizontal="left" vertical="center" indent="4"/>
    </xf>
    <xf numFmtId="0" fontId="59" fillId="0" borderId="0" xfId="61" applyFont="1" applyBorder="1" applyAlignment="1">
      <alignment horizontal="left" vertical="center" wrapText="1" indent="4"/>
    </xf>
    <xf numFmtId="2" fontId="59" fillId="0" borderId="0" xfId="61" applyNumberFormat="1" applyFont="1" applyBorder="1" applyAlignment="1">
      <alignment horizontal="center" vertical="center"/>
    </xf>
    <xf numFmtId="2" fontId="59" fillId="0" borderId="0" xfId="61" applyNumberFormat="1" applyFont="1" applyBorder="1" applyAlignment="1">
      <alignment horizontal="center" vertical="center" wrapText="1"/>
    </xf>
    <xf numFmtId="0" fontId="49" fillId="20" borderId="0" xfId="60">
      <alignment horizontal="left" vertical="center"/>
    </xf>
    <xf numFmtId="2" fontId="59" fillId="0" borderId="32" xfId="61" applyNumberFormat="1" applyFont="1" applyBorder="1" applyAlignment="1">
      <alignment horizontal="center" vertical="center"/>
    </xf>
    <xf numFmtId="2" fontId="59" fillId="0" borderId="32" xfId="61" applyNumberFormat="1" applyFont="1" applyBorder="1" applyAlignment="1">
      <alignment horizontal="center" vertical="center" wrapText="1"/>
    </xf>
    <xf numFmtId="2" fontId="59" fillId="0" borderId="0" xfId="61" applyNumberFormat="1" applyFont="1" applyAlignment="1">
      <alignment horizontal="center" vertical="center"/>
    </xf>
    <xf numFmtId="2" fontId="59" fillId="0" borderId="0" xfId="61" applyNumberFormat="1" applyFont="1" applyAlignment="1">
      <alignment horizontal="center" vertical="center" wrapText="1"/>
    </xf>
    <xf numFmtId="0" fontId="60" fillId="21" borderId="32" xfId="61" applyFont="1" applyFill="1" applyBorder="1" applyAlignment="1">
      <alignment horizontal="center" vertical="center"/>
    </xf>
    <xf numFmtId="0" fontId="60" fillId="21" borderId="32" xfId="61" applyFont="1" applyFill="1" applyBorder="1" applyAlignment="1">
      <alignment horizontal="center" vertical="center" wrapText="1"/>
    </xf>
    <xf numFmtId="0" fontId="60" fillId="21" borderId="0" xfId="61" applyFont="1" applyFill="1" applyAlignment="1">
      <alignment horizontal="center" vertical="center"/>
    </xf>
    <xf numFmtId="0" fontId="60" fillId="21" borderId="0" xfId="61" applyFont="1" applyFill="1" applyAlignment="1">
      <alignment horizontal="center" vertical="center" wrapText="1"/>
    </xf>
    <xf numFmtId="173" fontId="7" fillId="0" borderId="0" xfId="44" applyFill="1" applyBorder="1" applyAlignment="1">
      <alignment horizontal="right" vertical="center"/>
    </xf>
    <xf numFmtId="188" fontId="59" fillId="0" borderId="35" xfId="56" applyNumberFormat="1" applyFont="1" applyFill="1" applyBorder="1" applyAlignment="1">
      <alignment horizontal="center" vertical="center" wrapText="1"/>
    </xf>
    <xf numFmtId="0" fontId="59" fillId="0" borderId="36" xfId="56" applyFont="1" applyBorder="1" applyAlignment="1">
      <alignment vertical="center" wrapText="1"/>
    </xf>
    <xf numFmtId="0" fontId="60" fillId="20" borderId="38" xfId="57" applyFont="1" applyFill="1" applyBorder="1" applyAlignment="1">
      <alignment horizontal="center" vertical="center" wrapText="1"/>
    </xf>
    <xf numFmtId="0" fontId="60" fillId="20" borderId="39" xfId="57" applyFont="1" applyFill="1" applyBorder="1" applyAlignment="1">
      <alignment horizontal="left" vertical="center"/>
    </xf>
    <xf numFmtId="189" fontId="59" fillId="22" borderId="40" xfId="62" applyNumberFormat="1" applyFont="1" applyFill="1" applyBorder="1" applyAlignment="1">
      <alignment horizontal="center" vertical="center"/>
    </xf>
    <xf numFmtId="0" fontId="2" fillId="0" borderId="32" xfId="61" applyBorder="1" applyAlignment="1">
      <alignment horizontal="center" vertical="center" wrapText="1"/>
    </xf>
    <xf numFmtId="0" fontId="2" fillId="0" borderId="0" xfId="61" applyAlignment="1">
      <alignment horizontal="center" vertical="center" wrapText="1"/>
    </xf>
    <xf numFmtId="0" fontId="70" fillId="21" borderId="41" xfId="61" applyFont="1" applyFill="1" applyBorder="1" applyAlignment="1">
      <alignment horizontal="center" vertical="center" wrapText="1"/>
    </xf>
    <xf numFmtId="0" fontId="58" fillId="0" borderId="0" xfId="61" applyFont="1" applyAlignment="1">
      <alignment horizontal="left" vertical="center"/>
    </xf>
    <xf numFmtId="0" fontId="71" fillId="0" borderId="0" xfId="63" applyAlignment="1">
      <alignment horizontal="left" vertical="center"/>
    </xf>
    <xf numFmtId="0" fontId="72" fillId="23" borderId="41" xfId="61" applyFont="1" applyFill="1" applyBorder="1" applyAlignment="1">
      <alignment horizontal="left" vertical="center"/>
    </xf>
    <xf numFmtId="0" fontId="59" fillId="23" borderId="0" xfId="61" applyFont="1" applyFill="1" applyAlignment="1">
      <alignment horizontal="left" vertical="center"/>
    </xf>
    <xf numFmtId="10" fontId="43" fillId="0" borderId="0" xfId="64" applyNumberFormat="1" applyFont="1" applyAlignment="1">
      <alignment vertical="center"/>
    </xf>
    <xf numFmtId="190" fontId="2" fillId="0" borderId="0" xfId="61" applyNumberFormat="1" applyFill="1" applyAlignment="1">
      <alignment vertical="center" wrapText="1"/>
    </xf>
    <xf numFmtId="0" fontId="72" fillId="23" borderId="0" xfId="61" applyFont="1" applyFill="1" applyAlignment="1">
      <alignment horizontal="left" vertical="center"/>
    </xf>
    <xf numFmtId="190" fontId="2" fillId="0" borderId="0" xfId="61" applyNumberFormat="1" applyFill="1" applyAlignment="1">
      <alignment vertical="center"/>
    </xf>
    <xf numFmtId="0" fontId="2" fillId="23" borderId="0" xfId="61" applyFill="1" applyAlignment="1">
      <alignment vertical="center"/>
    </xf>
    <xf numFmtId="0" fontId="75" fillId="23" borderId="0" xfId="61" applyFont="1" applyFill="1" applyAlignment="1">
      <alignment horizontal="right" vertical="center" wrapText="1"/>
    </xf>
    <xf numFmtId="0" fontId="75" fillId="23" borderId="0" xfId="61" applyFont="1" applyFill="1" applyAlignment="1">
      <alignment horizontal="right" vertical="center"/>
    </xf>
    <xf numFmtId="0" fontId="65" fillId="23" borderId="0" xfId="61" applyFont="1" applyFill="1" applyAlignment="1">
      <alignment horizontal="left" vertical="center"/>
    </xf>
    <xf numFmtId="0" fontId="60" fillId="21" borderId="34" xfId="61" applyFont="1" applyFill="1" applyBorder="1" applyAlignment="1">
      <alignment horizontal="center" vertical="center"/>
    </xf>
    <xf numFmtId="0" fontId="2" fillId="21" borderId="34" xfId="61" applyFill="1" applyBorder="1" applyAlignment="1">
      <alignment vertical="center"/>
    </xf>
    <xf numFmtId="0" fontId="2" fillId="23" borderId="0" xfId="61" applyFont="1" applyFill="1" applyAlignment="1">
      <alignment vertical="center"/>
    </xf>
    <xf numFmtId="190" fontId="74" fillId="23" borderId="0" xfId="61" applyNumberFormat="1" applyFont="1" applyFill="1" applyAlignment="1">
      <alignment horizontal="right" vertical="center"/>
    </xf>
    <xf numFmtId="0" fontId="59" fillId="23" borderId="0" xfId="61" applyFont="1" applyFill="1" applyAlignment="1">
      <alignment vertical="center"/>
    </xf>
    <xf numFmtId="190" fontId="65" fillId="23" borderId="0" xfId="61" applyNumberFormat="1" applyFont="1" applyFill="1" applyAlignment="1">
      <alignment horizontal="right" vertical="center"/>
    </xf>
    <xf numFmtId="0" fontId="60" fillId="21" borderId="34" xfId="61" applyFont="1" applyFill="1" applyBorder="1" applyAlignment="1">
      <alignment horizontal="left" vertical="center"/>
    </xf>
    <xf numFmtId="0" fontId="42" fillId="0" borderId="0" xfId="57" applyFont="1" applyAlignment="1">
      <alignment vertical="center"/>
    </xf>
    <xf numFmtId="0" fontId="27" fillId="0" borderId="0" xfId="65" applyFont="1" applyFill="1" applyAlignment="1">
      <alignment horizontal="left" vertical="center"/>
    </xf>
    <xf numFmtId="0" fontId="29" fillId="0" borderId="0" xfId="66" applyFont="1" applyFill="1" applyAlignment="1">
      <alignment horizontal="left" vertical="center"/>
    </xf>
    <xf numFmtId="0" fontId="19" fillId="0" borderId="0" xfId="67" applyFont="1" applyFill="1" applyAlignment="1">
      <alignment horizontal="left" vertical="center"/>
    </xf>
    <xf numFmtId="0" fontId="21" fillId="0" borderId="0" xfId="68" applyFont="1" applyFill="1" applyAlignment="1">
      <alignment vertical="center"/>
    </xf>
    <xf numFmtId="0" fontId="77" fillId="0" borderId="0" xfId="69" applyAlignment="1">
      <alignment horizontal="left" vertical="center"/>
    </xf>
    <xf numFmtId="187" fontId="66" fillId="0" borderId="0" xfId="61" applyNumberFormat="1" applyFont="1" applyFill="1" applyAlignment="1">
      <alignment horizontal="center" vertical="center" wrapText="1"/>
    </xf>
    <xf numFmtId="8" fontId="66" fillId="0" borderId="0" xfId="61" applyNumberFormat="1" applyFont="1" applyFill="1" applyAlignment="1">
      <alignment horizontal="center" vertical="center" wrapText="1"/>
    </xf>
    <xf numFmtId="187" fontId="66" fillId="0" borderId="32" xfId="61" applyNumberFormat="1" applyFont="1" applyFill="1" applyBorder="1" applyAlignment="1">
      <alignment horizontal="center" vertical="center" wrapText="1"/>
    </xf>
    <xf numFmtId="8" fontId="66" fillId="0" borderId="32" xfId="61" applyNumberFormat="1" applyFont="1" applyFill="1" applyBorder="1" applyAlignment="1">
      <alignment horizontal="center" vertical="center" wrapText="1"/>
    </xf>
    <xf numFmtId="0" fontId="60" fillId="21" borderId="32" xfId="61" applyFont="1" applyFill="1" applyBorder="1" applyAlignment="1">
      <alignment horizontal="center" vertical="center" wrapText="1"/>
    </xf>
    <xf numFmtId="0" fontId="49" fillId="19" borderId="26" xfId="57" applyFont="1" applyFill="1" applyBorder="1" applyAlignment="1">
      <alignment horizontal="center" vertical="center" wrapText="1"/>
    </xf>
    <xf numFmtId="191" fontId="29" fillId="12" borderId="4" xfId="19" applyNumberFormat="1" applyAlignment="1">
      <alignment horizontal="center" vertical="center"/>
      <protection locked="0"/>
    </xf>
    <xf numFmtId="177" fontId="29" fillId="12" borderId="4" xfId="19" applyNumberFormat="1" applyAlignment="1">
      <alignment horizontal="center" vertical="center"/>
      <protection locked="0"/>
    </xf>
    <xf numFmtId="192" fontId="29" fillId="12" borderId="4" xfId="19" applyNumberFormat="1" applyAlignment="1">
      <alignment horizontal="center" vertical="center"/>
      <protection locked="0"/>
    </xf>
    <xf numFmtId="169" fontId="28" fillId="0" borderId="0" xfId="40" applyNumberFormat="1" applyFill="1" applyAlignment="1">
      <alignment horizontal="center" vertical="center"/>
    </xf>
    <xf numFmtId="192" fontId="28" fillId="0" borderId="0" xfId="40" applyNumberFormat="1" applyFill="1" applyAlignment="1">
      <alignment horizontal="center" vertical="center"/>
    </xf>
    <xf numFmtId="0" fontId="54" fillId="2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193" fontId="56" fillId="0" borderId="0" xfId="0" applyNumberFormat="1" applyFont="1" applyBorder="1" applyAlignment="1">
      <alignment horizontal="center" vertical="center" wrapText="1"/>
    </xf>
    <xf numFmtId="194" fontId="56" fillId="0" borderId="0" xfId="0" applyNumberFormat="1" applyFont="1" applyBorder="1" applyAlignment="1">
      <alignment horizontal="center" vertical="center" wrapText="1"/>
    </xf>
    <xf numFmtId="182" fontId="56" fillId="0" borderId="0" xfId="0" applyNumberFormat="1" applyFont="1" applyBorder="1" applyAlignment="1">
      <alignment horizontal="center" vertical="center" wrapText="1"/>
    </xf>
    <xf numFmtId="2" fontId="56" fillId="0" borderId="0" xfId="0" applyNumberFormat="1" applyFont="1" applyBorder="1" applyAlignment="1">
      <alignment horizontal="center" vertical="center" wrapText="1"/>
    </xf>
    <xf numFmtId="0" fontId="59" fillId="23" borderId="0" xfId="61" applyFont="1" applyFill="1" applyAlignment="1">
      <alignment vertical="center" wrapText="1"/>
    </xf>
    <xf numFmtId="0" fontId="72" fillId="23" borderId="0" xfId="61" applyFont="1" applyFill="1" applyAlignment="1">
      <alignment vertical="center" wrapText="1"/>
    </xf>
    <xf numFmtId="179" fontId="28" fillId="0" borderId="0" xfId="15" applyNumberFormat="1" applyAlignment="1">
      <alignment horizontal="center" vertical="center"/>
    </xf>
    <xf numFmtId="192" fontId="28" fillId="0" borderId="0" xfId="13" applyNumberFormat="1" applyFill="1" applyAlignment="1">
      <alignment horizontal="center" vertical="center"/>
    </xf>
    <xf numFmtId="0" fontId="59" fillId="22" borderId="0" xfId="0" applyFont="1" applyFill="1" applyAlignment="1">
      <alignment vertical="center"/>
    </xf>
    <xf numFmtId="0" fontId="72" fillId="22" borderId="0" xfId="0" applyFont="1" applyFill="1" applyAlignment="1">
      <alignment horizontal="center" vertical="center"/>
    </xf>
    <xf numFmtId="2" fontId="59" fillId="22" borderId="0" xfId="0" applyNumberFormat="1" applyFont="1" applyFill="1" applyAlignment="1">
      <alignment vertical="center"/>
    </xf>
    <xf numFmtId="0" fontId="32" fillId="0" borderId="0" xfId="38" applyFill="1">
      <alignment horizontal="left" vertical="center"/>
    </xf>
    <xf numFmtId="0" fontId="43" fillId="0" borderId="0" xfId="56" applyFill="1" applyBorder="1"/>
    <xf numFmtId="180" fontId="46" fillId="0" borderId="0" xfId="58" applyNumberFormat="1" applyFont="1" applyFill="1" applyBorder="1" applyAlignment="1">
      <alignment horizontal="center" vertical="center" wrapText="1"/>
    </xf>
    <xf numFmtId="0" fontId="49" fillId="0" borderId="0" xfId="57" applyFont="1" applyFill="1" applyBorder="1" applyAlignment="1">
      <alignment vertical="center" wrapText="1"/>
    </xf>
    <xf numFmtId="0" fontId="47" fillId="0" borderId="0" xfId="57" applyFont="1" applyFill="1" applyBorder="1" applyAlignment="1">
      <alignment horizontal="center" vertical="center"/>
    </xf>
    <xf numFmtId="0" fontId="43" fillId="0" borderId="0" xfId="56" applyFill="1" applyBorder="1" applyAlignment="1">
      <alignment vertical="center"/>
    </xf>
    <xf numFmtId="0" fontId="44" fillId="0" borderId="0" xfId="57" applyFont="1" applyFill="1" applyBorder="1" applyAlignment="1">
      <alignment horizontal="center" vertical="center" wrapText="1"/>
    </xf>
    <xf numFmtId="0" fontId="45" fillId="0" borderId="0" xfId="57" applyFont="1" applyFill="1" applyBorder="1" applyAlignment="1">
      <alignment horizontal="center" vertical="center" wrapText="1"/>
    </xf>
    <xf numFmtId="0" fontId="45" fillId="0" borderId="0" xfId="57" applyFont="1" applyFill="1" applyBorder="1" applyAlignment="1">
      <alignment horizontal="center" vertical="center"/>
    </xf>
    <xf numFmtId="0" fontId="35" fillId="0" borderId="19" xfId="53" applyFont="1" applyFill="1" applyBorder="1">
      <alignment horizontal="center" vertical="center"/>
      <protection locked="0"/>
    </xf>
    <xf numFmtId="0" fontId="29" fillId="0" borderId="0" xfId="53" applyFill="1" applyBorder="1">
      <alignment horizontal="center" vertical="center"/>
      <protection locked="0"/>
    </xf>
    <xf numFmtId="0" fontId="78" fillId="0" borderId="0" xfId="60" applyFont="1" applyFill="1" applyAlignment="1">
      <alignment horizontal="left" vertical="center"/>
    </xf>
    <xf numFmtId="0" fontId="80" fillId="0" borderId="4" xfId="53" applyFont="1" applyFill="1" applyAlignment="1">
      <alignment horizontal="left" vertical="center"/>
      <protection locked="0"/>
    </xf>
    <xf numFmtId="0" fontId="59" fillId="0" borderId="0" xfId="61" applyFont="1" applyBorder="1" applyAlignment="1">
      <alignment horizontal="left" vertical="center" indent="4"/>
    </xf>
    <xf numFmtId="0" fontId="49" fillId="19" borderId="23" xfId="57" applyFont="1" applyFill="1" applyBorder="1" applyAlignment="1">
      <alignment horizontal="center" vertical="center" wrapText="1"/>
    </xf>
    <xf numFmtId="175" fontId="0" fillId="0" borderId="0" xfId="0" applyNumberFormat="1" applyFont="1"/>
    <xf numFmtId="0" fontId="51" fillId="12" borderId="0" xfId="0" applyFont="1" applyFill="1" applyAlignment="1">
      <alignment horizontal="center"/>
    </xf>
    <xf numFmtId="0" fontId="45" fillId="25" borderId="27" xfId="57" applyFont="1" applyFill="1" applyBorder="1" applyAlignment="1">
      <alignment wrapText="1"/>
    </xf>
    <xf numFmtId="0" fontId="78" fillId="0" borderId="0" xfId="56" applyFont="1" applyAlignment="1">
      <alignment horizontal="right" vertical="center"/>
    </xf>
    <xf numFmtId="169" fontId="29" fillId="12" borderId="4" xfId="19" applyNumberFormat="1" applyAlignment="1">
      <alignment horizontal="center" vertical="center"/>
      <protection locked="0"/>
    </xf>
    <xf numFmtId="169" fontId="29" fillId="0" borderId="4" xfId="19" applyNumberFormat="1" applyFill="1" applyAlignment="1">
      <alignment horizontal="center" vertical="center"/>
      <protection locked="0"/>
    </xf>
    <xf numFmtId="169" fontId="29" fillId="12" borderId="43" xfId="19" applyNumberFormat="1" applyBorder="1" applyAlignment="1">
      <alignment horizontal="center" vertical="center"/>
      <protection locked="0"/>
    </xf>
    <xf numFmtId="0" fontId="60" fillId="20" borderId="32" xfId="57" applyFont="1" applyFill="1" applyBorder="1" applyAlignment="1">
      <alignment horizontal="center" vertical="center" wrapText="1"/>
    </xf>
    <xf numFmtId="0" fontId="60" fillId="20" borderId="40" xfId="57" applyFont="1" applyFill="1" applyBorder="1" applyAlignment="1">
      <alignment horizontal="center" vertical="center" wrapText="1"/>
    </xf>
    <xf numFmtId="0" fontId="60" fillId="20" borderId="36" xfId="57" applyFont="1" applyFill="1" applyBorder="1" applyAlignment="1">
      <alignment horizontal="center" vertical="center" wrapText="1"/>
    </xf>
    <xf numFmtId="0" fontId="54" fillId="21" borderId="34" xfId="0" applyFont="1" applyFill="1" applyBorder="1" applyAlignment="1">
      <alignment horizontal="center" vertical="center" wrapText="1"/>
    </xf>
    <xf numFmtId="0" fontId="43" fillId="0" borderId="32" xfId="56" applyBorder="1" applyAlignment="1">
      <alignment vertical="center"/>
    </xf>
    <xf numFmtId="0" fontId="81" fillId="21" borderId="0" xfId="0" applyFont="1" applyFill="1" applyAlignment="1">
      <alignment vertical="center"/>
    </xf>
    <xf numFmtId="0" fontId="64" fillId="23" borderId="0" xfId="0" applyFont="1" applyFill="1" applyAlignment="1">
      <alignment vertical="center"/>
    </xf>
    <xf numFmtId="0" fontId="64" fillId="23" borderId="32" xfId="0" applyFont="1" applyFill="1" applyBorder="1" applyAlignment="1">
      <alignment vertical="center"/>
    </xf>
    <xf numFmtId="0" fontId="81" fillId="21" borderId="35" xfId="0" applyFont="1" applyFill="1" applyBorder="1" applyAlignment="1">
      <alignment vertical="center"/>
    </xf>
    <xf numFmtId="0" fontId="81" fillId="21" borderId="44" xfId="0" applyFont="1" applyFill="1" applyBorder="1" applyAlignment="1">
      <alignment vertical="center"/>
    </xf>
    <xf numFmtId="0" fontId="81" fillId="21" borderId="0" xfId="0" applyFont="1" applyFill="1" applyAlignment="1">
      <alignment vertical="center" wrapText="1"/>
    </xf>
    <xf numFmtId="0" fontId="64" fillId="23" borderId="44" xfId="0" applyFont="1" applyFill="1" applyBorder="1" applyAlignment="1">
      <alignment vertical="center"/>
    </xf>
    <xf numFmtId="3" fontId="64" fillId="23" borderId="0" xfId="0" applyNumberFormat="1" applyFont="1" applyFill="1" applyAlignment="1">
      <alignment horizontal="center" vertical="center"/>
    </xf>
    <xf numFmtId="3" fontId="64" fillId="23" borderId="44" xfId="0" applyNumberFormat="1" applyFont="1" applyFill="1" applyBorder="1" applyAlignment="1">
      <alignment horizontal="center" vertical="center"/>
    </xf>
    <xf numFmtId="0" fontId="64" fillId="23" borderId="35" xfId="0" applyFont="1" applyFill="1" applyBorder="1" applyAlignment="1">
      <alignment vertical="center"/>
    </xf>
    <xf numFmtId="3" fontId="64" fillId="23" borderId="32" xfId="0" applyNumberFormat="1" applyFont="1" applyFill="1" applyBorder="1" applyAlignment="1">
      <alignment horizontal="center" vertical="center"/>
    </xf>
    <xf numFmtId="3" fontId="64" fillId="23" borderId="35" xfId="0" applyNumberFormat="1" applyFont="1" applyFill="1" applyBorder="1" applyAlignment="1">
      <alignment horizontal="center" vertical="center"/>
    </xf>
    <xf numFmtId="0" fontId="84" fillId="0" borderId="0" xfId="0" applyFont="1" applyAlignment="1">
      <alignment vertical="center"/>
    </xf>
    <xf numFmtId="3" fontId="56" fillId="0" borderId="0" xfId="0" applyNumberFormat="1" applyFont="1" applyAlignment="1">
      <alignment horizontal="center" vertical="center"/>
    </xf>
    <xf numFmtId="3" fontId="56" fillId="0" borderId="32" xfId="0" applyNumberFormat="1" applyFont="1" applyBorder="1" applyAlignment="1">
      <alignment horizontal="center" vertical="center"/>
    </xf>
    <xf numFmtId="3" fontId="64" fillId="23" borderId="0" xfId="0" applyNumberFormat="1" applyFont="1" applyFill="1" applyAlignment="1">
      <alignment vertical="center" wrapText="1"/>
    </xf>
    <xf numFmtId="3" fontId="64" fillId="23" borderId="32" xfId="0" applyNumberFormat="1" applyFont="1" applyFill="1" applyBorder="1" applyAlignment="1">
      <alignment vertical="center" wrapText="1"/>
    </xf>
    <xf numFmtId="0" fontId="81" fillId="21" borderId="32" xfId="0" applyFont="1" applyFill="1" applyBorder="1" applyAlignment="1">
      <alignment vertical="center"/>
    </xf>
    <xf numFmtId="0" fontId="81" fillId="21" borderId="44" xfId="0" applyFont="1" applyFill="1" applyBorder="1" applyAlignment="1">
      <alignment vertical="center" wrapText="1"/>
    </xf>
    <xf numFmtId="180" fontId="46" fillId="0" borderId="28" xfId="58" applyNumberFormat="1" applyFont="1" applyBorder="1" applyAlignment="1">
      <alignment horizontal="center" vertical="center" wrapText="1"/>
    </xf>
    <xf numFmtId="10" fontId="64" fillId="23" borderId="0" xfId="0" applyNumberFormat="1" applyFont="1" applyFill="1" applyAlignment="1">
      <alignment vertical="center"/>
    </xf>
    <xf numFmtId="10" fontId="64" fillId="23" borderId="32" xfId="0" applyNumberFormat="1" applyFont="1" applyFill="1" applyBorder="1" applyAlignment="1">
      <alignment vertical="center"/>
    </xf>
    <xf numFmtId="0" fontId="7" fillId="0" borderId="0" xfId="0" applyFont="1" applyAlignment="1">
      <alignment horizontal="left" indent="4"/>
    </xf>
    <xf numFmtId="0" fontId="2" fillId="0" borderId="0" xfId="61" applyAlignment="1">
      <alignment horizontal="left" vertical="center" indent="5"/>
    </xf>
    <xf numFmtId="0" fontId="43" fillId="0" borderId="0" xfId="56" applyAlignment="1">
      <alignment horizontal="left" vertical="center" indent="5"/>
    </xf>
    <xf numFmtId="8" fontId="66" fillId="0" borderId="0" xfId="61" applyNumberFormat="1" applyFont="1" applyAlignment="1">
      <alignment horizontal="center" vertical="center" wrapText="1"/>
    </xf>
    <xf numFmtId="8" fontId="66" fillId="0" borderId="32" xfId="61" applyNumberFormat="1" applyFont="1" applyBorder="1" applyAlignment="1">
      <alignment horizontal="center" vertical="center" wrapText="1"/>
    </xf>
    <xf numFmtId="180" fontId="48" fillId="0" borderId="23" xfId="58" applyNumberFormat="1" applyFont="1" applyBorder="1" applyAlignment="1">
      <alignment horizontal="center" vertical="center" wrapText="1"/>
    </xf>
    <xf numFmtId="0" fontId="54" fillId="21" borderId="0" xfId="0" applyFont="1" applyFill="1" applyAlignment="1">
      <alignment horizontal="center" vertical="center" wrapText="1"/>
    </xf>
    <xf numFmtId="0" fontId="56" fillId="0" borderId="0" xfId="0" applyFont="1" applyAlignment="1">
      <alignment vertical="center" wrapText="1"/>
    </xf>
    <xf numFmtId="10" fontId="56" fillId="0" borderId="0" xfId="0" applyNumberFormat="1" applyFont="1" applyAlignment="1">
      <alignment horizontal="center" vertical="center" wrapText="1"/>
    </xf>
    <xf numFmtId="9" fontId="56" fillId="0" borderId="0" xfId="0" applyNumberFormat="1" applyFont="1" applyAlignment="1">
      <alignment horizontal="center" vertical="center" wrapText="1"/>
    </xf>
    <xf numFmtId="0" fontId="86" fillId="0" borderId="32" xfId="0" applyFont="1" applyBorder="1" applyAlignment="1">
      <alignment vertical="center" wrapText="1"/>
    </xf>
    <xf numFmtId="10" fontId="86" fillId="0" borderId="32" xfId="0" applyNumberFormat="1" applyFont="1" applyBorder="1" applyAlignment="1">
      <alignment horizontal="center" vertical="center" wrapText="1"/>
    </xf>
    <xf numFmtId="0" fontId="54" fillId="21" borderId="34" xfId="0" applyFont="1" applyFill="1" applyBorder="1" applyAlignment="1">
      <alignment horizontal="left" vertical="center" wrapText="1"/>
    </xf>
    <xf numFmtId="6" fontId="56" fillId="0" borderId="0" xfId="0" applyNumberFormat="1" applyFont="1" applyAlignment="1">
      <alignment horizontal="center" vertical="center" wrapText="1"/>
    </xf>
    <xf numFmtId="0" fontId="56" fillId="0" borderId="32" xfId="0" applyFont="1" applyBorder="1" applyAlignment="1">
      <alignment vertical="center" wrapText="1"/>
    </xf>
    <xf numFmtId="6" fontId="56" fillId="0" borderId="32" xfId="0" applyNumberFormat="1" applyFont="1" applyBorder="1" applyAlignment="1">
      <alignment horizontal="center" vertical="center" wrapText="1"/>
    </xf>
    <xf numFmtId="10" fontId="56" fillId="0" borderId="32" xfId="0" applyNumberFormat="1" applyFont="1" applyBorder="1" applyAlignment="1">
      <alignment horizontal="center" vertical="center" wrapText="1"/>
    </xf>
    <xf numFmtId="0" fontId="85" fillId="20" borderId="0" xfId="0" applyFont="1" applyFill="1" applyAlignment="1">
      <alignment horizontal="center" vertical="center" wrapText="1"/>
    </xf>
    <xf numFmtId="0" fontId="87" fillId="26" borderId="0" xfId="0" applyFont="1" applyFill="1" applyAlignment="1">
      <alignment horizontal="left" vertical="center" wrapText="1" indent="4"/>
    </xf>
    <xf numFmtId="0" fontId="88" fillId="0" borderId="0" xfId="0" applyFont="1" applyAlignment="1">
      <alignment horizontal="left" vertical="center" wrapText="1" indent="4"/>
    </xf>
    <xf numFmtId="0" fontId="88" fillId="0" borderId="0" xfId="0" applyFont="1" applyAlignment="1">
      <alignment horizontal="center" vertical="center" wrapText="1"/>
    </xf>
    <xf numFmtId="0" fontId="85" fillId="20" borderId="0" xfId="0" applyFont="1" applyFill="1" applyAlignment="1">
      <alignment vertical="center" wrapText="1"/>
    </xf>
    <xf numFmtId="0" fontId="88" fillId="0" borderId="0" xfId="0" applyFont="1" applyAlignment="1">
      <alignment vertical="center" wrapText="1"/>
    </xf>
    <xf numFmtId="0" fontId="87" fillId="26" borderId="0" xfId="0" applyFont="1" applyFill="1" applyAlignment="1">
      <alignment vertical="center" wrapText="1"/>
    </xf>
    <xf numFmtId="182" fontId="88" fillId="0" borderId="0" xfId="0" applyNumberFormat="1" applyFont="1" applyAlignment="1">
      <alignment horizontal="center" vertical="center" wrapText="1"/>
    </xf>
    <xf numFmtId="182" fontId="87" fillId="0" borderId="0" xfId="0" applyNumberFormat="1" applyFont="1" applyAlignment="1">
      <alignment horizontal="center" vertical="center" wrapText="1"/>
    </xf>
    <xf numFmtId="182" fontId="88" fillId="0" borderId="0" xfId="0" applyNumberFormat="1" applyFont="1" applyAlignment="1">
      <alignment vertical="center" wrapText="1"/>
    </xf>
    <xf numFmtId="194" fontId="88" fillId="0" borderId="0" xfId="0" applyNumberFormat="1" applyFont="1" applyAlignment="1">
      <alignment horizontal="center" vertical="center" wrapText="1"/>
    </xf>
    <xf numFmtId="194" fontId="87" fillId="0" borderId="0" xfId="0" applyNumberFormat="1" applyFont="1" applyAlignment="1">
      <alignment horizontal="center" vertical="center" wrapText="1"/>
    </xf>
    <xf numFmtId="194" fontId="88" fillId="0" borderId="0" xfId="0" applyNumberFormat="1" applyFont="1" applyAlignment="1">
      <alignment vertical="center" wrapText="1"/>
    </xf>
    <xf numFmtId="8" fontId="88" fillId="0" borderId="0" xfId="0" applyNumberFormat="1" applyFont="1" applyAlignment="1">
      <alignment vertical="center" wrapText="1"/>
    </xf>
    <xf numFmtId="8" fontId="88" fillId="0" borderId="0" xfId="0" applyNumberFormat="1" applyFont="1" applyAlignment="1">
      <alignment horizontal="center" vertical="center" wrapText="1"/>
    </xf>
    <xf numFmtId="190" fontId="74" fillId="0" borderId="0" xfId="61" applyNumberFormat="1" applyFont="1" applyFill="1" applyAlignment="1">
      <alignment horizontal="right" vertical="center"/>
    </xf>
    <xf numFmtId="190" fontId="65" fillId="0" borderId="0" xfId="61" applyNumberFormat="1" applyFont="1" applyFill="1" applyAlignment="1">
      <alignment horizontal="right" vertical="center"/>
    </xf>
    <xf numFmtId="190" fontId="73" fillId="0" borderId="0" xfId="61" applyNumberFormat="1" applyFont="1" applyFill="1" applyAlignment="1">
      <alignment horizontal="right" vertical="center"/>
    </xf>
    <xf numFmtId="190" fontId="65" fillId="0" borderId="41" xfId="61" applyNumberFormat="1" applyFont="1" applyFill="1" applyBorder="1" applyAlignment="1">
      <alignment horizontal="right" vertical="center"/>
    </xf>
    <xf numFmtId="8" fontId="87" fillId="0" borderId="0" xfId="0" applyNumberFormat="1" applyFont="1" applyAlignment="1">
      <alignment horizontal="center" vertical="center" wrapText="1"/>
    </xf>
    <xf numFmtId="8" fontId="89" fillId="0" borderId="32" xfId="61" applyNumberFormat="1" applyFont="1" applyBorder="1" applyAlignment="1">
      <alignment horizontal="center" vertical="center" wrapText="1"/>
    </xf>
    <xf numFmtId="8" fontId="89" fillId="0" borderId="0" xfId="61" applyNumberFormat="1" applyFont="1" applyAlignment="1">
      <alignment horizontal="center" vertical="center" wrapText="1"/>
    </xf>
    <xf numFmtId="0" fontId="29" fillId="0" borderId="0" xfId="36" applyFill="1" applyAlignment="1">
      <alignment horizontal="left" vertical="center" wrapText="1"/>
    </xf>
    <xf numFmtId="0" fontId="37" fillId="0" borderId="0" xfId="35" applyBorder="1" applyAlignment="1">
      <alignment horizontal="center" vertical="center" wrapText="1"/>
    </xf>
    <xf numFmtId="0" fontId="37" fillId="0" borderId="21" xfId="35" applyBorder="1" applyAlignment="1">
      <alignment horizontal="center" vertical="center" wrapText="1"/>
    </xf>
    <xf numFmtId="0" fontId="47" fillId="0" borderId="24" xfId="57" applyFont="1" applyBorder="1" applyAlignment="1">
      <alignment horizontal="right" vertical="center"/>
    </xf>
    <xf numFmtId="0" fontId="47" fillId="0" borderId="25" xfId="57" applyFont="1" applyBorder="1" applyAlignment="1">
      <alignment horizontal="right" vertical="center"/>
    </xf>
    <xf numFmtId="0" fontId="47" fillId="0" borderId="24" xfId="57" applyFont="1" applyBorder="1" applyAlignment="1">
      <alignment horizontal="center" vertical="center"/>
    </xf>
    <xf numFmtId="0" fontId="47" fillId="0" borderId="25" xfId="57" applyFont="1" applyBorder="1" applyAlignment="1">
      <alignment horizontal="center" vertical="center"/>
    </xf>
    <xf numFmtId="0" fontId="45" fillId="0" borderId="27" xfId="57" applyFont="1" applyBorder="1" applyAlignment="1">
      <alignment wrapText="1"/>
    </xf>
    <xf numFmtId="0" fontId="45" fillId="0" borderId="28" xfId="57" applyFont="1" applyBorder="1" applyAlignment="1">
      <alignment wrapText="1"/>
    </xf>
    <xf numFmtId="0" fontId="45" fillId="0" borderId="23" xfId="57" applyFont="1" applyBorder="1" applyAlignment="1">
      <alignment horizontal="center" vertical="center" wrapText="1"/>
    </xf>
    <xf numFmtId="0" fontId="45" fillId="0" borderId="23" xfId="57" applyFont="1" applyBorder="1" applyAlignment="1">
      <alignment horizontal="center" vertical="center"/>
    </xf>
    <xf numFmtId="0" fontId="54" fillId="24" borderId="0" xfId="0" applyFont="1" applyFill="1" applyBorder="1" applyAlignment="1">
      <alignment horizontal="center" vertical="center" wrapText="1"/>
    </xf>
    <xf numFmtId="0" fontId="54" fillId="20" borderId="0" xfId="0" applyFont="1" applyFill="1" applyBorder="1" applyAlignment="1">
      <alignment horizontal="center" vertical="center" wrapText="1"/>
    </xf>
    <xf numFmtId="0" fontId="55" fillId="0" borderId="0" xfId="0" applyFont="1" applyBorder="1" applyAlignment="1">
      <alignment horizontal="left" vertical="center" wrapText="1"/>
    </xf>
    <xf numFmtId="0" fontId="60" fillId="20" borderId="38" xfId="57" applyFont="1" applyFill="1" applyBorder="1" applyAlignment="1">
      <alignment horizontal="center" vertical="center" wrapText="1"/>
    </xf>
    <xf numFmtId="0" fontId="60" fillId="20" borderId="37" xfId="57" applyFont="1" applyFill="1" applyBorder="1" applyAlignment="1">
      <alignment horizontal="center" vertical="center" wrapText="1"/>
    </xf>
    <xf numFmtId="0" fontId="60" fillId="20" borderId="42" xfId="57" applyFont="1" applyFill="1" applyBorder="1" applyAlignment="1">
      <alignment horizontal="center" vertical="center" wrapText="1"/>
    </xf>
    <xf numFmtId="0" fontId="60" fillId="20" borderId="34" xfId="57" applyFont="1" applyFill="1" applyBorder="1" applyAlignment="1">
      <alignment horizontal="center" vertical="center" wrapText="1"/>
    </xf>
    <xf numFmtId="0" fontId="60" fillId="21" borderId="33" xfId="61" applyFont="1" applyFill="1" applyBorder="1" applyAlignment="1">
      <alignment horizontal="center" vertical="center" wrapText="1"/>
    </xf>
    <xf numFmtId="0" fontId="60" fillId="21" borderId="0" xfId="61" applyFont="1" applyFill="1" applyBorder="1" applyAlignment="1">
      <alignment horizontal="center" vertical="center" wrapText="1"/>
    </xf>
    <xf numFmtId="0" fontId="60" fillId="21" borderId="32" xfId="61" applyFont="1" applyFill="1" applyBorder="1" applyAlignment="1">
      <alignment horizontal="center" vertical="center" wrapText="1"/>
    </xf>
    <xf numFmtId="0" fontId="85" fillId="20" borderId="0" xfId="0" applyFont="1" applyFill="1" applyAlignment="1">
      <alignment horizontal="left" vertical="center" wrapText="1" indent="4"/>
    </xf>
    <xf numFmtId="0" fontId="85" fillId="20" borderId="0" xfId="0" applyFont="1" applyFill="1" applyAlignment="1">
      <alignment horizontal="center" vertical="center" wrapText="1"/>
    </xf>
    <xf numFmtId="0" fontId="60" fillId="20" borderId="39" xfId="57" applyFont="1" applyFill="1" applyBorder="1" applyAlignment="1">
      <alignment vertical="center" wrapText="1"/>
    </xf>
    <xf numFmtId="0" fontId="60" fillId="20" borderId="36" xfId="57" applyFont="1" applyFill="1" applyBorder="1" applyAlignment="1">
      <alignment vertical="center" wrapText="1"/>
    </xf>
    <xf numFmtId="0" fontId="60" fillId="20" borderId="39" xfId="57" applyFont="1" applyFill="1" applyBorder="1" applyAlignment="1">
      <alignment horizontal="left" vertical="center"/>
    </xf>
    <xf numFmtId="0" fontId="60" fillId="20" borderId="36" xfId="57" applyFont="1" applyFill="1" applyBorder="1" applyAlignment="1">
      <alignment horizontal="left" vertical="center"/>
    </xf>
    <xf numFmtId="0" fontId="60" fillId="20" borderId="38" xfId="57" applyFont="1" applyFill="1" applyBorder="1" applyAlignment="1">
      <alignment horizontal="center" vertical="center"/>
    </xf>
    <xf numFmtId="0" fontId="60" fillId="20" borderId="34" xfId="57" applyFont="1" applyFill="1" applyBorder="1" applyAlignment="1">
      <alignment horizontal="center" vertical="center"/>
    </xf>
    <xf numFmtId="0" fontId="82" fillId="23" borderId="0" xfId="0" applyFont="1" applyFill="1" applyAlignment="1">
      <alignment vertical="center"/>
    </xf>
    <xf numFmtId="0" fontId="82" fillId="23" borderId="32" xfId="0" applyFont="1" applyFill="1" applyBorder="1" applyAlignment="1">
      <alignment vertical="center"/>
    </xf>
    <xf numFmtId="0" fontId="81" fillId="21" borderId="45" xfId="0" applyFont="1" applyFill="1" applyBorder="1" applyAlignment="1">
      <alignment horizontal="center" vertical="center"/>
    </xf>
    <xf numFmtId="0" fontId="81" fillId="21" borderId="35" xfId="0" applyFont="1" applyFill="1" applyBorder="1" applyAlignment="1">
      <alignment horizontal="center" vertical="center"/>
    </xf>
    <xf numFmtId="0" fontId="81" fillId="21" borderId="32" xfId="0" applyFont="1" applyFill="1" applyBorder="1" applyAlignment="1">
      <alignment horizontal="center" vertical="center"/>
    </xf>
    <xf numFmtId="0" fontId="60" fillId="20" borderId="33" xfId="61" applyFont="1" applyFill="1" applyBorder="1" applyAlignment="1">
      <alignment horizontal="center" vertical="center" wrapText="1"/>
    </xf>
    <xf numFmtId="0" fontId="60" fillId="20" borderId="32" xfId="61" applyFont="1" applyFill="1" applyBorder="1" applyAlignment="1">
      <alignment horizontal="center" vertical="center" wrapText="1"/>
    </xf>
    <xf numFmtId="0" fontId="2" fillId="0" borderId="0" xfId="61" applyBorder="1" applyAlignment="1">
      <alignment horizontal="center" vertical="center" wrapText="1"/>
    </xf>
    <xf numFmtId="0" fontId="2" fillId="0" borderId="0" xfId="61" applyAlignment="1">
      <alignment horizontal="center" vertical="center" wrapText="1"/>
    </xf>
    <xf numFmtId="0" fontId="2" fillId="0" borderId="32" xfId="61" applyBorder="1" applyAlignment="1">
      <alignment horizontal="center" vertical="center" wrapText="1"/>
    </xf>
    <xf numFmtId="0" fontId="2" fillId="0" borderId="33" xfId="61" applyBorder="1" applyAlignment="1">
      <alignment horizontal="center" vertical="center" wrapText="1"/>
    </xf>
    <xf numFmtId="0" fontId="37" fillId="0" borderId="0" xfId="35" applyFill="1" applyBorder="1" applyAlignment="1">
      <alignment horizontal="center" vertical="center"/>
    </xf>
    <xf numFmtId="0" fontId="70" fillId="21" borderId="41" xfId="61" applyFont="1" applyFill="1" applyBorder="1" applyAlignment="1">
      <alignment horizontal="center" vertical="center" wrapText="1"/>
    </xf>
    <xf numFmtId="0" fontId="2" fillId="0" borderId="34" xfId="61" applyBorder="1" applyAlignment="1">
      <alignment horizontal="center" vertical="center" wrapText="1"/>
    </xf>
    <xf numFmtId="0" fontId="79" fillId="0" borderId="32" xfId="61" applyFont="1" applyBorder="1" applyAlignment="1">
      <alignment horizontal="center" vertical="center"/>
    </xf>
    <xf numFmtId="0" fontId="79" fillId="0" borderId="0" xfId="61" applyFont="1" applyAlignment="1">
      <alignment horizontal="center" vertical="center"/>
    </xf>
  </cellXfs>
  <cellStyles count="73">
    <cellStyle name="Bad" xfId="22" builtinId="27" hidden="1"/>
    <cellStyle name="Calculation" xfId="26" builtinId="22" hidden="1"/>
    <cellStyle name="Check Cell" xfId="28" builtinId="23" hidden="1"/>
    <cellStyle name="Check RedRedGreen" xfId="44"/>
    <cellStyle name="Comma 2" xfId="62"/>
    <cellStyle name="Comma 2 2" xfId="71"/>
    <cellStyle name="Currency" xfId="1" builtinId="4" hidden="1" customBuiltin="1"/>
    <cellStyle name="Currency" xfId="40"/>
    <cellStyle name="Currency Assumptions" xfId="19"/>
    <cellStyle name="Currency Input" xfId="49"/>
    <cellStyle name="Date" xfId="11"/>
    <cellStyle name="Date Assumptions" xfId="12"/>
    <cellStyle name="Date Input" xfId="48"/>
    <cellStyle name="Dropdown" xfId="53"/>
    <cellStyle name="Explanatory Text" xfId="31" builtinId="53" hidden="1"/>
    <cellStyle name="External Link" xfId="55"/>
    <cellStyle name="Good" xfId="21" builtinId="26" hidden="1"/>
    <cellStyle name="Heading 1" xfId="3" builtinId="16" customBuiltin="1"/>
    <cellStyle name="Heading 1 2 4" xfId="60"/>
    <cellStyle name="Heading 1 4" xfId="65"/>
    <cellStyle name="Heading 2" xfId="4" builtinId="17" hidden="1" customBuiltin="1"/>
    <cellStyle name="Heading 2 Input" xfId="38"/>
    <cellStyle name="Heading 2 Output" xfId="39"/>
    <cellStyle name="Heading 3" xfId="5" builtinId="18" hidden="1" customBuiltin="1"/>
    <cellStyle name="Heading 3 Input" xfId="34"/>
    <cellStyle name="Heading 3 Output" xfId="35"/>
    <cellStyle name="Heading 4" xfId="6" builtinId="19" hidden="1" customBuiltin="1"/>
    <cellStyle name="Heading 4 Assumptions" xfId="8"/>
    <cellStyle name="Heading 4 Input" xfId="36"/>
    <cellStyle name="Heading 4 Input 2" xfId="66"/>
    <cellStyle name="Heading 4 Output" xfId="37"/>
    <cellStyle name="Heading 4 Output 2" xfId="68"/>
    <cellStyle name="Hyperlink" xfId="32" builtinId="8" customBuiltin="1"/>
    <cellStyle name="Hyperlink 2" xfId="63"/>
    <cellStyle name="Hyperlink 5" xfId="67"/>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rmal 2" xfId="61"/>
    <cellStyle name="Normal 2 2" xfId="70"/>
    <cellStyle name="Normal 4 8" xfId="56"/>
    <cellStyle name="Normal 45" xfId="57"/>
    <cellStyle name="Not Applicable" xfId="54"/>
    <cellStyle name="Note" xfId="30" builtinId="10" hidden="1"/>
    <cellStyle name="Number" xfId="13"/>
    <cellStyle name="Number Assumptions" xfId="14"/>
    <cellStyle name="Number Input" xfId="47"/>
    <cellStyle name="Output" xfId="25" builtinId="21" hidden="1"/>
    <cellStyle name="Percent" xfId="59" builtinId="5"/>
    <cellStyle name="Percent 2" xfId="64"/>
    <cellStyle name="Percent 2 2" xfId="72"/>
    <cellStyle name="Percent 50" xfId="58"/>
    <cellStyle name="Percentage" xfId="15"/>
    <cellStyle name="Percentage Assumptions" xfId="16"/>
    <cellStyle name="Percentage Input" xfId="51"/>
    <cellStyle name="Sheet Title Input" xfId="20"/>
    <cellStyle name="Sheet Title Input 2 2" xfId="69"/>
    <cellStyle name="Sheet Title Output" xfId="33"/>
    <cellStyle name="Table Header 1" xfId="42"/>
    <cellStyle name="Table Header 2" xfId="43"/>
    <cellStyle name="Title" xfId="2" builtinId="15" hidde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44">
    <dxf>
      <font>
        <b/>
        <i val="0"/>
        <color rgb="FFFF0000"/>
      </font>
    </dxf>
    <dxf>
      <font>
        <b/>
        <i val="0"/>
        <color rgb="FFFF0000"/>
      </font>
    </dxf>
    <dxf>
      <font>
        <b/>
        <i val="0"/>
        <color rgb="FFFF0000"/>
      </font>
    </dxf>
    <dxf>
      <font>
        <b/>
        <i val="0"/>
        <color rgb="FFFF0000"/>
      </font>
    </dxf>
    <dxf>
      <font>
        <b/>
        <i val="0"/>
        <color rgb="FFFF0000"/>
      </font>
    </dxf>
    <dxf>
      <font>
        <b/>
        <i val="0"/>
        <color rgb="FF00B050"/>
      </font>
    </dxf>
    <dxf>
      <font>
        <b/>
        <i val="0"/>
        <color theme="5"/>
      </font>
    </dxf>
    <dxf>
      <font>
        <b/>
        <i val="0"/>
        <color rgb="FF00B050"/>
      </font>
    </dxf>
    <dxf>
      <font>
        <b/>
        <i val="0"/>
        <color theme="5"/>
      </font>
    </dxf>
    <dxf>
      <font>
        <b/>
        <i val="0"/>
        <color rgb="FF00B050"/>
      </font>
    </dxf>
    <dxf>
      <font>
        <b/>
        <i val="0"/>
        <color theme="5"/>
      </font>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Output_Charts!$R$41</c:f>
              <c:strCache>
                <c:ptCount val="1"/>
                <c:pt idx="0">
                  <c:v>FY20</c:v>
                </c:pt>
              </c:strCache>
            </c:strRef>
          </c:tx>
          <c:spPr>
            <a:solidFill>
              <a:schemeClr val="accent3">
                <a:lumMod val="40000"/>
                <a:lumOff val="60000"/>
              </a:schemeClr>
            </a:solidFill>
            <a:ln>
              <a:noFill/>
            </a:ln>
            <a:effectLst/>
          </c:spPr>
          <c:invertIfNegative val="0"/>
          <c:dLbls>
            <c:dLbl>
              <c:idx val="13"/>
              <c:layout>
                <c:manualLayout>
                  <c:x val="1.4930944382232176E-3"/>
                  <c:y val="0.237196765498652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13-404F-B5B0-E2E10DC0D286}"/>
                </c:ext>
              </c:extLst>
            </c:dLbl>
            <c:dLbl>
              <c:idx val="16"/>
              <c:layout>
                <c:manualLayout>
                  <c:x val="-2.9861888764464353E-3"/>
                  <c:y val="0.18688230008984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13-404F-B5B0-E2E10DC0D2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Output_Charts!$P$42:$Q$58</c:f>
              <c:multiLvlStrCache>
                <c:ptCount val="17"/>
                <c:lvl>
                  <c:pt idx="0">
                    <c:v>SAC</c:v>
                  </c:pt>
                  <c:pt idx="1">
                    <c:v>Consumption</c:v>
                  </c:pt>
                  <c:pt idx="2">
                    <c:v>SAC</c:v>
                  </c:pt>
                  <c:pt idx="3">
                    <c:v>Consumption</c:v>
                  </c:pt>
                  <c:pt idx="4">
                    <c:v>Consumption</c:v>
                  </c:pt>
                  <c:pt idx="5">
                    <c:v>SAC</c:v>
                  </c:pt>
                  <c:pt idx="6">
                    <c:v>Consumption</c:v>
                  </c:pt>
                  <c:pt idx="7">
                    <c:v>Demand</c:v>
                  </c:pt>
                  <c:pt idx="8">
                    <c:v>SAC</c:v>
                  </c:pt>
                  <c:pt idx="9">
                    <c:v>Consumption</c:v>
                  </c:pt>
                  <c:pt idx="10">
                    <c:v>Demand</c:v>
                  </c:pt>
                  <c:pt idx="11">
                    <c:v>SAC</c:v>
                  </c:pt>
                  <c:pt idx="12">
                    <c:v>Consumption</c:v>
                  </c:pt>
                  <c:pt idx="13">
                    <c:v>Demand</c:v>
                  </c:pt>
                  <c:pt idx="14">
                    <c:v>SAC</c:v>
                  </c:pt>
                  <c:pt idx="15">
                    <c:v>Consumption</c:v>
                  </c:pt>
                  <c:pt idx="16">
                    <c:v>Demand</c:v>
                  </c:pt>
                </c:lvl>
                <c:lvl>
                  <c:pt idx="0">
                    <c:v>T1: Residential Tariff</c:v>
                  </c:pt>
                  <c:pt idx="2">
                    <c:v>T2: Non-Residential Tariff</c:v>
                  </c:pt>
                  <c:pt idx="4">
                    <c:v>T4: Unmetered Tariff</c:v>
                  </c:pt>
                  <c:pt idx="5">
                    <c:v>T3: LV Smart meter Tariff</c:v>
                  </c:pt>
                  <c:pt idx="8">
                    <c:v>T6: HV Minors Tariff</c:v>
                  </c:pt>
                  <c:pt idx="11">
                    <c:v>T5: LV Majors Tariff</c:v>
                  </c:pt>
                  <c:pt idx="14">
                    <c:v>T7: HV Majors Tariff</c:v>
                  </c:pt>
                </c:lvl>
              </c:multiLvlStrCache>
            </c:multiLvlStrRef>
          </c:cat>
          <c:val>
            <c:numRef>
              <c:f>Output_Charts!$R$42:$R$58</c:f>
              <c:numCache>
                <c:formatCode>0%</c:formatCode>
                <c:ptCount val="17"/>
                <c:pt idx="0">
                  <c:v>0.13342748013081313</c:v>
                </c:pt>
                <c:pt idx="1">
                  <c:v>0.31891067589430483</c:v>
                </c:pt>
                <c:pt idx="2">
                  <c:v>3.5620104502368674E-2</c:v>
                </c:pt>
                <c:pt idx="3">
                  <c:v>4.306445879929461E-2</c:v>
                </c:pt>
                <c:pt idx="4">
                  <c:v>4.4873858224993551E-3</c:v>
                </c:pt>
                <c:pt idx="5">
                  <c:v>6.5344878032057158E-2</c:v>
                </c:pt>
                <c:pt idx="6">
                  <c:v>0.13453148576537208</c:v>
                </c:pt>
                <c:pt idx="7">
                  <c:v>0.12103255474448306</c:v>
                </c:pt>
                <c:pt idx="8">
                  <c:v>1.2815056313031061E-4</c:v>
                </c:pt>
                <c:pt idx="9">
                  <c:v>2.2624709725136173E-3</c:v>
                </c:pt>
                <c:pt idx="10">
                  <c:v>4.606324098577204E-4</c:v>
                </c:pt>
                <c:pt idx="11">
                  <c:v>3.872340132392272E-2</c:v>
                </c:pt>
                <c:pt idx="12">
                  <c:v>5.5354952376292031E-2</c:v>
                </c:pt>
                <c:pt idx="13">
                  <c:v>-3.6353104873106772E-2</c:v>
                </c:pt>
                <c:pt idx="14">
                  <c:v>8.4779044318647381E-3</c:v>
                </c:pt>
                <c:pt idx="15">
                  <c:v>7.4184729661800092E-2</c:v>
                </c:pt>
                <c:pt idx="16">
                  <c:v>3.4183944253270165E-4</c:v>
                </c:pt>
              </c:numCache>
            </c:numRef>
          </c:val>
          <c:extLst>
            <c:ext xmlns:c16="http://schemas.microsoft.com/office/drawing/2014/chart" uri="{C3380CC4-5D6E-409C-BE32-E72D297353CC}">
              <c16:uniqueId val="{00000007-3256-4863-BA5D-66EC01DE22BA}"/>
            </c:ext>
          </c:extLst>
        </c:ser>
        <c:ser>
          <c:idx val="1"/>
          <c:order val="1"/>
          <c:tx>
            <c:strRef>
              <c:f>Output_Charts!$S$41</c:f>
              <c:strCache>
                <c:ptCount val="1"/>
                <c:pt idx="0">
                  <c:v>FY21</c:v>
                </c:pt>
              </c:strCache>
            </c:strRef>
          </c:tx>
          <c:spPr>
            <a:solidFill>
              <a:schemeClr val="accent3">
                <a:lumMod val="50000"/>
              </a:schemeClr>
            </a:solidFill>
          </c:spPr>
          <c:invertIfNegative val="0"/>
          <c:dLbls>
            <c:dLbl>
              <c:idx val="13"/>
              <c:layout>
                <c:manualLayout>
                  <c:x val="1.4930944382231081E-3"/>
                  <c:y val="0.161725067385444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13-404F-B5B0-E2E10DC0D2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Output_Charts!$S$42:$S$58</c:f>
              <c:numCache>
                <c:formatCode>0%</c:formatCode>
                <c:ptCount val="17"/>
                <c:pt idx="0">
                  <c:v>0.20362500490276997</c:v>
                </c:pt>
                <c:pt idx="1">
                  <c:v>0.24708746361995726</c:v>
                </c:pt>
                <c:pt idx="2">
                  <c:v>4.2210229600354393E-2</c:v>
                </c:pt>
                <c:pt idx="3">
                  <c:v>3.5401097302772383E-2</c:v>
                </c:pt>
                <c:pt idx="4">
                  <c:v>4.4616190653874307E-3</c:v>
                </c:pt>
                <c:pt idx="5">
                  <c:v>0.10304294169642474</c:v>
                </c:pt>
                <c:pt idx="6">
                  <c:v>0.12013046510275172</c:v>
                </c:pt>
                <c:pt idx="7">
                  <c:v>0.10094345856474105</c:v>
                </c:pt>
                <c:pt idx="8">
                  <c:v>1.5840679072282908E-4</c:v>
                </c:pt>
                <c:pt idx="9">
                  <c:v>1.8973405507283585E-3</c:v>
                </c:pt>
                <c:pt idx="10">
                  <c:v>0</c:v>
                </c:pt>
                <c:pt idx="11">
                  <c:v>4.4632465124203685E-2</c:v>
                </c:pt>
                <c:pt idx="12">
                  <c:v>4.6045418032811612E-2</c:v>
                </c:pt>
                <c:pt idx="13">
                  <c:v>-3.3910456017097107E-2</c:v>
                </c:pt>
                <c:pt idx="14">
                  <c:v>1.1767147098529022E-2</c:v>
                </c:pt>
                <c:pt idx="15">
                  <c:v>7.2507398564942663E-2</c:v>
                </c:pt>
                <c:pt idx="16">
                  <c:v>0</c:v>
                </c:pt>
              </c:numCache>
            </c:numRef>
          </c:val>
          <c:extLst>
            <c:ext xmlns:c16="http://schemas.microsoft.com/office/drawing/2014/chart" uri="{C3380CC4-5D6E-409C-BE32-E72D297353CC}">
              <c16:uniqueId val="{00000000-3F7B-4FCB-AB7A-0B7B17C1CEF8}"/>
            </c:ext>
          </c:extLst>
        </c:ser>
        <c:dLbls>
          <c:showLegendKey val="0"/>
          <c:showVal val="0"/>
          <c:showCatName val="0"/>
          <c:showSerName val="0"/>
          <c:showPercent val="0"/>
          <c:showBubbleSize val="0"/>
        </c:dLbls>
        <c:gapWidth val="75"/>
        <c:axId val="97039872"/>
        <c:axId val="97041408"/>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Output_Charts!$R$20</c:f>
              <c:strCache>
                <c:ptCount val="1"/>
                <c:pt idx="0">
                  <c:v>FY20</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Output_Charts!$P$21:$Q$27</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Output_Charts!$R$21:$R$27</c:f>
              <c:numCache>
                <c:formatCode>0.0%</c:formatCode>
                <c:ptCount val="7"/>
                <c:pt idx="0">
                  <c:v>0.45233815602511801</c:v>
                </c:pt>
                <c:pt idx="1">
                  <c:v>7.8684563301663291E-2</c:v>
                </c:pt>
                <c:pt idx="2">
                  <c:v>4.4873858224993551E-3</c:v>
                </c:pt>
                <c:pt idx="3">
                  <c:v>0.32090891854191234</c:v>
                </c:pt>
                <c:pt idx="4">
                  <c:v>2.8512539455016481E-3</c:v>
                </c:pt>
                <c:pt idx="5">
                  <c:v>5.7725248827107979E-2</c:v>
                </c:pt>
                <c:pt idx="6">
                  <c:v>8.3004473536197526E-2</c:v>
                </c:pt>
              </c:numCache>
            </c:numRef>
          </c:val>
          <c:extLst>
            <c:ext xmlns:c16="http://schemas.microsoft.com/office/drawing/2014/chart" uri="{C3380CC4-5D6E-409C-BE32-E72D297353CC}">
              <c16:uniqueId val="{00000002-321D-47E4-8469-D701B72CEEA2}"/>
            </c:ext>
          </c:extLst>
        </c:ser>
        <c:ser>
          <c:idx val="1"/>
          <c:order val="1"/>
          <c:tx>
            <c:strRef>
              <c:f>Output_Charts!$S$20</c:f>
              <c:strCache>
                <c:ptCount val="1"/>
                <c:pt idx="0">
                  <c:v>FY21</c:v>
                </c:pt>
              </c:strCache>
            </c:strRef>
          </c:tx>
          <c:spPr>
            <a:solidFill>
              <a:schemeClr val="accent3">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Output_Charts!$S$21:$S$27</c:f>
              <c:numCache>
                <c:formatCode>0.0%</c:formatCode>
                <c:ptCount val="7"/>
                <c:pt idx="0">
                  <c:v>0.45071246852272723</c:v>
                </c:pt>
                <c:pt idx="1">
                  <c:v>7.7611326903126776E-2</c:v>
                </c:pt>
                <c:pt idx="2">
                  <c:v>4.4616190653874307E-3</c:v>
                </c:pt>
                <c:pt idx="3">
                  <c:v>0.32411686536391748</c:v>
                </c:pt>
                <c:pt idx="4">
                  <c:v>2.0557473414511878E-3</c:v>
                </c:pt>
                <c:pt idx="5">
                  <c:v>5.6767427139918177E-2</c:v>
                </c:pt>
                <c:pt idx="6">
                  <c:v>8.4274545663471687E-2</c:v>
                </c:pt>
              </c:numCache>
            </c:numRef>
          </c:val>
          <c:extLst>
            <c:ext xmlns:c16="http://schemas.microsoft.com/office/drawing/2014/chart" uri="{C3380CC4-5D6E-409C-BE32-E72D297353CC}">
              <c16:uniqueId val="{00000000-EF8B-4800-844E-AD7B375CE654}"/>
            </c:ext>
          </c:extLst>
        </c:ser>
        <c:dLbls>
          <c:showLegendKey val="0"/>
          <c:showVal val="0"/>
          <c:showCatName val="0"/>
          <c:showSerName val="0"/>
          <c:showPercent val="0"/>
          <c:showBubbleSize val="0"/>
        </c:dLbls>
        <c:gapWidth val="100"/>
        <c:axId val="106600704"/>
        <c:axId val="106610688"/>
      </c:barChart>
      <c:catAx>
        <c:axId val="106600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0688"/>
        <c:crosses val="autoZero"/>
        <c:auto val="1"/>
        <c:lblAlgn val="ctr"/>
        <c:lblOffset val="100"/>
        <c:noMultiLvlLbl val="0"/>
      </c:catAx>
      <c:valAx>
        <c:axId val="106610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00704"/>
        <c:crosses val="autoZero"/>
        <c:crossBetween val="between"/>
        <c:majorUnit val="0.1"/>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Output_Charts!$R$73</c:f>
              <c:strCache>
                <c:ptCount val="1"/>
                <c:pt idx="0">
                  <c:v>Allocated Revenue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Output_Charts!$P$74:$Q$80</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Output_Charts!$R$74:$R$80</c:f>
              <c:numCache>
                <c:formatCode>_("$"#,##0_);\("$"#,##0\);_("-"_)</c:formatCode>
                <c:ptCount val="7"/>
                <c:pt idx="0">
                  <c:v>46435.349117427912</c:v>
                </c:pt>
                <c:pt idx="1">
                  <c:v>8687.1926966000319</c:v>
                </c:pt>
                <c:pt idx="2">
                  <c:v>100.39797123766216</c:v>
                </c:pt>
                <c:pt idx="3">
                  <c:v>55442.732284645404</c:v>
                </c:pt>
                <c:pt idx="4">
                  <c:v>721.85341455980461</c:v>
                </c:pt>
                <c:pt idx="5">
                  <c:v>17050.529384933459</c:v>
                </c:pt>
                <c:pt idx="6">
                  <c:v>17491.598029893932</c:v>
                </c:pt>
              </c:numCache>
            </c:numRef>
          </c:val>
          <c:extLst>
            <c:ext xmlns:c16="http://schemas.microsoft.com/office/drawing/2014/chart" uri="{C3380CC4-5D6E-409C-BE32-E72D297353CC}">
              <c16:uniqueId val="{00000002-5BD5-4919-A68C-D478D9923BA0}"/>
            </c:ext>
          </c:extLst>
        </c:ser>
        <c:ser>
          <c:idx val="1"/>
          <c:order val="1"/>
          <c:tx>
            <c:strRef>
              <c:f>Output_Charts!$S$73</c:f>
              <c:strCache>
                <c:ptCount val="1"/>
                <c:pt idx="0">
                  <c:v>Forecast Revenue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Output_Charts!$P$74:$Q$80</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Output_Charts!$S$74:$S$80</c:f>
              <c:numCache>
                <c:formatCode>_("$"#,##0_);\("$"#,##0\);_("-"_)</c:formatCode>
                <c:ptCount val="7"/>
                <c:pt idx="0">
                  <c:v>59028.129653972195</c:v>
                </c:pt>
                <c:pt idx="1">
                  <c:v>9657.1413911518866</c:v>
                </c:pt>
                <c:pt idx="2">
                  <c:v>1104.5769420518643</c:v>
                </c:pt>
                <c:pt idx="3">
                  <c:v>44013.828718993725</c:v>
                </c:pt>
                <c:pt idx="4">
                  <c:v>537.39670242101511</c:v>
                </c:pt>
                <c:pt idx="5">
                  <c:v>16930.697278181899</c:v>
                </c:pt>
                <c:pt idx="6">
                  <c:v>14657.621717766047</c:v>
                </c:pt>
              </c:numCache>
            </c:numRef>
          </c:val>
          <c:extLst>
            <c:ext xmlns:c16="http://schemas.microsoft.com/office/drawing/2014/chart" uri="{C3380CC4-5D6E-409C-BE32-E72D297353CC}">
              <c16:uniqueId val="{00000003-5BD5-4919-A68C-D478D9923BA0}"/>
            </c:ext>
          </c:extLst>
        </c:ser>
        <c:dLbls>
          <c:showLegendKey val="0"/>
          <c:showVal val="0"/>
          <c:showCatName val="0"/>
          <c:showSerName val="0"/>
          <c:showPercent val="0"/>
          <c:showBubbleSize val="0"/>
        </c:dLbls>
        <c:gapWidth val="100"/>
        <c:axId val="106986112"/>
        <c:axId val="107000192"/>
      </c:barChart>
      <c:catAx>
        <c:axId val="106986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00192"/>
        <c:crosses val="autoZero"/>
        <c:auto val="1"/>
        <c:lblAlgn val="ctr"/>
        <c:lblOffset val="100"/>
        <c:noMultiLvlLbl val="0"/>
      </c:catAx>
      <c:valAx>
        <c:axId val="10700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Revenue ($,000, $nominal)</a:t>
                </a:r>
              </a:p>
            </c:rich>
          </c:tx>
          <c:layout>
            <c:manualLayout>
              <c:xMode val="edge"/>
              <c:yMode val="edge"/>
              <c:x val="7.0175438596491229E-3"/>
              <c:y val="6.779664032948098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6112"/>
        <c:crosses val="autoZero"/>
        <c:crossBetween val="between"/>
        <c:majorUnit val="2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Output_Charts!$R$20</c:f>
              <c:strCache>
                <c:ptCount val="1"/>
                <c:pt idx="0">
                  <c:v>FY20</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Output_Charts!$P$21:$Q$27</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Output_Charts!$R$21:$R$27</c:f>
              <c:numCache>
                <c:formatCode>0.0%</c:formatCode>
                <c:ptCount val="7"/>
                <c:pt idx="0">
                  <c:v>0.45233815602511801</c:v>
                </c:pt>
                <c:pt idx="1">
                  <c:v>7.8684563301663291E-2</c:v>
                </c:pt>
                <c:pt idx="2">
                  <c:v>4.4873858224993551E-3</c:v>
                </c:pt>
                <c:pt idx="3">
                  <c:v>0.32090891854191234</c:v>
                </c:pt>
                <c:pt idx="4">
                  <c:v>2.8512539455016481E-3</c:v>
                </c:pt>
                <c:pt idx="5">
                  <c:v>5.7725248827107979E-2</c:v>
                </c:pt>
                <c:pt idx="6">
                  <c:v>8.3004473536197526E-2</c:v>
                </c:pt>
              </c:numCache>
            </c:numRef>
          </c:val>
          <c:extLst>
            <c:ext xmlns:c16="http://schemas.microsoft.com/office/drawing/2014/chart" uri="{C3380CC4-5D6E-409C-BE32-E72D297353CC}">
              <c16:uniqueId val="{00000000-7781-4499-9987-EE00743A0339}"/>
            </c:ext>
          </c:extLst>
        </c:ser>
        <c:ser>
          <c:idx val="1"/>
          <c:order val="1"/>
          <c:tx>
            <c:strRef>
              <c:f>Output_Charts!$S$20</c:f>
              <c:strCache>
                <c:ptCount val="1"/>
                <c:pt idx="0">
                  <c:v>FY21</c:v>
                </c:pt>
              </c:strCache>
            </c:strRef>
          </c:tx>
          <c:spPr>
            <a:solidFill>
              <a:schemeClr val="accent3">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Output_Charts!$S$21:$S$27</c:f>
              <c:numCache>
                <c:formatCode>0.0%</c:formatCode>
                <c:ptCount val="7"/>
                <c:pt idx="0">
                  <c:v>0.45071246852272723</c:v>
                </c:pt>
                <c:pt idx="1">
                  <c:v>7.7611326903126776E-2</c:v>
                </c:pt>
                <c:pt idx="2">
                  <c:v>4.4616190653874307E-3</c:v>
                </c:pt>
                <c:pt idx="3">
                  <c:v>0.32411686536391748</c:v>
                </c:pt>
                <c:pt idx="4">
                  <c:v>2.0557473414511878E-3</c:v>
                </c:pt>
                <c:pt idx="5">
                  <c:v>5.6767427139918177E-2</c:v>
                </c:pt>
                <c:pt idx="6">
                  <c:v>8.4274545663471687E-2</c:v>
                </c:pt>
              </c:numCache>
            </c:numRef>
          </c:val>
          <c:extLst>
            <c:ext xmlns:c16="http://schemas.microsoft.com/office/drawing/2014/chart" uri="{C3380CC4-5D6E-409C-BE32-E72D297353CC}">
              <c16:uniqueId val="{00000001-7781-4499-9987-EE00743A0339}"/>
            </c:ext>
          </c:extLst>
        </c:ser>
        <c:dLbls>
          <c:showLegendKey val="0"/>
          <c:showVal val="0"/>
          <c:showCatName val="0"/>
          <c:showSerName val="0"/>
          <c:showPercent val="0"/>
          <c:showBubbleSize val="0"/>
        </c:dLbls>
        <c:gapWidth val="100"/>
        <c:axId val="99930112"/>
        <c:axId val="99931648"/>
      </c:barChart>
      <c:catAx>
        <c:axId val="99930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31648"/>
        <c:crosses val="autoZero"/>
        <c:auto val="1"/>
        <c:lblAlgn val="ctr"/>
        <c:lblOffset val="100"/>
        <c:noMultiLvlLbl val="0"/>
      </c:catAx>
      <c:valAx>
        <c:axId val="99931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30112"/>
        <c:crosses val="autoZero"/>
        <c:crossBetween val="between"/>
        <c:majorUnit val="0.1"/>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Output_Charts!$R$41</c:f>
              <c:strCache>
                <c:ptCount val="1"/>
                <c:pt idx="0">
                  <c:v>FY20</c:v>
                </c:pt>
              </c:strCache>
            </c:strRef>
          </c:tx>
          <c:spPr>
            <a:solidFill>
              <a:schemeClr val="accent3">
                <a:lumMod val="40000"/>
                <a:lumOff val="60000"/>
              </a:schemeClr>
            </a:solidFill>
            <a:ln>
              <a:noFill/>
            </a:ln>
            <a:effectLst/>
          </c:spPr>
          <c:invertIfNegative val="0"/>
          <c:dLbls>
            <c:dLbl>
              <c:idx val="13"/>
              <c:layout>
                <c:manualLayout>
                  <c:x val="1.4930944382232176E-3"/>
                  <c:y val="0.237196765498652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E4-4E66-9E2E-A39F1F904247}"/>
                </c:ext>
              </c:extLst>
            </c:dLbl>
            <c:dLbl>
              <c:idx val="16"/>
              <c:layout>
                <c:manualLayout>
                  <c:x val="-1.6541988195531503E-3"/>
                  <c:y val="1.4375561545372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4-4E66-9E2E-A39F1F9042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Output_Charts!$P$42:$Q$58</c:f>
              <c:multiLvlStrCache>
                <c:ptCount val="17"/>
                <c:lvl>
                  <c:pt idx="0">
                    <c:v>SAC</c:v>
                  </c:pt>
                  <c:pt idx="1">
                    <c:v>Consumption</c:v>
                  </c:pt>
                  <c:pt idx="2">
                    <c:v>SAC</c:v>
                  </c:pt>
                  <c:pt idx="3">
                    <c:v>Consumption</c:v>
                  </c:pt>
                  <c:pt idx="4">
                    <c:v>Consumption</c:v>
                  </c:pt>
                  <c:pt idx="5">
                    <c:v>SAC</c:v>
                  </c:pt>
                  <c:pt idx="6">
                    <c:v>Consumption</c:v>
                  </c:pt>
                  <c:pt idx="7">
                    <c:v>Demand</c:v>
                  </c:pt>
                  <c:pt idx="8">
                    <c:v>SAC</c:v>
                  </c:pt>
                  <c:pt idx="9">
                    <c:v>Consumption</c:v>
                  </c:pt>
                  <c:pt idx="10">
                    <c:v>Demand</c:v>
                  </c:pt>
                  <c:pt idx="11">
                    <c:v>SAC</c:v>
                  </c:pt>
                  <c:pt idx="12">
                    <c:v>Consumption</c:v>
                  </c:pt>
                  <c:pt idx="13">
                    <c:v>Demand</c:v>
                  </c:pt>
                  <c:pt idx="14">
                    <c:v>SAC</c:v>
                  </c:pt>
                  <c:pt idx="15">
                    <c:v>Consumption</c:v>
                  </c:pt>
                  <c:pt idx="16">
                    <c:v>Demand</c:v>
                  </c:pt>
                </c:lvl>
                <c:lvl>
                  <c:pt idx="0">
                    <c:v>T1: Residential Tariff</c:v>
                  </c:pt>
                  <c:pt idx="2">
                    <c:v>T2: Non-Residential Tariff</c:v>
                  </c:pt>
                  <c:pt idx="4">
                    <c:v>T4: Unmetered Tariff</c:v>
                  </c:pt>
                  <c:pt idx="5">
                    <c:v>T3: LV Smart meter Tariff</c:v>
                  </c:pt>
                  <c:pt idx="8">
                    <c:v>T6: HV Minors Tariff</c:v>
                  </c:pt>
                  <c:pt idx="11">
                    <c:v>T5: LV Majors Tariff</c:v>
                  </c:pt>
                  <c:pt idx="14">
                    <c:v>T7: HV Majors Tariff</c:v>
                  </c:pt>
                </c:lvl>
              </c:multiLvlStrCache>
            </c:multiLvlStrRef>
          </c:cat>
          <c:val>
            <c:numRef>
              <c:f>Output_Charts!$R$42:$R$58</c:f>
              <c:numCache>
                <c:formatCode>0%</c:formatCode>
                <c:ptCount val="17"/>
                <c:pt idx="0">
                  <c:v>0.13342748013081313</c:v>
                </c:pt>
                <c:pt idx="1">
                  <c:v>0.31891067589430483</c:v>
                </c:pt>
                <c:pt idx="2">
                  <c:v>3.5620104502368674E-2</c:v>
                </c:pt>
                <c:pt idx="3">
                  <c:v>4.306445879929461E-2</c:v>
                </c:pt>
                <c:pt idx="4">
                  <c:v>4.4873858224993551E-3</c:v>
                </c:pt>
                <c:pt idx="5">
                  <c:v>6.5344878032057158E-2</c:v>
                </c:pt>
                <c:pt idx="6">
                  <c:v>0.13453148576537208</c:v>
                </c:pt>
                <c:pt idx="7">
                  <c:v>0.12103255474448306</c:v>
                </c:pt>
                <c:pt idx="8">
                  <c:v>1.2815056313031061E-4</c:v>
                </c:pt>
                <c:pt idx="9">
                  <c:v>2.2624709725136173E-3</c:v>
                </c:pt>
                <c:pt idx="10">
                  <c:v>4.606324098577204E-4</c:v>
                </c:pt>
                <c:pt idx="11">
                  <c:v>3.872340132392272E-2</c:v>
                </c:pt>
                <c:pt idx="12">
                  <c:v>5.5354952376292031E-2</c:v>
                </c:pt>
                <c:pt idx="13">
                  <c:v>-3.6353104873106772E-2</c:v>
                </c:pt>
                <c:pt idx="14">
                  <c:v>8.4779044318647381E-3</c:v>
                </c:pt>
                <c:pt idx="15">
                  <c:v>7.4184729661800092E-2</c:v>
                </c:pt>
                <c:pt idx="16">
                  <c:v>3.4183944253270165E-4</c:v>
                </c:pt>
              </c:numCache>
            </c:numRef>
          </c:val>
          <c:extLst>
            <c:ext xmlns:c16="http://schemas.microsoft.com/office/drawing/2014/chart" uri="{C3380CC4-5D6E-409C-BE32-E72D297353CC}">
              <c16:uniqueId val="{00000002-02E4-4E66-9E2E-A39F1F904247}"/>
            </c:ext>
          </c:extLst>
        </c:ser>
        <c:ser>
          <c:idx val="1"/>
          <c:order val="1"/>
          <c:tx>
            <c:strRef>
              <c:f>Output_Charts!$S$41</c:f>
              <c:strCache>
                <c:ptCount val="1"/>
                <c:pt idx="0">
                  <c:v>FY21</c:v>
                </c:pt>
              </c:strCache>
            </c:strRef>
          </c:tx>
          <c:spPr>
            <a:solidFill>
              <a:schemeClr val="accent3">
                <a:lumMod val="50000"/>
              </a:schemeClr>
            </a:solidFill>
          </c:spPr>
          <c:invertIfNegative val="0"/>
          <c:dLbls>
            <c:dLbl>
              <c:idx val="13"/>
              <c:layout>
                <c:manualLayout>
                  <c:x val="1.4930944382231081E-3"/>
                  <c:y val="0.161725067385444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E4-4E66-9E2E-A39F1F9042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Output_Charts!$S$42:$S$58</c:f>
              <c:numCache>
                <c:formatCode>0%</c:formatCode>
                <c:ptCount val="17"/>
                <c:pt idx="0">
                  <c:v>0.20362500490276997</c:v>
                </c:pt>
                <c:pt idx="1">
                  <c:v>0.24708746361995726</c:v>
                </c:pt>
                <c:pt idx="2">
                  <c:v>4.2210229600354393E-2</c:v>
                </c:pt>
                <c:pt idx="3">
                  <c:v>3.5401097302772383E-2</c:v>
                </c:pt>
                <c:pt idx="4">
                  <c:v>4.4616190653874307E-3</c:v>
                </c:pt>
                <c:pt idx="5">
                  <c:v>0.10304294169642474</c:v>
                </c:pt>
                <c:pt idx="6">
                  <c:v>0.12013046510275172</c:v>
                </c:pt>
                <c:pt idx="7">
                  <c:v>0.10094345856474105</c:v>
                </c:pt>
                <c:pt idx="8">
                  <c:v>1.5840679072282908E-4</c:v>
                </c:pt>
                <c:pt idx="9">
                  <c:v>1.8973405507283585E-3</c:v>
                </c:pt>
                <c:pt idx="10">
                  <c:v>0</c:v>
                </c:pt>
                <c:pt idx="11">
                  <c:v>4.4632465124203685E-2</c:v>
                </c:pt>
                <c:pt idx="12">
                  <c:v>4.6045418032811612E-2</c:v>
                </c:pt>
                <c:pt idx="13">
                  <c:v>-3.3910456017097107E-2</c:v>
                </c:pt>
                <c:pt idx="14">
                  <c:v>1.1767147098529022E-2</c:v>
                </c:pt>
                <c:pt idx="15">
                  <c:v>7.2507398564942663E-2</c:v>
                </c:pt>
                <c:pt idx="16">
                  <c:v>0</c:v>
                </c:pt>
              </c:numCache>
            </c:numRef>
          </c:val>
          <c:extLst>
            <c:ext xmlns:c16="http://schemas.microsoft.com/office/drawing/2014/chart" uri="{C3380CC4-5D6E-409C-BE32-E72D297353CC}">
              <c16:uniqueId val="{00000004-02E4-4E66-9E2E-A39F1F904247}"/>
            </c:ext>
          </c:extLst>
        </c:ser>
        <c:dLbls>
          <c:showLegendKey val="0"/>
          <c:showVal val="0"/>
          <c:showCatName val="0"/>
          <c:showSerName val="0"/>
          <c:showPercent val="0"/>
          <c:showBubbleSize val="0"/>
        </c:dLbls>
        <c:gapWidth val="75"/>
        <c:axId val="107129088"/>
        <c:axId val="107143168"/>
      </c:barChart>
      <c:catAx>
        <c:axId val="10712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7143168"/>
        <c:crosses val="autoZero"/>
        <c:auto val="1"/>
        <c:lblAlgn val="ctr"/>
        <c:lblOffset val="100"/>
        <c:noMultiLvlLbl val="0"/>
      </c:catAx>
      <c:valAx>
        <c:axId val="10714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129088"/>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1"/>
          <c:order val="0"/>
          <c:tx>
            <c:v>Customer impact</c:v>
          </c:tx>
          <c:spPr>
            <a:ln w="25400" cap="rnd">
              <a:noFill/>
              <a:round/>
            </a:ln>
            <a:effectLst/>
          </c:spPr>
          <c:marker>
            <c:symbol val="circle"/>
            <c:size val="4"/>
            <c:spPr>
              <a:solidFill>
                <a:srgbClr val="FFD339"/>
              </a:solidFill>
              <a:ln w="9525">
                <a:noFill/>
              </a:ln>
              <a:effectLst/>
            </c:spPr>
          </c:marker>
          <c:xVal>
            <c:numRef>
              <c:f>'[5]Large customer bill impact'!$AP$3:$AP$206</c:f>
              <c:numCache>
                <c:formatCode>General</c:formatCode>
                <c:ptCount val="204"/>
                <c:pt idx="0">
                  <c:v>146</c:v>
                </c:pt>
                <c:pt idx="1">
                  <c:v>156</c:v>
                </c:pt>
                <c:pt idx="2">
                  <c:v>43</c:v>
                </c:pt>
                <c:pt idx="3">
                  <c:v>32</c:v>
                </c:pt>
                <c:pt idx="4">
                  <c:v>193</c:v>
                </c:pt>
                <c:pt idx="5">
                  <c:v>175</c:v>
                </c:pt>
                <c:pt idx="6">
                  <c:v>180</c:v>
                </c:pt>
                <c:pt idx="7">
                  <c:v>76</c:v>
                </c:pt>
                <c:pt idx="8">
                  <c:v>14</c:v>
                </c:pt>
                <c:pt idx="9">
                  <c:v>36</c:v>
                </c:pt>
                <c:pt idx="10">
                  <c:v>73</c:v>
                </c:pt>
                <c:pt idx="11">
                  <c:v>187</c:v>
                </c:pt>
                <c:pt idx="12">
                  <c:v>204</c:v>
                </c:pt>
                <c:pt idx="13">
                  <c:v>189</c:v>
                </c:pt>
                <c:pt idx="14">
                  <c:v>66</c:v>
                </c:pt>
                <c:pt idx="15">
                  <c:v>60</c:v>
                </c:pt>
                <c:pt idx="16">
                  <c:v>144</c:v>
                </c:pt>
                <c:pt idx="17">
                  <c:v>201</c:v>
                </c:pt>
                <c:pt idx="18">
                  <c:v>58</c:v>
                </c:pt>
                <c:pt idx="19">
                  <c:v>105</c:v>
                </c:pt>
                <c:pt idx="20">
                  <c:v>8</c:v>
                </c:pt>
                <c:pt idx="21">
                  <c:v>119</c:v>
                </c:pt>
                <c:pt idx="22">
                  <c:v>132</c:v>
                </c:pt>
                <c:pt idx="23">
                  <c:v>126</c:v>
                </c:pt>
                <c:pt idx="24">
                  <c:v>181</c:v>
                </c:pt>
                <c:pt idx="25">
                  <c:v>57</c:v>
                </c:pt>
                <c:pt idx="26">
                  <c:v>47</c:v>
                </c:pt>
                <c:pt idx="27">
                  <c:v>186</c:v>
                </c:pt>
                <c:pt idx="28">
                  <c:v>110</c:v>
                </c:pt>
                <c:pt idx="29">
                  <c:v>51</c:v>
                </c:pt>
                <c:pt idx="30">
                  <c:v>195</c:v>
                </c:pt>
                <c:pt idx="31">
                  <c:v>185</c:v>
                </c:pt>
                <c:pt idx="32">
                  <c:v>184</c:v>
                </c:pt>
                <c:pt idx="33">
                  <c:v>133</c:v>
                </c:pt>
                <c:pt idx="34">
                  <c:v>95</c:v>
                </c:pt>
                <c:pt idx="35">
                  <c:v>35</c:v>
                </c:pt>
                <c:pt idx="36">
                  <c:v>122</c:v>
                </c:pt>
                <c:pt idx="37">
                  <c:v>68</c:v>
                </c:pt>
                <c:pt idx="38">
                  <c:v>151</c:v>
                </c:pt>
                <c:pt idx="39">
                  <c:v>192</c:v>
                </c:pt>
                <c:pt idx="40">
                  <c:v>161</c:v>
                </c:pt>
                <c:pt idx="41">
                  <c:v>136</c:v>
                </c:pt>
                <c:pt idx="42">
                  <c:v>197</c:v>
                </c:pt>
                <c:pt idx="43">
                  <c:v>176</c:v>
                </c:pt>
                <c:pt idx="44">
                  <c:v>203</c:v>
                </c:pt>
                <c:pt idx="45">
                  <c:v>196</c:v>
                </c:pt>
                <c:pt idx="46">
                  <c:v>199</c:v>
                </c:pt>
                <c:pt idx="47">
                  <c:v>104</c:v>
                </c:pt>
                <c:pt idx="48">
                  <c:v>112</c:v>
                </c:pt>
                <c:pt idx="49">
                  <c:v>191</c:v>
                </c:pt>
                <c:pt idx="50">
                  <c:v>164</c:v>
                </c:pt>
                <c:pt idx="51">
                  <c:v>170</c:v>
                </c:pt>
                <c:pt idx="52">
                  <c:v>160</c:v>
                </c:pt>
                <c:pt idx="53">
                  <c:v>78</c:v>
                </c:pt>
                <c:pt idx="54">
                  <c:v>65</c:v>
                </c:pt>
                <c:pt idx="55">
                  <c:v>202</c:v>
                </c:pt>
                <c:pt idx="56">
                  <c:v>163</c:v>
                </c:pt>
                <c:pt idx="57">
                  <c:v>183</c:v>
                </c:pt>
                <c:pt idx="58">
                  <c:v>90</c:v>
                </c:pt>
                <c:pt idx="59">
                  <c:v>115</c:v>
                </c:pt>
                <c:pt idx="60">
                  <c:v>178</c:v>
                </c:pt>
                <c:pt idx="61">
                  <c:v>31</c:v>
                </c:pt>
                <c:pt idx="62">
                  <c:v>166</c:v>
                </c:pt>
                <c:pt idx="63">
                  <c:v>198</c:v>
                </c:pt>
                <c:pt idx="64">
                  <c:v>169</c:v>
                </c:pt>
                <c:pt idx="65">
                  <c:v>168</c:v>
                </c:pt>
                <c:pt idx="66">
                  <c:v>200</c:v>
                </c:pt>
                <c:pt idx="67">
                  <c:v>149</c:v>
                </c:pt>
                <c:pt idx="68">
                  <c:v>141</c:v>
                </c:pt>
                <c:pt idx="69">
                  <c:v>188</c:v>
                </c:pt>
                <c:pt idx="70">
                  <c:v>85</c:v>
                </c:pt>
                <c:pt idx="71">
                  <c:v>111</c:v>
                </c:pt>
                <c:pt idx="72">
                  <c:v>172</c:v>
                </c:pt>
                <c:pt idx="73">
                  <c:v>194</c:v>
                </c:pt>
                <c:pt idx="74">
                  <c:v>182</c:v>
                </c:pt>
                <c:pt idx="75">
                  <c:v>56</c:v>
                </c:pt>
                <c:pt idx="76">
                  <c:v>143</c:v>
                </c:pt>
                <c:pt idx="77">
                  <c:v>145</c:v>
                </c:pt>
                <c:pt idx="78">
                  <c:v>124</c:v>
                </c:pt>
                <c:pt idx="79">
                  <c:v>138</c:v>
                </c:pt>
                <c:pt idx="80">
                  <c:v>165</c:v>
                </c:pt>
                <c:pt idx="81">
                  <c:v>64</c:v>
                </c:pt>
                <c:pt idx="82">
                  <c:v>42</c:v>
                </c:pt>
                <c:pt idx="83">
                  <c:v>127</c:v>
                </c:pt>
                <c:pt idx="84">
                  <c:v>123</c:v>
                </c:pt>
                <c:pt idx="85">
                  <c:v>12</c:v>
                </c:pt>
                <c:pt idx="86">
                  <c:v>153</c:v>
                </c:pt>
                <c:pt idx="87">
                  <c:v>39</c:v>
                </c:pt>
                <c:pt idx="88">
                  <c:v>74</c:v>
                </c:pt>
                <c:pt idx="89">
                  <c:v>102</c:v>
                </c:pt>
                <c:pt idx="90">
                  <c:v>118</c:v>
                </c:pt>
                <c:pt idx="91">
                  <c:v>137</c:v>
                </c:pt>
                <c:pt idx="92">
                  <c:v>167</c:v>
                </c:pt>
                <c:pt idx="93">
                  <c:v>38</c:v>
                </c:pt>
                <c:pt idx="94">
                  <c:v>174</c:v>
                </c:pt>
                <c:pt idx="95">
                  <c:v>44</c:v>
                </c:pt>
                <c:pt idx="96">
                  <c:v>103</c:v>
                </c:pt>
                <c:pt idx="97">
                  <c:v>62</c:v>
                </c:pt>
                <c:pt idx="98">
                  <c:v>171</c:v>
                </c:pt>
                <c:pt idx="99">
                  <c:v>109</c:v>
                </c:pt>
                <c:pt idx="100">
                  <c:v>190</c:v>
                </c:pt>
                <c:pt idx="101">
                  <c:v>97</c:v>
                </c:pt>
                <c:pt idx="102">
                  <c:v>107</c:v>
                </c:pt>
                <c:pt idx="103">
                  <c:v>101</c:v>
                </c:pt>
                <c:pt idx="104">
                  <c:v>121</c:v>
                </c:pt>
                <c:pt idx="105">
                  <c:v>142</c:v>
                </c:pt>
                <c:pt idx="106">
                  <c:v>1</c:v>
                </c:pt>
                <c:pt idx="107">
                  <c:v>22</c:v>
                </c:pt>
                <c:pt idx="108">
                  <c:v>98</c:v>
                </c:pt>
                <c:pt idx="109">
                  <c:v>125</c:v>
                </c:pt>
                <c:pt idx="110">
                  <c:v>92</c:v>
                </c:pt>
                <c:pt idx="111">
                  <c:v>69</c:v>
                </c:pt>
                <c:pt idx="112">
                  <c:v>134</c:v>
                </c:pt>
                <c:pt idx="113">
                  <c:v>77</c:v>
                </c:pt>
                <c:pt idx="114">
                  <c:v>15</c:v>
                </c:pt>
                <c:pt idx="115">
                  <c:v>63</c:v>
                </c:pt>
                <c:pt idx="116">
                  <c:v>99</c:v>
                </c:pt>
                <c:pt idx="117">
                  <c:v>100</c:v>
                </c:pt>
                <c:pt idx="118">
                  <c:v>131</c:v>
                </c:pt>
                <c:pt idx="119">
                  <c:v>10</c:v>
                </c:pt>
                <c:pt idx="120">
                  <c:v>45</c:v>
                </c:pt>
                <c:pt idx="121">
                  <c:v>106</c:v>
                </c:pt>
                <c:pt idx="122">
                  <c:v>59</c:v>
                </c:pt>
                <c:pt idx="123">
                  <c:v>80</c:v>
                </c:pt>
                <c:pt idx="124">
                  <c:v>113</c:v>
                </c:pt>
                <c:pt idx="125">
                  <c:v>70</c:v>
                </c:pt>
                <c:pt idx="126">
                  <c:v>129</c:v>
                </c:pt>
                <c:pt idx="127">
                  <c:v>155</c:v>
                </c:pt>
                <c:pt idx="128">
                  <c:v>84</c:v>
                </c:pt>
                <c:pt idx="129">
                  <c:v>91</c:v>
                </c:pt>
                <c:pt idx="130">
                  <c:v>55</c:v>
                </c:pt>
                <c:pt idx="131">
                  <c:v>108</c:v>
                </c:pt>
                <c:pt idx="132">
                  <c:v>87</c:v>
                </c:pt>
                <c:pt idx="133">
                  <c:v>86</c:v>
                </c:pt>
                <c:pt idx="134">
                  <c:v>79</c:v>
                </c:pt>
                <c:pt idx="135">
                  <c:v>41</c:v>
                </c:pt>
                <c:pt idx="136">
                  <c:v>26</c:v>
                </c:pt>
                <c:pt idx="137">
                  <c:v>81</c:v>
                </c:pt>
                <c:pt idx="138">
                  <c:v>89</c:v>
                </c:pt>
                <c:pt idx="139">
                  <c:v>49</c:v>
                </c:pt>
                <c:pt idx="140">
                  <c:v>40</c:v>
                </c:pt>
                <c:pt idx="141">
                  <c:v>139</c:v>
                </c:pt>
                <c:pt idx="142">
                  <c:v>94</c:v>
                </c:pt>
                <c:pt idx="143">
                  <c:v>50</c:v>
                </c:pt>
                <c:pt idx="144">
                  <c:v>53</c:v>
                </c:pt>
                <c:pt idx="145">
                  <c:v>24</c:v>
                </c:pt>
                <c:pt idx="146">
                  <c:v>114</c:v>
                </c:pt>
                <c:pt idx="147">
                  <c:v>75</c:v>
                </c:pt>
                <c:pt idx="148">
                  <c:v>54</c:v>
                </c:pt>
                <c:pt idx="149">
                  <c:v>154</c:v>
                </c:pt>
                <c:pt idx="150">
                  <c:v>67</c:v>
                </c:pt>
                <c:pt idx="151">
                  <c:v>88</c:v>
                </c:pt>
                <c:pt idx="152">
                  <c:v>82</c:v>
                </c:pt>
                <c:pt idx="153">
                  <c:v>52</c:v>
                </c:pt>
                <c:pt idx="154">
                  <c:v>16</c:v>
                </c:pt>
                <c:pt idx="155">
                  <c:v>37</c:v>
                </c:pt>
                <c:pt idx="156">
                  <c:v>33</c:v>
                </c:pt>
                <c:pt idx="157">
                  <c:v>9</c:v>
                </c:pt>
                <c:pt idx="158">
                  <c:v>13</c:v>
                </c:pt>
                <c:pt idx="159">
                  <c:v>20</c:v>
                </c:pt>
                <c:pt idx="160">
                  <c:v>11</c:v>
                </c:pt>
                <c:pt idx="161">
                  <c:v>25</c:v>
                </c:pt>
                <c:pt idx="162">
                  <c:v>3</c:v>
                </c:pt>
                <c:pt idx="163">
                  <c:v>23</c:v>
                </c:pt>
                <c:pt idx="164">
                  <c:v>19</c:v>
                </c:pt>
                <c:pt idx="165">
                  <c:v>16</c:v>
                </c:pt>
                <c:pt idx="166">
                  <c:v>34</c:v>
                </c:pt>
                <c:pt idx="167">
                  <c:v>28</c:v>
                </c:pt>
                <c:pt idx="168">
                  <c:v>21</c:v>
                </c:pt>
                <c:pt idx="169">
                  <c:v>173</c:v>
                </c:pt>
                <c:pt idx="170">
                  <c:v>177</c:v>
                </c:pt>
                <c:pt idx="171">
                  <c:v>148</c:v>
                </c:pt>
                <c:pt idx="172">
                  <c:v>128</c:v>
                </c:pt>
                <c:pt idx="173">
                  <c:v>72</c:v>
                </c:pt>
                <c:pt idx="174">
                  <c:v>179</c:v>
                </c:pt>
                <c:pt idx="175">
                  <c:v>162</c:v>
                </c:pt>
                <c:pt idx="176">
                  <c:v>158</c:v>
                </c:pt>
                <c:pt idx="177">
                  <c:v>135</c:v>
                </c:pt>
                <c:pt idx="178">
                  <c:v>93</c:v>
                </c:pt>
                <c:pt idx="179">
                  <c:v>147</c:v>
                </c:pt>
                <c:pt idx="180">
                  <c:v>159</c:v>
                </c:pt>
                <c:pt idx="181">
                  <c:v>152</c:v>
                </c:pt>
                <c:pt idx="182">
                  <c:v>157</c:v>
                </c:pt>
                <c:pt idx="183">
                  <c:v>116</c:v>
                </c:pt>
                <c:pt idx="184">
                  <c:v>150</c:v>
                </c:pt>
                <c:pt idx="185">
                  <c:v>117</c:v>
                </c:pt>
                <c:pt idx="186">
                  <c:v>140</c:v>
                </c:pt>
                <c:pt idx="187">
                  <c:v>130</c:v>
                </c:pt>
                <c:pt idx="188">
                  <c:v>120</c:v>
                </c:pt>
                <c:pt idx="189">
                  <c:v>96</c:v>
                </c:pt>
                <c:pt idx="190">
                  <c:v>29</c:v>
                </c:pt>
                <c:pt idx="191">
                  <c:v>83</c:v>
                </c:pt>
                <c:pt idx="192">
                  <c:v>71</c:v>
                </c:pt>
                <c:pt idx="193">
                  <c:v>61</c:v>
                </c:pt>
                <c:pt idx="194">
                  <c:v>6</c:v>
                </c:pt>
                <c:pt idx="195">
                  <c:v>46</c:v>
                </c:pt>
                <c:pt idx="196">
                  <c:v>30</c:v>
                </c:pt>
                <c:pt idx="197">
                  <c:v>18</c:v>
                </c:pt>
                <c:pt idx="198">
                  <c:v>27</c:v>
                </c:pt>
                <c:pt idx="199">
                  <c:v>7</c:v>
                </c:pt>
                <c:pt idx="200">
                  <c:v>48</c:v>
                </c:pt>
                <c:pt idx="201">
                  <c:v>4</c:v>
                </c:pt>
                <c:pt idx="202">
                  <c:v>5</c:v>
                </c:pt>
                <c:pt idx="203">
                  <c:v>2</c:v>
                </c:pt>
              </c:numCache>
            </c:numRef>
          </c:xVal>
          <c:yVal>
            <c:numRef>
              <c:f>'[5]Large customer bill impact'!$AO$3:$AO$206</c:f>
              <c:numCache>
                <c:formatCode>General</c:formatCode>
                <c:ptCount val="204"/>
                <c:pt idx="0">
                  <c:v>-4.5115356068583162E-2</c:v>
                </c:pt>
                <c:pt idx="1">
                  <c:v>-4.8557408150306354E-2</c:v>
                </c:pt>
                <c:pt idx="2">
                  <c:v>-2.9965620830742275E-3</c:v>
                </c:pt>
                <c:pt idx="3">
                  <c:v>5.8922507874954524E-3</c:v>
                </c:pt>
                <c:pt idx="4">
                  <c:v>-6.1749065252895467E-2</c:v>
                </c:pt>
                <c:pt idx="5">
                  <c:v>-5.4873208295652245E-2</c:v>
                </c:pt>
                <c:pt idx="6">
                  <c:v>-5.7148389710692048E-2</c:v>
                </c:pt>
                <c:pt idx="7">
                  <c:v>-2.2201278735429406E-2</c:v>
                </c:pt>
                <c:pt idx="8">
                  <c:v>1.8102644274175007E-2</c:v>
                </c:pt>
                <c:pt idx="9">
                  <c:v>2.9803937799658437E-3</c:v>
                </c:pt>
                <c:pt idx="10">
                  <c:v>-2.1149009606647225E-2</c:v>
                </c:pt>
                <c:pt idx="11">
                  <c:v>-5.9915270513404402E-2</c:v>
                </c:pt>
                <c:pt idx="12">
                  <c:v>-8.4103928106390502E-2</c:v>
                </c:pt>
                <c:pt idx="13">
                  <c:v>-6.018191276568767E-2</c:v>
                </c:pt>
                <c:pt idx="14">
                  <c:v>-1.7066154514237816E-2</c:v>
                </c:pt>
                <c:pt idx="15">
                  <c:v>-1.4816407691854194E-2</c:v>
                </c:pt>
                <c:pt idx="16">
                  <c:v>-4.4266624583002304E-2</c:v>
                </c:pt>
                <c:pt idx="17">
                  <c:v>-6.6787372627263378E-2</c:v>
                </c:pt>
                <c:pt idx="18">
                  <c:v>-1.3083901256357352E-2</c:v>
                </c:pt>
                <c:pt idx="19">
                  <c:v>-3.282008335366797E-2</c:v>
                </c:pt>
                <c:pt idx="20">
                  <c:v>2.1760219736331198E-2</c:v>
                </c:pt>
                <c:pt idx="21">
                  <c:v>-3.6672295383751524E-2</c:v>
                </c:pt>
                <c:pt idx="22">
                  <c:v>-4.0431353146215508E-2</c:v>
                </c:pt>
                <c:pt idx="23">
                  <c:v>-3.8618425368572469E-2</c:v>
                </c:pt>
                <c:pt idx="24">
                  <c:v>-5.743529656843898E-2</c:v>
                </c:pt>
                <c:pt idx="25">
                  <c:v>-1.2608323591488059E-2</c:v>
                </c:pt>
                <c:pt idx="26">
                  <c:v>-4.7204511421541995E-3</c:v>
                </c:pt>
                <c:pt idx="27">
                  <c:v>-5.966741775338464E-2</c:v>
                </c:pt>
                <c:pt idx="28">
                  <c:v>-3.412873827726691E-2</c:v>
                </c:pt>
                <c:pt idx="29">
                  <c:v>-9.2341863625491852E-3</c:v>
                </c:pt>
                <c:pt idx="30">
                  <c:v>-6.3148726536878905E-2</c:v>
                </c:pt>
                <c:pt idx="31">
                  <c:v>-5.9079040080430308E-2</c:v>
                </c:pt>
                <c:pt idx="32">
                  <c:v>-5.9030579016351808E-2</c:v>
                </c:pt>
                <c:pt idx="33">
                  <c:v>-4.0835090998257363E-2</c:v>
                </c:pt>
                <c:pt idx="34">
                  <c:v>-2.9842759093057739E-2</c:v>
                </c:pt>
                <c:pt idx="35">
                  <c:v>3.6496245839278945E-3</c:v>
                </c:pt>
                <c:pt idx="36">
                  <c:v>-3.7382557183246554E-2</c:v>
                </c:pt>
                <c:pt idx="37">
                  <c:v>-1.7576742191780608E-2</c:v>
                </c:pt>
                <c:pt idx="38">
                  <c:v>-4.6681283303473896E-2</c:v>
                </c:pt>
                <c:pt idx="39">
                  <c:v>-6.1413274402654289E-2</c:v>
                </c:pt>
                <c:pt idx="40">
                  <c:v>-5.0093291520587238E-2</c:v>
                </c:pt>
                <c:pt idx="41">
                  <c:v>-4.2371369129495649E-2</c:v>
                </c:pt>
                <c:pt idx="42">
                  <c:v>-6.3942789099361089E-2</c:v>
                </c:pt>
                <c:pt idx="43">
                  <c:v>-5.5496868237340652E-2</c:v>
                </c:pt>
                <c:pt idx="44">
                  <c:v>-6.8612865647645571E-2</c:v>
                </c:pt>
                <c:pt idx="45">
                  <c:v>-6.3398321263253912E-2</c:v>
                </c:pt>
                <c:pt idx="46">
                  <c:v>-6.4526248595614705E-2</c:v>
                </c:pt>
                <c:pt idx="47">
                  <c:v>-3.2747357582049455E-2</c:v>
                </c:pt>
                <c:pt idx="48">
                  <c:v>-3.5168464318825921E-2</c:v>
                </c:pt>
                <c:pt idx="49">
                  <c:v>-6.0523448514578713E-2</c:v>
                </c:pt>
                <c:pt idx="50">
                  <c:v>-5.0531882778357962E-2</c:v>
                </c:pt>
                <c:pt idx="51">
                  <c:v>-5.3800276951039554E-2</c:v>
                </c:pt>
                <c:pt idx="52">
                  <c:v>-4.9774520495699859E-2</c:v>
                </c:pt>
                <c:pt idx="53">
                  <c:v>-2.2320163088038573E-2</c:v>
                </c:pt>
                <c:pt idx="54">
                  <c:v>-1.6466868371894764E-2</c:v>
                </c:pt>
                <c:pt idx="55">
                  <c:v>-6.743378351976069E-2</c:v>
                </c:pt>
                <c:pt idx="56">
                  <c:v>-5.0296486205491861E-2</c:v>
                </c:pt>
                <c:pt idx="57">
                  <c:v>-5.8460199771089863E-2</c:v>
                </c:pt>
                <c:pt idx="58">
                  <c:v>-2.6924627348457096E-2</c:v>
                </c:pt>
                <c:pt idx="59">
                  <c:v>-3.574586606196814E-2</c:v>
                </c:pt>
                <c:pt idx="60">
                  <c:v>-5.6053879417441548E-2</c:v>
                </c:pt>
                <c:pt idx="61">
                  <c:v>6.3027419699819296E-3</c:v>
                </c:pt>
                <c:pt idx="62">
                  <c:v>-5.1111531917652199E-2</c:v>
                </c:pt>
                <c:pt idx="63">
                  <c:v>-6.4273745710686864E-2</c:v>
                </c:pt>
                <c:pt idx="64">
                  <c:v>-5.367713314329535E-2</c:v>
                </c:pt>
                <c:pt idx="65">
                  <c:v>-5.1601228745758197E-2</c:v>
                </c:pt>
                <c:pt idx="66">
                  <c:v>-6.4921689987504402E-2</c:v>
                </c:pt>
                <c:pt idx="67">
                  <c:v>-4.5865860199844316E-2</c:v>
                </c:pt>
                <c:pt idx="68">
                  <c:v>-4.3657398191820733E-2</c:v>
                </c:pt>
                <c:pt idx="69">
                  <c:v>-5.9962633659262014E-2</c:v>
                </c:pt>
                <c:pt idx="70">
                  <c:v>-2.5282338260339324E-2</c:v>
                </c:pt>
                <c:pt idx="71">
                  <c:v>-3.4461030433219748E-2</c:v>
                </c:pt>
                <c:pt idx="72">
                  <c:v>-5.4386350263418877E-2</c:v>
                </c:pt>
                <c:pt idx="73">
                  <c:v>-6.2219926244148731E-2</c:v>
                </c:pt>
                <c:pt idx="74">
                  <c:v>-5.7736193519921854E-2</c:v>
                </c:pt>
                <c:pt idx="75">
                  <c:v>-1.1825292673889277E-2</c:v>
                </c:pt>
                <c:pt idx="76">
                  <c:v>-4.4123783634869081E-2</c:v>
                </c:pt>
                <c:pt idx="77">
                  <c:v>-4.4587753331442971E-2</c:v>
                </c:pt>
                <c:pt idx="78">
                  <c:v>-3.7707608966504498E-2</c:v>
                </c:pt>
                <c:pt idx="79">
                  <c:v>-4.3219057379332827E-2</c:v>
                </c:pt>
                <c:pt idx="80">
                  <c:v>-5.0640921754618061E-2</c:v>
                </c:pt>
                <c:pt idx="81">
                  <c:v>-1.6413202227806734E-2</c:v>
                </c:pt>
                <c:pt idx="82">
                  <c:v>-2.2211972477967825E-3</c:v>
                </c:pt>
                <c:pt idx="83">
                  <c:v>-3.9138471386821118E-2</c:v>
                </c:pt>
                <c:pt idx="84">
                  <c:v>-3.744347522878063E-2</c:v>
                </c:pt>
                <c:pt idx="85">
                  <c:v>2.004245472140832E-2</c:v>
                </c:pt>
                <c:pt idx="86">
                  <c:v>-4.7976784836541386E-2</c:v>
                </c:pt>
                <c:pt idx="87">
                  <c:v>7.6259590315634835E-4</c:v>
                </c:pt>
                <c:pt idx="88">
                  <c:v>-2.156971681981313E-2</c:v>
                </c:pt>
                <c:pt idx="89">
                  <c:v>-3.2406351454801148E-2</c:v>
                </c:pt>
                <c:pt idx="90">
                  <c:v>-3.6346494593456465E-2</c:v>
                </c:pt>
                <c:pt idx="91">
                  <c:v>-4.2582001312816628E-2</c:v>
                </c:pt>
                <c:pt idx="92">
                  <c:v>-5.1407265771588703E-2</c:v>
                </c:pt>
                <c:pt idx="93">
                  <c:v>2.3982574368647249E-3</c:v>
                </c:pt>
                <c:pt idx="94">
                  <c:v>-5.4847294951372444E-2</c:v>
                </c:pt>
                <c:pt idx="95">
                  <c:v>-3.157578753169648E-3</c:v>
                </c:pt>
                <c:pt idx="96">
                  <c:v>-3.2526760917941724E-2</c:v>
                </c:pt>
                <c:pt idx="97">
                  <c:v>-1.5186628516429353E-2</c:v>
                </c:pt>
                <c:pt idx="98">
                  <c:v>-5.4138241751818514E-2</c:v>
                </c:pt>
                <c:pt idx="99">
                  <c:v>-3.3915814214238664E-2</c:v>
                </c:pt>
                <c:pt idx="100">
                  <c:v>-6.0412633388942545E-2</c:v>
                </c:pt>
                <c:pt idx="101">
                  <c:v>-3.0990090046694431E-2</c:v>
                </c:pt>
                <c:pt idx="102">
                  <c:v>-3.3040208094332814E-2</c:v>
                </c:pt>
                <c:pt idx="103">
                  <c:v>-3.2336671404848097E-2</c:v>
                </c:pt>
                <c:pt idx="104">
                  <c:v>-3.7171116085579131E-2</c:v>
                </c:pt>
                <c:pt idx="105">
                  <c:v>-4.378477345769665E-2</c:v>
                </c:pt>
                <c:pt idx="106">
                  <c:v>4.2522737075953457E-2</c:v>
                </c:pt>
                <c:pt idx="107">
                  <c:v>1.4160532904114582E-2</c:v>
                </c:pt>
                <c:pt idx="108">
                  <c:v>-3.099618420236824E-2</c:v>
                </c:pt>
                <c:pt idx="109">
                  <c:v>-3.7916136255353526E-2</c:v>
                </c:pt>
                <c:pt idx="110">
                  <c:v>-2.8025263767931671E-2</c:v>
                </c:pt>
                <c:pt idx="111">
                  <c:v>-1.7689844805530354E-2</c:v>
                </c:pt>
                <c:pt idx="112">
                  <c:v>-4.1498529256810017E-2</c:v>
                </c:pt>
                <c:pt idx="113">
                  <c:v>-2.2269238181425833E-2</c:v>
                </c:pt>
                <c:pt idx="114">
                  <c:v>1.6629741013633102E-2</c:v>
                </c:pt>
                <c:pt idx="115">
                  <c:v>-1.6083821139729362E-2</c:v>
                </c:pt>
                <c:pt idx="116">
                  <c:v>-3.1007735457967638E-2</c:v>
                </c:pt>
                <c:pt idx="117">
                  <c:v>-3.2151492025303693E-2</c:v>
                </c:pt>
                <c:pt idx="118">
                  <c:v>-3.9508846902054404E-2</c:v>
                </c:pt>
                <c:pt idx="119">
                  <c:v>2.1427028104873042E-2</c:v>
                </c:pt>
                <c:pt idx="120">
                  <c:v>-3.6939507785406314E-3</c:v>
                </c:pt>
                <c:pt idx="121">
                  <c:v>-3.2826221141028837E-2</c:v>
                </c:pt>
                <c:pt idx="122">
                  <c:v>-1.3395916529763088E-2</c:v>
                </c:pt>
                <c:pt idx="123">
                  <c:v>-2.2824324334846196E-2</c:v>
                </c:pt>
                <c:pt idx="124">
                  <c:v>-3.5426344028293297E-2</c:v>
                </c:pt>
                <c:pt idx="125">
                  <c:v>-1.7920949305786148E-2</c:v>
                </c:pt>
                <c:pt idx="126">
                  <c:v>-3.944202382172058E-2</c:v>
                </c:pt>
                <c:pt idx="127">
                  <c:v>-4.8449111606239686E-2</c:v>
                </c:pt>
                <c:pt idx="128">
                  <c:v>-2.5033078403758732E-2</c:v>
                </c:pt>
                <c:pt idx="129">
                  <c:v>-2.7460436395039124E-2</c:v>
                </c:pt>
                <c:pt idx="130">
                  <c:v>-1.1415411501305043E-2</c:v>
                </c:pt>
                <c:pt idx="131">
                  <c:v>-3.3300888990429288E-2</c:v>
                </c:pt>
                <c:pt idx="132">
                  <c:v>-2.5844104109445723E-2</c:v>
                </c:pt>
                <c:pt idx="133">
                  <c:v>-2.5352137117850729E-2</c:v>
                </c:pt>
                <c:pt idx="134">
                  <c:v>-2.2738431312853188E-2</c:v>
                </c:pt>
                <c:pt idx="135">
                  <c:v>-4.4853141180438313E-4</c:v>
                </c:pt>
                <c:pt idx="136">
                  <c:v>1.2793501827191613E-2</c:v>
                </c:pt>
                <c:pt idx="137">
                  <c:v>-2.3277059608679044E-2</c:v>
                </c:pt>
                <c:pt idx="138">
                  <c:v>-2.6882343064038815E-2</c:v>
                </c:pt>
                <c:pt idx="139">
                  <c:v>-7.1020336015810972E-3</c:v>
                </c:pt>
                <c:pt idx="140">
                  <c:v>4.3845502886805663E-4</c:v>
                </c:pt>
                <c:pt idx="141">
                  <c:v>-4.3423418833726538E-2</c:v>
                </c:pt>
                <c:pt idx="142">
                  <c:v>-2.9240481506571023E-2</c:v>
                </c:pt>
                <c:pt idx="143">
                  <c:v>-7.542628734911583E-3</c:v>
                </c:pt>
                <c:pt idx="144">
                  <c:v>-1.0624121029196208E-2</c:v>
                </c:pt>
                <c:pt idx="145">
                  <c:v>1.3071109111796724E-2</c:v>
                </c:pt>
                <c:pt idx="146">
                  <c:v>-3.5697637981346154E-2</c:v>
                </c:pt>
                <c:pt idx="147">
                  <c:v>-2.1742047671373704E-2</c:v>
                </c:pt>
                <c:pt idx="148">
                  <c:v>-1.1286967428823387E-2</c:v>
                </c:pt>
                <c:pt idx="149">
                  <c:v>-4.8165228285273309E-2</c:v>
                </c:pt>
                <c:pt idx="150">
                  <c:v>-1.7252033997854396E-2</c:v>
                </c:pt>
                <c:pt idx="151">
                  <c:v>-2.6856297651301327E-2</c:v>
                </c:pt>
                <c:pt idx="152">
                  <c:v>-2.4253289367373726E-2</c:v>
                </c:pt>
                <c:pt idx="153">
                  <c:v>-1.0159038043745881E-2</c:v>
                </c:pt>
                <c:pt idx="154">
                  <c:v>1.6392080333021336E-2</c:v>
                </c:pt>
                <c:pt idx="155">
                  <c:v>2.8625660379540648E-3</c:v>
                </c:pt>
                <c:pt idx="156">
                  <c:v>5.2893000785213208E-3</c:v>
                </c:pt>
                <c:pt idx="157">
                  <c:v>2.168500707855581E-2</c:v>
                </c:pt>
                <c:pt idx="158">
                  <c:v>1.9374472239280249E-2</c:v>
                </c:pt>
                <c:pt idx="159">
                  <c:v>1.4410567809879276E-2</c:v>
                </c:pt>
                <c:pt idx="160">
                  <c:v>2.0076344730273327E-2</c:v>
                </c:pt>
                <c:pt idx="161">
                  <c:v>1.2797231302100202E-2</c:v>
                </c:pt>
                <c:pt idx="162">
                  <c:v>3.5136769842089764E-2</c:v>
                </c:pt>
                <c:pt idx="163">
                  <c:v>1.3635488148319694E-2</c:v>
                </c:pt>
                <c:pt idx="164">
                  <c:v>1.4706860686995704E-2</c:v>
                </c:pt>
                <c:pt idx="165">
                  <c:v>1.6392080333021336E-2</c:v>
                </c:pt>
                <c:pt idx="166">
                  <c:v>3.7022052747251108E-3</c:v>
                </c:pt>
                <c:pt idx="167">
                  <c:v>1.2257706350552237E-2</c:v>
                </c:pt>
                <c:pt idx="168">
                  <c:v>1.4399416073661884E-2</c:v>
                </c:pt>
                <c:pt idx="169">
                  <c:v>-5.4496617822200853E-2</c:v>
                </c:pt>
                <c:pt idx="170">
                  <c:v>-5.5618077815106012E-2</c:v>
                </c:pt>
                <c:pt idx="171">
                  <c:v>-4.5734763097637972E-2</c:v>
                </c:pt>
                <c:pt idx="172">
                  <c:v>-3.933113834001413E-2</c:v>
                </c:pt>
                <c:pt idx="173">
                  <c:v>-2.0580710291844665E-2</c:v>
                </c:pt>
                <c:pt idx="174">
                  <c:v>-5.6810192964602053E-2</c:v>
                </c:pt>
                <c:pt idx="175">
                  <c:v>-5.0141577576623603E-2</c:v>
                </c:pt>
                <c:pt idx="176">
                  <c:v>-4.9058690266962503E-2</c:v>
                </c:pt>
                <c:pt idx="177">
                  <c:v>-4.1709173932910314E-2</c:v>
                </c:pt>
                <c:pt idx="178">
                  <c:v>-2.891451098600788E-2</c:v>
                </c:pt>
                <c:pt idx="179">
                  <c:v>-4.5331825188528074E-2</c:v>
                </c:pt>
                <c:pt idx="180">
                  <c:v>-4.9241982992410477E-2</c:v>
                </c:pt>
                <c:pt idx="181">
                  <c:v>-4.7035564441928197E-2</c:v>
                </c:pt>
                <c:pt idx="182">
                  <c:v>-4.8609348626902457E-2</c:v>
                </c:pt>
                <c:pt idx="183">
                  <c:v>-3.6107104096007848E-2</c:v>
                </c:pt>
                <c:pt idx="184">
                  <c:v>-4.6647030257923681E-2</c:v>
                </c:pt>
                <c:pt idx="185">
                  <c:v>-3.6163676123860754E-2</c:v>
                </c:pt>
                <c:pt idx="186">
                  <c:v>-4.3649194760333909E-2</c:v>
                </c:pt>
                <c:pt idx="187">
                  <c:v>-3.9477086562795367E-2</c:v>
                </c:pt>
                <c:pt idx="188">
                  <c:v>-3.6835698398618062E-2</c:v>
                </c:pt>
                <c:pt idx="189">
                  <c:v>-3.0050482143181529E-2</c:v>
                </c:pt>
                <c:pt idx="190">
                  <c:v>1.1319947449516109E-2</c:v>
                </c:pt>
                <c:pt idx="191">
                  <c:v>-2.4507133632190148E-2</c:v>
                </c:pt>
                <c:pt idx="192">
                  <c:v>-1.8296968094417419E-2</c:v>
                </c:pt>
                <c:pt idx="193">
                  <c:v>-1.5088451610963024E-2</c:v>
                </c:pt>
                <c:pt idx="194">
                  <c:v>2.5751375133690448E-2</c:v>
                </c:pt>
                <c:pt idx="195">
                  <c:v>-4.2564312058195634E-3</c:v>
                </c:pt>
                <c:pt idx="196">
                  <c:v>7.2455268165382549E-3</c:v>
                </c:pt>
                <c:pt idx="197">
                  <c:v>1.5161904351460731E-2</c:v>
                </c:pt>
                <c:pt idx="198">
                  <c:v>1.2534655927397123E-2</c:v>
                </c:pt>
                <c:pt idx="199">
                  <c:v>2.3656453098689714E-2</c:v>
                </c:pt>
                <c:pt idx="200">
                  <c:v>-6.7715660790055162E-3</c:v>
                </c:pt>
                <c:pt idx="201">
                  <c:v>3.5117465704799088E-2</c:v>
                </c:pt>
                <c:pt idx="202">
                  <c:v>3.3031339119705579E-2</c:v>
                </c:pt>
                <c:pt idx="203">
                  <c:v>3.8437772083131538E-2</c:v>
                </c:pt>
              </c:numCache>
            </c:numRef>
          </c:yVal>
          <c:smooth val="0"/>
          <c:extLst>
            <c:ext xmlns:c16="http://schemas.microsoft.com/office/drawing/2014/chart" uri="{C3380CC4-5D6E-409C-BE32-E72D297353CC}">
              <c16:uniqueId val="{00000000-F968-4DD2-88A5-2C220607C212}"/>
            </c:ext>
          </c:extLst>
        </c:ser>
        <c:dLbls>
          <c:showLegendKey val="0"/>
          <c:showVal val="0"/>
          <c:showCatName val="0"/>
          <c:showSerName val="0"/>
          <c:showPercent val="0"/>
          <c:showBubbleSize val="0"/>
        </c:dLbls>
        <c:axId val="99836672"/>
        <c:axId val="99838976"/>
        <c:extLst/>
      </c:scatterChart>
      <c:valAx>
        <c:axId val="99836672"/>
        <c:scaling>
          <c:orientation val="minMax"/>
          <c:min val="0"/>
        </c:scaling>
        <c:delete val="0"/>
        <c:axPos val="b"/>
        <c:majorGridlines>
          <c:spPr>
            <a:ln w="952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Customers</a:t>
                </a:r>
              </a:p>
            </c:rich>
          </c:tx>
          <c:overlay val="0"/>
          <c:spPr>
            <a:noFill/>
            <a:ln>
              <a:noFill/>
            </a:ln>
            <a:effectLst/>
          </c:spPr>
        </c:title>
        <c:numFmt formatCode="General" sourceLinked="1"/>
        <c:majorTickMark val="none"/>
        <c:minorTickMark val="none"/>
        <c:tickLblPos val="nextTo"/>
        <c:spPr>
          <a:noFill/>
          <a:ln w="50800" cap="flat" cmpd="sng" algn="ctr">
            <a:solidFill>
              <a:srgbClr val="2A3D6F"/>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9838976"/>
        <c:crosses val="autoZero"/>
        <c:crossBetween val="midCat"/>
        <c:majorUnit val="20"/>
        <c:minorUnit val="20"/>
      </c:valAx>
      <c:valAx>
        <c:axId val="99838976"/>
        <c:scaling>
          <c:orientation val="minMax"/>
        </c:scaling>
        <c:delete val="0"/>
        <c:axPos val="l"/>
        <c:majorGridlines>
          <c:spPr>
            <a:ln w="9525" cap="flat" cmpd="sng" algn="ctr">
              <a:solidFill>
                <a:schemeClr val="bg1">
                  <a:lumMod val="85000"/>
                </a:schemeClr>
              </a:solidFill>
              <a:prstDash val="dash"/>
              <a:round/>
            </a:ln>
            <a:effectLst/>
          </c:spPr>
        </c:majorGridlines>
        <c:numFmt formatCode="_(#,##0%_);\(#,##0%\);_0" sourceLinked="0"/>
        <c:majorTickMark val="none"/>
        <c:minorTickMark val="none"/>
        <c:tickLblPos val="nextTo"/>
        <c:spPr>
          <a:noFill/>
          <a:ln w="50800" cap="flat" cmpd="sng" algn="ctr">
            <a:solidFill>
              <a:srgbClr val="2A3D6F"/>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9836672"/>
        <c:crossesAt val="0"/>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Inputs_Other!A1"/><Relationship Id="rId13" Type="http://schemas.openxmlformats.org/officeDocument/2006/relationships/hyperlink" Target="#Calc_Allocated_Tariff!A1"/><Relationship Id="rId18" Type="http://schemas.openxmlformats.org/officeDocument/2006/relationships/hyperlink" Target="#Output_Pricing_Proposal!A1"/><Relationship Id="rId3" Type="http://schemas.openxmlformats.org/officeDocument/2006/relationships/hyperlink" Target="#Diagram!A1"/><Relationship Id="rId7" Type="http://schemas.openxmlformats.org/officeDocument/2006/relationships/hyperlink" Target="#Inputs_Volumes!A1"/><Relationship Id="rId12" Type="http://schemas.openxmlformats.org/officeDocument/2006/relationships/hyperlink" Target="#Calc_Residual_Tariff!A1"/><Relationship Id="rId17" Type="http://schemas.openxmlformats.org/officeDocument/2006/relationships/hyperlink" Target="#Output_Tariffs!A1"/><Relationship Id="rId2" Type="http://schemas.openxmlformats.org/officeDocument/2006/relationships/hyperlink" Target="#TOC!A1"/><Relationship Id="rId16" Type="http://schemas.openxmlformats.org/officeDocument/2006/relationships/hyperlink" Target="#Output_Charts!A1"/><Relationship Id="rId1" Type="http://schemas.openxmlformats.org/officeDocument/2006/relationships/hyperlink" Target="#Cover!A1"/><Relationship Id="rId6" Type="http://schemas.openxmlformats.org/officeDocument/2006/relationships/hyperlink" Target="#Inputs_Prices!A1"/><Relationship Id="rId11" Type="http://schemas.openxmlformats.org/officeDocument/2006/relationships/hyperlink" Target="#Calc_LRMC_Tariff!A1"/><Relationship Id="rId5" Type="http://schemas.openxmlformats.org/officeDocument/2006/relationships/hyperlink" Target="#Checks!A1"/><Relationship Id="rId15" Type="http://schemas.openxmlformats.org/officeDocument/2006/relationships/hyperlink" Target="#Output_AER_Compliance!A1"/><Relationship Id="rId10" Type="http://schemas.openxmlformats.org/officeDocument/2006/relationships/hyperlink" Target="#Calc_A_SA_Cost!A1"/><Relationship Id="rId4" Type="http://schemas.openxmlformats.org/officeDocument/2006/relationships/hyperlink" Target="#Lookup!A1"/><Relationship Id="rId9" Type="http://schemas.openxmlformats.org/officeDocument/2006/relationships/hyperlink" Target="#Calc_Revenue!A1"/><Relationship Id="rId14" Type="http://schemas.openxmlformats.org/officeDocument/2006/relationships/hyperlink" Target="#Output_Revenue!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19</xdr:row>
      <xdr:rowOff>78582</xdr:rowOff>
    </xdr:from>
    <xdr:to>
      <xdr:col>15</xdr:col>
      <xdr:colOff>0</xdr:colOff>
      <xdr:row>19</xdr:row>
      <xdr:rowOff>88107</xdr:rowOff>
    </xdr:to>
    <xdr:cxnSp macro="">
      <xdr:nvCxnSpPr>
        <xdr:cNvPr id="36" name="Connector: Elbow 35">
          <a:extLst>
            <a:ext uri="{FF2B5EF4-FFF2-40B4-BE49-F238E27FC236}">
              <a16:creationId xmlns:a16="http://schemas.microsoft.com/office/drawing/2014/main" id="{00000000-0008-0000-0200-000024000000}"/>
            </a:ext>
          </a:extLst>
        </xdr:cNvPr>
        <xdr:cNvCxnSpPr>
          <a:stCxn id="12" idx="3"/>
          <a:endCxn id="20" idx="1"/>
        </xdr:cNvCxnSpPr>
      </xdr:nvCxnSpPr>
      <xdr:spPr>
        <a:xfrm flipV="1">
          <a:off x="5848350" y="2974182"/>
          <a:ext cx="3838575" cy="9525"/>
        </a:xfrm>
        <a:prstGeom prst="bentConnector3">
          <a:avLst>
            <a:gd name="adj1" fmla="val 50000"/>
          </a:avLst>
        </a:prstGeom>
        <a:ln>
          <a:prstDash val="sysDot"/>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411955</xdr:colOff>
      <xdr:row>21</xdr:row>
      <xdr:rowOff>14289</xdr:rowOff>
    </xdr:from>
    <xdr:to>
      <xdr:col>16</xdr:col>
      <xdr:colOff>207169</xdr:colOff>
      <xdr:row>35</xdr:row>
      <xdr:rowOff>2</xdr:rowOff>
    </xdr:to>
    <xdr:cxnSp macro="">
      <xdr:nvCxnSpPr>
        <xdr:cNvPr id="102" name="Connector: Elbow 101">
          <a:extLst>
            <a:ext uri="{FF2B5EF4-FFF2-40B4-BE49-F238E27FC236}">
              <a16:creationId xmlns:a16="http://schemas.microsoft.com/office/drawing/2014/main" id="{00000000-0008-0000-0200-000066000000}"/>
            </a:ext>
          </a:extLst>
        </xdr:cNvPr>
        <xdr:cNvCxnSpPr>
          <a:stCxn id="13" idx="0"/>
          <a:endCxn id="20" idx="2"/>
        </xdr:cNvCxnSpPr>
      </xdr:nvCxnSpPr>
      <xdr:spPr>
        <a:xfrm rot="5400000" flipH="1" flipV="1">
          <a:off x="6879431" y="947738"/>
          <a:ext cx="1785938" cy="5481639"/>
        </a:xfrm>
        <a:prstGeom prst="bentConnector3">
          <a:avLst>
            <a:gd name="adj1" fmla="val 81733"/>
          </a:avLst>
        </a:prstGeom>
        <a:ln>
          <a:prstDash val="sysDot"/>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1195386</xdr:colOff>
      <xdr:row>9</xdr:row>
      <xdr:rowOff>0</xdr:rowOff>
    </xdr:from>
    <xdr:to>
      <xdr:col>5</xdr:col>
      <xdr:colOff>0</xdr:colOff>
      <xdr:row>12</xdr:row>
      <xdr:rowOff>14287</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728786" y="1238250"/>
          <a:ext cx="1652589"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Controls</a:t>
          </a:r>
        </a:p>
      </xdr:txBody>
    </xdr:sp>
    <xdr:clientData/>
  </xdr:twoCellAnchor>
  <xdr:twoCellAnchor>
    <xdr:from>
      <xdr:col>6</xdr:col>
      <xdr:colOff>204786</xdr:colOff>
      <xdr:row>8</xdr:row>
      <xdr:rowOff>114300</xdr:rowOff>
    </xdr:from>
    <xdr:to>
      <xdr:col>9</xdr:col>
      <xdr:colOff>0</xdr:colOff>
      <xdr:row>12</xdr:row>
      <xdr:rowOff>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205286" y="1223963"/>
          <a:ext cx="1652589"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Inputs</a:t>
          </a:r>
        </a:p>
      </xdr:txBody>
    </xdr:sp>
    <xdr:clientData/>
  </xdr:twoCellAnchor>
  <xdr:twoCellAnchor>
    <xdr:from>
      <xdr:col>10</xdr:col>
      <xdr:colOff>0</xdr:colOff>
      <xdr:row>8</xdr:row>
      <xdr:rowOff>104775</xdr:rowOff>
    </xdr:from>
    <xdr:to>
      <xdr:col>14</xdr:col>
      <xdr:colOff>0</xdr:colOff>
      <xdr:row>12</xdr:row>
      <xdr:rowOff>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591300" y="1214438"/>
          <a:ext cx="2476500" cy="409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15</xdr:col>
      <xdr:colOff>0</xdr:colOff>
      <xdr:row>9</xdr:row>
      <xdr:rowOff>0</xdr:rowOff>
    </xdr:from>
    <xdr:to>
      <xdr:col>17</xdr:col>
      <xdr:colOff>414339</xdr:colOff>
      <xdr:row>12</xdr:row>
      <xdr:rowOff>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9686925" y="1238250"/>
          <a:ext cx="1652589" cy="38576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Outputs</a:t>
          </a:r>
        </a:p>
      </xdr:txBody>
    </xdr:sp>
    <xdr:clientData/>
  </xdr:twoCellAnchor>
  <xdr:twoCellAnchor>
    <xdr:from>
      <xdr:col>3</xdr:col>
      <xdr:colOff>1195386</xdr:colOff>
      <xdr:row>14</xdr:row>
      <xdr:rowOff>0</xdr:rowOff>
    </xdr:from>
    <xdr:to>
      <xdr:col>5</xdr:col>
      <xdr:colOff>0</xdr:colOff>
      <xdr:row>17</xdr:row>
      <xdr:rowOff>14288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1728786" y="18811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Cover</a:t>
          </a:r>
        </a:p>
      </xdr:txBody>
    </xdr:sp>
    <xdr:clientData/>
  </xdr:twoCellAnchor>
  <xdr:twoCellAnchor>
    <xdr:from>
      <xdr:col>3</xdr:col>
      <xdr:colOff>1195386</xdr:colOff>
      <xdr:row>17</xdr:row>
      <xdr:rowOff>114300</xdr:rowOff>
    </xdr:from>
    <xdr:to>
      <xdr:col>5</xdr:col>
      <xdr:colOff>0</xdr:colOff>
      <xdr:row>21</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1728786" y="2381250"/>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TOC</a:t>
          </a:r>
        </a:p>
      </xdr:txBody>
    </xdr:sp>
    <xdr:clientData/>
  </xdr:twoCellAnchor>
  <xdr:twoCellAnchor>
    <xdr:from>
      <xdr:col>3</xdr:col>
      <xdr:colOff>1195386</xdr:colOff>
      <xdr:row>22</xdr:row>
      <xdr:rowOff>0</xdr:rowOff>
    </xdr:from>
    <xdr:to>
      <xdr:col>5</xdr:col>
      <xdr:colOff>0</xdr:colOff>
      <xdr:row>25</xdr:row>
      <xdr:rowOff>14288</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728786" y="29098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Diagram</a:t>
          </a:r>
        </a:p>
      </xdr:txBody>
    </xdr:sp>
    <xdr:clientData/>
  </xdr:twoCellAnchor>
  <xdr:twoCellAnchor>
    <xdr:from>
      <xdr:col>3</xdr:col>
      <xdr:colOff>1195386</xdr:colOff>
      <xdr:row>26</xdr:row>
      <xdr:rowOff>0</xdr:rowOff>
    </xdr:from>
    <xdr:to>
      <xdr:col>5</xdr:col>
      <xdr:colOff>0</xdr:colOff>
      <xdr:row>29</xdr:row>
      <xdr:rowOff>14288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1728786" y="342423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Lookup</a:t>
          </a:r>
        </a:p>
      </xdr:txBody>
    </xdr:sp>
    <xdr:clientData/>
  </xdr:twoCellAnchor>
  <xdr:twoCellAnchor>
    <xdr:from>
      <xdr:col>3</xdr:col>
      <xdr:colOff>1195386</xdr:colOff>
      <xdr:row>30</xdr:row>
      <xdr:rowOff>0</xdr:rowOff>
    </xdr:from>
    <xdr:to>
      <xdr:col>5</xdr:col>
      <xdr:colOff>0</xdr:colOff>
      <xdr:row>33</xdr:row>
      <xdr:rowOff>14288</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200-00000A000000}"/>
            </a:ext>
          </a:extLst>
        </xdr:cNvPr>
        <xdr:cNvSpPr/>
      </xdr:nvSpPr>
      <xdr:spPr>
        <a:xfrm>
          <a:off x="1728786" y="39385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Checks</a:t>
          </a:r>
        </a:p>
      </xdr:txBody>
    </xdr:sp>
    <xdr:clientData/>
  </xdr:twoCellAnchor>
  <xdr:twoCellAnchor>
    <xdr:from>
      <xdr:col>6</xdr:col>
      <xdr:colOff>204786</xdr:colOff>
      <xdr:row>13</xdr:row>
      <xdr:rowOff>123825</xdr:rowOff>
    </xdr:from>
    <xdr:to>
      <xdr:col>9</xdr:col>
      <xdr:colOff>0</xdr:colOff>
      <xdr:row>17</xdr:row>
      <xdr:rowOff>9525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4205286" y="1876425"/>
          <a:ext cx="1652589"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Prices</a:t>
          </a:r>
        </a:p>
      </xdr:txBody>
    </xdr:sp>
    <xdr:clientData/>
  </xdr:twoCellAnchor>
  <xdr:twoCellAnchor>
    <xdr:from>
      <xdr:col>6</xdr:col>
      <xdr:colOff>195261</xdr:colOff>
      <xdr:row>18</xdr:row>
      <xdr:rowOff>9525</xdr:rowOff>
    </xdr:from>
    <xdr:to>
      <xdr:col>8</xdr:col>
      <xdr:colOff>609600</xdr:colOff>
      <xdr:row>21</xdr:row>
      <xdr:rowOff>23813</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200-00000C000000}"/>
            </a:ext>
          </a:extLst>
        </xdr:cNvPr>
        <xdr:cNvSpPr/>
      </xdr:nvSpPr>
      <xdr:spPr>
        <a:xfrm>
          <a:off x="4195761" y="2762250"/>
          <a:ext cx="1652589" cy="442913"/>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Volumes</a:t>
          </a:r>
        </a:p>
      </xdr:txBody>
    </xdr:sp>
    <xdr:clientData/>
  </xdr:twoCellAnchor>
  <xdr:twoCellAnchor>
    <xdr:from>
      <xdr:col>6</xdr:col>
      <xdr:colOff>204786</xdr:colOff>
      <xdr:row>35</xdr:row>
      <xdr:rowOff>1</xdr:rowOff>
    </xdr:from>
    <xdr:to>
      <xdr:col>9</xdr:col>
      <xdr:colOff>0</xdr:colOff>
      <xdr:row>38</xdr:row>
      <xdr:rowOff>14288</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200-00000D000000}"/>
            </a:ext>
          </a:extLst>
        </xdr:cNvPr>
        <xdr:cNvSpPr/>
      </xdr:nvSpPr>
      <xdr:spPr>
        <a:xfrm>
          <a:off x="4205286" y="4581526"/>
          <a:ext cx="1652589"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Other</a:t>
          </a:r>
        </a:p>
      </xdr:txBody>
    </xdr:sp>
    <xdr:clientData/>
  </xdr:twoCellAnchor>
  <xdr:twoCellAnchor>
    <xdr:from>
      <xdr:col>10</xdr:col>
      <xdr:colOff>0</xdr:colOff>
      <xdr:row>14</xdr:row>
      <xdr:rowOff>0</xdr:rowOff>
    </xdr:from>
    <xdr:to>
      <xdr:col>12</xdr:col>
      <xdr:colOff>414339</xdr:colOff>
      <xdr:row>17</xdr:row>
      <xdr:rowOff>14288</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200-00000E000000}"/>
            </a:ext>
          </a:extLst>
        </xdr:cNvPr>
        <xdr:cNvSpPr/>
      </xdr:nvSpPr>
      <xdr:spPr>
        <a:xfrm>
          <a:off x="6591300" y="188118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Revenue by Tariff</a:t>
          </a:r>
        </a:p>
      </xdr:txBody>
    </xdr:sp>
    <xdr:clientData/>
  </xdr:twoCellAnchor>
  <xdr:twoCellAnchor>
    <xdr:from>
      <xdr:col>10</xdr:col>
      <xdr:colOff>0</xdr:colOff>
      <xdr:row>26</xdr:row>
      <xdr:rowOff>0</xdr:rowOff>
    </xdr:from>
    <xdr:to>
      <xdr:col>12</xdr:col>
      <xdr:colOff>414339</xdr:colOff>
      <xdr:row>29</xdr:row>
      <xdr:rowOff>14288</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00000000-0008-0000-0200-00000F000000}"/>
            </a:ext>
          </a:extLst>
        </xdr:cNvPr>
        <xdr:cNvSpPr/>
      </xdr:nvSpPr>
      <xdr:spPr>
        <a:xfrm>
          <a:off x="6591300" y="342423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l"/>
          <a:r>
            <a:rPr lang="en-AU" sz="1100"/>
            <a:t>Stand Alone and Avoidable Cost</a:t>
          </a:r>
        </a:p>
      </xdr:txBody>
    </xdr:sp>
    <xdr:clientData/>
  </xdr:twoCellAnchor>
  <xdr:twoCellAnchor>
    <xdr:from>
      <xdr:col>11</xdr:col>
      <xdr:colOff>204786</xdr:colOff>
      <xdr:row>31</xdr:row>
      <xdr:rowOff>114301</xdr:rowOff>
    </xdr:from>
    <xdr:to>
      <xdr:col>14</xdr:col>
      <xdr:colOff>0</xdr:colOff>
      <xdr:row>35</xdr:row>
      <xdr:rowOff>1</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00000000-0008-0000-0200-000010000000}"/>
            </a:ext>
          </a:extLst>
        </xdr:cNvPr>
        <xdr:cNvSpPr/>
      </xdr:nvSpPr>
      <xdr:spPr>
        <a:xfrm>
          <a:off x="7415211" y="4181476"/>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LRMC by Tariff</a:t>
          </a:r>
        </a:p>
      </xdr:txBody>
    </xdr:sp>
    <xdr:clientData/>
  </xdr:twoCellAnchor>
  <xdr:twoCellAnchor>
    <xdr:from>
      <xdr:col>11</xdr:col>
      <xdr:colOff>204786</xdr:colOff>
      <xdr:row>38</xdr:row>
      <xdr:rowOff>0</xdr:rowOff>
    </xdr:from>
    <xdr:to>
      <xdr:col>14</xdr:col>
      <xdr:colOff>0</xdr:colOff>
      <xdr:row>41</xdr:row>
      <xdr:rowOff>14288</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00000000-0008-0000-0200-000011000000}"/>
            </a:ext>
          </a:extLst>
        </xdr:cNvPr>
        <xdr:cNvSpPr/>
      </xdr:nvSpPr>
      <xdr:spPr>
        <a:xfrm>
          <a:off x="7415211" y="496728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Residual Costs by Tariff</a:t>
          </a:r>
        </a:p>
      </xdr:txBody>
    </xdr:sp>
    <xdr:clientData/>
  </xdr:twoCellAnchor>
  <xdr:twoCellAnchor>
    <xdr:from>
      <xdr:col>11</xdr:col>
      <xdr:colOff>204786</xdr:colOff>
      <xdr:row>42</xdr:row>
      <xdr:rowOff>0</xdr:rowOff>
    </xdr:from>
    <xdr:to>
      <xdr:col>14</xdr:col>
      <xdr:colOff>0</xdr:colOff>
      <xdr:row>45</xdr:row>
      <xdr:rowOff>14288</xdr:rowOff>
    </xdr:to>
    <xdr:sp macro="" textlink="">
      <xdr:nvSpPr>
        <xdr:cNvPr id="18" name="Rectangle 17">
          <a:hlinkClick xmlns:r="http://schemas.openxmlformats.org/officeDocument/2006/relationships" r:id="rId13"/>
          <a:extLst>
            <a:ext uri="{FF2B5EF4-FFF2-40B4-BE49-F238E27FC236}">
              <a16:creationId xmlns:a16="http://schemas.microsoft.com/office/drawing/2014/main" id="{00000000-0008-0000-0200-000012000000}"/>
            </a:ext>
          </a:extLst>
        </xdr:cNvPr>
        <xdr:cNvSpPr/>
      </xdr:nvSpPr>
      <xdr:spPr>
        <a:xfrm>
          <a:off x="7415211" y="548163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Allocated Costs by Tariff</a:t>
          </a:r>
        </a:p>
      </xdr:txBody>
    </xdr:sp>
    <xdr:clientData/>
  </xdr:twoCellAnchor>
  <xdr:twoCellAnchor>
    <xdr:from>
      <xdr:col>15</xdr:col>
      <xdr:colOff>0</xdr:colOff>
      <xdr:row>14</xdr:row>
      <xdr:rowOff>0</xdr:rowOff>
    </xdr:from>
    <xdr:to>
      <xdr:col>17</xdr:col>
      <xdr:colOff>414339</xdr:colOff>
      <xdr:row>17</xdr:row>
      <xdr:rowOff>14288</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00000000-0008-0000-0200-000013000000}"/>
            </a:ext>
          </a:extLst>
        </xdr:cNvPr>
        <xdr:cNvSpPr/>
      </xdr:nvSpPr>
      <xdr:spPr>
        <a:xfrm>
          <a:off x="9686925" y="1881188"/>
          <a:ext cx="1652589" cy="400050"/>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Revenue</a:t>
          </a:r>
        </a:p>
      </xdr:txBody>
    </xdr:sp>
    <xdr:clientData/>
  </xdr:twoCellAnchor>
  <xdr:twoCellAnchor>
    <xdr:from>
      <xdr:col>15</xdr:col>
      <xdr:colOff>0</xdr:colOff>
      <xdr:row>18</xdr:row>
      <xdr:rowOff>0</xdr:rowOff>
    </xdr:from>
    <xdr:to>
      <xdr:col>17</xdr:col>
      <xdr:colOff>414339</xdr:colOff>
      <xdr:row>21</xdr:row>
      <xdr:rowOff>14288</xdr:rowOff>
    </xdr:to>
    <xdr:sp macro="" textlink="">
      <xdr:nvSpPr>
        <xdr:cNvPr id="20" name="Rectangle 19">
          <a:hlinkClick xmlns:r="http://schemas.openxmlformats.org/officeDocument/2006/relationships" r:id="rId15"/>
          <a:extLst>
            <a:ext uri="{FF2B5EF4-FFF2-40B4-BE49-F238E27FC236}">
              <a16:creationId xmlns:a16="http://schemas.microsoft.com/office/drawing/2014/main" id="{00000000-0008-0000-0200-000014000000}"/>
            </a:ext>
          </a:extLst>
        </xdr:cNvPr>
        <xdr:cNvSpPr/>
      </xdr:nvSpPr>
      <xdr:spPr>
        <a:xfrm>
          <a:off x="9686925" y="2395538"/>
          <a:ext cx="1652589" cy="400050"/>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AER</a:t>
          </a:r>
          <a:r>
            <a:rPr lang="en-AU" sz="1100" baseline="0"/>
            <a:t> </a:t>
          </a:r>
          <a:r>
            <a:rPr lang="en-AU" sz="1100"/>
            <a:t>Compliance</a:t>
          </a:r>
        </a:p>
      </xdr:txBody>
    </xdr:sp>
    <xdr:clientData/>
  </xdr:twoCellAnchor>
  <xdr:twoCellAnchor>
    <xdr:from>
      <xdr:col>14</xdr:col>
      <xdr:colOff>607218</xdr:colOff>
      <xdr:row>40</xdr:row>
      <xdr:rowOff>47625</xdr:rowOff>
    </xdr:from>
    <xdr:to>
      <xdr:col>17</xdr:col>
      <xdr:colOff>402432</xdr:colOff>
      <xdr:row>43</xdr:row>
      <xdr:rowOff>61913</xdr:rowOff>
    </xdr:to>
    <xdr:sp macro="" textlink="">
      <xdr:nvSpPr>
        <xdr:cNvPr id="21" name="Rectangle 20">
          <a:hlinkClick xmlns:r="http://schemas.openxmlformats.org/officeDocument/2006/relationships" r:id="rId16"/>
          <a:extLst>
            <a:ext uri="{FF2B5EF4-FFF2-40B4-BE49-F238E27FC236}">
              <a16:creationId xmlns:a16="http://schemas.microsoft.com/office/drawing/2014/main" id="{00000000-0008-0000-0200-000015000000}"/>
            </a:ext>
          </a:extLst>
        </xdr:cNvPr>
        <xdr:cNvSpPr/>
      </xdr:nvSpPr>
      <xdr:spPr>
        <a:xfrm>
          <a:off x="9667874" y="5947172"/>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Charts</a:t>
          </a:r>
        </a:p>
      </xdr:txBody>
    </xdr:sp>
    <xdr:clientData/>
  </xdr:twoCellAnchor>
  <xdr:twoCellAnchor>
    <xdr:from>
      <xdr:col>14</xdr:col>
      <xdr:colOff>0</xdr:colOff>
      <xdr:row>39</xdr:row>
      <xdr:rowOff>78582</xdr:rowOff>
    </xdr:from>
    <xdr:to>
      <xdr:col>14</xdr:col>
      <xdr:colOff>607218</xdr:colOff>
      <xdr:row>41</xdr:row>
      <xdr:rowOff>126207</xdr:rowOff>
    </xdr:to>
    <xdr:cxnSp macro="">
      <xdr:nvCxnSpPr>
        <xdr:cNvPr id="23" name="Connector: Elbow 22">
          <a:extLst>
            <a:ext uri="{FF2B5EF4-FFF2-40B4-BE49-F238E27FC236}">
              <a16:creationId xmlns:a16="http://schemas.microsoft.com/office/drawing/2014/main" id="{00000000-0008-0000-0200-000017000000}"/>
            </a:ext>
          </a:extLst>
        </xdr:cNvPr>
        <xdr:cNvCxnSpPr>
          <a:stCxn id="17" idx="3"/>
          <a:endCxn id="21" idx="1"/>
        </xdr:cNvCxnSpPr>
      </xdr:nvCxnSpPr>
      <xdr:spPr>
        <a:xfrm>
          <a:off x="9060656" y="5835254"/>
          <a:ext cx="607218" cy="333375"/>
        </a:xfrm>
        <a:prstGeom prst="bentConnector3">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14</xdr:col>
      <xdr:colOff>0</xdr:colOff>
      <xdr:row>41</xdr:row>
      <xdr:rowOff>126207</xdr:rowOff>
    </xdr:from>
    <xdr:to>
      <xdr:col>14</xdr:col>
      <xdr:colOff>607218</xdr:colOff>
      <xdr:row>43</xdr:row>
      <xdr:rowOff>78582</xdr:rowOff>
    </xdr:to>
    <xdr:cxnSp macro="">
      <xdr:nvCxnSpPr>
        <xdr:cNvPr id="26" name="Connector: Elbow 25">
          <a:extLst>
            <a:ext uri="{FF2B5EF4-FFF2-40B4-BE49-F238E27FC236}">
              <a16:creationId xmlns:a16="http://schemas.microsoft.com/office/drawing/2014/main" id="{00000000-0008-0000-0200-00001A000000}"/>
            </a:ext>
          </a:extLst>
        </xdr:cNvPr>
        <xdr:cNvCxnSpPr>
          <a:stCxn id="18" idx="3"/>
          <a:endCxn id="21" idx="1"/>
        </xdr:cNvCxnSpPr>
      </xdr:nvCxnSpPr>
      <xdr:spPr>
        <a:xfrm flipV="1">
          <a:off x="9060656" y="6168629"/>
          <a:ext cx="607218" cy="238125"/>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12</xdr:col>
      <xdr:colOff>411956</xdr:colOff>
      <xdr:row>33</xdr:row>
      <xdr:rowOff>57151</xdr:rowOff>
    </xdr:from>
    <xdr:to>
      <xdr:col>14</xdr:col>
      <xdr:colOff>0</xdr:colOff>
      <xdr:row>38</xdr:row>
      <xdr:rowOff>0</xdr:rowOff>
    </xdr:to>
    <xdr:cxnSp macro="">
      <xdr:nvCxnSpPr>
        <xdr:cNvPr id="29" name="Connector: Elbow 28">
          <a:extLst>
            <a:ext uri="{FF2B5EF4-FFF2-40B4-BE49-F238E27FC236}">
              <a16:creationId xmlns:a16="http://schemas.microsoft.com/office/drawing/2014/main" id="{00000000-0008-0000-0200-00001D000000}"/>
            </a:ext>
          </a:extLst>
        </xdr:cNvPr>
        <xdr:cNvCxnSpPr>
          <a:stCxn id="16" idx="3"/>
          <a:endCxn id="17" idx="0"/>
        </xdr:cNvCxnSpPr>
      </xdr:nvCxnSpPr>
      <xdr:spPr>
        <a:xfrm flipH="1">
          <a:off x="8241506" y="4381501"/>
          <a:ext cx="826294" cy="585787"/>
        </a:xfrm>
        <a:prstGeom prst="bentConnector4">
          <a:avLst>
            <a:gd name="adj1" fmla="val -27666"/>
            <a:gd name="adj2" fmla="val 67073"/>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xdr:col>
      <xdr:colOff>0</xdr:colOff>
      <xdr:row>33</xdr:row>
      <xdr:rowOff>57151</xdr:rowOff>
    </xdr:from>
    <xdr:to>
      <xdr:col>11</xdr:col>
      <xdr:colOff>204786</xdr:colOff>
      <xdr:row>36</xdr:row>
      <xdr:rowOff>71438</xdr:rowOff>
    </xdr:to>
    <xdr:cxnSp macro="">
      <xdr:nvCxnSpPr>
        <xdr:cNvPr id="32" name="Connector: Elbow 31">
          <a:extLst>
            <a:ext uri="{FF2B5EF4-FFF2-40B4-BE49-F238E27FC236}">
              <a16:creationId xmlns:a16="http://schemas.microsoft.com/office/drawing/2014/main" id="{00000000-0008-0000-0200-000020000000}"/>
            </a:ext>
          </a:extLst>
        </xdr:cNvPr>
        <xdr:cNvCxnSpPr>
          <a:stCxn id="13" idx="3"/>
          <a:endCxn id="16" idx="1"/>
        </xdr:cNvCxnSpPr>
      </xdr:nvCxnSpPr>
      <xdr:spPr>
        <a:xfrm flipV="1">
          <a:off x="5857875" y="4381501"/>
          <a:ext cx="1557336" cy="400050"/>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36</xdr:row>
      <xdr:rowOff>71438</xdr:rowOff>
    </xdr:from>
    <xdr:to>
      <xdr:col>11</xdr:col>
      <xdr:colOff>204786</xdr:colOff>
      <xdr:row>39</xdr:row>
      <xdr:rowOff>71438</xdr:rowOff>
    </xdr:to>
    <xdr:cxnSp macro="">
      <xdr:nvCxnSpPr>
        <xdr:cNvPr id="35" name="Connector: Elbow 34">
          <a:extLst>
            <a:ext uri="{FF2B5EF4-FFF2-40B4-BE49-F238E27FC236}">
              <a16:creationId xmlns:a16="http://schemas.microsoft.com/office/drawing/2014/main" id="{00000000-0008-0000-0200-000023000000}"/>
            </a:ext>
          </a:extLst>
        </xdr:cNvPr>
        <xdr:cNvCxnSpPr>
          <a:stCxn id="13" idx="3"/>
          <a:endCxn id="17" idx="1"/>
        </xdr:cNvCxnSpPr>
      </xdr:nvCxnSpPr>
      <xdr:spPr>
        <a:xfrm>
          <a:off x="5857875" y="4781551"/>
          <a:ext cx="1557336" cy="385762"/>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36</xdr:row>
      <xdr:rowOff>71438</xdr:rowOff>
    </xdr:from>
    <xdr:to>
      <xdr:col>11</xdr:col>
      <xdr:colOff>204786</xdr:colOff>
      <xdr:row>43</xdr:row>
      <xdr:rowOff>71438</xdr:rowOff>
    </xdr:to>
    <xdr:cxnSp macro="">
      <xdr:nvCxnSpPr>
        <xdr:cNvPr id="38" name="Connector: Elbow 37">
          <a:extLst>
            <a:ext uri="{FF2B5EF4-FFF2-40B4-BE49-F238E27FC236}">
              <a16:creationId xmlns:a16="http://schemas.microsoft.com/office/drawing/2014/main" id="{00000000-0008-0000-0200-000026000000}"/>
            </a:ext>
          </a:extLst>
        </xdr:cNvPr>
        <xdr:cNvCxnSpPr>
          <a:stCxn id="13" idx="3"/>
          <a:endCxn id="18" idx="1"/>
        </xdr:cNvCxnSpPr>
      </xdr:nvCxnSpPr>
      <xdr:spPr>
        <a:xfrm>
          <a:off x="5857875" y="4781551"/>
          <a:ext cx="1557336" cy="900112"/>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609600</xdr:colOff>
      <xdr:row>15</xdr:row>
      <xdr:rowOff>78582</xdr:rowOff>
    </xdr:from>
    <xdr:to>
      <xdr:col>10</xdr:col>
      <xdr:colOff>0</xdr:colOff>
      <xdr:row>19</xdr:row>
      <xdr:rowOff>88107</xdr:rowOff>
    </xdr:to>
    <xdr:cxnSp macro="">
      <xdr:nvCxnSpPr>
        <xdr:cNvPr id="44" name="Connector: Elbow 43">
          <a:extLst>
            <a:ext uri="{FF2B5EF4-FFF2-40B4-BE49-F238E27FC236}">
              <a16:creationId xmlns:a16="http://schemas.microsoft.com/office/drawing/2014/main" id="{00000000-0008-0000-0200-00002C000000}"/>
            </a:ext>
          </a:extLst>
        </xdr:cNvPr>
        <xdr:cNvCxnSpPr>
          <a:stCxn id="12" idx="3"/>
          <a:endCxn id="14" idx="1"/>
        </xdr:cNvCxnSpPr>
      </xdr:nvCxnSpPr>
      <xdr:spPr>
        <a:xfrm flipV="1">
          <a:off x="5848350" y="2402682"/>
          <a:ext cx="742950" cy="581025"/>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411956</xdr:colOff>
      <xdr:row>27</xdr:row>
      <xdr:rowOff>71439</xdr:rowOff>
    </xdr:from>
    <xdr:to>
      <xdr:col>10</xdr:col>
      <xdr:colOff>0</xdr:colOff>
      <xdr:row>35</xdr:row>
      <xdr:rowOff>2</xdr:rowOff>
    </xdr:to>
    <xdr:cxnSp macro="">
      <xdr:nvCxnSpPr>
        <xdr:cNvPr id="47" name="Connector: Elbow 46">
          <a:extLst>
            <a:ext uri="{FF2B5EF4-FFF2-40B4-BE49-F238E27FC236}">
              <a16:creationId xmlns:a16="http://schemas.microsoft.com/office/drawing/2014/main" id="{00000000-0008-0000-0200-00002F000000}"/>
            </a:ext>
          </a:extLst>
        </xdr:cNvPr>
        <xdr:cNvCxnSpPr>
          <a:stCxn id="13" idx="0"/>
          <a:endCxn id="15" idx="1"/>
        </xdr:cNvCxnSpPr>
      </xdr:nvCxnSpPr>
      <xdr:spPr>
        <a:xfrm rot="5400000" flipH="1" flipV="1">
          <a:off x="5332809" y="3323036"/>
          <a:ext cx="957263" cy="155971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414339</xdr:colOff>
      <xdr:row>15</xdr:row>
      <xdr:rowOff>71438</xdr:rowOff>
    </xdr:from>
    <xdr:to>
      <xdr:col>15</xdr:col>
      <xdr:colOff>0</xdr:colOff>
      <xdr:row>15</xdr:row>
      <xdr:rowOff>71438</xdr:rowOff>
    </xdr:to>
    <xdr:cxnSp macro="">
      <xdr:nvCxnSpPr>
        <xdr:cNvPr id="62" name="Straight Arrow Connector 61">
          <a:extLst>
            <a:ext uri="{FF2B5EF4-FFF2-40B4-BE49-F238E27FC236}">
              <a16:creationId xmlns:a16="http://schemas.microsoft.com/office/drawing/2014/main" id="{00000000-0008-0000-0200-00003E000000}"/>
            </a:ext>
          </a:extLst>
        </xdr:cNvPr>
        <xdr:cNvCxnSpPr>
          <a:stCxn id="14" idx="3"/>
          <a:endCxn id="19" idx="1"/>
        </xdr:cNvCxnSpPr>
      </xdr:nvCxnSpPr>
      <xdr:spPr>
        <a:xfrm>
          <a:off x="8243889" y="2081213"/>
          <a:ext cx="1443036" cy="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xdr:col>
      <xdr:colOff>0</xdr:colOff>
      <xdr:row>15</xdr:row>
      <xdr:rowOff>66675</xdr:rowOff>
    </xdr:from>
    <xdr:to>
      <xdr:col>10</xdr:col>
      <xdr:colOff>0</xdr:colOff>
      <xdr:row>15</xdr:row>
      <xdr:rowOff>71438</xdr:rowOff>
    </xdr:to>
    <xdr:cxnSp macro="">
      <xdr:nvCxnSpPr>
        <xdr:cNvPr id="71" name="Straight Arrow Connector 70">
          <a:extLst>
            <a:ext uri="{FF2B5EF4-FFF2-40B4-BE49-F238E27FC236}">
              <a16:creationId xmlns:a16="http://schemas.microsoft.com/office/drawing/2014/main" id="{00000000-0008-0000-0200-000047000000}"/>
            </a:ext>
          </a:extLst>
        </xdr:cNvPr>
        <xdr:cNvCxnSpPr>
          <a:stCxn id="11" idx="3"/>
          <a:endCxn id="14" idx="1"/>
        </xdr:cNvCxnSpPr>
      </xdr:nvCxnSpPr>
      <xdr:spPr>
        <a:xfrm>
          <a:off x="5857875" y="2076450"/>
          <a:ext cx="733425" cy="476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414339</xdr:colOff>
      <xdr:row>21</xdr:row>
      <xdr:rowOff>14288</xdr:rowOff>
    </xdr:from>
    <xdr:to>
      <xdr:col>16</xdr:col>
      <xdr:colOff>207170</xdr:colOff>
      <xdr:row>27</xdr:row>
      <xdr:rowOff>71438</xdr:rowOff>
    </xdr:to>
    <xdr:cxnSp macro="">
      <xdr:nvCxnSpPr>
        <xdr:cNvPr id="86" name="Connector: Elbow 85">
          <a:extLst>
            <a:ext uri="{FF2B5EF4-FFF2-40B4-BE49-F238E27FC236}">
              <a16:creationId xmlns:a16="http://schemas.microsoft.com/office/drawing/2014/main" id="{00000000-0008-0000-0200-000056000000}"/>
            </a:ext>
          </a:extLst>
        </xdr:cNvPr>
        <xdr:cNvCxnSpPr>
          <a:stCxn id="15" idx="3"/>
          <a:endCxn id="20" idx="2"/>
        </xdr:cNvCxnSpPr>
      </xdr:nvCxnSpPr>
      <xdr:spPr>
        <a:xfrm flipV="1">
          <a:off x="8243889" y="2795588"/>
          <a:ext cx="2269331" cy="828675"/>
        </a:xfrm>
        <a:prstGeom prst="bentConnector2">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12</xdr:col>
      <xdr:colOff>414339</xdr:colOff>
      <xdr:row>15</xdr:row>
      <xdr:rowOff>71438</xdr:rowOff>
    </xdr:from>
    <xdr:to>
      <xdr:col>15</xdr:col>
      <xdr:colOff>0</xdr:colOff>
      <xdr:row>19</xdr:row>
      <xdr:rowOff>71438</xdr:rowOff>
    </xdr:to>
    <xdr:cxnSp macro="">
      <xdr:nvCxnSpPr>
        <xdr:cNvPr id="89" name="Connector: Elbow 88">
          <a:extLst>
            <a:ext uri="{FF2B5EF4-FFF2-40B4-BE49-F238E27FC236}">
              <a16:creationId xmlns:a16="http://schemas.microsoft.com/office/drawing/2014/main" id="{00000000-0008-0000-0200-000059000000}"/>
            </a:ext>
          </a:extLst>
        </xdr:cNvPr>
        <xdr:cNvCxnSpPr>
          <a:stCxn id="14" idx="3"/>
          <a:endCxn id="20" idx="1"/>
        </xdr:cNvCxnSpPr>
      </xdr:nvCxnSpPr>
      <xdr:spPr>
        <a:xfrm>
          <a:off x="8243889" y="2081213"/>
          <a:ext cx="1443036" cy="514350"/>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14</xdr:col>
      <xdr:colOff>600075</xdr:colOff>
      <xdr:row>28</xdr:row>
      <xdr:rowOff>66675</xdr:rowOff>
    </xdr:from>
    <xdr:to>
      <xdr:col>17</xdr:col>
      <xdr:colOff>395289</xdr:colOff>
      <xdr:row>31</xdr:row>
      <xdr:rowOff>80963</xdr:rowOff>
    </xdr:to>
    <xdr:sp macro="" textlink="">
      <xdr:nvSpPr>
        <xdr:cNvPr id="40" name="Rectangle 39">
          <a:hlinkClick xmlns:r="http://schemas.openxmlformats.org/officeDocument/2006/relationships" r:id="rId17"/>
          <a:extLst>
            <a:ext uri="{FF2B5EF4-FFF2-40B4-BE49-F238E27FC236}">
              <a16:creationId xmlns:a16="http://schemas.microsoft.com/office/drawing/2014/main" id="{00000000-0008-0000-0200-000028000000}"/>
            </a:ext>
          </a:extLst>
        </xdr:cNvPr>
        <xdr:cNvSpPr/>
      </xdr:nvSpPr>
      <xdr:spPr>
        <a:xfrm>
          <a:off x="9667875" y="4248150"/>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Tariffs</a:t>
          </a:r>
        </a:p>
      </xdr:txBody>
    </xdr:sp>
    <xdr:clientData/>
  </xdr:twoCellAnchor>
  <xdr:twoCellAnchor>
    <xdr:from>
      <xdr:col>14</xdr:col>
      <xdr:colOff>603647</xdr:colOff>
      <xdr:row>34</xdr:row>
      <xdr:rowOff>50006</xdr:rowOff>
    </xdr:from>
    <xdr:to>
      <xdr:col>17</xdr:col>
      <xdr:colOff>398861</xdr:colOff>
      <xdr:row>37</xdr:row>
      <xdr:rowOff>64294</xdr:rowOff>
    </xdr:to>
    <xdr:sp macro="" textlink="">
      <xdr:nvSpPr>
        <xdr:cNvPr id="58" name="Rectangle 57">
          <a:hlinkClick xmlns:r="http://schemas.openxmlformats.org/officeDocument/2006/relationships" r:id="rId18"/>
          <a:extLst>
            <a:ext uri="{FF2B5EF4-FFF2-40B4-BE49-F238E27FC236}">
              <a16:creationId xmlns:a16="http://schemas.microsoft.com/office/drawing/2014/main" id="{00000000-0008-0000-0200-00003A000000}"/>
            </a:ext>
          </a:extLst>
        </xdr:cNvPr>
        <xdr:cNvSpPr/>
      </xdr:nvSpPr>
      <xdr:spPr>
        <a:xfrm>
          <a:off x="9664303" y="5092303"/>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Pricing Proposal</a:t>
          </a:r>
        </a:p>
      </xdr:txBody>
    </xdr:sp>
    <xdr:clientData/>
  </xdr:twoCellAnchor>
  <xdr:twoCellAnchor>
    <xdr:from>
      <xdr:col>16</xdr:col>
      <xdr:colOff>188120</xdr:colOff>
      <xdr:row>31</xdr:row>
      <xdr:rowOff>80963</xdr:rowOff>
    </xdr:from>
    <xdr:to>
      <xdr:col>16</xdr:col>
      <xdr:colOff>191692</xdr:colOff>
      <xdr:row>34</xdr:row>
      <xdr:rowOff>50006</xdr:rowOff>
    </xdr:to>
    <xdr:cxnSp macro="">
      <xdr:nvCxnSpPr>
        <xdr:cNvPr id="39" name="Connector: Elbow 25">
          <a:extLst>
            <a:ext uri="{FF2B5EF4-FFF2-40B4-BE49-F238E27FC236}">
              <a16:creationId xmlns:a16="http://schemas.microsoft.com/office/drawing/2014/main" id="{00000000-0008-0000-0200-000027000000}"/>
            </a:ext>
          </a:extLst>
        </xdr:cNvPr>
        <xdr:cNvCxnSpPr>
          <a:stCxn id="40" idx="2"/>
          <a:endCxn id="58" idx="0"/>
        </xdr:cNvCxnSpPr>
      </xdr:nvCxnSpPr>
      <xdr:spPr>
        <a:xfrm rot="16200000" flipH="1">
          <a:off x="10289978" y="4891683"/>
          <a:ext cx="397668" cy="3572"/>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16</xdr:col>
      <xdr:colOff>191692</xdr:colOff>
      <xdr:row>37</xdr:row>
      <xdr:rowOff>64294</xdr:rowOff>
    </xdr:from>
    <xdr:to>
      <xdr:col>16</xdr:col>
      <xdr:colOff>195263</xdr:colOff>
      <xdr:row>40</xdr:row>
      <xdr:rowOff>47625</xdr:rowOff>
    </xdr:to>
    <xdr:cxnSp macro="">
      <xdr:nvCxnSpPr>
        <xdr:cNvPr id="41" name="Connector: Elbow 25">
          <a:extLst>
            <a:ext uri="{FF2B5EF4-FFF2-40B4-BE49-F238E27FC236}">
              <a16:creationId xmlns:a16="http://schemas.microsoft.com/office/drawing/2014/main" id="{00000000-0008-0000-0200-000029000000}"/>
            </a:ext>
          </a:extLst>
        </xdr:cNvPr>
        <xdr:cNvCxnSpPr>
          <a:stCxn id="21" idx="0"/>
          <a:endCxn id="58" idx="2"/>
        </xdr:cNvCxnSpPr>
      </xdr:nvCxnSpPr>
      <xdr:spPr>
        <a:xfrm rot="16200000" flipV="1">
          <a:off x="10286406" y="5739408"/>
          <a:ext cx="411956" cy="3571"/>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17</xdr:col>
      <xdr:colOff>398861</xdr:colOff>
      <xdr:row>19</xdr:row>
      <xdr:rowOff>78582</xdr:rowOff>
    </xdr:from>
    <xdr:to>
      <xdr:col>17</xdr:col>
      <xdr:colOff>414339</xdr:colOff>
      <xdr:row>35</xdr:row>
      <xdr:rowOff>128588</xdr:rowOff>
    </xdr:to>
    <xdr:cxnSp macro="">
      <xdr:nvCxnSpPr>
        <xdr:cNvPr id="48" name="Connector: Elbow 85">
          <a:extLst>
            <a:ext uri="{FF2B5EF4-FFF2-40B4-BE49-F238E27FC236}">
              <a16:creationId xmlns:a16="http://schemas.microsoft.com/office/drawing/2014/main" id="{00000000-0008-0000-0200-000030000000}"/>
            </a:ext>
          </a:extLst>
        </xdr:cNvPr>
        <xdr:cNvCxnSpPr>
          <a:stCxn id="20" idx="3"/>
          <a:endCxn id="58" idx="3"/>
        </xdr:cNvCxnSpPr>
      </xdr:nvCxnSpPr>
      <xdr:spPr>
        <a:xfrm flipH="1">
          <a:off x="11316892" y="2977754"/>
          <a:ext cx="15478" cy="2336006"/>
        </a:xfrm>
        <a:prstGeom prst="bentConnector3">
          <a:avLst>
            <a:gd name="adj1" fmla="val -1476935"/>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39</xdr:row>
      <xdr:rowOff>142874</xdr:rowOff>
    </xdr:from>
    <xdr:to>
      <xdr:col>13</xdr:col>
      <xdr:colOff>590550</xdr:colOff>
      <xdr:row>63</xdr:row>
      <xdr:rowOff>133349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xdr:colOff>
      <xdr:row>16</xdr:row>
      <xdr:rowOff>0</xdr:rowOff>
    </xdr:from>
    <xdr:to>
      <xdr:col>13</xdr:col>
      <xdr:colOff>561975</xdr:colOff>
      <xdr:row>37</xdr:row>
      <xdr:rowOff>9525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1904</xdr:colOff>
      <xdr:row>68</xdr:row>
      <xdr:rowOff>133349</xdr:rowOff>
    </xdr:from>
    <xdr:to>
      <xdr:col>14</xdr:col>
      <xdr:colOff>0</xdr:colOff>
      <xdr:row>85</xdr:row>
      <xdr:rowOff>123824</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234463</xdr:colOff>
      <xdr:row>244</xdr:row>
      <xdr:rowOff>0</xdr:rowOff>
    </xdr:from>
    <xdr:to>
      <xdr:col>11</xdr:col>
      <xdr:colOff>65943</xdr:colOff>
      <xdr:row>261</xdr:row>
      <xdr:rowOff>0</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263</xdr:row>
      <xdr:rowOff>123825</xdr:rowOff>
    </xdr:from>
    <xdr:to>
      <xdr:col>12</xdr:col>
      <xdr:colOff>390525</xdr:colOff>
      <xdr:row>285</xdr:row>
      <xdr:rowOff>95250</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25</xdr:row>
      <xdr:rowOff>0</xdr:rowOff>
    </xdr:from>
    <xdr:to>
      <xdr:col>9</xdr:col>
      <xdr:colOff>340860</xdr:colOff>
      <xdr:row>43</xdr:row>
      <xdr:rowOff>99332</xdr:rowOff>
    </xdr:to>
    <xdr:graphicFrame macro="">
      <xdr:nvGraphicFramePr>
        <xdr:cNvPr id="7" name="Chart 6">
          <a:extLst>
            <a:ext uri="{FF2B5EF4-FFF2-40B4-BE49-F238E27FC236}">
              <a16:creationId xmlns:a16="http://schemas.microsoft.com/office/drawing/2014/main" id="{3FFD012C-2AE5-40A2-8D2A-15FD39C2C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ACS/Power%20and%20Water%20Corporation%20-%202020-21%20ACS%20Pricing%20Model%20-%2031%20March%202020%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Model/D2020%20124919%20%20Volume%20and%20revenue%20estimate%20input%20model%201246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Model/AER%20-%20Final%20Decision%20-%20PWC%20PTRM%20-%202020-21%20RoD(1085581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19-20%20Pricing%20Proposal/PWC%20-%20AER%20approved%20-%202019-20%20SCS%20Pricing%20Model%20-%2021%20May%202019%20-%20Public%20-%20June%202019.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zubi/AppData/Local/Microsoft/Windows/INetCache/Content.Outlook/UUV2F60S/PWC%20-%202020-21%20Pricing%20Proposal%20-%20Bill%20impa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Calculations_Price_Caps"/>
      <sheetName val="Output_Compliance"/>
      <sheetName val="Output_Pricing_Proposal"/>
      <sheetName val="Lookup"/>
      <sheetName val="Checks"/>
    </sheetNames>
    <sheetDataSet>
      <sheetData sheetId="0"/>
      <sheetData sheetId="1"/>
      <sheetData sheetId="2"/>
      <sheetData sheetId="3">
        <row r="29">
          <cell r="P29">
            <v>64.66</v>
          </cell>
        </row>
        <row r="30">
          <cell r="P30">
            <v>71.19</v>
          </cell>
        </row>
        <row r="31">
          <cell r="P31">
            <v>120.58</v>
          </cell>
        </row>
        <row r="149">
          <cell r="O149">
            <v>61.48</v>
          </cell>
        </row>
        <row r="150">
          <cell r="O150">
            <v>67.69</v>
          </cell>
        </row>
        <row r="151">
          <cell r="O151">
            <v>114.65</v>
          </cell>
        </row>
      </sheetData>
      <sheetData sheetId="4"/>
      <sheetData sheetId="5"/>
      <sheetData sheetId="6">
        <row r="17">
          <cell r="E17">
            <v>1.8404907975460238E-2</v>
          </cell>
        </row>
        <row r="18">
          <cell r="E18">
            <v>-3.27E-2</v>
          </cell>
        </row>
        <row r="19">
          <cell r="E19">
            <v>4.2044999999999999E-2</v>
          </cell>
        </row>
        <row r="20">
          <cell r="E20">
            <v>-5.7080000000000004E-3</v>
          </cell>
        </row>
        <row r="36">
          <cell r="F36">
            <v>159.38999999999999</v>
          </cell>
        </row>
        <row r="37">
          <cell r="F37">
            <v>159.38999999999999</v>
          </cell>
        </row>
        <row r="38">
          <cell r="F38">
            <v>159.38999999999999</v>
          </cell>
        </row>
        <row r="39">
          <cell r="F39">
            <v>89.3</v>
          </cell>
        </row>
        <row r="40">
          <cell r="F40">
            <v>89.3</v>
          </cell>
        </row>
        <row r="41">
          <cell r="F41">
            <v>89.3</v>
          </cell>
        </row>
        <row r="42">
          <cell r="F42">
            <v>135.91999999999999</v>
          </cell>
        </row>
        <row r="43">
          <cell r="F43">
            <v>89.3</v>
          </cell>
        </row>
        <row r="44">
          <cell r="F44">
            <v>135.91999999999999</v>
          </cell>
        </row>
        <row r="45">
          <cell r="F45">
            <v>135.91999999999999</v>
          </cell>
        </row>
        <row r="46">
          <cell r="F46">
            <v>89.3</v>
          </cell>
        </row>
        <row r="47">
          <cell r="F47">
            <v>89.3</v>
          </cell>
        </row>
        <row r="48">
          <cell r="F48">
            <v>89.3</v>
          </cell>
        </row>
        <row r="49">
          <cell r="F49">
            <v>135.91999999999999</v>
          </cell>
        </row>
        <row r="50">
          <cell r="F50">
            <v>135.91999999999999</v>
          </cell>
        </row>
        <row r="51">
          <cell r="F51">
            <v>89.3</v>
          </cell>
        </row>
        <row r="58">
          <cell r="F58">
            <v>65.349999999999994</v>
          </cell>
        </row>
        <row r="59">
          <cell r="F59">
            <v>65.349999999999994</v>
          </cell>
        </row>
        <row r="60">
          <cell r="F60">
            <v>121.39</v>
          </cell>
        </row>
        <row r="61">
          <cell r="F61">
            <v>755.16</v>
          </cell>
        </row>
        <row r="62">
          <cell r="F62">
            <v>1434.81</v>
          </cell>
        </row>
        <row r="63">
          <cell r="F63">
            <v>673.61</v>
          </cell>
        </row>
        <row r="64">
          <cell r="F64">
            <v>293</v>
          </cell>
        </row>
        <row r="65">
          <cell r="F65">
            <v>320.19</v>
          </cell>
        </row>
        <row r="66">
          <cell r="F66">
            <v>157.07</v>
          </cell>
        </row>
        <row r="67">
          <cell r="F67">
            <v>306.60000000000002</v>
          </cell>
        </row>
        <row r="68">
          <cell r="F68">
            <v>676.38</v>
          </cell>
        </row>
        <row r="69">
          <cell r="F69">
            <v>566.26</v>
          </cell>
        </row>
        <row r="70">
          <cell r="F70">
            <v>320.19</v>
          </cell>
        </row>
        <row r="71">
          <cell r="F71">
            <v>320.19</v>
          </cell>
        </row>
        <row r="72">
          <cell r="F72">
            <v>143.47999999999999</v>
          </cell>
        </row>
        <row r="73">
          <cell r="F73">
            <v>36.46</v>
          </cell>
        </row>
        <row r="74">
          <cell r="F74">
            <v>78.86</v>
          </cell>
        </row>
        <row r="75">
          <cell r="F75">
            <v>1216.5899999999999</v>
          </cell>
        </row>
        <row r="76">
          <cell r="F76">
            <v>165.52</v>
          </cell>
        </row>
        <row r="77">
          <cell r="F77">
            <v>201.91</v>
          </cell>
        </row>
        <row r="78">
          <cell r="F78">
            <v>44.65</v>
          </cell>
        </row>
        <row r="79">
          <cell r="F79">
            <v>178.59</v>
          </cell>
        </row>
        <row r="80">
          <cell r="F80">
            <v>44.65</v>
          </cell>
        </row>
        <row r="81">
          <cell r="F81">
            <v>0.49</v>
          </cell>
        </row>
        <row r="82">
          <cell r="F82">
            <v>67.97</v>
          </cell>
        </row>
        <row r="83">
          <cell r="F83">
            <v>639.62</v>
          </cell>
        </row>
        <row r="84">
          <cell r="F84">
            <v>89.3</v>
          </cell>
        </row>
        <row r="91">
          <cell r="F91">
            <v>61.48</v>
          </cell>
          <cell r="G91">
            <v>64.66</v>
          </cell>
          <cell r="H91">
            <v>68.39</v>
          </cell>
          <cell r="I91">
            <v>72.34</v>
          </cell>
          <cell r="J91">
            <v>76.52</v>
          </cell>
        </row>
        <row r="92">
          <cell r="F92">
            <v>67.69</v>
          </cell>
          <cell r="G92">
            <v>71.19</v>
          </cell>
          <cell r="H92">
            <v>75.3</v>
          </cell>
          <cell r="I92">
            <v>79.650000000000006</v>
          </cell>
          <cell r="J92">
            <v>84.25</v>
          </cell>
        </row>
        <row r="93">
          <cell r="F93">
            <v>114.65</v>
          </cell>
          <cell r="G93">
            <v>120.58</v>
          </cell>
          <cell r="H93">
            <v>127.54</v>
          </cell>
          <cell r="I93">
            <v>134.9</v>
          </cell>
          <cell r="J93">
            <v>142.69</v>
          </cell>
        </row>
        <row r="100">
          <cell r="F100">
            <v>155.62</v>
          </cell>
          <cell r="G100">
            <v>159.38999999999999</v>
          </cell>
          <cell r="H100">
            <v>164.59</v>
          </cell>
          <cell r="I100">
            <v>170.22</v>
          </cell>
          <cell r="J100">
            <v>176.03</v>
          </cell>
        </row>
        <row r="101">
          <cell r="F101">
            <v>155.62</v>
          </cell>
          <cell r="G101">
            <v>159.38999999999999</v>
          </cell>
          <cell r="H101">
            <v>164.59</v>
          </cell>
          <cell r="I101">
            <v>170.22</v>
          </cell>
          <cell r="J101">
            <v>176.03</v>
          </cell>
        </row>
        <row r="102">
          <cell r="F102">
            <v>155.62</v>
          </cell>
          <cell r="G102">
            <v>159.38999999999999</v>
          </cell>
          <cell r="H102">
            <v>164.59</v>
          </cell>
          <cell r="I102">
            <v>170.22</v>
          </cell>
          <cell r="J102">
            <v>176.03</v>
          </cell>
        </row>
        <row r="103">
          <cell r="F103">
            <v>87.19</v>
          </cell>
          <cell r="G103">
            <v>89.3</v>
          </cell>
          <cell r="H103">
            <v>92.21</v>
          </cell>
          <cell r="I103">
            <v>95.36</v>
          </cell>
          <cell r="J103">
            <v>98.61</v>
          </cell>
        </row>
        <row r="104">
          <cell r="F104">
            <v>87.19</v>
          </cell>
          <cell r="G104">
            <v>89.3</v>
          </cell>
          <cell r="H104">
            <v>92.21</v>
          </cell>
          <cell r="I104">
            <v>95.36</v>
          </cell>
          <cell r="J104">
            <v>98.61</v>
          </cell>
        </row>
        <row r="105">
          <cell r="F105">
            <v>87.19</v>
          </cell>
          <cell r="G105">
            <v>89.3</v>
          </cell>
          <cell r="H105">
            <v>92.21</v>
          </cell>
          <cell r="I105">
            <v>95.36</v>
          </cell>
          <cell r="J105">
            <v>98.61</v>
          </cell>
        </row>
        <row r="106">
          <cell r="F106">
            <v>132.71</v>
          </cell>
          <cell r="G106">
            <v>135.91999999999999</v>
          </cell>
          <cell r="H106">
            <v>140.36000000000001</v>
          </cell>
          <cell r="I106">
            <v>145.16</v>
          </cell>
          <cell r="J106">
            <v>150.11000000000001</v>
          </cell>
        </row>
        <row r="107">
          <cell r="F107">
            <v>87.19</v>
          </cell>
          <cell r="G107">
            <v>89.3</v>
          </cell>
          <cell r="H107">
            <v>92.21</v>
          </cell>
          <cell r="I107">
            <v>95.36</v>
          </cell>
          <cell r="J107">
            <v>98.61</v>
          </cell>
        </row>
        <row r="108">
          <cell r="F108">
            <v>132.71</v>
          </cell>
          <cell r="G108">
            <v>135.91999999999999</v>
          </cell>
          <cell r="H108">
            <v>140.36000000000001</v>
          </cell>
          <cell r="I108">
            <v>145.16</v>
          </cell>
          <cell r="J108">
            <v>150.11000000000001</v>
          </cell>
        </row>
        <row r="109">
          <cell r="F109">
            <v>132.71</v>
          </cell>
          <cell r="G109">
            <v>135.91999999999999</v>
          </cell>
          <cell r="H109">
            <v>140.36000000000001</v>
          </cell>
          <cell r="I109">
            <v>145.16</v>
          </cell>
          <cell r="J109">
            <v>150.11000000000001</v>
          </cell>
        </row>
        <row r="110">
          <cell r="F110">
            <v>87.19</v>
          </cell>
          <cell r="G110">
            <v>89.3</v>
          </cell>
          <cell r="H110">
            <v>92.21</v>
          </cell>
          <cell r="I110">
            <v>95.36</v>
          </cell>
          <cell r="J110">
            <v>98.61</v>
          </cell>
        </row>
        <row r="111">
          <cell r="F111">
            <v>87.19</v>
          </cell>
          <cell r="G111">
            <v>89.3</v>
          </cell>
          <cell r="H111">
            <v>92.21</v>
          </cell>
          <cell r="I111">
            <v>95.36</v>
          </cell>
          <cell r="J111">
            <v>98.61</v>
          </cell>
        </row>
        <row r="112">
          <cell r="F112">
            <v>87.19</v>
          </cell>
          <cell r="G112">
            <v>89.3</v>
          </cell>
          <cell r="H112">
            <v>92.21</v>
          </cell>
          <cell r="I112">
            <v>95.36</v>
          </cell>
          <cell r="J112">
            <v>98.61</v>
          </cell>
        </row>
        <row r="113">
          <cell r="F113">
            <v>132.71</v>
          </cell>
          <cell r="G113">
            <v>135.91999999999999</v>
          </cell>
          <cell r="H113">
            <v>140.36000000000001</v>
          </cell>
          <cell r="I113">
            <v>145.16</v>
          </cell>
          <cell r="J113">
            <v>150.11000000000001</v>
          </cell>
        </row>
        <row r="114">
          <cell r="F114">
            <v>132.71</v>
          </cell>
          <cell r="G114">
            <v>135.91999999999999</v>
          </cell>
          <cell r="H114">
            <v>140.36000000000001</v>
          </cell>
          <cell r="I114">
            <v>145.16</v>
          </cell>
          <cell r="J114">
            <v>150.11000000000001</v>
          </cell>
        </row>
        <row r="115">
          <cell r="F115">
            <v>87.19</v>
          </cell>
          <cell r="G115">
            <v>89.3</v>
          </cell>
          <cell r="H115">
            <v>92.21</v>
          </cell>
          <cell r="I115">
            <v>95.36</v>
          </cell>
          <cell r="J115">
            <v>98.61</v>
          </cell>
        </row>
        <row r="123">
          <cell r="F123">
            <v>66.989999999999995</v>
          </cell>
          <cell r="G123">
            <v>65.349999999999994</v>
          </cell>
          <cell r="H123">
            <v>64</v>
          </cell>
          <cell r="I123">
            <v>62.64</v>
          </cell>
          <cell r="J123">
            <v>61.24</v>
          </cell>
        </row>
        <row r="124">
          <cell r="F124">
            <v>66.989999999999995</v>
          </cell>
          <cell r="G124">
            <v>65.349999999999994</v>
          </cell>
          <cell r="H124">
            <v>64</v>
          </cell>
          <cell r="I124">
            <v>62.64</v>
          </cell>
          <cell r="J124">
            <v>61.24</v>
          </cell>
        </row>
        <row r="125">
          <cell r="F125">
            <v>124.43</v>
          </cell>
          <cell r="G125">
            <v>121.39</v>
          </cell>
          <cell r="H125">
            <v>118.88</v>
          </cell>
          <cell r="I125">
            <v>116.35</v>
          </cell>
          <cell r="J125">
            <v>113.75</v>
          </cell>
        </row>
        <row r="126">
          <cell r="F126">
            <v>737.3</v>
          </cell>
          <cell r="G126">
            <v>755.16</v>
          </cell>
          <cell r="H126">
            <v>779.8</v>
          </cell>
          <cell r="I126">
            <v>806.48</v>
          </cell>
          <cell r="J126">
            <v>834</v>
          </cell>
        </row>
        <row r="127">
          <cell r="F127">
            <v>1400.88</v>
          </cell>
          <cell r="G127">
            <v>1434.81</v>
          </cell>
          <cell r="H127">
            <v>1481.63</v>
          </cell>
          <cell r="I127">
            <v>1532.31</v>
          </cell>
          <cell r="J127">
            <v>1584.6</v>
          </cell>
        </row>
        <row r="128">
          <cell r="F128">
            <v>657.68</v>
          </cell>
          <cell r="G128">
            <v>673.61</v>
          </cell>
          <cell r="H128">
            <v>695.59</v>
          </cell>
          <cell r="I128">
            <v>719.39</v>
          </cell>
          <cell r="J128">
            <v>743.94</v>
          </cell>
        </row>
        <row r="129">
          <cell r="F129">
            <v>286.07</v>
          </cell>
          <cell r="G129">
            <v>293</v>
          </cell>
          <cell r="H129">
            <v>302.56</v>
          </cell>
          <cell r="I129">
            <v>312.91000000000003</v>
          </cell>
          <cell r="J129">
            <v>323.58999999999997</v>
          </cell>
        </row>
        <row r="130">
          <cell r="F130">
            <v>312.62</v>
          </cell>
          <cell r="G130">
            <v>320.19</v>
          </cell>
          <cell r="H130">
            <v>330.64</v>
          </cell>
          <cell r="I130">
            <v>341.95</v>
          </cell>
          <cell r="J130">
            <v>353.62</v>
          </cell>
        </row>
        <row r="131">
          <cell r="F131">
            <v>153.36000000000001</v>
          </cell>
          <cell r="G131">
            <v>157.07</v>
          </cell>
          <cell r="H131">
            <v>162.19999999999999</v>
          </cell>
          <cell r="I131">
            <v>167.75</v>
          </cell>
          <cell r="J131">
            <v>173.47</v>
          </cell>
        </row>
        <row r="132">
          <cell r="F132">
            <v>299.35000000000002</v>
          </cell>
          <cell r="G132">
            <v>306.60000000000002</v>
          </cell>
          <cell r="H132">
            <v>316.61</v>
          </cell>
          <cell r="I132">
            <v>327.44</v>
          </cell>
          <cell r="J132">
            <v>338.61</v>
          </cell>
        </row>
        <row r="133">
          <cell r="F133">
            <v>660.39</v>
          </cell>
          <cell r="G133">
            <v>676.38</v>
          </cell>
          <cell r="H133">
            <v>698.45</v>
          </cell>
          <cell r="I133">
            <v>722.34</v>
          </cell>
          <cell r="J133">
            <v>746.99</v>
          </cell>
        </row>
        <row r="134">
          <cell r="F134">
            <v>552.87</v>
          </cell>
          <cell r="G134">
            <v>566.26</v>
          </cell>
          <cell r="H134">
            <v>584.74</v>
          </cell>
          <cell r="I134">
            <v>604.74</v>
          </cell>
          <cell r="J134">
            <v>625.38</v>
          </cell>
        </row>
        <row r="135">
          <cell r="F135">
            <v>312.62</v>
          </cell>
          <cell r="G135">
            <v>320.19</v>
          </cell>
          <cell r="H135">
            <v>330.64</v>
          </cell>
          <cell r="I135">
            <v>341.95</v>
          </cell>
          <cell r="J135">
            <v>353.62</v>
          </cell>
        </row>
        <row r="136">
          <cell r="F136">
            <v>312.62</v>
          </cell>
          <cell r="G136">
            <v>320.19</v>
          </cell>
          <cell r="H136">
            <v>330.64</v>
          </cell>
          <cell r="I136">
            <v>341.95</v>
          </cell>
          <cell r="J136">
            <v>353.62</v>
          </cell>
        </row>
        <row r="137">
          <cell r="F137">
            <v>140.09</v>
          </cell>
          <cell r="G137">
            <v>143.47999999999999</v>
          </cell>
          <cell r="H137">
            <v>148.16</v>
          </cell>
          <cell r="I137">
            <v>153.22999999999999</v>
          </cell>
          <cell r="J137">
            <v>158.46</v>
          </cell>
        </row>
        <row r="138">
          <cell r="F138">
            <v>35.6</v>
          </cell>
          <cell r="G138">
            <v>36.46</v>
          </cell>
          <cell r="H138">
            <v>37.65</v>
          </cell>
          <cell r="I138">
            <v>38.94</v>
          </cell>
          <cell r="J138">
            <v>40.270000000000003</v>
          </cell>
        </row>
        <row r="139">
          <cell r="F139">
            <v>77</v>
          </cell>
          <cell r="G139">
            <v>78.86</v>
          </cell>
          <cell r="H139">
            <v>81.430000000000007</v>
          </cell>
          <cell r="I139">
            <v>84.22</v>
          </cell>
          <cell r="J139">
            <v>87.09</v>
          </cell>
        </row>
        <row r="140">
          <cell r="F140">
            <v>1187.82</v>
          </cell>
          <cell r="G140">
            <v>1216.5899999999999</v>
          </cell>
          <cell r="H140">
            <v>1256.29</v>
          </cell>
          <cell r="I140">
            <v>1299.27</v>
          </cell>
          <cell r="J140">
            <v>1343.61</v>
          </cell>
        </row>
        <row r="141">
          <cell r="F141">
            <v>161.61000000000001</v>
          </cell>
          <cell r="G141">
            <v>165.52</v>
          </cell>
          <cell r="H141">
            <v>170.92</v>
          </cell>
          <cell r="I141">
            <v>176.77</v>
          </cell>
          <cell r="J141">
            <v>182.8</v>
          </cell>
        </row>
        <row r="142">
          <cell r="F142">
            <v>197.14</v>
          </cell>
          <cell r="G142">
            <v>201.91</v>
          </cell>
          <cell r="H142">
            <v>208.5</v>
          </cell>
          <cell r="I142">
            <v>215.63</v>
          </cell>
          <cell r="J142">
            <v>222.99</v>
          </cell>
        </row>
        <row r="143">
          <cell r="F143">
            <v>43.59</v>
          </cell>
          <cell r="G143">
            <v>44.65</v>
          </cell>
          <cell r="H143">
            <v>46.11</v>
          </cell>
          <cell r="I143">
            <v>47.69</v>
          </cell>
          <cell r="J143">
            <v>49.32</v>
          </cell>
        </row>
        <row r="144">
          <cell r="F144">
            <v>174.37</v>
          </cell>
          <cell r="G144">
            <v>178.59</v>
          </cell>
          <cell r="H144">
            <v>184.42</v>
          </cell>
          <cell r="I144">
            <v>190.73</v>
          </cell>
          <cell r="J144">
            <v>197.24</v>
          </cell>
        </row>
        <row r="145">
          <cell r="F145">
            <v>43.59</v>
          </cell>
          <cell r="G145">
            <v>44.65</v>
          </cell>
          <cell r="H145">
            <v>46.11</v>
          </cell>
          <cell r="I145">
            <v>47.69</v>
          </cell>
          <cell r="J145">
            <v>49.32</v>
          </cell>
        </row>
        <row r="146">
          <cell r="F146">
            <v>0.48</v>
          </cell>
          <cell r="G146">
            <v>0.49</v>
          </cell>
          <cell r="H146">
            <v>0.51</v>
          </cell>
          <cell r="I146">
            <v>0.53</v>
          </cell>
          <cell r="J146">
            <v>0.55000000000000004</v>
          </cell>
        </row>
        <row r="147">
          <cell r="F147">
            <v>66.36</v>
          </cell>
          <cell r="G147">
            <v>67.97</v>
          </cell>
          <cell r="H147">
            <v>70.19</v>
          </cell>
          <cell r="I147">
            <v>72.59</v>
          </cell>
          <cell r="J147">
            <v>75.069999999999993</v>
          </cell>
        </row>
        <row r="148">
          <cell r="F148">
            <v>624.5</v>
          </cell>
          <cell r="G148">
            <v>639.62</v>
          </cell>
          <cell r="H148">
            <v>660.49</v>
          </cell>
          <cell r="I148">
            <v>683.08</v>
          </cell>
          <cell r="J148">
            <v>706.39</v>
          </cell>
        </row>
        <row r="149">
          <cell r="F149">
            <v>87.19</v>
          </cell>
          <cell r="G149">
            <v>89.3</v>
          </cell>
          <cell r="H149">
            <v>92.21</v>
          </cell>
          <cell r="I149">
            <v>95.36</v>
          </cell>
          <cell r="J149">
            <v>98.61</v>
          </cell>
        </row>
      </sheetData>
      <sheetData sheetId="7">
        <row r="102">
          <cell r="D102" t="str">
            <v>Disconnection (and final read)</v>
          </cell>
        </row>
        <row r="103">
          <cell r="D103" t="str">
            <v>Reconnection</v>
          </cell>
        </row>
        <row r="104">
          <cell r="D104" t="str">
            <v>Reconnection - after hours</v>
          </cell>
        </row>
        <row r="105">
          <cell r="D105" t="str">
            <v>Temporary disconnection and reconnection - physical dismantling</v>
          </cell>
        </row>
        <row r="106">
          <cell r="D106" t="str">
            <v>Provision of 3 phase service</v>
          </cell>
        </row>
        <row r="107">
          <cell r="D107" t="str">
            <v>Standard temporary builder’s connection</v>
          </cell>
        </row>
        <row r="108">
          <cell r="D108" t="str">
            <v>Temporary disconnection and reconnection - no dismantling</v>
          </cell>
        </row>
        <row r="109">
          <cell r="D109" t="str">
            <v>Complex disconnection</v>
          </cell>
        </row>
        <row r="110">
          <cell r="D110" t="str">
            <v>Wasted visit fee</v>
          </cell>
        </row>
        <row r="111">
          <cell r="D111" t="str">
            <v>Special meter test</v>
          </cell>
        </row>
        <row r="112">
          <cell r="D112" t="str">
            <v>Exchange or replace meter – three phase</v>
          </cell>
        </row>
        <row r="113">
          <cell r="D113" t="str">
            <v>Exchange or replace meter - single phase</v>
          </cell>
        </row>
        <row r="114">
          <cell r="D114" t="str">
            <v>Relocation of meter</v>
          </cell>
        </row>
        <row r="115">
          <cell r="D115" t="str">
            <v>Remove meter</v>
          </cell>
        </row>
        <row r="116">
          <cell r="D116" t="str">
            <v>General meter inspection</v>
          </cell>
        </row>
        <row r="117">
          <cell r="D117" t="str">
            <v>Special meter read - no appointment</v>
          </cell>
        </row>
        <row r="118">
          <cell r="D118" t="str">
            <v>Special meter read - appointment</v>
          </cell>
        </row>
        <row r="119">
          <cell r="D119" t="str">
            <v>Class 3 PV Assessment</v>
          </cell>
        </row>
        <row r="120">
          <cell r="D120" t="str">
            <v>Meter program change</v>
          </cell>
        </row>
        <row r="121">
          <cell r="D121" t="str">
            <v>Historical data requests</v>
          </cell>
        </row>
        <row r="122">
          <cell r="D122" t="str">
            <v>Standing data requests</v>
          </cell>
        </row>
        <row r="123">
          <cell r="D123" t="str">
            <v>Customer transfers</v>
          </cell>
        </row>
        <row r="124">
          <cell r="D124" t="str">
            <v>Network tariff change request</v>
          </cell>
        </row>
        <row r="125">
          <cell r="D125" t="str">
            <v>Prepayment Vending Charge</v>
          </cell>
        </row>
        <row r="126">
          <cell r="D126" t="str">
            <v>Prepayment Meter Support Charge</v>
          </cell>
        </row>
        <row r="127">
          <cell r="D127" t="str">
            <v xml:space="preserve">Installation of Minor Apparatus </v>
          </cell>
        </row>
        <row r="128">
          <cell r="D128" t="str">
            <v>Class 1 &amp; 2 PV service</v>
          </cell>
        </row>
        <row r="133">
          <cell r="D133" t="str">
            <v>Design related services</v>
          </cell>
        </row>
        <row r="134">
          <cell r="D134" t="str">
            <v>Connection applications</v>
          </cell>
        </row>
        <row r="135">
          <cell r="D135" t="str">
            <v>Access permits, oversights and facilitation</v>
          </cell>
        </row>
        <row r="136">
          <cell r="D136" t="str">
            <v>Notices of arrangement and completion notices</v>
          </cell>
        </row>
        <row r="137">
          <cell r="D137" t="str">
            <v>Network related property services</v>
          </cell>
        </row>
        <row r="138">
          <cell r="D138" t="str">
            <v>Site establishment services</v>
          </cell>
        </row>
        <row r="139">
          <cell r="D139" t="str">
            <v>Network safety services</v>
          </cell>
        </row>
        <row r="140">
          <cell r="D140" t="str">
            <v>Network tariff change request</v>
          </cell>
        </row>
        <row r="141">
          <cell r="D141" t="str">
            <v>Planned interruption - customer request</v>
          </cell>
        </row>
        <row r="142">
          <cell r="D142" t="str">
            <v>Performance of a statutory right (access prevented)</v>
          </cell>
        </row>
        <row r="143">
          <cell r="D143" t="str">
            <v>Provision of network related training to third parties</v>
          </cell>
        </row>
        <row r="144">
          <cell r="D144" t="str">
            <v>Non-standard reporting services</v>
          </cell>
        </row>
        <row r="145">
          <cell r="D145" t="str">
            <v xml:space="preserve">Services provided for retailer of last resort event </v>
          </cell>
        </row>
        <row r="146">
          <cell r="D146" t="str">
            <v>Rectification of illegal connections service</v>
          </cell>
        </row>
        <row r="147">
          <cell r="D147" t="str">
            <v>Network changes at customer or retailer's request</v>
          </cell>
        </row>
        <row r="148">
          <cell r="D148" t="str">
            <v>Annual prepayment meter licensing fee *</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puts into pricing model"/>
      <sheetName val="Input Vol for 20-21 proposal"/>
      <sheetName val="Under-recovery 19-20"/>
      <sheetName val="2. Calculations and checks"/>
      <sheetName val="Volume Calculations"/>
      <sheetName val="Under-recovery calc"/>
      <sheetName val="Input P19-20 Volumes"/>
      <sheetName val="Input P19-20 Price"/>
      <sheetName val="Input P19-20 Calc Rev"/>
      <sheetName val="Sanity test - energy sent out"/>
      <sheetName val="3. Volumes by tariffs"/>
      <sheetName val="Tariff 3 - LV Smart &lt;750MWh"/>
      <sheetName val="Tariff 4 - Unmetered Loads"/>
      <sheetName val="Tariff 5 - LV Smart &gt;750MWh"/>
      <sheetName val="Tariff 6 - HV Smart &lt;750MWh"/>
      <sheetName val="Tariff 7 - HV Smart &gt;750MWh"/>
      <sheetName val="4 Raw data and workings"/>
      <sheetName val="AF Workings"/>
      <sheetName val="AllT3ons"/>
      <sheetName val="RDActuals - T3"/>
      <sheetName val="RDForecast - T3"/>
      <sheetName val="T4 NBN Raw Data"/>
      <sheetName val="T4 TL Raw Data"/>
      <sheetName val="T4 SL Raw data amend"/>
      <sheetName val="T5 Raw Data"/>
      <sheetName val="T6 Raw Data"/>
      <sheetName val="T7 Raw Data"/>
    </sheetNames>
    <sheetDataSet>
      <sheetData sheetId="0"/>
      <sheetData sheetId="1">
        <row r="21">
          <cell r="O21">
            <v>23296264.780204296</v>
          </cell>
          <cell r="P21">
            <v>22240722</v>
          </cell>
          <cell r="Q21">
            <v>21234954</v>
          </cell>
          <cell r="R21">
            <v>20131098</v>
          </cell>
          <cell r="S21">
            <v>19126714.783561643</v>
          </cell>
        </row>
        <row r="22">
          <cell r="O22">
            <v>2950215.5897957049</v>
          </cell>
          <cell r="P22">
            <v>2818932</v>
          </cell>
          <cell r="Q22">
            <v>2679486</v>
          </cell>
          <cell r="R22">
            <v>2545896</v>
          </cell>
          <cell r="S22">
            <v>2425521.1068493151</v>
          </cell>
        </row>
        <row r="23">
          <cell r="O23">
            <v>0</v>
          </cell>
          <cell r="P23">
            <v>0</v>
          </cell>
          <cell r="Q23">
            <v>0</v>
          </cell>
          <cell r="R23">
            <v>0</v>
          </cell>
          <cell r="S23">
            <v>0</v>
          </cell>
        </row>
        <row r="24">
          <cell r="O24">
            <v>5412153.6299999999</v>
          </cell>
          <cell r="P24">
            <v>6881532</v>
          </cell>
          <cell r="Q24">
            <v>8417634</v>
          </cell>
          <cell r="R24">
            <v>9902862</v>
          </cell>
          <cell r="S24">
            <v>11367542.860273972</v>
          </cell>
        </row>
        <row r="25">
          <cell r="O25">
            <v>10614</v>
          </cell>
          <cell r="P25">
            <v>10578.904109589041</v>
          </cell>
          <cell r="Q25">
            <v>10578.904109589041</v>
          </cell>
          <cell r="R25">
            <v>10578.904109589041</v>
          </cell>
          <cell r="S25">
            <v>10614</v>
          </cell>
        </row>
        <row r="26">
          <cell r="O26">
            <v>61854</v>
          </cell>
          <cell r="P26">
            <v>62795.572602739725</v>
          </cell>
          <cell r="Q26">
            <v>64625.572602739725</v>
          </cell>
          <cell r="R26">
            <v>65357.572602739725</v>
          </cell>
          <cell r="S26">
            <v>66625.035616438356</v>
          </cell>
        </row>
        <row r="27">
          <cell r="O27">
            <v>13542</v>
          </cell>
          <cell r="P27">
            <v>13867.890410958906</v>
          </cell>
          <cell r="Q27">
            <v>14233.890410958906</v>
          </cell>
          <cell r="R27">
            <v>14599.890410958906</v>
          </cell>
          <cell r="S27">
            <v>15010.010958904111</v>
          </cell>
        </row>
        <row r="34">
          <cell r="O34">
            <v>492552907.46713793</v>
          </cell>
          <cell r="P34">
            <v>454471193.78437859</v>
          </cell>
          <cell r="Q34">
            <v>422605271.96639299</v>
          </cell>
          <cell r="R34">
            <v>390908205.06185406</v>
          </cell>
          <cell r="S34">
            <v>361601612.01272613</v>
          </cell>
        </row>
        <row r="35">
          <cell r="O35">
            <v>65373739.799752839</v>
          </cell>
          <cell r="P35">
            <v>60319371.012798727</v>
          </cell>
          <cell r="Q35">
            <v>56089988.849325769</v>
          </cell>
          <cell r="R35">
            <v>51883017.836022109</v>
          </cell>
          <cell r="S35">
            <v>47993320.791570581</v>
          </cell>
        </row>
        <row r="36">
          <cell r="O36">
            <v>20840620.350000001</v>
          </cell>
          <cell r="P36">
            <v>20841074.378337059</v>
          </cell>
          <cell r="Q36">
            <v>20851058.459466796</v>
          </cell>
          <cell r="R36">
            <v>20869034.680003494</v>
          </cell>
          <cell r="S36">
            <v>20911835.273932721</v>
          </cell>
        </row>
        <row r="37">
          <cell r="O37">
            <v>501412338.55348194</v>
          </cell>
          <cell r="P37">
            <v>523218952.19620085</v>
          </cell>
          <cell r="Q37">
            <v>549281502.13265562</v>
          </cell>
          <cell r="R37">
            <v>575636975.14487016</v>
          </cell>
          <cell r="S37">
            <v>600578413.11949575</v>
          </cell>
        </row>
        <row r="38">
          <cell r="O38">
            <v>8432456.1999999993</v>
          </cell>
          <cell r="P38">
            <v>8263720.0652003055</v>
          </cell>
          <cell r="Q38">
            <v>8184871.1668565823</v>
          </cell>
          <cell r="R38">
            <v>8109878.5635576947</v>
          </cell>
          <cell r="S38">
            <v>8045117.4394581709</v>
          </cell>
        </row>
        <row r="39">
          <cell r="O39">
            <v>235338545.95413524</v>
          </cell>
          <cell r="P39">
            <v>230629346.68030077</v>
          </cell>
          <cell r="Q39">
            <v>228428779.65140858</v>
          </cell>
          <cell r="R39">
            <v>226335836.64653701</v>
          </cell>
          <cell r="S39">
            <v>224528440.50732705</v>
          </cell>
        </row>
        <row r="40">
          <cell r="O40">
            <v>315392312</v>
          </cell>
          <cell r="P40">
            <v>309081211.36571276</v>
          </cell>
          <cell r="Q40">
            <v>306132090.04714853</v>
          </cell>
          <cell r="R40">
            <v>303327202.60079151</v>
          </cell>
          <cell r="S40">
            <v>300904994.86285299</v>
          </cell>
        </row>
        <row r="47">
          <cell r="O47">
            <v>1192396.0202147996</v>
          </cell>
          <cell r="P47">
            <v>1237571.1324846344</v>
          </cell>
          <cell r="Q47">
            <v>1289955.4029275004</v>
          </cell>
          <cell r="R47">
            <v>1344114.4975494184</v>
          </cell>
          <cell r="S47">
            <v>1395943.5795902263</v>
          </cell>
        </row>
        <row r="48">
          <cell r="O48">
            <v>40208.76</v>
          </cell>
          <cell r="P48">
            <v>39599.684723427039</v>
          </cell>
          <cell r="Q48">
            <v>39318.162013930589</v>
          </cell>
          <cell r="R48">
            <v>39053.587972112575</v>
          </cell>
          <cell r="S48">
            <v>38836.868605031101</v>
          </cell>
        </row>
        <row r="49">
          <cell r="O49">
            <v>644860.56830605969</v>
          </cell>
          <cell r="P49">
            <v>638076.56328352704</v>
          </cell>
          <cell r="Q49">
            <v>629193.09047971189</v>
          </cell>
          <cell r="R49">
            <v>622908.50289972709</v>
          </cell>
          <cell r="S49">
            <v>619323.66875845997</v>
          </cell>
        </row>
        <row r="50">
          <cell r="O50">
            <v>640811.01160714182</v>
          </cell>
          <cell r="P50">
            <v>634069.60837224312</v>
          </cell>
          <cell r="Q50">
            <v>625241.92146784638</v>
          </cell>
          <cell r="R50">
            <v>618996.79946380982</v>
          </cell>
          <cell r="S50">
            <v>615434.4771488579</v>
          </cell>
        </row>
        <row r="51">
          <cell r="O51">
            <v>750450.4800000001</v>
          </cell>
          <cell r="P51">
            <v>742555.65734266897</v>
          </cell>
          <cell r="Q51">
            <v>732217.59860975237</v>
          </cell>
          <cell r="R51">
            <v>724903.96834950789</v>
          </cell>
          <cell r="S51">
            <v>720732.15100750304</v>
          </cell>
        </row>
        <row r="52">
          <cell r="O52">
            <v>738429.57030295534</v>
          </cell>
          <cell r="P52">
            <v>730661.20895488746</v>
          </cell>
          <cell r="Q52">
            <v>720488.74791799881</v>
          </cell>
          <cell r="R52">
            <v>713292.26927702699</v>
          </cell>
          <cell r="S52">
            <v>709187.27718315949</v>
          </cell>
        </row>
      </sheetData>
      <sheetData sheetId="2"/>
      <sheetData sheetId="3"/>
      <sheetData sheetId="4"/>
      <sheetData sheetId="5"/>
      <sheetData sheetId="6"/>
      <sheetData sheetId="7"/>
      <sheetData sheetId="8"/>
      <sheetData sheetId="9"/>
      <sheetData sheetId="10"/>
      <sheetData sheetId="11"/>
      <sheetData sheetId="12"/>
      <sheetData sheetId="13">
        <row r="2">
          <cell r="X2">
            <v>6727.38</v>
          </cell>
        </row>
      </sheetData>
      <sheetData sheetId="14"/>
      <sheetData sheetId="15">
        <row r="2">
          <cell r="U2">
            <v>58764.12</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row r="19">
          <cell r="G19">
            <v>2.3943609272164726E-2</v>
          </cell>
          <cell r="H19">
            <v>2.3289091085008852E-2</v>
          </cell>
          <cell r="I19">
            <v>2.3943609272164726E-2</v>
          </cell>
          <cell r="J19">
            <v>2.3943609272164726E-2</v>
          </cell>
          <cell r="K19">
            <v>2.3943609272164726E-2</v>
          </cell>
        </row>
      </sheetData>
      <sheetData sheetId="8"/>
      <sheetData sheetId="9"/>
      <sheetData sheetId="10"/>
      <sheetData sheetId="11">
        <row r="63">
          <cell r="G63">
            <v>0.23049416540600617</v>
          </cell>
          <cell r="H63">
            <v>-8.7803842624104653E-3</v>
          </cell>
          <cell r="I63">
            <v>-0.01</v>
          </cell>
          <cell r="J63">
            <v>-0.01</v>
          </cell>
          <cell r="K63">
            <v>-0.01</v>
          </cell>
        </row>
      </sheetData>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Inputs_Volumes"/>
      <sheetName val="Inputs_Other"/>
      <sheetName val="Calc_Revenue"/>
      <sheetName val="Calc_A_SA_Cost"/>
      <sheetName val="Calc_LRMC_Tariff"/>
      <sheetName val="Calc_Residual_Tariff"/>
      <sheetName val="Calc_Allocated_Tariff"/>
      <sheetName val="Output_Revenue"/>
      <sheetName val="Output_AER_Compliance"/>
      <sheetName val="Output_Charts"/>
      <sheetName val="Output_Tariffs"/>
      <sheetName val="Output_Pricing_Proposal"/>
      <sheetName val="Lookup"/>
      <sheetName val="Checks"/>
    </sheetNames>
    <sheetDataSet>
      <sheetData sheetId="0" refreshError="1"/>
      <sheetData sheetId="1" refreshError="1"/>
      <sheetData sheetId="2" refreshError="1"/>
      <sheetData sheetId="3" refreshError="1"/>
      <sheetData sheetId="4">
        <row r="21">
          <cell r="O21">
            <v>23279796</v>
          </cell>
          <cell r="P21">
            <v>22179955</v>
          </cell>
        </row>
        <row r="22">
          <cell r="O22">
            <v>2948130</v>
          </cell>
          <cell r="P22">
            <v>2811230</v>
          </cell>
        </row>
        <row r="24">
          <cell r="O24">
            <v>5430708</v>
          </cell>
          <cell r="P24">
            <v>6862730</v>
          </cell>
        </row>
        <row r="25">
          <cell r="O25">
            <v>12810</v>
          </cell>
          <cell r="P25">
            <v>12775</v>
          </cell>
        </row>
        <row r="26">
          <cell r="O26">
            <v>57096</v>
          </cell>
          <cell r="P26">
            <v>58035</v>
          </cell>
        </row>
        <row r="27">
          <cell r="O27">
            <v>14640</v>
          </cell>
          <cell r="P27">
            <v>14965</v>
          </cell>
        </row>
        <row r="34">
          <cell r="O34">
            <v>502265932.4134658</v>
          </cell>
          <cell r="P34">
            <v>472906359.63153237</v>
          </cell>
        </row>
        <row r="35">
          <cell r="O35">
            <v>66662894.235516898</v>
          </cell>
          <cell r="P35">
            <v>62766165.493120678</v>
          </cell>
        </row>
        <row r="36">
          <cell r="O36">
            <v>16942999.718176853</v>
          </cell>
          <cell r="P36">
            <v>16943368.833964083</v>
          </cell>
        </row>
        <row r="37">
          <cell r="O37">
            <v>513415896.4291203</v>
          </cell>
          <cell r="P37">
            <v>546695777.63421249</v>
          </cell>
        </row>
        <row r="38">
          <cell r="O38">
            <v>6923782.6810550885</v>
          </cell>
          <cell r="P38">
            <v>6923933.5207846183</v>
          </cell>
        </row>
        <row r="39">
          <cell r="O39">
            <v>246044162.09647661</v>
          </cell>
          <cell r="P39">
            <v>246049522.35062855</v>
          </cell>
        </row>
        <row r="40">
          <cell r="O40">
            <v>317625303.83576286</v>
          </cell>
          <cell r="P40">
            <v>317632223.53805995</v>
          </cell>
        </row>
        <row r="47">
          <cell r="O47">
            <v>1203736.7768725893</v>
          </cell>
          <cell r="P47">
            <v>1268585.0679793041</v>
          </cell>
        </row>
        <row r="48">
          <cell r="O48">
            <v>33880.377145905884</v>
          </cell>
          <cell r="P48">
            <v>33881.115254994591</v>
          </cell>
        </row>
        <row r="49">
          <cell r="O49">
            <v>667852.51311808196</v>
          </cell>
          <cell r="P49">
            <v>671005.29797705065</v>
          </cell>
        </row>
        <row r="51">
          <cell r="O51">
            <v>762923.7704016848</v>
          </cell>
          <cell r="P51">
            <v>766525.36576087517</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ge customer bill impact"/>
      <sheetName val="Typical customer impact"/>
      <sheetName val="Inputs_Prices (SCS FY21) "/>
      <sheetName val="Calculations_Price_Caps (meter)"/>
    </sheetNames>
    <sheetDataSet>
      <sheetData sheetId="0">
        <row r="3">
          <cell r="AO3">
            <v>-4.5115356068583162E-2</v>
          </cell>
          <cell r="AP3">
            <v>146</v>
          </cell>
        </row>
        <row r="4">
          <cell r="AO4">
            <v>-4.8557408150306354E-2</v>
          </cell>
          <cell r="AP4">
            <v>156</v>
          </cell>
        </row>
        <row r="5">
          <cell r="AO5">
            <v>-2.9965620830742275E-3</v>
          </cell>
          <cell r="AP5">
            <v>43</v>
          </cell>
        </row>
        <row r="6">
          <cell r="AO6">
            <v>5.8922507874954524E-3</v>
          </cell>
          <cell r="AP6">
            <v>32</v>
          </cell>
        </row>
        <row r="7">
          <cell r="AO7">
            <v>-6.1749065252895467E-2</v>
          </cell>
          <cell r="AP7">
            <v>193</v>
          </cell>
        </row>
        <row r="8">
          <cell r="AO8">
            <v>-5.4873208295652245E-2</v>
          </cell>
          <cell r="AP8">
            <v>175</v>
          </cell>
        </row>
        <row r="9">
          <cell r="AO9">
            <v>-5.7148389710692048E-2</v>
          </cell>
          <cell r="AP9">
            <v>180</v>
          </cell>
        </row>
        <row r="10">
          <cell r="AO10">
            <v>-2.2201278735429406E-2</v>
          </cell>
          <cell r="AP10">
            <v>76</v>
          </cell>
        </row>
        <row r="11">
          <cell r="AO11">
            <v>1.8102644274175007E-2</v>
          </cell>
          <cell r="AP11">
            <v>14</v>
          </cell>
        </row>
        <row r="12">
          <cell r="AO12">
            <v>2.9803937799658437E-3</v>
          </cell>
          <cell r="AP12">
            <v>36</v>
          </cell>
        </row>
        <row r="13">
          <cell r="AO13">
            <v>-2.1149009606647225E-2</v>
          </cell>
          <cell r="AP13">
            <v>73</v>
          </cell>
        </row>
        <row r="14">
          <cell r="AO14">
            <v>-5.9915270513404402E-2</v>
          </cell>
          <cell r="AP14">
            <v>187</v>
          </cell>
        </row>
        <row r="15">
          <cell r="AO15">
            <v>-8.4103928106390502E-2</v>
          </cell>
          <cell r="AP15">
            <v>204</v>
          </cell>
        </row>
        <row r="16">
          <cell r="AO16">
            <v>-6.018191276568767E-2</v>
          </cell>
          <cell r="AP16">
            <v>189</v>
          </cell>
        </row>
        <row r="17">
          <cell r="AO17">
            <v>-1.7066154514237816E-2</v>
          </cell>
          <cell r="AP17">
            <v>66</v>
          </cell>
        </row>
        <row r="18">
          <cell r="AO18">
            <v>-1.4816407691854194E-2</v>
          </cell>
          <cell r="AP18">
            <v>60</v>
          </cell>
        </row>
        <row r="19">
          <cell r="AO19">
            <v>-4.4266624583002304E-2</v>
          </cell>
          <cell r="AP19">
            <v>144</v>
          </cell>
        </row>
        <row r="20">
          <cell r="AO20">
            <v>-6.6787372627263378E-2</v>
          </cell>
          <cell r="AP20">
            <v>201</v>
          </cell>
        </row>
        <row r="21">
          <cell r="AO21">
            <v>-1.3083901256357352E-2</v>
          </cell>
          <cell r="AP21">
            <v>58</v>
          </cell>
        </row>
        <row r="22">
          <cell r="AO22">
            <v>-3.282008335366797E-2</v>
          </cell>
          <cell r="AP22">
            <v>105</v>
          </cell>
        </row>
        <row r="23">
          <cell r="AO23">
            <v>2.1760219736331198E-2</v>
          </cell>
          <cell r="AP23">
            <v>8</v>
          </cell>
        </row>
        <row r="24">
          <cell r="AO24">
            <v>-3.6672295383751524E-2</v>
          </cell>
          <cell r="AP24">
            <v>119</v>
          </cell>
        </row>
        <row r="25">
          <cell r="AO25">
            <v>-4.0431353146215508E-2</v>
          </cell>
          <cell r="AP25">
            <v>132</v>
          </cell>
        </row>
        <row r="26">
          <cell r="AO26">
            <v>-3.8618425368572469E-2</v>
          </cell>
          <cell r="AP26">
            <v>126</v>
          </cell>
        </row>
        <row r="27">
          <cell r="AO27">
            <v>-5.743529656843898E-2</v>
          </cell>
          <cell r="AP27">
            <v>181</v>
          </cell>
        </row>
        <row r="28">
          <cell r="AO28">
            <v>-1.2608323591488059E-2</v>
          </cell>
          <cell r="AP28">
            <v>57</v>
          </cell>
        </row>
        <row r="29">
          <cell r="AO29">
            <v>-4.7204511421541995E-3</v>
          </cell>
          <cell r="AP29">
            <v>47</v>
          </cell>
        </row>
        <row r="30">
          <cell r="AO30">
            <v>-5.966741775338464E-2</v>
          </cell>
          <cell r="AP30">
            <v>186</v>
          </cell>
        </row>
        <row r="31">
          <cell r="AO31">
            <v>-3.412873827726691E-2</v>
          </cell>
          <cell r="AP31">
            <v>110</v>
          </cell>
        </row>
        <row r="32">
          <cell r="AO32">
            <v>-9.2341863625491852E-3</v>
          </cell>
          <cell r="AP32">
            <v>51</v>
          </cell>
        </row>
        <row r="33">
          <cell r="AO33">
            <v>-6.3148726536878905E-2</v>
          </cell>
          <cell r="AP33">
            <v>195</v>
          </cell>
        </row>
        <row r="34">
          <cell r="AO34">
            <v>-5.9079040080430308E-2</v>
          </cell>
          <cell r="AP34">
            <v>185</v>
          </cell>
        </row>
        <row r="35">
          <cell r="AO35">
            <v>-5.9030579016351808E-2</v>
          </cell>
          <cell r="AP35">
            <v>184</v>
          </cell>
        </row>
        <row r="36">
          <cell r="AO36">
            <v>-4.0835090998257363E-2</v>
          </cell>
          <cell r="AP36">
            <v>133</v>
          </cell>
        </row>
        <row r="37">
          <cell r="AO37">
            <v>-2.9842759093057739E-2</v>
          </cell>
          <cell r="AP37">
            <v>95</v>
          </cell>
        </row>
        <row r="38">
          <cell r="AO38">
            <v>3.6496245839278945E-3</v>
          </cell>
          <cell r="AP38">
            <v>35</v>
          </cell>
        </row>
        <row r="39">
          <cell r="AO39">
            <v>-3.7382557183246554E-2</v>
          </cell>
          <cell r="AP39">
            <v>122</v>
          </cell>
        </row>
        <row r="40">
          <cell r="AO40">
            <v>-1.7576742191780608E-2</v>
          </cell>
          <cell r="AP40">
            <v>68</v>
          </cell>
        </row>
        <row r="41">
          <cell r="AO41">
            <v>-4.6681283303473896E-2</v>
          </cell>
          <cell r="AP41">
            <v>151</v>
          </cell>
        </row>
        <row r="42">
          <cell r="AO42">
            <v>-6.1413274402654289E-2</v>
          </cell>
          <cell r="AP42">
            <v>192</v>
          </cell>
        </row>
        <row r="43">
          <cell r="AO43">
            <v>-5.0093291520587238E-2</v>
          </cell>
          <cell r="AP43">
            <v>161</v>
          </cell>
        </row>
        <row r="44">
          <cell r="AO44">
            <v>-4.2371369129495649E-2</v>
          </cell>
          <cell r="AP44">
            <v>136</v>
          </cell>
        </row>
        <row r="45">
          <cell r="AO45">
            <v>-6.3942789099361089E-2</v>
          </cell>
          <cell r="AP45">
            <v>197</v>
          </cell>
        </row>
        <row r="46">
          <cell r="AO46">
            <v>-5.5496868237340652E-2</v>
          </cell>
          <cell r="AP46">
            <v>176</v>
          </cell>
        </row>
        <row r="47">
          <cell r="AO47">
            <v>-6.8612865647645571E-2</v>
          </cell>
          <cell r="AP47">
            <v>203</v>
          </cell>
        </row>
        <row r="48">
          <cell r="AO48">
            <v>-6.3398321263253912E-2</v>
          </cell>
          <cell r="AP48">
            <v>196</v>
          </cell>
        </row>
        <row r="49">
          <cell r="AO49">
            <v>-6.4526248595614705E-2</v>
          </cell>
          <cell r="AP49">
            <v>199</v>
          </cell>
        </row>
        <row r="50">
          <cell r="AO50">
            <v>-3.2747357582049455E-2</v>
          </cell>
          <cell r="AP50">
            <v>104</v>
          </cell>
        </row>
        <row r="51">
          <cell r="AO51">
            <v>-3.5168464318825921E-2</v>
          </cell>
          <cell r="AP51">
            <v>112</v>
          </cell>
        </row>
        <row r="52">
          <cell r="AO52">
            <v>-6.0523448514578713E-2</v>
          </cell>
          <cell r="AP52">
            <v>191</v>
          </cell>
        </row>
        <row r="53">
          <cell r="AO53">
            <v>-5.0531882778357962E-2</v>
          </cell>
          <cell r="AP53">
            <v>164</v>
          </cell>
        </row>
        <row r="54">
          <cell r="AO54">
            <v>-5.3800276951039554E-2</v>
          </cell>
          <cell r="AP54">
            <v>170</v>
          </cell>
        </row>
        <row r="55">
          <cell r="AO55">
            <v>-4.9774520495699859E-2</v>
          </cell>
          <cell r="AP55">
            <v>160</v>
          </cell>
        </row>
        <row r="56">
          <cell r="AO56">
            <v>-2.2320163088038573E-2</v>
          </cell>
          <cell r="AP56">
            <v>78</v>
          </cell>
        </row>
        <row r="57">
          <cell r="AO57">
            <v>-1.6466868371894764E-2</v>
          </cell>
          <cell r="AP57">
            <v>65</v>
          </cell>
        </row>
        <row r="58">
          <cell r="AO58">
            <v>-6.743378351976069E-2</v>
          </cell>
          <cell r="AP58">
            <v>202</v>
          </cell>
        </row>
        <row r="59">
          <cell r="AO59">
            <v>-5.0296486205491861E-2</v>
          </cell>
          <cell r="AP59">
            <v>163</v>
          </cell>
        </row>
        <row r="60">
          <cell r="AO60">
            <v>-5.8460199771089863E-2</v>
          </cell>
          <cell r="AP60">
            <v>183</v>
          </cell>
        </row>
        <row r="61">
          <cell r="AO61">
            <v>-2.6924627348457096E-2</v>
          </cell>
          <cell r="AP61">
            <v>90</v>
          </cell>
        </row>
        <row r="62">
          <cell r="AO62">
            <v>-3.574586606196814E-2</v>
          </cell>
          <cell r="AP62">
            <v>115</v>
          </cell>
        </row>
        <row r="63">
          <cell r="AO63">
            <v>-5.6053879417441548E-2</v>
          </cell>
          <cell r="AP63">
            <v>178</v>
          </cell>
        </row>
        <row r="64">
          <cell r="AO64">
            <v>6.3027419699819296E-3</v>
          </cell>
          <cell r="AP64">
            <v>31</v>
          </cell>
        </row>
        <row r="65">
          <cell r="AO65">
            <v>-5.1111531917652199E-2</v>
          </cell>
          <cell r="AP65">
            <v>166</v>
          </cell>
        </row>
        <row r="66">
          <cell r="AO66">
            <v>-6.4273745710686864E-2</v>
          </cell>
          <cell r="AP66">
            <v>198</v>
          </cell>
        </row>
        <row r="67">
          <cell r="AO67">
            <v>-5.367713314329535E-2</v>
          </cell>
          <cell r="AP67">
            <v>169</v>
          </cell>
        </row>
        <row r="68">
          <cell r="AO68">
            <v>-5.1601228745758197E-2</v>
          </cell>
          <cell r="AP68">
            <v>168</v>
          </cell>
        </row>
        <row r="69">
          <cell r="AO69">
            <v>-6.4921689987504402E-2</v>
          </cell>
          <cell r="AP69">
            <v>200</v>
          </cell>
        </row>
        <row r="70">
          <cell r="AO70">
            <v>-4.5865860199844316E-2</v>
          </cell>
          <cell r="AP70">
            <v>149</v>
          </cell>
        </row>
        <row r="71">
          <cell r="AO71">
            <v>-4.3657398191820733E-2</v>
          </cell>
          <cell r="AP71">
            <v>141</v>
          </cell>
        </row>
        <row r="72">
          <cell r="AO72">
            <v>-5.9962633659262014E-2</v>
          </cell>
          <cell r="AP72">
            <v>188</v>
          </cell>
        </row>
        <row r="73">
          <cell r="AO73">
            <v>-2.5282338260339324E-2</v>
          </cell>
          <cell r="AP73">
            <v>85</v>
          </cell>
        </row>
        <row r="74">
          <cell r="AO74">
            <v>-3.4461030433219748E-2</v>
          </cell>
          <cell r="AP74">
            <v>111</v>
          </cell>
        </row>
        <row r="75">
          <cell r="AO75">
            <v>-5.4386350263418877E-2</v>
          </cell>
          <cell r="AP75">
            <v>172</v>
          </cell>
        </row>
        <row r="76">
          <cell r="AO76">
            <v>-6.2219926244148731E-2</v>
          </cell>
          <cell r="AP76">
            <v>194</v>
          </cell>
        </row>
        <row r="77">
          <cell r="AO77">
            <v>-5.7736193519921854E-2</v>
          </cell>
          <cell r="AP77">
            <v>182</v>
          </cell>
        </row>
        <row r="78">
          <cell r="AO78">
            <v>-1.1825292673889277E-2</v>
          </cell>
          <cell r="AP78">
            <v>56</v>
          </cell>
        </row>
        <row r="79">
          <cell r="AO79">
            <v>-4.4123783634869081E-2</v>
          </cell>
          <cell r="AP79">
            <v>143</v>
          </cell>
        </row>
        <row r="80">
          <cell r="AO80">
            <v>-4.4587753331442971E-2</v>
          </cell>
          <cell r="AP80">
            <v>145</v>
          </cell>
        </row>
        <row r="81">
          <cell r="AO81">
            <v>-3.7707608966504498E-2</v>
          </cell>
          <cell r="AP81">
            <v>124</v>
          </cell>
        </row>
        <row r="82">
          <cell r="AO82">
            <v>-4.3219057379332827E-2</v>
          </cell>
          <cell r="AP82">
            <v>138</v>
          </cell>
        </row>
        <row r="83">
          <cell r="AO83">
            <v>-5.0640921754618061E-2</v>
          </cell>
          <cell r="AP83">
            <v>165</v>
          </cell>
        </row>
        <row r="84">
          <cell r="AO84">
            <v>-1.6413202227806734E-2</v>
          </cell>
          <cell r="AP84">
            <v>64</v>
          </cell>
        </row>
        <row r="85">
          <cell r="AO85">
            <v>-2.2211972477967825E-3</v>
          </cell>
          <cell r="AP85">
            <v>42</v>
          </cell>
        </row>
        <row r="86">
          <cell r="AO86">
            <v>-3.9138471386821118E-2</v>
          </cell>
          <cell r="AP86">
            <v>127</v>
          </cell>
        </row>
        <row r="87">
          <cell r="AO87">
            <v>-3.744347522878063E-2</v>
          </cell>
          <cell r="AP87">
            <v>123</v>
          </cell>
        </row>
        <row r="88">
          <cell r="AO88">
            <v>2.004245472140832E-2</v>
          </cell>
          <cell r="AP88">
            <v>12</v>
          </cell>
        </row>
        <row r="89">
          <cell r="AO89">
            <v>-4.7976784836541386E-2</v>
          </cell>
          <cell r="AP89">
            <v>153</v>
          </cell>
        </row>
        <row r="90">
          <cell r="AO90">
            <v>7.6259590315634835E-4</v>
          </cell>
          <cell r="AP90">
            <v>39</v>
          </cell>
        </row>
        <row r="91">
          <cell r="AO91">
            <v>-2.156971681981313E-2</v>
          </cell>
          <cell r="AP91">
            <v>74</v>
          </cell>
        </row>
        <row r="92">
          <cell r="AO92">
            <v>-3.2406351454801148E-2</v>
          </cell>
          <cell r="AP92">
            <v>102</v>
          </cell>
        </row>
        <row r="93">
          <cell r="AO93">
            <v>-3.6346494593456465E-2</v>
          </cell>
          <cell r="AP93">
            <v>118</v>
          </cell>
        </row>
        <row r="94">
          <cell r="AO94">
            <v>-4.2582001312816628E-2</v>
          </cell>
          <cell r="AP94">
            <v>137</v>
          </cell>
        </row>
        <row r="95">
          <cell r="AO95">
            <v>-5.1407265771588703E-2</v>
          </cell>
          <cell r="AP95">
            <v>167</v>
          </cell>
        </row>
        <row r="96">
          <cell r="AO96">
            <v>2.3982574368647249E-3</v>
          </cell>
          <cell r="AP96">
            <v>38</v>
          </cell>
        </row>
        <row r="97">
          <cell r="AO97">
            <v>-5.4847294951372444E-2</v>
          </cell>
          <cell r="AP97">
            <v>174</v>
          </cell>
        </row>
        <row r="98">
          <cell r="AO98">
            <v>-3.157578753169648E-3</v>
          </cell>
          <cell r="AP98">
            <v>44</v>
          </cell>
        </row>
        <row r="99">
          <cell r="AO99">
            <v>-3.2526760917941724E-2</v>
          </cell>
          <cell r="AP99">
            <v>103</v>
          </cell>
        </row>
        <row r="100">
          <cell r="AO100">
            <v>-1.5186628516429353E-2</v>
          </cell>
          <cell r="AP100">
            <v>62</v>
          </cell>
        </row>
        <row r="101">
          <cell r="AO101">
            <v>-5.4138241751818514E-2</v>
          </cell>
          <cell r="AP101">
            <v>171</v>
          </cell>
        </row>
        <row r="102">
          <cell r="AO102">
            <v>-3.3915814214238664E-2</v>
          </cell>
          <cell r="AP102">
            <v>109</v>
          </cell>
        </row>
        <row r="103">
          <cell r="AO103">
            <v>-6.0412633388942545E-2</v>
          </cell>
          <cell r="AP103">
            <v>190</v>
          </cell>
        </row>
        <row r="104">
          <cell r="AO104">
            <v>-3.0990090046694431E-2</v>
          </cell>
          <cell r="AP104">
            <v>97</v>
          </cell>
        </row>
        <row r="105">
          <cell r="AO105">
            <v>-3.3040208094332814E-2</v>
          </cell>
          <cell r="AP105">
            <v>107</v>
          </cell>
        </row>
        <row r="106">
          <cell r="AO106">
            <v>-3.2336671404848097E-2</v>
          </cell>
          <cell r="AP106">
            <v>101</v>
          </cell>
        </row>
        <row r="107">
          <cell r="AO107">
            <v>-3.7171116085579131E-2</v>
          </cell>
          <cell r="AP107">
            <v>121</v>
          </cell>
        </row>
        <row r="108">
          <cell r="AO108">
            <v>-4.378477345769665E-2</v>
          </cell>
          <cell r="AP108">
            <v>142</v>
          </cell>
        </row>
        <row r="109">
          <cell r="AO109">
            <v>4.2522737075953457E-2</v>
          </cell>
          <cell r="AP109">
            <v>1</v>
          </cell>
        </row>
        <row r="110">
          <cell r="AO110">
            <v>1.4160532904114582E-2</v>
          </cell>
          <cell r="AP110">
            <v>22</v>
          </cell>
        </row>
        <row r="111">
          <cell r="AO111">
            <v>-3.099618420236824E-2</v>
          </cell>
          <cell r="AP111">
            <v>98</v>
          </cell>
        </row>
        <row r="112">
          <cell r="AO112">
            <v>-3.7916136255353526E-2</v>
          </cell>
          <cell r="AP112">
            <v>125</v>
          </cell>
        </row>
        <row r="113">
          <cell r="AO113">
            <v>-2.8025263767931671E-2</v>
          </cell>
          <cell r="AP113">
            <v>92</v>
          </cell>
        </row>
        <row r="114">
          <cell r="AO114">
            <v>-1.7689844805530354E-2</v>
          </cell>
          <cell r="AP114">
            <v>69</v>
          </cell>
        </row>
        <row r="115">
          <cell r="AO115">
            <v>-4.1498529256810017E-2</v>
          </cell>
          <cell r="AP115">
            <v>134</v>
          </cell>
        </row>
        <row r="116">
          <cell r="AO116">
            <v>-2.2269238181425833E-2</v>
          </cell>
          <cell r="AP116">
            <v>77</v>
          </cell>
        </row>
        <row r="117">
          <cell r="AO117">
            <v>1.6629741013633102E-2</v>
          </cell>
          <cell r="AP117">
            <v>15</v>
          </cell>
        </row>
        <row r="118">
          <cell r="AO118">
            <v>-1.6083821139729362E-2</v>
          </cell>
          <cell r="AP118">
            <v>63</v>
          </cell>
        </row>
        <row r="119">
          <cell r="AO119">
            <v>-3.1007735457967638E-2</v>
          </cell>
          <cell r="AP119">
            <v>99</v>
          </cell>
        </row>
        <row r="120">
          <cell r="AO120">
            <v>-3.2151492025303693E-2</v>
          </cell>
          <cell r="AP120">
            <v>100</v>
          </cell>
        </row>
        <row r="121">
          <cell r="AO121">
            <v>-3.9508846902054404E-2</v>
          </cell>
          <cell r="AP121">
            <v>131</v>
          </cell>
        </row>
        <row r="122">
          <cell r="AO122">
            <v>2.1427028104873042E-2</v>
          </cell>
          <cell r="AP122">
            <v>10</v>
          </cell>
        </row>
        <row r="123">
          <cell r="AO123">
            <v>-3.6939507785406314E-3</v>
          </cell>
          <cell r="AP123">
            <v>45</v>
          </cell>
        </row>
        <row r="124">
          <cell r="AO124">
            <v>-3.2826221141028837E-2</v>
          </cell>
          <cell r="AP124">
            <v>106</v>
          </cell>
        </row>
        <row r="125">
          <cell r="AO125">
            <v>-1.3395916529763088E-2</v>
          </cell>
          <cell r="AP125">
            <v>59</v>
          </cell>
        </row>
        <row r="126">
          <cell r="AO126">
            <v>-2.2824324334846196E-2</v>
          </cell>
          <cell r="AP126">
            <v>80</v>
          </cell>
        </row>
        <row r="127">
          <cell r="AO127">
            <v>-3.5426344028293297E-2</v>
          </cell>
          <cell r="AP127">
            <v>113</v>
          </cell>
        </row>
        <row r="128">
          <cell r="AO128">
            <v>-1.7920949305786148E-2</v>
          </cell>
          <cell r="AP128">
            <v>70</v>
          </cell>
        </row>
        <row r="129">
          <cell r="AO129">
            <v>-3.944202382172058E-2</v>
          </cell>
          <cell r="AP129">
            <v>129</v>
          </cell>
        </row>
        <row r="130">
          <cell r="AO130">
            <v>-4.8449111606239686E-2</v>
          </cell>
          <cell r="AP130">
            <v>155</v>
          </cell>
        </row>
        <row r="131">
          <cell r="AO131">
            <v>-2.5033078403758732E-2</v>
          </cell>
          <cell r="AP131">
            <v>84</v>
          </cell>
        </row>
        <row r="132">
          <cell r="AO132">
            <v>-2.7460436395039124E-2</v>
          </cell>
          <cell r="AP132">
            <v>91</v>
          </cell>
        </row>
        <row r="133">
          <cell r="AO133">
            <v>-1.1415411501305043E-2</v>
          </cell>
          <cell r="AP133">
            <v>55</v>
          </cell>
        </row>
        <row r="134">
          <cell r="AO134">
            <v>-3.3300888990429288E-2</v>
          </cell>
          <cell r="AP134">
            <v>108</v>
          </cell>
        </row>
        <row r="135">
          <cell r="AO135">
            <v>-2.5844104109445723E-2</v>
          </cell>
          <cell r="AP135">
            <v>87</v>
          </cell>
        </row>
        <row r="136">
          <cell r="AO136">
            <v>-2.5352137117850729E-2</v>
          </cell>
          <cell r="AP136">
            <v>86</v>
          </cell>
        </row>
        <row r="137">
          <cell r="AO137">
            <v>-2.2738431312853188E-2</v>
          </cell>
          <cell r="AP137">
            <v>79</v>
          </cell>
        </row>
        <row r="138">
          <cell r="AO138">
            <v>-4.4853141180438313E-4</v>
          </cell>
          <cell r="AP138">
            <v>41</v>
          </cell>
        </row>
        <row r="139">
          <cell r="AO139">
            <v>1.2793501827191613E-2</v>
          </cell>
          <cell r="AP139">
            <v>26</v>
          </cell>
        </row>
        <row r="140">
          <cell r="AO140">
            <v>-2.3277059608679044E-2</v>
          </cell>
          <cell r="AP140">
            <v>81</v>
          </cell>
        </row>
        <row r="141">
          <cell r="AO141">
            <v>-2.6882343064038815E-2</v>
          </cell>
          <cell r="AP141">
            <v>89</v>
          </cell>
        </row>
        <row r="142">
          <cell r="AO142">
            <v>-7.1020336015810972E-3</v>
          </cell>
          <cell r="AP142">
            <v>49</v>
          </cell>
        </row>
        <row r="143">
          <cell r="AO143">
            <v>4.3845502886805663E-4</v>
          </cell>
          <cell r="AP143">
            <v>40</v>
          </cell>
        </row>
        <row r="144">
          <cell r="AO144">
            <v>-4.3423418833726538E-2</v>
          </cell>
          <cell r="AP144">
            <v>139</v>
          </cell>
        </row>
        <row r="145">
          <cell r="AO145">
            <v>-2.9240481506571023E-2</v>
          </cell>
          <cell r="AP145">
            <v>94</v>
          </cell>
        </row>
        <row r="146">
          <cell r="AO146">
            <v>-7.542628734911583E-3</v>
          </cell>
          <cell r="AP146">
            <v>50</v>
          </cell>
        </row>
        <row r="147">
          <cell r="AO147">
            <v>-1.0624121029196208E-2</v>
          </cell>
          <cell r="AP147">
            <v>53</v>
          </cell>
        </row>
        <row r="148">
          <cell r="AO148">
            <v>1.3071109111796724E-2</v>
          </cell>
          <cell r="AP148">
            <v>24</v>
          </cell>
        </row>
        <row r="149">
          <cell r="AO149">
            <v>-3.5697637981346154E-2</v>
          </cell>
          <cell r="AP149">
            <v>114</v>
          </cell>
        </row>
        <row r="150">
          <cell r="AO150">
            <v>-2.1742047671373704E-2</v>
          </cell>
          <cell r="AP150">
            <v>75</v>
          </cell>
        </row>
        <row r="151">
          <cell r="AO151">
            <v>-1.1286967428823387E-2</v>
          </cell>
          <cell r="AP151">
            <v>54</v>
          </cell>
        </row>
        <row r="152">
          <cell r="AO152">
            <v>-4.8165228285273309E-2</v>
          </cell>
          <cell r="AP152">
            <v>154</v>
          </cell>
        </row>
        <row r="153">
          <cell r="AO153">
            <v>-1.7252033997854396E-2</v>
          </cell>
          <cell r="AP153">
            <v>67</v>
          </cell>
        </row>
        <row r="154">
          <cell r="AO154">
            <v>-2.6856297651301327E-2</v>
          </cell>
          <cell r="AP154">
            <v>88</v>
          </cell>
        </row>
        <row r="155">
          <cell r="AO155">
            <v>-2.4253289367373726E-2</v>
          </cell>
          <cell r="AP155">
            <v>82</v>
          </cell>
        </row>
        <row r="156">
          <cell r="AO156">
            <v>-1.0159038043745881E-2</v>
          </cell>
          <cell r="AP156">
            <v>52</v>
          </cell>
        </row>
        <row r="157">
          <cell r="AO157">
            <v>1.6392080333021336E-2</v>
          </cell>
          <cell r="AP157">
            <v>16</v>
          </cell>
        </row>
        <row r="158">
          <cell r="AO158">
            <v>2.8625660379540648E-3</v>
          </cell>
          <cell r="AP158">
            <v>37</v>
          </cell>
        </row>
        <row r="159">
          <cell r="AO159">
            <v>5.2893000785213208E-3</v>
          </cell>
          <cell r="AP159">
            <v>33</v>
          </cell>
        </row>
        <row r="160">
          <cell r="AO160">
            <v>2.168500707855581E-2</v>
          </cell>
          <cell r="AP160">
            <v>9</v>
          </cell>
        </row>
        <row r="161">
          <cell r="AO161">
            <v>1.9374472239280249E-2</v>
          </cell>
          <cell r="AP161">
            <v>13</v>
          </cell>
        </row>
        <row r="162">
          <cell r="AO162">
            <v>1.4410567809879276E-2</v>
          </cell>
          <cell r="AP162">
            <v>20</v>
          </cell>
        </row>
        <row r="163">
          <cell r="AO163">
            <v>2.0076344730273327E-2</v>
          </cell>
          <cell r="AP163">
            <v>11</v>
          </cell>
        </row>
        <row r="164">
          <cell r="AO164">
            <v>1.2797231302100202E-2</v>
          </cell>
          <cell r="AP164">
            <v>25</v>
          </cell>
        </row>
        <row r="165">
          <cell r="AO165">
            <v>3.5136769842089764E-2</v>
          </cell>
          <cell r="AP165">
            <v>3</v>
          </cell>
        </row>
        <row r="166">
          <cell r="AO166">
            <v>1.3635488148319694E-2</v>
          </cell>
          <cell r="AP166">
            <v>23</v>
          </cell>
        </row>
        <row r="167">
          <cell r="AO167">
            <v>1.4706860686995704E-2</v>
          </cell>
          <cell r="AP167">
            <v>19</v>
          </cell>
        </row>
        <row r="168">
          <cell r="AO168">
            <v>1.6392080333021336E-2</v>
          </cell>
          <cell r="AP168">
            <v>16</v>
          </cell>
        </row>
        <row r="169">
          <cell r="AO169">
            <v>3.7022052747251108E-3</v>
          </cell>
          <cell r="AP169">
            <v>34</v>
          </cell>
        </row>
        <row r="170">
          <cell r="AO170">
            <v>1.2257706350552237E-2</v>
          </cell>
          <cell r="AP170">
            <v>28</v>
          </cell>
        </row>
        <row r="171">
          <cell r="AO171">
            <v>1.4399416073661884E-2</v>
          </cell>
          <cell r="AP171">
            <v>21</v>
          </cell>
        </row>
        <row r="172">
          <cell r="AO172">
            <v>-5.4496617822200853E-2</v>
          </cell>
          <cell r="AP172">
            <v>173</v>
          </cell>
        </row>
        <row r="173">
          <cell r="AO173">
            <v>-5.5618077815106012E-2</v>
          </cell>
          <cell r="AP173">
            <v>177</v>
          </cell>
        </row>
        <row r="174">
          <cell r="AO174">
            <v>-4.5734763097637972E-2</v>
          </cell>
          <cell r="AP174">
            <v>148</v>
          </cell>
        </row>
        <row r="175">
          <cell r="AO175">
            <v>-3.933113834001413E-2</v>
          </cell>
          <cell r="AP175">
            <v>128</v>
          </cell>
        </row>
        <row r="176">
          <cell r="AO176">
            <v>-2.0580710291844665E-2</v>
          </cell>
          <cell r="AP176">
            <v>72</v>
          </cell>
        </row>
        <row r="177">
          <cell r="AO177">
            <v>-5.6810192964602053E-2</v>
          </cell>
          <cell r="AP177">
            <v>179</v>
          </cell>
        </row>
        <row r="178">
          <cell r="AO178">
            <v>-5.0141577576623603E-2</v>
          </cell>
          <cell r="AP178">
            <v>162</v>
          </cell>
        </row>
        <row r="179">
          <cell r="AO179">
            <v>-4.9058690266962503E-2</v>
          </cell>
          <cell r="AP179">
            <v>158</v>
          </cell>
        </row>
        <row r="180">
          <cell r="AO180">
            <v>-4.1709173932910314E-2</v>
          </cell>
          <cell r="AP180">
            <v>135</v>
          </cell>
        </row>
        <row r="181">
          <cell r="AO181">
            <v>-2.891451098600788E-2</v>
          </cell>
          <cell r="AP181">
            <v>93</v>
          </cell>
        </row>
        <row r="182">
          <cell r="AO182">
            <v>-4.5331825188528074E-2</v>
          </cell>
          <cell r="AP182">
            <v>147</v>
          </cell>
        </row>
        <row r="183">
          <cell r="AO183">
            <v>-4.9241982992410477E-2</v>
          </cell>
          <cell r="AP183">
            <v>159</v>
          </cell>
        </row>
        <row r="184">
          <cell r="AO184">
            <v>-4.7035564441928197E-2</v>
          </cell>
          <cell r="AP184">
            <v>152</v>
          </cell>
        </row>
        <row r="185">
          <cell r="AO185">
            <v>-4.8609348626902457E-2</v>
          </cell>
          <cell r="AP185">
            <v>157</v>
          </cell>
        </row>
        <row r="186">
          <cell r="AO186">
            <v>-3.6107104096007848E-2</v>
          </cell>
          <cell r="AP186">
            <v>116</v>
          </cell>
        </row>
        <row r="187">
          <cell r="AO187">
            <v>-4.6647030257923681E-2</v>
          </cell>
          <cell r="AP187">
            <v>150</v>
          </cell>
        </row>
        <row r="188">
          <cell r="AO188">
            <v>-3.6163676123860754E-2</v>
          </cell>
          <cell r="AP188">
            <v>117</v>
          </cell>
        </row>
        <row r="189">
          <cell r="AO189">
            <v>-4.3649194760333909E-2</v>
          </cell>
          <cell r="AP189">
            <v>140</v>
          </cell>
        </row>
        <row r="190">
          <cell r="AO190">
            <v>-3.9477086562795367E-2</v>
          </cell>
          <cell r="AP190">
            <v>130</v>
          </cell>
        </row>
        <row r="191">
          <cell r="AO191">
            <v>-3.6835698398618062E-2</v>
          </cell>
          <cell r="AP191">
            <v>120</v>
          </cell>
        </row>
        <row r="192">
          <cell r="AO192">
            <v>-3.0050482143181529E-2</v>
          </cell>
          <cell r="AP192">
            <v>96</v>
          </cell>
        </row>
        <row r="193">
          <cell r="AO193">
            <v>1.1319947449516109E-2</v>
          </cell>
          <cell r="AP193">
            <v>29</v>
          </cell>
        </row>
        <row r="194">
          <cell r="AO194">
            <v>-2.4507133632190148E-2</v>
          </cell>
          <cell r="AP194">
            <v>83</v>
          </cell>
        </row>
        <row r="195">
          <cell r="AO195">
            <v>-1.8296968094417419E-2</v>
          </cell>
          <cell r="AP195">
            <v>71</v>
          </cell>
        </row>
        <row r="196">
          <cell r="AO196">
            <v>-1.5088451610963024E-2</v>
          </cell>
          <cell r="AP196">
            <v>61</v>
          </cell>
        </row>
        <row r="197">
          <cell r="AO197">
            <v>2.5751375133690448E-2</v>
          </cell>
          <cell r="AP197">
            <v>6</v>
          </cell>
        </row>
        <row r="198">
          <cell r="AO198">
            <v>-4.2564312058195634E-3</v>
          </cell>
          <cell r="AP198">
            <v>46</v>
          </cell>
        </row>
        <row r="199">
          <cell r="AO199">
            <v>7.2455268165382549E-3</v>
          </cell>
          <cell r="AP199">
            <v>30</v>
          </cell>
        </row>
        <row r="200">
          <cell r="AO200">
            <v>1.5161904351460731E-2</v>
          </cell>
          <cell r="AP200">
            <v>18</v>
          </cell>
        </row>
        <row r="201">
          <cell r="AO201">
            <v>1.2534655927397123E-2</v>
          </cell>
          <cell r="AP201">
            <v>27</v>
          </cell>
        </row>
        <row r="202">
          <cell r="AO202">
            <v>2.3656453098689714E-2</v>
          </cell>
          <cell r="AP202">
            <v>7</v>
          </cell>
        </row>
        <row r="203">
          <cell r="AO203">
            <v>-6.7715660790055162E-3</v>
          </cell>
          <cell r="AP203">
            <v>48</v>
          </cell>
        </row>
        <row r="204">
          <cell r="AO204">
            <v>3.5117465704799088E-2</v>
          </cell>
          <cell r="AP204">
            <v>4</v>
          </cell>
        </row>
        <row r="205">
          <cell r="AO205">
            <v>3.3031339119705579E-2</v>
          </cell>
          <cell r="AP205">
            <v>5</v>
          </cell>
        </row>
        <row r="206">
          <cell r="AO206">
            <v>3.8437772083131538E-2</v>
          </cell>
          <cell r="AP206">
            <v>2</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3"/>
  <sheetViews>
    <sheetView showGridLines="0" zoomScale="115" zoomScaleNormal="115" workbookViewId="0"/>
  </sheetViews>
  <sheetFormatPr defaultColWidth="9.33203125" defaultRowHeight="10" x14ac:dyDescent="0.2"/>
  <cols>
    <col min="1" max="1" width="9.33203125" style="9"/>
    <col min="2" max="3" width="5.77734375" style="9" customWidth="1"/>
    <col min="4" max="4" width="12.77734375" style="9" customWidth="1"/>
    <col min="5" max="5" width="9.33203125" style="9"/>
    <col min="6" max="13" width="10.77734375" style="9" customWidth="1"/>
    <col min="14" max="16384" width="9.33203125" style="9"/>
  </cols>
  <sheetData>
    <row r="1" spans="2:7" ht="11.25" customHeight="1" x14ac:dyDescent="0.2"/>
    <row r="2" spans="2:7" ht="11.25" customHeight="1" x14ac:dyDescent="0.2"/>
    <row r="3" spans="2:7" s="7" customFormat="1" ht="19" x14ac:dyDescent="0.2">
      <c r="B3" s="5" t="s">
        <v>200</v>
      </c>
    </row>
    <row r="4" spans="2:7" ht="11.25" customHeight="1" x14ac:dyDescent="0.2"/>
    <row r="5" spans="2:7" ht="11.25" customHeight="1" x14ac:dyDescent="0.2"/>
    <row r="6" spans="2:7" ht="11.25" customHeight="1" x14ac:dyDescent="0.2">
      <c r="C6" s="56"/>
      <c r="D6" s="56"/>
      <c r="E6" s="56"/>
      <c r="F6" s="56"/>
      <c r="G6" s="56"/>
    </row>
    <row r="7" spans="2:7" ht="11.25" customHeight="1" x14ac:dyDescent="0.2">
      <c r="C7" s="56"/>
      <c r="D7" s="56"/>
      <c r="E7" s="56"/>
      <c r="F7" s="56"/>
      <c r="G7" s="56"/>
    </row>
    <row r="8" spans="2:7" ht="11.25" customHeight="1" x14ac:dyDescent="0.2">
      <c r="C8" s="56"/>
      <c r="D8" s="56"/>
      <c r="E8" s="56"/>
      <c r="F8" s="56"/>
      <c r="G8" s="56"/>
    </row>
    <row r="9" spans="2:7" x14ac:dyDescent="0.2">
      <c r="C9" s="56"/>
      <c r="D9" s="56"/>
      <c r="E9" s="56"/>
      <c r="F9" s="56"/>
      <c r="G9" s="56"/>
    </row>
    <row r="11" spans="2:7" ht="13" x14ac:dyDescent="0.2">
      <c r="C11" s="47" t="s">
        <v>29</v>
      </c>
      <c r="F11" s="94" t="s">
        <v>199</v>
      </c>
    </row>
    <row r="13" spans="2:7" ht="13" x14ac:dyDescent="0.2">
      <c r="C13" s="14" t="s">
        <v>30</v>
      </c>
    </row>
    <row r="14" spans="2:7" ht="12.5" x14ac:dyDescent="0.2">
      <c r="C14" s="16" t="s">
        <v>457</v>
      </c>
    </row>
    <row r="16" spans="2:7" ht="13" x14ac:dyDescent="0.2">
      <c r="C16" s="14" t="s">
        <v>37</v>
      </c>
    </row>
    <row r="18" spans="3:13" x14ac:dyDescent="0.2">
      <c r="C18" s="31"/>
      <c r="D18" s="32"/>
      <c r="E18" s="32"/>
      <c r="F18" s="32"/>
      <c r="G18" s="32"/>
      <c r="H18" s="32"/>
      <c r="I18" s="32"/>
      <c r="J18" s="32"/>
      <c r="K18" s="32"/>
      <c r="L18" s="32"/>
      <c r="M18" s="33"/>
    </row>
    <row r="19" spans="3:13" ht="12.5" x14ac:dyDescent="0.2">
      <c r="C19" s="34"/>
      <c r="D19" s="45" t="s">
        <v>15</v>
      </c>
      <c r="E19" s="35"/>
      <c r="F19" s="37" t="s">
        <v>26</v>
      </c>
      <c r="G19" s="35"/>
      <c r="H19" s="35"/>
      <c r="I19" s="35"/>
      <c r="J19" s="35"/>
      <c r="K19" s="35"/>
      <c r="L19" s="35"/>
      <c r="M19" s="36"/>
    </row>
    <row r="20" spans="3:13" ht="12.5" x14ac:dyDescent="0.2">
      <c r="C20" s="34"/>
      <c r="D20" s="54" t="s">
        <v>44</v>
      </c>
      <c r="E20" s="35"/>
      <c r="F20" s="37" t="s">
        <v>39</v>
      </c>
      <c r="G20" s="35"/>
      <c r="H20" s="35"/>
      <c r="I20" s="35"/>
      <c r="J20" s="35"/>
      <c r="K20" s="35"/>
      <c r="L20" s="35"/>
      <c r="M20" s="36"/>
    </row>
    <row r="21" spans="3:13" ht="13" x14ac:dyDescent="0.2">
      <c r="C21" s="34"/>
      <c r="D21" s="38" t="s">
        <v>21</v>
      </c>
      <c r="E21" s="35"/>
      <c r="F21" s="37" t="s">
        <v>23</v>
      </c>
      <c r="G21" s="35"/>
      <c r="H21" s="35"/>
      <c r="I21" s="35"/>
      <c r="J21" s="35"/>
      <c r="K21" s="35"/>
      <c r="L21" s="35"/>
      <c r="M21" s="36"/>
    </row>
    <row r="22" spans="3:13" ht="13" x14ac:dyDescent="0.2">
      <c r="C22" s="34"/>
      <c r="D22" s="39" t="s">
        <v>22</v>
      </c>
      <c r="E22" s="35"/>
      <c r="F22" s="37" t="s">
        <v>24</v>
      </c>
      <c r="G22" s="35"/>
      <c r="H22" s="35"/>
      <c r="I22" s="35"/>
      <c r="J22" s="35"/>
      <c r="K22" s="35"/>
      <c r="L22" s="35"/>
      <c r="M22" s="36"/>
    </row>
    <row r="23" spans="3:13" ht="12.5" x14ac:dyDescent="0.2">
      <c r="C23" s="34"/>
      <c r="D23" s="40" t="s">
        <v>5</v>
      </c>
      <c r="E23" s="35"/>
      <c r="F23" s="37" t="s">
        <v>27</v>
      </c>
      <c r="G23" s="35"/>
      <c r="H23" s="35"/>
      <c r="I23" s="35"/>
      <c r="J23" s="35"/>
      <c r="K23" s="35"/>
      <c r="L23" s="35"/>
      <c r="M23" s="36"/>
    </row>
    <row r="24" spans="3:13" ht="12.5" x14ac:dyDescent="0.2">
      <c r="C24" s="34"/>
      <c r="D24" s="41" t="s">
        <v>25</v>
      </c>
      <c r="E24" s="35"/>
      <c r="F24" s="37" t="s">
        <v>28</v>
      </c>
      <c r="G24" s="35"/>
      <c r="H24" s="35"/>
      <c r="I24" s="35"/>
      <c r="J24" s="35"/>
      <c r="K24" s="35"/>
      <c r="L24" s="35"/>
      <c r="M24" s="36"/>
    </row>
    <row r="25" spans="3:13" ht="12.5" x14ac:dyDescent="0.2">
      <c r="C25" s="34"/>
      <c r="D25" s="53"/>
      <c r="E25" s="35"/>
      <c r="F25" s="37" t="s">
        <v>38</v>
      </c>
      <c r="G25" s="35"/>
      <c r="H25" s="35"/>
      <c r="I25" s="35"/>
      <c r="J25" s="35"/>
      <c r="K25" s="35"/>
      <c r="L25" s="35"/>
      <c r="M25" s="36"/>
    </row>
    <row r="26" spans="3:13" ht="12.5" x14ac:dyDescent="0.2">
      <c r="C26" s="34"/>
      <c r="D26" s="52" t="s">
        <v>45</v>
      </c>
      <c r="E26" s="35"/>
      <c r="F26" s="37" t="s">
        <v>40</v>
      </c>
      <c r="G26" s="35"/>
      <c r="H26" s="35"/>
      <c r="I26" s="35"/>
      <c r="J26" s="35"/>
      <c r="K26" s="35"/>
      <c r="L26" s="35"/>
      <c r="M26" s="36"/>
    </row>
    <row r="27" spans="3:13" ht="13" x14ac:dyDescent="0.3">
      <c r="C27" s="34"/>
      <c r="D27" s="49" t="s">
        <v>7</v>
      </c>
      <c r="E27" s="35"/>
      <c r="F27" s="37" t="s">
        <v>41</v>
      </c>
      <c r="G27" s="35"/>
      <c r="H27" s="35"/>
      <c r="I27" s="35"/>
      <c r="J27" s="35"/>
      <c r="K27" s="35"/>
      <c r="L27" s="35"/>
      <c r="M27" s="36"/>
    </row>
    <row r="28" spans="3:13" ht="13" x14ac:dyDescent="0.3">
      <c r="C28" s="34"/>
      <c r="D28" s="49" t="s">
        <v>6</v>
      </c>
      <c r="E28" s="35"/>
      <c r="F28" s="37" t="s">
        <v>42</v>
      </c>
      <c r="G28" s="35"/>
      <c r="H28" s="35"/>
      <c r="I28" s="35"/>
      <c r="J28" s="35"/>
      <c r="K28" s="35"/>
      <c r="L28" s="35"/>
      <c r="M28" s="36"/>
    </row>
    <row r="29" spans="3:13" ht="12.5" x14ac:dyDescent="0.2">
      <c r="C29" s="34"/>
      <c r="D29" s="55"/>
      <c r="E29" s="35"/>
      <c r="F29" s="37" t="s">
        <v>43</v>
      </c>
      <c r="G29" s="35"/>
      <c r="H29" s="35"/>
      <c r="I29" s="35"/>
      <c r="J29" s="35"/>
      <c r="K29" s="35"/>
      <c r="L29" s="35"/>
      <c r="M29" s="36"/>
    </row>
    <row r="30" spans="3:13" x14ac:dyDescent="0.2">
      <c r="C30" s="42"/>
      <c r="D30" s="43"/>
      <c r="E30" s="43"/>
      <c r="F30" s="43"/>
      <c r="G30" s="43"/>
      <c r="H30" s="43"/>
      <c r="I30" s="43"/>
      <c r="J30" s="43"/>
      <c r="K30" s="43"/>
      <c r="L30" s="43"/>
      <c r="M30" s="44"/>
    </row>
    <row r="32" spans="3:13" ht="13" x14ac:dyDescent="0.2">
      <c r="C32" s="14" t="s">
        <v>95</v>
      </c>
      <c r="D32" s="50"/>
    </row>
    <row r="33" spans="3:24" ht="84" customHeight="1" x14ac:dyDescent="0.2">
      <c r="C33" s="356" t="s">
        <v>96</v>
      </c>
      <c r="D33" s="356"/>
      <c r="E33" s="356"/>
      <c r="F33" s="356"/>
      <c r="G33" s="356"/>
      <c r="H33" s="356"/>
      <c r="I33" s="356"/>
      <c r="J33" s="356"/>
      <c r="K33" s="356"/>
      <c r="L33" s="356"/>
      <c r="M33" s="356"/>
      <c r="N33" s="356"/>
      <c r="O33" s="356"/>
      <c r="P33" s="356"/>
      <c r="Q33" s="356"/>
      <c r="R33" s="356"/>
      <c r="S33" s="356"/>
      <c r="T33" s="356"/>
      <c r="U33" s="356"/>
      <c r="V33" s="356"/>
      <c r="W33" s="356"/>
      <c r="X33" s="356"/>
    </row>
  </sheetData>
  <mergeCells count="1">
    <mergeCell ref="C33:X33"/>
  </mergeCells>
  <conditionalFormatting sqref="D28">
    <cfRule type="cellIs" dxfId="43" priority="2" operator="equal">
      <formula>"Ok"</formula>
    </cfRule>
  </conditionalFormatting>
  <conditionalFormatting sqref="D27">
    <cfRule type="cellIs" dxfId="42"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election activeCell="D28" sqref="D28"/>
    </sheetView>
  </sheetViews>
  <sheetFormatPr defaultColWidth="0" defaultRowHeight="10" x14ac:dyDescent="0.2"/>
  <cols>
    <col min="1" max="3" width="2.77734375" style="7" customWidth="1"/>
    <col min="4" max="4" width="43.77734375" style="7" customWidth="1"/>
    <col min="5" max="6" width="10.77734375" style="7" customWidth="1"/>
    <col min="7" max="15" width="10.77734375" style="7" hidden="1" customWidth="1"/>
    <col min="16" max="16384" width="9.33203125" style="7" hidden="1"/>
  </cols>
  <sheetData>
    <row r="1" spans="2:5" ht="19" x14ac:dyDescent="0.2">
      <c r="B1" s="5" t="s">
        <v>50</v>
      </c>
    </row>
    <row r="2" spans="2:5" x14ac:dyDescent="0.2">
      <c r="B2" s="18" t="str">
        <f>Title_Msg</f>
        <v>No Errors Found</v>
      </c>
    </row>
    <row r="3" spans="2:5" ht="12.5" x14ac:dyDescent="0.2">
      <c r="B3" s="57" t="s">
        <v>54</v>
      </c>
      <c r="C3" s="57"/>
      <c r="D3" s="57"/>
      <c r="E3" s="16"/>
    </row>
    <row r="4" spans="2:5" ht="13" x14ac:dyDescent="0.2">
      <c r="B4" s="48" t="str">
        <f>Model_Name</f>
        <v>Pricing Model - Power and Water Corporation</v>
      </c>
    </row>
    <row r="6" spans="2:5" s="4" customFormat="1" ht="15.5" x14ac:dyDescent="0.2">
      <c r="B6" s="4" t="str">
        <f>B1</f>
        <v>Table of Contents</v>
      </c>
    </row>
    <row r="7" spans="2:5" s="6" customFormat="1" ht="4.5" customHeight="1" x14ac:dyDescent="0.2"/>
    <row r="8" spans="2:5" s="13" customFormat="1" ht="14" x14ac:dyDescent="0.2">
      <c r="C8" s="13" t="s">
        <v>51</v>
      </c>
    </row>
    <row r="9" spans="2:5" s="6" customFormat="1" ht="11.25" customHeight="1" x14ac:dyDescent="0.2"/>
    <row r="10" spans="2:5" s="6" customFormat="1" ht="11.25" customHeight="1" x14ac:dyDescent="0.2">
      <c r="D10" s="57" t="str">
        <f>Inputs_Prices!$B$1</f>
        <v>Inputs - Prices</v>
      </c>
    </row>
    <row r="11" spans="2:5" s="6" customFormat="1" ht="11.25" customHeight="1" x14ac:dyDescent="0.2">
      <c r="D11" s="57" t="str">
        <f>Inputs_Volumes!$B$1</f>
        <v>Inputs - Volumes</v>
      </c>
    </row>
    <row r="12" spans="2:5" s="6" customFormat="1" ht="11.25" customHeight="1" x14ac:dyDescent="0.2">
      <c r="D12" s="57" t="str">
        <f>Inputs_Other!$B$1</f>
        <v>Inputs - Other</v>
      </c>
    </row>
    <row r="13" spans="2:5" s="6" customFormat="1" ht="11.25" customHeight="1" x14ac:dyDescent="0.2"/>
    <row r="14" spans="2:5" s="13" customFormat="1" ht="14" x14ac:dyDescent="0.2">
      <c r="C14" s="13" t="s">
        <v>14</v>
      </c>
    </row>
    <row r="16" spans="2:5" x14ac:dyDescent="0.2">
      <c r="D16" s="57" t="str">
        <f>Calc_Revenue!$B$1</f>
        <v>Calculation - Cost of Supply - Revenue</v>
      </c>
    </row>
    <row r="17" spans="3:4" x14ac:dyDescent="0.2">
      <c r="D17" s="57" t="str">
        <f>Calc_A_SA_Cost!$B$1</f>
        <v>Calculation - Avoidable and Stand-alone Cost</v>
      </c>
    </row>
    <row r="18" spans="3:4" x14ac:dyDescent="0.2">
      <c r="D18" s="57" t="str">
        <f>Calc_LRMC_Tariff!$B$1</f>
        <v>Calculation - LRMC by Tariff</v>
      </c>
    </row>
    <row r="19" spans="3:4" x14ac:dyDescent="0.2">
      <c r="D19" s="57" t="str">
        <f>Calc_Residual_Tariff!$B$1</f>
        <v>Calculation - Residual Cost</v>
      </c>
    </row>
    <row r="20" spans="3:4" x14ac:dyDescent="0.2">
      <c r="D20" s="57" t="str">
        <f>Calc_Allocated_Tariff!$B$1</f>
        <v>Calculation - Allocated Cost</v>
      </c>
    </row>
    <row r="22" spans="3:4" s="13" customFormat="1" ht="14" x14ac:dyDescent="0.2">
      <c r="C22" s="13" t="s">
        <v>52</v>
      </c>
    </row>
    <row r="24" spans="3:4" x14ac:dyDescent="0.2">
      <c r="D24" s="57" t="str">
        <f>Output_Revenue!$B$1</f>
        <v>Output - Forecast Revenue</v>
      </c>
    </row>
    <row r="25" spans="3:4" x14ac:dyDescent="0.2">
      <c r="D25" s="57" t="str">
        <f>Output_AER_Compliance!$B$1</f>
        <v>Output - AER Compliance</v>
      </c>
    </row>
    <row r="26" spans="3:4" x14ac:dyDescent="0.2">
      <c r="D26" s="57" t="str">
        <f>Output_Charts!$B$1</f>
        <v>Output - Charts</v>
      </c>
    </row>
    <row r="27" spans="3:4" x14ac:dyDescent="0.2">
      <c r="D27" s="57" t="str">
        <f>Output_Tariffs!$B$1</f>
        <v>Output - Tariffs</v>
      </c>
    </row>
    <row r="28" spans="3:4" x14ac:dyDescent="0.2">
      <c r="D28" s="57" t="str">
        <f>Output_Pricing_Proposal!B1</f>
        <v>Output - Pricing Proposal</v>
      </c>
    </row>
    <row r="30" spans="3:4" s="13" customFormat="1" ht="14" x14ac:dyDescent="0.2">
      <c r="C30" s="13" t="s">
        <v>53</v>
      </c>
    </row>
    <row r="32" spans="3:4" x14ac:dyDescent="0.2">
      <c r="D32" s="57" t="str">
        <f>Lookup!B1</f>
        <v>Model Lookups</v>
      </c>
    </row>
    <row r="33" spans="2:4" x14ac:dyDescent="0.2">
      <c r="D33" s="57" t="str">
        <f>Checks!B1</f>
        <v>Checks</v>
      </c>
    </row>
    <row r="35" spans="2:4" s="4" customFormat="1" ht="15.5" x14ac:dyDescent="0.2">
      <c r="B35" s="4" t="s">
        <v>33</v>
      </c>
    </row>
  </sheetData>
  <conditionalFormatting sqref="B2">
    <cfRule type="cellIs" dxfId="41" priority="1" operator="notEqual">
      <formula>"No Errors Found"</formula>
    </cfRule>
  </conditionalFormatting>
  <hyperlinks>
    <hyperlink ref="D32" location="Lookup!A1" display="Lookup!A1"/>
    <hyperlink ref="D33" location="Checks!A1" display="Checks!A1"/>
    <hyperlink ref="B3:D3" location="Cover!A1" display="Go to Cover Sheet"/>
    <hyperlink ref="D10" location="Inputs_Prices!A1" display="Inputs_Prices!A1"/>
    <hyperlink ref="D11" location="Inputs_Volumes!A1" display="Inputs_Volumes!A1"/>
    <hyperlink ref="D12" location="Inputs_Other!A1" display="Inputs_Other!A1"/>
    <hyperlink ref="D16" location="Calc_Revenue!A1" display="Calc_Revenue!A1"/>
    <hyperlink ref="D17" location="Calc_A_SA_Cost!A1" display="Calc_A_SA_Cost!A1"/>
    <hyperlink ref="D18" location="Calc_LRMC_Tariff!A1" display="Calc_LRMC_Tariff!A1"/>
    <hyperlink ref="D19" location="Calc_Residual_Tariff!A1" display="Calc_Residual_Tariff!A1"/>
    <hyperlink ref="D24" location="Output_Revenue!A1" display="Output_Revenue!A1"/>
    <hyperlink ref="D20" location="Calc_Allocated_Tariff!A1" display="Calc_Allocated_Tariff!A1"/>
    <hyperlink ref="D25" location="Output_AER_Compliance!A1" display="Output_AER_Compliance!A1"/>
    <hyperlink ref="D26" location="Output_Charts!A1" display="Output_Charts!A1"/>
    <hyperlink ref="D27" location="Output_Tariffs!A1" display="Output_Tariffs!A1"/>
    <hyperlink ref="D28" location="Output_Pricing_Proposal!A1" display="Output_Pricing_Proposal!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pane ySplit="5" topLeftCell="A6" activePane="bottomLeft" state="frozen"/>
      <selection pane="bottomLeft" activeCell="S43" sqref="S43"/>
    </sheetView>
  </sheetViews>
  <sheetFormatPr defaultColWidth="9.33203125" defaultRowHeight="10" x14ac:dyDescent="0.2"/>
  <cols>
    <col min="1" max="1" width="3.6640625" style="7" customWidth="1"/>
    <col min="2" max="3" width="2.77734375" style="7" customWidth="1"/>
    <col min="4" max="4" width="25.77734375" style="7" customWidth="1"/>
    <col min="5" max="5" width="24" style="7" customWidth="1"/>
    <col min="6" max="9" width="10.77734375" style="7" customWidth="1"/>
    <col min="10" max="10" width="12.77734375" style="7" customWidth="1"/>
    <col min="11" max="24" width="10.77734375" style="7" customWidth="1"/>
    <col min="25" max="16384" width="9.33203125" style="7"/>
  </cols>
  <sheetData>
    <row r="1" spans="1:5" ht="19" x14ac:dyDescent="0.2">
      <c r="A1" s="70">
        <f>IF(SUM($A6:$A50)&gt;0,1,0)</f>
        <v>0</v>
      </c>
      <c r="B1" s="5" t="s">
        <v>276</v>
      </c>
    </row>
    <row r="2" spans="1:5" x14ac:dyDescent="0.2">
      <c r="B2" s="18" t="str">
        <f>Title_Msg</f>
        <v>No Errors Found</v>
      </c>
    </row>
    <row r="3" spans="1:5" x14ac:dyDescent="0.2">
      <c r="B3" s="57" t="str">
        <f>TOC!B1</f>
        <v>Table of Contents</v>
      </c>
      <c r="C3" s="51"/>
      <c r="D3" s="51"/>
      <c r="E3" s="51"/>
    </row>
    <row r="4" spans="1:5" ht="13" x14ac:dyDescent="0.2">
      <c r="B4" s="48" t="str">
        <f>Model_Name</f>
        <v>Pricing Model - Power and Water Corporation</v>
      </c>
    </row>
    <row r="6" spans="1:5" s="4" customFormat="1" ht="15.5" x14ac:dyDescent="0.2">
      <c r="B6" s="4" t="str">
        <f>B1</f>
        <v>Model Diagram</v>
      </c>
    </row>
    <row r="50" spans="2:2" s="4" customFormat="1" ht="15.5" x14ac:dyDescent="0.2">
      <c r="B50" s="4" t="s">
        <v>33</v>
      </c>
    </row>
  </sheetData>
  <conditionalFormatting sqref="B2">
    <cfRule type="cellIs" dxfId="40" priority="2" operator="notEqual">
      <formula>"No Errors Found"</formula>
    </cfRule>
  </conditionalFormatting>
  <hyperlinks>
    <hyperlink ref="B3:E3" location="TOC!A1" display="TOC!A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S84"/>
  <sheetViews>
    <sheetView showGridLines="0" topLeftCell="D1" workbookViewId="0">
      <pane ySplit="11" topLeftCell="A12" activePane="bottomLeft" state="frozen"/>
      <selection pane="bottomLeft" activeCell="N25" sqref="N25"/>
    </sheetView>
  </sheetViews>
  <sheetFormatPr defaultColWidth="9.33203125" defaultRowHeight="10" outlineLevelRow="1" x14ac:dyDescent="0.2"/>
  <cols>
    <col min="1" max="1" width="3.6640625" style="7" bestFit="1" customWidth="1"/>
    <col min="2" max="3" width="2.77734375" style="7" customWidth="1"/>
    <col min="4" max="4" width="34.33203125" style="7" bestFit="1" customWidth="1"/>
    <col min="5" max="5" width="51.33203125" style="7" bestFit="1" customWidth="1"/>
    <col min="6" max="6" width="14.44140625" style="7" bestFit="1" customWidth="1"/>
    <col min="7" max="7" width="2.44140625" style="7" customWidth="1"/>
    <col min="8" max="8" width="10.44140625" style="7" customWidth="1"/>
    <col min="9" max="9" width="15.44140625" style="7" customWidth="1"/>
    <col min="10" max="11" width="3.44140625" style="7" customWidth="1"/>
    <col min="12" max="12" width="2.44140625" style="7" customWidth="1"/>
    <col min="13" max="19" width="14.44140625" style="7" customWidth="1"/>
    <col min="20" max="24" width="10.77734375" style="7" customWidth="1"/>
    <col min="25" max="16384" width="9.33203125" style="7"/>
  </cols>
  <sheetData>
    <row r="1" spans="1:22" ht="19" x14ac:dyDescent="0.2">
      <c r="A1" s="70">
        <f>IF(SUM($A12:$A84)&gt;0,1,0)</f>
        <v>0</v>
      </c>
      <c r="B1" s="5" t="s">
        <v>97</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t="s">
        <v>196</v>
      </c>
      <c r="E10" s="61" t="s">
        <v>100</v>
      </c>
      <c r="F10" s="61" t="s">
        <v>101</v>
      </c>
      <c r="H10" s="61" t="str">
        <f>Lookup!E19</f>
        <v>Source</v>
      </c>
      <c r="I10" s="61" t="str">
        <f>Lookup!F19</f>
        <v>Unit</v>
      </c>
      <c r="J10" s="61"/>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98</v>
      </c>
    </row>
    <row r="13" spans="1:22" s="6" customFormat="1" ht="11.25" customHeight="1" x14ac:dyDescent="0.2"/>
    <row r="14" spans="1:22" s="6" customFormat="1" ht="11.25" customHeight="1" x14ac:dyDescent="0.2">
      <c r="D14" s="124" t="s">
        <v>455</v>
      </c>
    </row>
    <row r="15" spans="1:22" s="6" customFormat="1" ht="11.25" customHeight="1" x14ac:dyDescent="0.2"/>
    <row r="16" spans="1:22" s="6" customFormat="1" ht="11.25" customHeight="1" x14ac:dyDescent="0.2"/>
    <row r="17" spans="3:45" s="13" customFormat="1" ht="14" x14ac:dyDescent="0.2">
      <c r="C17" s="13" t="s">
        <v>433</v>
      </c>
    </row>
    <row r="18" spans="3:45" s="6" customFormat="1" ht="11.25" customHeight="1" x14ac:dyDescent="0.2"/>
    <row r="19" spans="3:45" s="6" customFormat="1" ht="11.25" customHeight="1" x14ac:dyDescent="0.2">
      <c r="D19" s="83" t="str">
        <f>D$10</f>
        <v>Tariff</v>
      </c>
      <c r="E19" s="65" t="str">
        <f>E$10</f>
        <v>Tariff Components</v>
      </c>
      <c r="F19" s="65" t="str">
        <f>F$10</f>
        <v>Tariff Class</v>
      </c>
      <c r="H19" s="65" t="str">
        <f>Lookup!E$19</f>
        <v>Source</v>
      </c>
      <c r="I19" s="65" t="str">
        <f>Lookup!F$19</f>
        <v>Unit</v>
      </c>
      <c r="L19" s="7"/>
      <c r="O19" s="65" t="str">
        <f>O$10</f>
        <v>FY20</v>
      </c>
      <c r="P19" s="65" t="str">
        <f>P$10</f>
        <v>FY21</v>
      </c>
      <c r="Q19" s="65" t="str">
        <f>Q$10</f>
        <v>FY22</v>
      </c>
      <c r="R19" s="65" t="str">
        <f>R$10</f>
        <v>FY23</v>
      </c>
      <c r="S19" s="65" t="str">
        <f>S$10</f>
        <v>FY24</v>
      </c>
      <c r="AQ19" s="6" t="s">
        <v>490</v>
      </c>
      <c r="AR19" s="6" t="s">
        <v>489</v>
      </c>
    </row>
    <row r="20" spans="3:45" s="6" customFormat="1" ht="11.25" customHeight="1" x14ac:dyDescent="0.3">
      <c r="D20" s="3"/>
      <c r="AQ20" s="285">
        <v>0.24071691985079369</v>
      </c>
      <c r="AR20" s="285">
        <f>Output_Charts!S74/Output_Charts!R74-1</f>
        <v>0.27118953073226737</v>
      </c>
      <c r="AS20" s="6" t="s">
        <v>102</v>
      </c>
    </row>
    <row r="21" spans="3:45" s="6" customFormat="1" ht="11.25" customHeight="1" x14ac:dyDescent="0.3">
      <c r="D21" s="100" t="s">
        <v>102</v>
      </c>
      <c r="E21" s="98" t="s">
        <v>103</v>
      </c>
      <c r="F21" s="99" t="s">
        <v>104</v>
      </c>
      <c r="G21" s="97"/>
      <c r="H21" s="98" t="s">
        <v>125</v>
      </c>
      <c r="I21" s="99" t="s">
        <v>432</v>
      </c>
      <c r="O21" s="250">
        <v>64.040000000000006</v>
      </c>
      <c r="P21" s="250">
        <v>91.715000000000003</v>
      </c>
      <c r="Q21" s="250">
        <v>95.032056405000006</v>
      </c>
      <c r="R21" s="250">
        <v>98.764820548532001</v>
      </c>
      <c r="S21" s="250">
        <v>102.39304499620289</v>
      </c>
      <c r="AQ21" s="285">
        <v>9.7686613519549992E-2</v>
      </c>
      <c r="AR21" s="285">
        <f>Output_Charts!S75/Output_Charts!R75-1</f>
        <v>0.11165272009350846</v>
      </c>
      <c r="AS21" s="6" t="s">
        <v>105</v>
      </c>
    </row>
    <row r="22" spans="3:45" s="6" customFormat="1" ht="11.25" customHeight="1" x14ac:dyDescent="0.3">
      <c r="D22" s="100" t="s">
        <v>105</v>
      </c>
      <c r="E22" s="98" t="s">
        <v>106</v>
      </c>
      <c r="F22" s="99" t="s">
        <v>104</v>
      </c>
      <c r="G22" s="97"/>
      <c r="H22" s="98" t="s">
        <v>125</v>
      </c>
      <c r="I22" s="99" t="s">
        <v>432</v>
      </c>
      <c r="O22" s="250">
        <v>135</v>
      </c>
      <c r="P22" s="250">
        <v>150</v>
      </c>
      <c r="Q22" s="250">
        <v>155.42505</v>
      </c>
      <c r="R22" s="250">
        <v>161.52999053895002</v>
      </c>
      <c r="S22" s="250">
        <v>167.46395627138889</v>
      </c>
      <c r="AQ22" s="285">
        <v>7.4260535003093899</v>
      </c>
      <c r="AR22" s="285">
        <f>Output_Charts!S76/Output_Charts!R76-1</f>
        <v>10.001984685896778</v>
      </c>
      <c r="AS22" s="6" t="s">
        <v>107</v>
      </c>
    </row>
    <row r="23" spans="3:45" s="6" customFormat="1" ht="11.25" customHeight="1" x14ac:dyDescent="0.3">
      <c r="D23" s="100" t="s">
        <v>107</v>
      </c>
      <c r="E23" s="98" t="s">
        <v>108</v>
      </c>
      <c r="F23" s="99" t="s">
        <v>104</v>
      </c>
      <c r="G23" s="97"/>
      <c r="H23" s="98" t="s">
        <v>125</v>
      </c>
      <c r="I23" s="99" t="s">
        <v>432</v>
      </c>
      <c r="O23" s="250"/>
      <c r="P23" s="250"/>
      <c r="Q23" s="250"/>
      <c r="R23" s="250"/>
      <c r="S23" s="250"/>
      <c r="AQ23" s="285">
        <v>-0.17735126808329416</v>
      </c>
      <c r="AR23" s="285">
        <f>Output_Charts!S77/Output_Charts!R77-1</f>
        <v>-0.20613889494073256</v>
      </c>
      <c r="AS23" s="6" t="s">
        <v>109</v>
      </c>
    </row>
    <row r="24" spans="3:45" s="6" customFormat="1" ht="11.25" customHeight="1" x14ac:dyDescent="0.3">
      <c r="D24" s="100" t="s">
        <v>109</v>
      </c>
      <c r="E24" s="98" t="s">
        <v>110</v>
      </c>
      <c r="F24" s="99" t="s">
        <v>104</v>
      </c>
      <c r="G24" s="97"/>
      <c r="H24" s="98" t="s">
        <v>125</v>
      </c>
      <c r="I24" s="99" t="s">
        <v>432</v>
      </c>
      <c r="O24" s="250">
        <v>135</v>
      </c>
      <c r="P24" s="250">
        <v>150</v>
      </c>
      <c r="Q24" s="250">
        <v>155.42505</v>
      </c>
      <c r="R24" s="250">
        <v>161.52999053895002</v>
      </c>
      <c r="S24" s="250">
        <v>167.46395627138889</v>
      </c>
      <c r="AQ24" s="285">
        <v>-0.3077811533891972</v>
      </c>
      <c r="AR24" s="285">
        <f>Output_Charts!S78/Output_Charts!R78-1</f>
        <v>-0.25553209061326332</v>
      </c>
      <c r="AS24" s="6" t="s">
        <v>111</v>
      </c>
    </row>
    <row r="25" spans="3:45" s="6" customFormat="1" ht="11.25" customHeight="1" x14ac:dyDescent="0.3">
      <c r="D25" s="100" t="s">
        <v>111</v>
      </c>
      <c r="E25" s="98" t="s">
        <v>112</v>
      </c>
      <c r="F25" s="99" t="s">
        <v>113</v>
      </c>
      <c r="G25" s="97"/>
      <c r="H25" s="98" t="s">
        <v>125</v>
      </c>
      <c r="I25" s="99" t="s">
        <v>432</v>
      </c>
      <c r="O25" s="250">
        <v>135</v>
      </c>
      <c r="P25" s="250">
        <v>150</v>
      </c>
      <c r="Q25" s="250">
        <v>155.42505</v>
      </c>
      <c r="R25" s="250">
        <v>161.52999053895002</v>
      </c>
      <c r="S25" s="250">
        <v>167.46395627138889</v>
      </c>
      <c r="AQ25" s="285">
        <v>-4.4286496497853989E-2</v>
      </c>
      <c r="AR25" s="285">
        <f>Output_Charts!S79/Output_Charts!R79-1</f>
        <v>-7.0280578418550066E-3</v>
      </c>
      <c r="AS25" s="6" t="s">
        <v>114</v>
      </c>
    </row>
    <row r="26" spans="3:45" s="6" customFormat="1" ht="11.25" customHeight="1" x14ac:dyDescent="0.3">
      <c r="D26" s="100" t="s">
        <v>114</v>
      </c>
      <c r="E26" s="98" t="s">
        <v>115</v>
      </c>
      <c r="F26" s="99" t="s">
        <v>114</v>
      </c>
      <c r="G26" s="97"/>
      <c r="H26" s="98" t="s">
        <v>125</v>
      </c>
      <c r="I26" s="277" t="s">
        <v>432</v>
      </c>
      <c r="J26" s="278"/>
      <c r="K26" s="278"/>
      <c r="O26" s="250">
        <v>7000</v>
      </c>
      <c r="P26" s="250">
        <v>7120</v>
      </c>
      <c r="Q26" s="250">
        <v>7377.5090400000008</v>
      </c>
      <c r="R26" s="250">
        <v>7667.2902175821609</v>
      </c>
      <c r="S26" s="250">
        <v>7948.9557910152598</v>
      </c>
      <c r="AQ26" s="285">
        <v>-0.1769148852465926</v>
      </c>
      <c r="AR26" s="285">
        <f>Output_Charts!S80/Output_Charts!R80-1</f>
        <v>-0.16201929104959367</v>
      </c>
      <c r="AS26" s="6" t="s">
        <v>116</v>
      </c>
    </row>
    <row r="27" spans="3:45" s="6" customFormat="1" ht="11.25" customHeight="1" x14ac:dyDescent="0.2">
      <c r="D27" s="100" t="s">
        <v>116</v>
      </c>
      <c r="E27" s="98" t="s">
        <v>117</v>
      </c>
      <c r="F27" s="99" t="s">
        <v>113</v>
      </c>
      <c r="G27" s="97"/>
      <c r="H27" s="98" t="s">
        <v>125</v>
      </c>
      <c r="I27" s="277" t="s">
        <v>432</v>
      </c>
      <c r="J27" s="278"/>
      <c r="K27" s="278"/>
      <c r="O27" s="250">
        <v>7000</v>
      </c>
      <c r="P27" s="250">
        <v>8500</v>
      </c>
      <c r="Q27" s="250">
        <v>8807.4195</v>
      </c>
      <c r="R27" s="250">
        <v>9153.3661305405003</v>
      </c>
      <c r="S27" s="250">
        <v>9489.6241887120377</v>
      </c>
    </row>
    <row r="28" spans="3:45" s="6" customFormat="1" ht="11.25" customHeight="1" x14ac:dyDescent="0.2"/>
    <row r="29" spans="3:45" s="6" customFormat="1" ht="11.25" customHeight="1" x14ac:dyDescent="0.2"/>
    <row r="30" spans="3:45" s="13" customFormat="1" ht="14" x14ac:dyDescent="0.2">
      <c r="C30" s="13" t="s">
        <v>120</v>
      </c>
    </row>
    <row r="31" spans="3:45" s="6" customFormat="1" ht="11.25" customHeight="1" x14ac:dyDescent="0.2"/>
    <row r="32" spans="3:45" s="6" customFormat="1" ht="11.25" customHeight="1" x14ac:dyDescent="0.2">
      <c r="D32" s="83" t="str">
        <f>D$10</f>
        <v>Tariff</v>
      </c>
      <c r="E32" s="65" t="str">
        <f>E$10</f>
        <v>Tariff Components</v>
      </c>
      <c r="F32" s="65" t="str">
        <f>F$10</f>
        <v>Tariff Class</v>
      </c>
      <c r="H32" s="65" t="str">
        <f>Lookup!E$19</f>
        <v>Source</v>
      </c>
      <c r="I32" s="65" t="str">
        <f>Lookup!F$19</f>
        <v>Unit</v>
      </c>
      <c r="L32" s="7"/>
      <c r="O32" s="65" t="str">
        <f>O$10</f>
        <v>FY20</v>
      </c>
      <c r="P32" s="65" t="str">
        <f>P$10</f>
        <v>FY21</v>
      </c>
      <c r="Q32" s="65" t="str">
        <f>Q$10</f>
        <v>FY22</v>
      </c>
      <c r="R32" s="65" t="str">
        <f>R$10</f>
        <v>FY23</v>
      </c>
      <c r="S32" s="65" t="str">
        <f>S$10</f>
        <v>FY24</v>
      </c>
    </row>
    <row r="33" spans="3:19" s="6" customFormat="1" ht="11.25" customHeight="1" x14ac:dyDescent="0.2">
      <c r="D33" s="3"/>
    </row>
    <row r="34" spans="3:19" s="6" customFormat="1" ht="11.25" customHeight="1" x14ac:dyDescent="0.2">
      <c r="D34" s="100" t="s">
        <v>102</v>
      </c>
      <c r="E34" s="74" t="s">
        <v>35</v>
      </c>
      <c r="F34" s="99" t="s">
        <v>104</v>
      </c>
      <c r="G34" s="97"/>
      <c r="H34" s="98" t="s">
        <v>125</v>
      </c>
      <c r="I34" s="99" t="s">
        <v>121</v>
      </c>
      <c r="O34" s="251">
        <v>10.238</v>
      </c>
      <c r="P34" s="251">
        <v>8.5</v>
      </c>
      <c r="Q34" s="250">
        <v>8.8074195</v>
      </c>
      <c r="R34" s="250">
        <v>9.1533661305405012</v>
      </c>
      <c r="S34" s="250">
        <v>9.4896241887120372</v>
      </c>
    </row>
    <row r="35" spans="3:19" s="6" customFormat="1" ht="11.25" customHeight="1" x14ac:dyDescent="0.2">
      <c r="D35" s="100" t="s">
        <v>105</v>
      </c>
      <c r="E35" s="74" t="s">
        <v>35</v>
      </c>
      <c r="F35" s="99" t="s">
        <v>104</v>
      </c>
      <c r="G35" s="97"/>
      <c r="H35" s="98" t="s">
        <v>125</v>
      </c>
      <c r="I35" s="99" t="s">
        <v>121</v>
      </c>
      <c r="O35" s="251">
        <v>10.43</v>
      </c>
      <c r="P35" s="251">
        <v>9</v>
      </c>
      <c r="Q35" s="250">
        <v>9.3255030000000012</v>
      </c>
      <c r="R35" s="250">
        <v>9.6917994323370014</v>
      </c>
      <c r="S35" s="250">
        <v>10.047837376283335</v>
      </c>
    </row>
    <row r="36" spans="3:19" s="6" customFormat="1" ht="11.25" customHeight="1" x14ac:dyDescent="0.2">
      <c r="D36" s="100" t="s">
        <v>107</v>
      </c>
      <c r="E36" s="74" t="s">
        <v>35</v>
      </c>
      <c r="F36" s="99" t="s">
        <v>104</v>
      </c>
      <c r="G36" s="97"/>
      <c r="H36" s="98" t="s">
        <v>125</v>
      </c>
      <c r="I36" s="99" t="s">
        <v>121</v>
      </c>
      <c r="O36" s="251">
        <v>5.5060000000000002</v>
      </c>
      <c r="P36" s="251">
        <v>5.3</v>
      </c>
      <c r="Q36" s="250">
        <v>5.4916850999999998</v>
      </c>
      <c r="R36" s="250">
        <v>5.7073929990429004</v>
      </c>
      <c r="S36" s="250">
        <v>5.9170597882557407</v>
      </c>
    </row>
    <row r="37" spans="3:19" s="6" customFormat="1" ht="11.25" customHeight="1" x14ac:dyDescent="0.2">
      <c r="D37" s="100" t="s">
        <v>109</v>
      </c>
      <c r="E37" s="74" t="s">
        <v>35</v>
      </c>
      <c r="F37" s="99" t="s">
        <v>104</v>
      </c>
      <c r="G37" s="97"/>
      <c r="H37" s="98" t="s">
        <v>125</v>
      </c>
      <c r="I37" s="99" t="s">
        <v>121</v>
      </c>
      <c r="O37" s="251">
        <v>3</v>
      </c>
      <c r="P37" s="251">
        <v>2.2999999999999998</v>
      </c>
      <c r="Q37" s="250">
        <v>2.3831840999999998</v>
      </c>
      <c r="R37" s="250">
        <v>2.4767931882638998</v>
      </c>
      <c r="S37" s="250">
        <v>2.5677806628279627</v>
      </c>
    </row>
    <row r="38" spans="3:19" s="6" customFormat="1" ht="11.25" customHeight="1" x14ac:dyDescent="0.2">
      <c r="D38" s="100" t="s">
        <v>111</v>
      </c>
      <c r="E38" s="74" t="s">
        <v>35</v>
      </c>
      <c r="F38" s="99" t="s">
        <v>113</v>
      </c>
      <c r="G38" s="97"/>
      <c r="H38" s="98" t="s">
        <v>125</v>
      </c>
      <c r="I38" s="99" t="s">
        <v>121</v>
      </c>
      <c r="O38" s="251">
        <v>3</v>
      </c>
      <c r="P38" s="251">
        <v>2.2999999999999998</v>
      </c>
      <c r="Q38" s="250">
        <v>2.3831840999999998</v>
      </c>
      <c r="R38" s="250">
        <v>2.4767931882638998</v>
      </c>
      <c r="S38" s="250">
        <v>2.5677806628279627</v>
      </c>
    </row>
    <row r="39" spans="3:19" s="6" customFormat="1" ht="11.25" customHeight="1" x14ac:dyDescent="0.2">
      <c r="D39" s="100" t="s">
        <v>114</v>
      </c>
      <c r="E39" s="74" t="s">
        <v>35</v>
      </c>
      <c r="F39" s="99" t="s">
        <v>114</v>
      </c>
      <c r="G39" s="97"/>
      <c r="H39" s="98" t="s">
        <v>125</v>
      </c>
      <c r="I39" s="99" t="s">
        <v>121</v>
      </c>
      <c r="O39" s="251">
        <v>2.63</v>
      </c>
      <c r="P39" s="251">
        <v>2</v>
      </c>
      <c r="Q39" s="250">
        <v>2.0723340000000001</v>
      </c>
      <c r="R39" s="250">
        <v>2.1537332071860003</v>
      </c>
      <c r="S39" s="250">
        <v>2.2328527502851854</v>
      </c>
    </row>
    <row r="40" spans="3:19" s="6" customFormat="1" ht="11.25" customHeight="1" x14ac:dyDescent="0.2">
      <c r="D40" s="100" t="s">
        <v>116</v>
      </c>
      <c r="E40" s="74" t="s">
        <v>35</v>
      </c>
      <c r="F40" s="99" t="s">
        <v>113</v>
      </c>
      <c r="G40" s="97"/>
      <c r="H40" s="98" t="s">
        <v>125</v>
      </c>
      <c r="I40" s="99" t="s">
        <v>121</v>
      </c>
      <c r="O40" s="251">
        <v>2.63</v>
      </c>
      <c r="P40" s="251">
        <v>2.35</v>
      </c>
      <c r="Q40" s="250">
        <v>2.4349924500000002</v>
      </c>
      <c r="R40" s="250">
        <v>2.5306365184435502</v>
      </c>
      <c r="S40" s="250">
        <v>2.6236019815850926</v>
      </c>
    </row>
    <row r="41" spans="3:19" s="6" customFormat="1" ht="11.25" customHeight="1" x14ac:dyDescent="0.2"/>
    <row r="42" spans="3:19" s="6" customFormat="1" ht="11.25" customHeight="1" x14ac:dyDescent="0.2"/>
    <row r="43" spans="3:19" s="13" customFormat="1" ht="14" x14ac:dyDescent="0.2">
      <c r="C43" s="13" t="s">
        <v>122</v>
      </c>
    </row>
    <row r="44" spans="3:19" s="6" customFormat="1" ht="11.25" customHeight="1" x14ac:dyDescent="0.2"/>
    <row r="45" spans="3:19" s="6" customFormat="1" ht="11.25" customHeight="1" x14ac:dyDescent="0.2">
      <c r="D45" s="83" t="str">
        <f>D$10</f>
        <v>Tariff</v>
      </c>
      <c r="E45" s="65" t="str">
        <f>E$10</f>
        <v>Tariff Components</v>
      </c>
      <c r="F45" s="65" t="str">
        <f>F$10</f>
        <v>Tariff Class</v>
      </c>
      <c r="H45" s="65" t="str">
        <f>Lookup!E$19</f>
        <v>Source</v>
      </c>
      <c r="I45" s="65" t="str">
        <f>Lookup!F$19</f>
        <v>Unit</v>
      </c>
      <c r="L45" s="7"/>
      <c r="O45" s="65" t="str">
        <f>O$10</f>
        <v>FY20</v>
      </c>
      <c r="P45" s="65" t="str">
        <f>P$10</f>
        <v>FY21</v>
      </c>
      <c r="Q45" s="65" t="str">
        <f>Q$10</f>
        <v>FY22</v>
      </c>
      <c r="R45" s="65" t="str">
        <f>R$10</f>
        <v>FY23</v>
      </c>
      <c r="S45" s="65" t="str">
        <f>S$10</f>
        <v>FY24</v>
      </c>
    </row>
    <row r="46" spans="3:19" s="6" customFormat="1" ht="11.25" customHeight="1" x14ac:dyDescent="0.2">
      <c r="D46" s="3"/>
    </row>
    <row r="47" spans="3:19" s="6" customFormat="1" ht="11.25" customHeight="1" x14ac:dyDescent="0.2">
      <c r="D47" s="100" t="s">
        <v>109</v>
      </c>
      <c r="E47" s="74" t="s">
        <v>35</v>
      </c>
      <c r="F47" s="99" t="s">
        <v>104</v>
      </c>
      <c r="G47" s="97"/>
      <c r="H47" s="98" t="s">
        <v>125</v>
      </c>
      <c r="I47" s="99" t="s">
        <v>123</v>
      </c>
      <c r="O47" s="250">
        <v>20.51</v>
      </c>
      <c r="P47" s="250">
        <v>17.5</v>
      </c>
      <c r="Q47" s="250">
        <v>18.132922499999999</v>
      </c>
      <c r="R47" s="250">
        <v>18.845165562877501</v>
      </c>
      <c r="S47" s="250">
        <v>19.537461564995372</v>
      </c>
    </row>
    <row r="48" spans="3:19" s="6" customFormat="1" ht="11.25" customHeight="1" x14ac:dyDescent="0.2">
      <c r="D48" s="100" t="s">
        <v>111</v>
      </c>
      <c r="E48" s="74" t="s">
        <v>35</v>
      </c>
      <c r="F48" s="99" t="s">
        <v>113</v>
      </c>
      <c r="G48" s="97"/>
      <c r="H48" s="98" t="s">
        <v>125</v>
      </c>
      <c r="I48" s="99" t="s">
        <v>123</v>
      </c>
      <c r="O48" s="250">
        <v>9.5</v>
      </c>
      <c r="P48" s="250">
        <v>8.3703389830508481</v>
      </c>
      <c r="Q48" s="250">
        <v>8.6730690330508491</v>
      </c>
      <c r="R48" s="250">
        <v>9.0137385116000548</v>
      </c>
      <c r="S48" s="250">
        <v>9.3448672095621959</v>
      </c>
    </row>
    <row r="49" spans="3:19" s="6" customFormat="1" ht="11.25" customHeight="1" x14ac:dyDescent="0.2">
      <c r="D49" s="100" t="s">
        <v>114</v>
      </c>
      <c r="E49" s="98" t="s">
        <v>476</v>
      </c>
      <c r="F49" s="99" t="s">
        <v>114</v>
      </c>
      <c r="G49" s="97"/>
      <c r="H49" s="98" t="s">
        <v>125</v>
      </c>
      <c r="I49" s="99" t="s">
        <v>123</v>
      </c>
      <c r="O49" s="250">
        <v>11</v>
      </c>
      <c r="P49" s="250">
        <v>12.298</v>
      </c>
      <c r="Q49" s="250">
        <v>12.742781766</v>
      </c>
      <c r="R49" s="250">
        <v>13.243305490986716</v>
      </c>
      <c r="S49" s="250">
        <v>13.729811561503604</v>
      </c>
    </row>
    <row r="50" spans="3:19" s="6" customFormat="1" ht="11.25" customHeight="1" x14ac:dyDescent="0.2">
      <c r="D50" s="100" t="s">
        <v>114</v>
      </c>
      <c r="E50" s="98" t="s">
        <v>473</v>
      </c>
      <c r="F50" s="99" t="s">
        <v>114</v>
      </c>
      <c r="G50" s="97"/>
      <c r="H50" s="98" t="s">
        <v>125</v>
      </c>
      <c r="I50" s="99" t="s">
        <v>123</v>
      </c>
      <c r="O50" s="250">
        <v>0</v>
      </c>
      <c r="P50" s="250">
        <v>0</v>
      </c>
      <c r="Q50" s="250">
        <v>0</v>
      </c>
      <c r="R50" s="250">
        <v>0</v>
      </c>
      <c r="S50" s="250">
        <v>0</v>
      </c>
    </row>
    <row r="51" spans="3:19" s="6" customFormat="1" ht="11.25" customHeight="1" x14ac:dyDescent="0.2">
      <c r="D51" s="100" t="s">
        <v>116</v>
      </c>
      <c r="E51" s="98" t="s">
        <v>474</v>
      </c>
      <c r="F51" s="99" t="s">
        <v>113</v>
      </c>
      <c r="G51" s="97"/>
      <c r="H51" s="98" t="s">
        <v>125</v>
      </c>
      <c r="I51" s="99" t="s">
        <v>123</v>
      </c>
      <c r="O51" s="250">
        <v>8.27</v>
      </c>
      <c r="P51" s="250">
        <v>8.3703389830508481</v>
      </c>
      <c r="Q51" s="250">
        <v>8.6730690330508491</v>
      </c>
      <c r="R51" s="250">
        <v>9.0137385116000548</v>
      </c>
      <c r="S51" s="250">
        <v>9.3448672095621959</v>
      </c>
    </row>
    <row r="52" spans="3:19" s="6" customFormat="1" ht="11.25" customHeight="1" x14ac:dyDescent="0.2">
      <c r="D52" s="100" t="s">
        <v>116</v>
      </c>
      <c r="E52" s="98" t="s">
        <v>475</v>
      </c>
      <c r="F52" s="99" t="s">
        <v>113</v>
      </c>
      <c r="G52" s="97"/>
      <c r="H52" s="98" t="s">
        <v>125</v>
      </c>
      <c r="I52" s="99" t="s">
        <v>123</v>
      </c>
      <c r="O52" s="250">
        <v>0</v>
      </c>
      <c r="P52" s="250">
        <v>0</v>
      </c>
      <c r="Q52" s="250">
        <v>0</v>
      </c>
      <c r="R52" s="250">
        <v>0</v>
      </c>
      <c r="S52" s="250">
        <v>0</v>
      </c>
    </row>
    <row r="53" spans="3:19" s="6" customFormat="1" ht="11.25" customHeight="1" x14ac:dyDescent="0.2"/>
    <row r="54" spans="3:19" s="6" customFormat="1" ht="11.25" customHeight="1" x14ac:dyDescent="0.2"/>
    <row r="55" spans="3:19" s="13" customFormat="1" ht="14" x14ac:dyDescent="0.2">
      <c r="C55" s="13" t="s">
        <v>451</v>
      </c>
    </row>
    <row r="56" spans="3:19" s="6" customFormat="1" ht="11.25" customHeight="1" x14ac:dyDescent="0.2"/>
    <row r="57" spans="3:19" s="6" customFormat="1" ht="11.25" customHeight="1" x14ac:dyDescent="0.2"/>
    <row r="58" spans="3:19" s="6" customFormat="1" ht="11.25" customHeight="1" x14ac:dyDescent="0.2">
      <c r="D58" s="83" t="s">
        <v>196</v>
      </c>
      <c r="E58" s="65" t="str">
        <f>E$10</f>
        <v>Tariff Components</v>
      </c>
      <c r="F58" s="65" t="str">
        <f>F$10</f>
        <v>Tariff Class</v>
      </c>
      <c r="H58" s="65" t="str">
        <f>Lookup!E$19</f>
        <v>Source</v>
      </c>
      <c r="I58" s="65" t="str">
        <f>Lookup!F$19</f>
        <v>Unit</v>
      </c>
      <c r="J58" s="83"/>
      <c r="K58" s="83"/>
      <c r="L58" s="83"/>
      <c r="O58" s="65" t="str">
        <f>O$10</f>
        <v>FY20</v>
      </c>
    </row>
    <row r="59" spans="3:19" s="6" customFormat="1" ht="11.25" customHeight="1" x14ac:dyDescent="0.2">
      <c r="D59" s="265"/>
      <c r="I59" s="265"/>
      <c r="J59" s="266"/>
      <c r="O59" s="265"/>
    </row>
    <row r="60" spans="3:19" s="6" customFormat="1" ht="11.25" customHeight="1" x14ac:dyDescent="0.2">
      <c r="D60" s="280" t="s">
        <v>446</v>
      </c>
      <c r="I60" s="99"/>
      <c r="J60" s="265"/>
      <c r="O60" s="265"/>
    </row>
    <row r="61" spans="3:19" s="6" customFormat="1" ht="11.25" customHeight="1" x14ac:dyDescent="0.2">
      <c r="D61" s="100" t="s">
        <v>102</v>
      </c>
      <c r="E61" s="74" t="s">
        <v>35</v>
      </c>
      <c r="H61" s="98" t="s">
        <v>125</v>
      </c>
      <c r="I61" s="99" t="s">
        <v>121</v>
      </c>
      <c r="J61" s="267"/>
      <c r="O61" s="75">
        <v>6.8235433105251717</v>
      </c>
    </row>
    <row r="62" spans="3:19" s="6" customFormat="1" ht="11.25" customHeight="1" x14ac:dyDescent="0.2">
      <c r="D62" s="100" t="s">
        <v>105</v>
      </c>
      <c r="E62" s="74" t="s">
        <v>35</v>
      </c>
      <c r="H62" s="98" t="s">
        <v>125</v>
      </c>
      <c r="I62" s="99" t="s">
        <v>121</v>
      </c>
      <c r="J62" s="267"/>
      <c r="O62" s="75">
        <v>9.57</v>
      </c>
    </row>
    <row r="63" spans="3:19" s="6" customFormat="1" ht="11.25" customHeight="1" x14ac:dyDescent="0.2">
      <c r="D63" s="100" t="s">
        <v>107</v>
      </c>
      <c r="E63" s="74" t="s">
        <v>35</v>
      </c>
      <c r="H63" s="98" t="s">
        <v>125</v>
      </c>
      <c r="I63" s="99" t="s">
        <v>121</v>
      </c>
      <c r="J63" s="267"/>
      <c r="O63" s="75">
        <v>5.5056770322262905</v>
      </c>
    </row>
    <row r="64" spans="3:19" s="6" customFormat="1" ht="11.25" customHeight="1" x14ac:dyDescent="0.2">
      <c r="D64" s="100" t="s">
        <v>109</v>
      </c>
      <c r="E64" s="74" t="s">
        <v>35</v>
      </c>
      <c r="H64" s="98" t="s">
        <v>125</v>
      </c>
      <c r="I64" s="99" t="s">
        <v>121</v>
      </c>
      <c r="J64" s="267"/>
      <c r="O64" s="75">
        <v>1.54</v>
      </c>
    </row>
    <row r="65" spans="4:15" s="6" customFormat="1" ht="11.25" customHeight="1" x14ac:dyDescent="0.2">
      <c r="D65" s="100" t="s">
        <v>447</v>
      </c>
      <c r="E65" s="74" t="s">
        <v>35</v>
      </c>
      <c r="H65" s="98" t="s">
        <v>125</v>
      </c>
      <c r="I65" s="99" t="s">
        <v>121</v>
      </c>
      <c r="J65" s="267"/>
      <c r="O65" s="75">
        <v>2.5499999999999998</v>
      </c>
    </row>
    <row r="66" spans="4:15" s="6" customFormat="1" ht="11.25" customHeight="1" x14ac:dyDescent="0.2">
      <c r="D66" s="100" t="s">
        <v>111</v>
      </c>
      <c r="E66" s="74" t="s">
        <v>35</v>
      </c>
      <c r="H66" s="98" t="s">
        <v>125</v>
      </c>
      <c r="I66" s="99" t="s">
        <v>121</v>
      </c>
      <c r="J66" s="267"/>
      <c r="O66" s="75">
        <v>1.54</v>
      </c>
    </row>
    <row r="67" spans="4:15" s="6" customFormat="1" ht="11.25" customHeight="1" x14ac:dyDescent="0.2">
      <c r="D67" s="100" t="s">
        <v>452</v>
      </c>
      <c r="E67" s="74" t="s">
        <v>35</v>
      </c>
      <c r="H67" s="98" t="s">
        <v>125</v>
      </c>
      <c r="I67" s="99" t="s">
        <v>121</v>
      </c>
      <c r="J67" s="267"/>
      <c r="O67" s="75">
        <v>2.5499999999999998</v>
      </c>
    </row>
    <row r="68" spans="4:15" s="6" customFormat="1" ht="10.5" customHeight="1" x14ac:dyDescent="0.2">
      <c r="D68" s="265"/>
      <c r="H68" s="98"/>
      <c r="I68" s="99"/>
      <c r="J68" s="265"/>
    </row>
    <row r="69" spans="4:15" s="6" customFormat="1" ht="11.25" customHeight="1" x14ac:dyDescent="0.2">
      <c r="D69" s="280" t="s">
        <v>448</v>
      </c>
      <c r="H69" s="98"/>
      <c r="I69" s="99"/>
      <c r="J69" s="265"/>
    </row>
    <row r="70" spans="4:15" s="6" customFormat="1" ht="11.25" customHeight="1" x14ac:dyDescent="0.2">
      <c r="D70" s="100" t="s">
        <v>102</v>
      </c>
      <c r="E70" s="74" t="s">
        <v>35</v>
      </c>
      <c r="H70" s="98" t="s">
        <v>125</v>
      </c>
      <c r="I70" s="99" t="s">
        <v>432</v>
      </c>
      <c r="J70" s="267"/>
      <c r="O70" s="75">
        <v>64.040000000000006</v>
      </c>
    </row>
    <row r="71" spans="4:15" s="6" customFormat="1" ht="11.25" customHeight="1" x14ac:dyDescent="0.2">
      <c r="D71" s="100" t="s">
        <v>105</v>
      </c>
      <c r="E71" s="74" t="s">
        <v>35</v>
      </c>
      <c r="H71" s="98" t="s">
        <v>125</v>
      </c>
      <c r="I71" s="99" t="s">
        <v>432</v>
      </c>
      <c r="J71" s="267"/>
      <c r="O71" s="75">
        <v>135</v>
      </c>
    </row>
    <row r="72" spans="4:15" s="6" customFormat="1" ht="11.25" customHeight="1" x14ac:dyDescent="0.2">
      <c r="D72" s="100" t="s">
        <v>109</v>
      </c>
      <c r="E72" s="74" t="s">
        <v>35</v>
      </c>
      <c r="H72" s="98" t="s">
        <v>125</v>
      </c>
      <c r="I72" s="99" t="s">
        <v>432</v>
      </c>
      <c r="J72" s="267"/>
      <c r="O72" s="75">
        <v>135</v>
      </c>
    </row>
    <row r="73" spans="4:15" s="6" customFormat="1" ht="11.25" customHeight="1" x14ac:dyDescent="0.2">
      <c r="D73" s="100" t="s">
        <v>114</v>
      </c>
      <c r="E73" s="74" t="s">
        <v>35</v>
      </c>
      <c r="H73" s="98" t="s">
        <v>125</v>
      </c>
      <c r="I73" s="99" t="s">
        <v>432</v>
      </c>
      <c r="J73" s="267"/>
      <c r="O73" s="75">
        <v>7000</v>
      </c>
    </row>
    <row r="74" spans="4:15" s="6" customFormat="1" ht="11.25" customHeight="1" x14ac:dyDescent="0.2">
      <c r="D74" s="100" t="s">
        <v>111</v>
      </c>
      <c r="E74" s="74" t="s">
        <v>35</v>
      </c>
      <c r="H74" s="98" t="s">
        <v>125</v>
      </c>
      <c r="I74" s="99" t="s">
        <v>432</v>
      </c>
      <c r="J74" s="267"/>
      <c r="O74" s="75">
        <v>135</v>
      </c>
    </row>
    <row r="75" spans="4:15" s="6" customFormat="1" ht="11.25" customHeight="1" x14ac:dyDescent="0.2">
      <c r="D75" s="100" t="s">
        <v>116</v>
      </c>
      <c r="E75" s="74" t="s">
        <v>35</v>
      </c>
      <c r="H75" s="98" t="s">
        <v>125</v>
      </c>
      <c r="I75" s="99" t="s">
        <v>432</v>
      </c>
      <c r="J75" s="267"/>
      <c r="O75" s="75">
        <v>7000</v>
      </c>
    </row>
    <row r="76" spans="4:15" s="6" customFormat="1" ht="11.25" customHeight="1" x14ac:dyDescent="0.2">
      <c r="D76" s="265"/>
      <c r="H76" s="98"/>
      <c r="I76" s="99"/>
      <c r="J76" s="265"/>
    </row>
    <row r="77" spans="4:15" s="6" customFormat="1" ht="11.25" customHeight="1" x14ac:dyDescent="0.2">
      <c r="D77" s="280" t="s">
        <v>449</v>
      </c>
      <c r="H77" s="98"/>
      <c r="I77" s="99"/>
      <c r="J77" s="267"/>
    </row>
    <row r="78" spans="4:15" s="6" customFormat="1" ht="11.25" customHeight="1" x14ac:dyDescent="0.2">
      <c r="D78" s="100" t="s">
        <v>109</v>
      </c>
      <c r="E78" s="74" t="s">
        <v>35</v>
      </c>
      <c r="H78" s="98" t="s">
        <v>125</v>
      </c>
      <c r="I78" s="99" t="s">
        <v>123</v>
      </c>
      <c r="J78" s="267"/>
      <c r="O78" s="75">
        <v>20.51</v>
      </c>
    </row>
    <row r="79" spans="4:15" s="6" customFormat="1" ht="11.25" customHeight="1" x14ac:dyDescent="0.2">
      <c r="D79" s="100" t="s">
        <v>447</v>
      </c>
      <c r="E79" s="74" t="s">
        <v>35</v>
      </c>
      <c r="H79" s="98" t="s">
        <v>125</v>
      </c>
      <c r="I79" s="99" t="s">
        <v>123</v>
      </c>
      <c r="J79" s="267"/>
      <c r="O79" s="75">
        <v>11</v>
      </c>
    </row>
    <row r="80" spans="4:15" s="6" customFormat="1" ht="11.25" customHeight="1" x14ac:dyDescent="0.2">
      <c r="D80" s="100" t="s">
        <v>111</v>
      </c>
      <c r="E80" s="74" t="s">
        <v>35</v>
      </c>
      <c r="H80" s="98" t="s">
        <v>125</v>
      </c>
      <c r="I80" s="99" t="s">
        <v>123</v>
      </c>
      <c r="J80" s="267"/>
      <c r="O80" s="75">
        <v>9.5</v>
      </c>
    </row>
    <row r="81" spans="2:15" s="6" customFormat="1" ht="11.25" customHeight="1" x14ac:dyDescent="0.2">
      <c r="D81" s="100" t="s">
        <v>450</v>
      </c>
      <c r="E81" s="74" t="s">
        <v>35</v>
      </c>
      <c r="H81" s="98" t="s">
        <v>125</v>
      </c>
      <c r="I81" s="99" t="s">
        <v>123</v>
      </c>
      <c r="J81" s="267"/>
      <c r="O81" s="75">
        <v>8.27</v>
      </c>
    </row>
    <row r="82" spans="2:15" s="6" customFormat="1" ht="11.25" customHeight="1" x14ac:dyDescent="0.2"/>
    <row r="83" spans="2:15" s="6" customFormat="1" ht="11.25" customHeight="1" x14ac:dyDescent="0.2"/>
    <row r="84" spans="2:15" s="4" customFormat="1" ht="15.5" x14ac:dyDescent="0.2">
      <c r="B84" s="4" t="s">
        <v>33</v>
      </c>
    </row>
  </sheetData>
  <conditionalFormatting sqref="B2">
    <cfRule type="cellIs" dxfId="39" priority="1" operator="notEqual">
      <formula>"No Errors Found"</formula>
    </cfRule>
  </conditionalFormatting>
  <dataValidations disablePrompts="1" count="5">
    <dataValidation type="list" allowBlank="1" showInputMessage="1" showErrorMessage="1" sqref="I34:I40 I21:I27 I47:I52">
      <formula1>LU_Units</formula1>
    </dataValidation>
    <dataValidation type="list" allowBlank="1" showInputMessage="1" showErrorMessage="1" sqref="D34:D40 D21:D27 D47:D52">
      <formula1>LU_Tariff_Assignments</formula1>
    </dataValidation>
    <dataValidation type="list" allowBlank="1" showInputMessage="1" showErrorMessage="1" sqref="F34:F40 F21:F27 F47:F52">
      <formula1>LU_Tariff_Classes</formula1>
    </dataValidation>
    <dataValidation type="list" allowBlank="1" showInputMessage="1" showErrorMessage="1" sqref="K26:K27">
      <formula1>LU_Timing</formula1>
    </dataValidation>
    <dataValidation type="list" allowBlank="1" showInputMessage="1" showErrorMessage="1" sqref="J26:J27">
      <formula1>LU_Basis</formula1>
    </dataValidation>
  </dataValidations>
  <hyperlinks>
    <hyperlink ref="B3:E3" location="TOC!A1" display="TOC!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55"/>
  <sheetViews>
    <sheetView showGridLines="0" workbookViewId="0">
      <pane ySplit="11" topLeftCell="A36" activePane="bottomLeft" state="frozen"/>
      <selection pane="bottomLeft" activeCell="P24" sqref="P24"/>
    </sheetView>
  </sheetViews>
  <sheetFormatPr defaultColWidth="9.33203125" defaultRowHeight="10" outlineLevelRow="1" x14ac:dyDescent="0.2"/>
  <cols>
    <col min="1" max="1" width="3.6640625" style="7" bestFit="1" customWidth="1"/>
    <col min="2" max="3" width="2.77734375" style="7" customWidth="1"/>
    <col min="4" max="4" width="34.33203125" style="7" bestFit="1" customWidth="1"/>
    <col min="5" max="5" width="51.33203125" style="7" bestFit="1" customWidth="1"/>
    <col min="6" max="6" width="14.44140625" style="7" bestFit="1" customWidth="1"/>
    <col min="7" max="7" width="2.44140625" style="7" customWidth="1"/>
    <col min="8" max="8" width="12.33203125" style="7" bestFit="1" customWidth="1"/>
    <col min="9" max="9" width="11.6640625" style="7" customWidth="1"/>
    <col min="10" max="10" width="3.44140625" style="7" customWidth="1"/>
    <col min="11" max="11" width="10.44140625" style="7" customWidth="1"/>
    <col min="12" max="12" width="2.44140625" style="7" customWidth="1"/>
    <col min="13" max="19" width="16.44140625" style="7" customWidth="1"/>
    <col min="20" max="24" width="10.77734375" style="7" customWidth="1"/>
    <col min="25" max="16384" width="9.33203125" style="7"/>
  </cols>
  <sheetData>
    <row r="1" spans="1:22" ht="19" x14ac:dyDescent="0.2">
      <c r="A1" s="70">
        <f>IF(SUM($A6:$A55)&gt;0,1,0)</f>
        <v>0</v>
      </c>
      <c r="B1" s="5" t="s">
        <v>140</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t="s">
        <v>196</v>
      </c>
      <c r="E10" s="61" t="s">
        <v>100</v>
      </c>
      <c r="F10" s="61" t="s">
        <v>101</v>
      </c>
      <c r="H10" s="61" t="str">
        <f>Lookup!E19</f>
        <v>Source</v>
      </c>
      <c r="I10" s="61" t="str">
        <f>Lookup!F19</f>
        <v>Unit</v>
      </c>
      <c r="J10" s="61"/>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143</v>
      </c>
    </row>
    <row r="13" spans="1:22" s="6" customFormat="1" ht="11.25" customHeight="1" x14ac:dyDescent="0.2"/>
    <row r="14" spans="1:22" s="6" customFormat="1" ht="11.25" customHeight="1" x14ac:dyDescent="0.2">
      <c r="D14" s="124" t="s">
        <v>456</v>
      </c>
    </row>
    <row r="15" spans="1:22" s="6" customFormat="1" ht="11.25" customHeight="1" x14ac:dyDescent="0.2"/>
    <row r="16" spans="1:22" s="6" customFormat="1" ht="11.25" customHeight="1" x14ac:dyDescent="0.2"/>
    <row r="17" spans="3:19" s="13" customFormat="1" ht="14" x14ac:dyDescent="0.2">
      <c r="C17" s="13" t="str">
        <f>Inputs_Prices!C17</f>
        <v>System Access Charge</v>
      </c>
    </row>
    <row r="18" spans="3:19" s="6" customFormat="1" ht="11.25" customHeight="1" x14ac:dyDescent="0.2"/>
    <row r="19" spans="3:19" s="6" customFormat="1" ht="11.25" customHeight="1" x14ac:dyDescent="0.25">
      <c r="D19" s="83" t="str">
        <f>D$10</f>
        <v>Tariff</v>
      </c>
      <c r="E19" s="65" t="str">
        <f>E$10</f>
        <v>Tariff Components</v>
      </c>
      <c r="F19" s="65" t="str">
        <f>F$10</f>
        <v>Tariff Class</v>
      </c>
      <c r="H19" s="65" t="str">
        <f>Lookup!E$19</f>
        <v>Source</v>
      </c>
      <c r="I19" s="65" t="str">
        <f>Lookup!F$19</f>
        <v>Unit</v>
      </c>
      <c r="L19" s="7"/>
      <c r="M19" s="164"/>
      <c r="N19" s="164"/>
      <c r="O19" s="65" t="str">
        <f>O$10</f>
        <v>FY20</v>
      </c>
      <c r="P19" s="65" t="str">
        <f>P$10</f>
        <v>FY21</v>
      </c>
      <c r="Q19" s="65" t="str">
        <f>Q$10</f>
        <v>FY22</v>
      </c>
      <c r="R19" s="65" t="str">
        <f>R$10</f>
        <v>FY23</v>
      </c>
      <c r="S19" s="65" t="str">
        <f>S$10</f>
        <v>FY24</v>
      </c>
    </row>
    <row r="20" spans="3:19" s="6" customFormat="1" ht="11.25" customHeight="1" x14ac:dyDescent="0.25">
      <c r="D20" s="3"/>
      <c r="M20" s="164"/>
      <c r="N20" s="164"/>
    </row>
    <row r="21" spans="3:19" s="6" customFormat="1" ht="11.25" customHeight="1" x14ac:dyDescent="0.25">
      <c r="D21" s="90" t="str">
        <f>Inputs_Prices!D21</f>
        <v>LV Residential Accumulation</v>
      </c>
      <c r="E21" s="74" t="s">
        <v>35</v>
      </c>
      <c r="F21" s="74" t="str">
        <f>Inputs_Prices!F21</f>
        <v>LV &lt;750MWh</v>
      </c>
      <c r="H21" s="98" t="s">
        <v>125</v>
      </c>
      <c r="I21" s="99" t="s">
        <v>126</v>
      </c>
      <c r="J21" s="93"/>
      <c r="K21" s="93"/>
      <c r="M21" s="164"/>
      <c r="N21" s="164"/>
      <c r="O21" s="76">
        <f>'[2]Input Vol for 20-21 proposal'!O21</f>
        <v>23296264.780204296</v>
      </c>
      <c r="P21" s="76">
        <f>'[2]Input Vol for 20-21 proposal'!P21</f>
        <v>22240722</v>
      </c>
      <c r="Q21" s="76">
        <f>'[2]Input Vol for 20-21 proposal'!Q21</f>
        <v>21234954</v>
      </c>
      <c r="R21" s="76">
        <f>'[2]Input Vol for 20-21 proposal'!R21</f>
        <v>20131098</v>
      </c>
      <c r="S21" s="76">
        <f>'[2]Input Vol for 20-21 proposal'!S21</f>
        <v>19126714.783561643</v>
      </c>
    </row>
    <row r="22" spans="3:19" s="6" customFormat="1" ht="11.25" customHeight="1" x14ac:dyDescent="0.25">
      <c r="D22" s="90" t="str">
        <f>Inputs_Prices!D22</f>
        <v>LV Non-Residential Accumulation</v>
      </c>
      <c r="E22" s="74" t="s">
        <v>35</v>
      </c>
      <c r="F22" s="74" t="str">
        <f>Inputs_Prices!F22</f>
        <v>LV &lt;750MWh</v>
      </c>
      <c r="H22" s="98" t="s">
        <v>125</v>
      </c>
      <c r="I22" s="99" t="s">
        <v>126</v>
      </c>
      <c r="J22" s="93"/>
      <c r="K22" s="93"/>
      <c r="M22" s="164"/>
      <c r="N22" s="164"/>
      <c r="O22" s="76">
        <f>'[2]Input Vol for 20-21 proposal'!O22</f>
        <v>2950215.5897957049</v>
      </c>
      <c r="P22" s="76">
        <f>'[2]Input Vol for 20-21 proposal'!P22</f>
        <v>2818932</v>
      </c>
      <c r="Q22" s="76">
        <f>'[2]Input Vol for 20-21 proposal'!Q22</f>
        <v>2679486</v>
      </c>
      <c r="R22" s="76">
        <f>'[2]Input Vol for 20-21 proposal'!R22</f>
        <v>2545896</v>
      </c>
      <c r="S22" s="76">
        <f>'[2]Input Vol for 20-21 proposal'!S22</f>
        <v>2425521.1068493151</v>
      </c>
    </row>
    <row r="23" spans="3:19" s="6" customFormat="1" ht="11.25" customHeight="1" x14ac:dyDescent="0.25">
      <c r="D23" s="90" t="str">
        <f>Inputs_Prices!D23</f>
        <v>LV Unmetered</v>
      </c>
      <c r="E23" s="74" t="s">
        <v>35</v>
      </c>
      <c r="F23" s="74" t="str">
        <f>Inputs_Prices!F23</f>
        <v>LV &lt;750MWh</v>
      </c>
      <c r="H23" s="98" t="s">
        <v>125</v>
      </c>
      <c r="I23" s="99" t="s">
        <v>126</v>
      </c>
      <c r="J23" s="93"/>
      <c r="K23" s="93"/>
      <c r="M23" s="164"/>
      <c r="N23" s="164"/>
      <c r="O23" s="76">
        <f>'[2]Input Vol for 20-21 proposal'!O23</f>
        <v>0</v>
      </c>
      <c r="P23" s="76">
        <f>'[2]Input Vol for 20-21 proposal'!P23</f>
        <v>0</v>
      </c>
      <c r="Q23" s="76">
        <f>'[2]Input Vol for 20-21 proposal'!Q23</f>
        <v>0</v>
      </c>
      <c r="R23" s="76">
        <f>'[2]Input Vol for 20-21 proposal'!R23</f>
        <v>0</v>
      </c>
      <c r="S23" s="76">
        <f>'[2]Input Vol for 20-21 proposal'!S23</f>
        <v>0</v>
      </c>
    </row>
    <row r="24" spans="3:19" s="6" customFormat="1" ht="11.25" customHeight="1" x14ac:dyDescent="0.25">
      <c r="D24" s="90" t="str">
        <f>Inputs_Prices!D24</f>
        <v>LV Smart Meter</v>
      </c>
      <c r="E24" s="74" t="s">
        <v>35</v>
      </c>
      <c r="F24" s="74" t="str">
        <f>Inputs_Prices!F24</f>
        <v>LV &lt;750MWh</v>
      </c>
      <c r="H24" s="98" t="s">
        <v>125</v>
      </c>
      <c r="I24" s="99" t="s">
        <v>126</v>
      </c>
      <c r="J24" s="93"/>
      <c r="K24" s="93"/>
      <c r="M24" s="164"/>
      <c r="N24" s="164"/>
      <c r="O24" s="76">
        <f>'[2]Input Vol for 20-21 proposal'!O24</f>
        <v>5412153.6299999999</v>
      </c>
      <c r="P24" s="76">
        <f>'[2]Input Vol for 20-21 proposal'!P24</f>
        <v>6881532</v>
      </c>
      <c r="Q24" s="76">
        <f>'[2]Input Vol for 20-21 proposal'!Q24</f>
        <v>8417634</v>
      </c>
      <c r="R24" s="76">
        <f>'[2]Input Vol for 20-21 proposal'!R24</f>
        <v>9902862</v>
      </c>
      <c r="S24" s="76">
        <f>'[2]Input Vol for 20-21 proposal'!S24</f>
        <v>11367542.860273972</v>
      </c>
    </row>
    <row r="25" spans="3:19" s="6" customFormat="1" ht="11.25" customHeight="1" x14ac:dyDescent="0.25">
      <c r="D25" s="90" t="str">
        <f>Inputs_Prices!D25</f>
        <v>HV Smart meter &lt;750MWh</v>
      </c>
      <c r="E25" s="74" t="s">
        <v>35</v>
      </c>
      <c r="F25" s="74" t="str">
        <f>Inputs_Prices!F25</f>
        <v>HV</v>
      </c>
      <c r="H25" s="98" t="s">
        <v>125</v>
      </c>
      <c r="I25" s="99" t="s">
        <v>126</v>
      </c>
      <c r="J25" s="93"/>
      <c r="K25" s="93"/>
      <c r="M25" s="164"/>
      <c r="N25" s="164"/>
      <c r="O25" s="76">
        <f>'[2]Input Vol for 20-21 proposal'!O25</f>
        <v>10614</v>
      </c>
      <c r="P25" s="76">
        <f>'[2]Input Vol for 20-21 proposal'!P25</f>
        <v>10578.904109589041</v>
      </c>
      <c r="Q25" s="76">
        <f>'[2]Input Vol for 20-21 proposal'!Q25</f>
        <v>10578.904109589041</v>
      </c>
      <c r="R25" s="76">
        <f>'[2]Input Vol for 20-21 proposal'!R25</f>
        <v>10578.904109589041</v>
      </c>
      <c r="S25" s="76">
        <f>'[2]Input Vol for 20-21 proposal'!S25</f>
        <v>10614</v>
      </c>
    </row>
    <row r="26" spans="3:19" s="6" customFormat="1" ht="11.25" customHeight="1" x14ac:dyDescent="0.25">
      <c r="D26" s="90" t="str">
        <f>Inputs_Prices!D26</f>
        <v>LV &gt;750MWh</v>
      </c>
      <c r="E26" s="74" t="s">
        <v>35</v>
      </c>
      <c r="F26" s="74" t="str">
        <f>Inputs_Prices!F26</f>
        <v>LV &gt;750MWh</v>
      </c>
      <c r="H26" s="98" t="s">
        <v>125</v>
      </c>
      <c r="I26" s="99" t="s">
        <v>126</v>
      </c>
      <c r="J26" s="93"/>
      <c r="K26" s="93"/>
      <c r="M26" s="164"/>
      <c r="N26" s="164"/>
      <c r="O26" s="76">
        <f>'[2]Input Vol for 20-21 proposal'!O26</f>
        <v>61854</v>
      </c>
      <c r="P26" s="76">
        <f>'[2]Input Vol for 20-21 proposal'!P26</f>
        <v>62795.572602739725</v>
      </c>
      <c r="Q26" s="76">
        <f>'[2]Input Vol for 20-21 proposal'!Q26</f>
        <v>64625.572602739725</v>
      </c>
      <c r="R26" s="76">
        <f>'[2]Input Vol for 20-21 proposal'!R26</f>
        <v>65357.572602739725</v>
      </c>
      <c r="S26" s="76">
        <f>'[2]Input Vol for 20-21 proposal'!S26</f>
        <v>66625.035616438356</v>
      </c>
    </row>
    <row r="27" spans="3:19" s="6" customFormat="1" ht="11.25" customHeight="1" x14ac:dyDescent="0.25">
      <c r="D27" s="90" t="str">
        <f>Inputs_Prices!D27</f>
        <v>HV &gt;750MWh</v>
      </c>
      <c r="E27" s="74" t="s">
        <v>35</v>
      </c>
      <c r="F27" s="74" t="str">
        <f>Inputs_Prices!F27</f>
        <v>HV</v>
      </c>
      <c r="H27" s="98" t="s">
        <v>125</v>
      </c>
      <c r="I27" s="99" t="s">
        <v>126</v>
      </c>
      <c r="J27" s="93"/>
      <c r="K27" s="93"/>
      <c r="M27" s="164"/>
      <c r="N27" s="164"/>
      <c r="O27" s="76">
        <f>'[2]Input Vol for 20-21 proposal'!O27</f>
        <v>13542</v>
      </c>
      <c r="P27" s="76">
        <f>'[2]Input Vol for 20-21 proposal'!P27</f>
        <v>13867.890410958906</v>
      </c>
      <c r="Q27" s="76">
        <f>'[2]Input Vol for 20-21 proposal'!Q27</f>
        <v>14233.890410958906</v>
      </c>
      <c r="R27" s="76">
        <f>'[2]Input Vol for 20-21 proposal'!R27</f>
        <v>14599.890410958906</v>
      </c>
      <c r="S27" s="76">
        <f>'[2]Input Vol for 20-21 proposal'!S27</f>
        <v>15010.010958904111</v>
      </c>
    </row>
    <row r="28" spans="3:19" s="6" customFormat="1" ht="11.25" customHeight="1" x14ac:dyDescent="0.2"/>
    <row r="29" spans="3:19" s="6" customFormat="1" ht="11.25" customHeight="1" x14ac:dyDescent="0.2"/>
    <row r="30" spans="3:19" s="13" customFormat="1" ht="14" x14ac:dyDescent="0.2">
      <c r="C30" s="13" t="str">
        <f>Inputs_Prices!C30</f>
        <v>Consumption</v>
      </c>
    </row>
    <row r="31" spans="3:19" s="6" customFormat="1" ht="11.25" customHeight="1" x14ac:dyDescent="0.2"/>
    <row r="32" spans="3:19" s="6" customFormat="1" ht="11.25" customHeight="1" x14ac:dyDescent="0.25">
      <c r="D32" s="83" t="str">
        <f>D$10</f>
        <v>Tariff</v>
      </c>
      <c r="E32" s="65" t="str">
        <f>E$10</f>
        <v>Tariff Components</v>
      </c>
      <c r="F32" s="65" t="str">
        <f>F$10</f>
        <v>Tariff Class</v>
      </c>
      <c r="H32" s="65" t="str">
        <f>Lookup!E$19</f>
        <v>Source</v>
      </c>
      <c r="I32" s="65" t="str">
        <f>Lookup!F$19</f>
        <v>Unit</v>
      </c>
      <c r="L32" s="7"/>
      <c r="M32" s="164"/>
      <c r="N32" s="164"/>
      <c r="O32" s="65" t="str">
        <f>O$10</f>
        <v>FY20</v>
      </c>
      <c r="P32" s="65" t="str">
        <f>P$10</f>
        <v>FY21</v>
      </c>
      <c r="Q32" s="65" t="str">
        <f>Q$10</f>
        <v>FY22</v>
      </c>
      <c r="R32" s="65" t="str">
        <f>R$10</f>
        <v>FY23</v>
      </c>
      <c r="S32" s="65" t="str">
        <f>S$10</f>
        <v>FY24</v>
      </c>
    </row>
    <row r="33" spans="3:19" s="6" customFormat="1" ht="11.25" customHeight="1" x14ac:dyDescent="0.25">
      <c r="D33" s="3"/>
      <c r="M33" s="164"/>
      <c r="N33" s="164"/>
    </row>
    <row r="34" spans="3:19" s="6" customFormat="1" ht="11.25" customHeight="1" x14ac:dyDescent="0.25">
      <c r="D34" s="90" t="str">
        <f>Inputs_Prices!D34</f>
        <v>LV Residential Accumulation</v>
      </c>
      <c r="E34" s="74" t="s">
        <v>35</v>
      </c>
      <c r="F34" s="74" t="str">
        <f>Inputs_Prices!F34</f>
        <v>LV &lt;750MWh</v>
      </c>
      <c r="H34" s="98" t="s">
        <v>125</v>
      </c>
      <c r="I34" s="99" t="s">
        <v>128</v>
      </c>
      <c r="M34" s="164"/>
      <c r="N34" s="164"/>
      <c r="O34" s="76">
        <f>'[2]Input Vol for 20-21 proposal'!O34</f>
        <v>492552907.46713793</v>
      </c>
      <c r="P34" s="76">
        <f>'[2]Input Vol for 20-21 proposal'!P34</f>
        <v>454471193.78437859</v>
      </c>
      <c r="Q34" s="76">
        <f>'[2]Input Vol for 20-21 proposal'!Q34</f>
        <v>422605271.96639299</v>
      </c>
      <c r="R34" s="76">
        <f>'[2]Input Vol for 20-21 proposal'!R34</f>
        <v>390908205.06185406</v>
      </c>
      <c r="S34" s="76">
        <f>'[2]Input Vol for 20-21 proposal'!S34</f>
        <v>361601612.01272613</v>
      </c>
    </row>
    <row r="35" spans="3:19" s="6" customFormat="1" ht="11.25" customHeight="1" x14ac:dyDescent="0.25">
      <c r="D35" s="90" t="str">
        <f>Inputs_Prices!D35</f>
        <v>LV Non-Residential Accumulation</v>
      </c>
      <c r="E35" s="74" t="s">
        <v>35</v>
      </c>
      <c r="F35" s="74" t="str">
        <f>Inputs_Prices!F35</f>
        <v>LV &lt;750MWh</v>
      </c>
      <c r="H35" s="98" t="s">
        <v>125</v>
      </c>
      <c r="I35" s="99" t="s">
        <v>128</v>
      </c>
      <c r="M35" s="164"/>
      <c r="N35" s="164"/>
      <c r="O35" s="76">
        <f>'[2]Input Vol for 20-21 proposal'!O35</f>
        <v>65373739.799752839</v>
      </c>
      <c r="P35" s="76">
        <f>'[2]Input Vol for 20-21 proposal'!P35</f>
        <v>60319371.012798727</v>
      </c>
      <c r="Q35" s="76">
        <f>'[2]Input Vol for 20-21 proposal'!Q35</f>
        <v>56089988.849325769</v>
      </c>
      <c r="R35" s="76">
        <f>'[2]Input Vol for 20-21 proposal'!R35</f>
        <v>51883017.836022109</v>
      </c>
      <c r="S35" s="76">
        <f>'[2]Input Vol for 20-21 proposal'!S35</f>
        <v>47993320.791570581</v>
      </c>
    </row>
    <row r="36" spans="3:19" s="6" customFormat="1" ht="11.25" customHeight="1" x14ac:dyDescent="0.25">
      <c r="D36" s="90" t="str">
        <f>Inputs_Prices!D36</f>
        <v>LV Unmetered</v>
      </c>
      <c r="E36" s="74" t="s">
        <v>35</v>
      </c>
      <c r="F36" s="74" t="str">
        <f>Inputs_Prices!F36</f>
        <v>LV &lt;750MWh</v>
      </c>
      <c r="H36" s="98" t="s">
        <v>125</v>
      </c>
      <c r="I36" s="99" t="s">
        <v>128</v>
      </c>
      <c r="J36" s="93"/>
      <c r="K36" s="93"/>
      <c r="M36" s="164"/>
      <c r="N36" s="164"/>
      <c r="O36" s="76">
        <f>'[2]Input Vol for 20-21 proposal'!O36</f>
        <v>20840620.350000001</v>
      </c>
      <c r="P36" s="76">
        <f>'[2]Input Vol for 20-21 proposal'!P36</f>
        <v>20841074.378337059</v>
      </c>
      <c r="Q36" s="76">
        <f>'[2]Input Vol for 20-21 proposal'!Q36</f>
        <v>20851058.459466796</v>
      </c>
      <c r="R36" s="76">
        <f>'[2]Input Vol for 20-21 proposal'!R36</f>
        <v>20869034.680003494</v>
      </c>
      <c r="S36" s="76">
        <f>'[2]Input Vol for 20-21 proposal'!S36</f>
        <v>20911835.273932721</v>
      </c>
    </row>
    <row r="37" spans="3:19" s="6" customFormat="1" ht="11.25" customHeight="1" x14ac:dyDescent="0.25">
      <c r="D37" s="90" t="str">
        <f>Inputs_Prices!D37</f>
        <v>LV Smart Meter</v>
      </c>
      <c r="E37" s="74" t="s">
        <v>35</v>
      </c>
      <c r="F37" s="74" t="str">
        <f>Inputs_Prices!F37</f>
        <v>LV &lt;750MWh</v>
      </c>
      <c r="H37" s="98" t="s">
        <v>125</v>
      </c>
      <c r="I37" s="99" t="s">
        <v>128</v>
      </c>
      <c r="J37" s="93"/>
      <c r="K37" s="93"/>
      <c r="M37" s="164"/>
      <c r="N37" s="164"/>
      <c r="O37" s="76">
        <f>'[2]Input Vol for 20-21 proposal'!O37</f>
        <v>501412338.55348194</v>
      </c>
      <c r="P37" s="76">
        <f>'[2]Input Vol for 20-21 proposal'!P37</f>
        <v>523218952.19620085</v>
      </c>
      <c r="Q37" s="76">
        <f>'[2]Input Vol for 20-21 proposal'!Q37</f>
        <v>549281502.13265562</v>
      </c>
      <c r="R37" s="76">
        <f>'[2]Input Vol for 20-21 proposal'!R37</f>
        <v>575636975.14487016</v>
      </c>
      <c r="S37" s="76">
        <f>'[2]Input Vol for 20-21 proposal'!S37</f>
        <v>600578413.11949575</v>
      </c>
    </row>
    <row r="38" spans="3:19" s="6" customFormat="1" ht="11.25" customHeight="1" x14ac:dyDescent="0.25">
      <c r="D38" s="90" t="str">
        <f>Inputs_Prices!D38</f>
        <v>HV Smart meter &lt;750MWh</v>
      </c>
      <c r="E38" s="74" t="s">
        <v>35</v>
      </c>
      <c r="F38" s="74" t="str">
        <f>Inputs_Prices!F38</f>
        <v>HV</v>
      </c>
      <c r="H38" s="98" t="s">
        <v>125</v>
      </c>
      <c r="I38" s="99" t="s">
        <v>128</v>
      </c>
      <c r="J38" s="93"/>
      <c r="K38" s="93"/>
      <c r="M38" s="164"/>
      <c r="N38" s="164"/>
      <c r="O38" s="76">
        <f>'[2]Input Vol for 20-21 proposal'!O38</f>
        <v>8432456.1999999993</v>
      </c>
      <c r="P38" s="76">
        <f>'[2]Input Vol for 20-21 proposal'!P38</f>
        <v>8263720.0652003055</v>
      </c>
      <c r="Q38" s="76">
        <f>'[2]Input Vol for 20-21 proposal'!Q38</f>
        <v>8184871.1668565823</v>
      </c>
      <c r="R38" s="76">
        <f>'[2]Input Vol for 20-21 proposal'!R38</f>
        <v>8109878.5635576947</v>
      </c>
      <c r="S38" s="76">
        <f>'[2]Input Vol for 20-21 proposal'!S38</f>
        <v>8045117.4394581709</v>
      </c>
    </row>
    <row r="39" spans="3:19" s="6" customFormat="1" ht="11.25" customHeight="1" x14ac:dyDescent="0.25">
      <c r="D39" s="90" t="str">
        <f>Inputs_Prices!D39</f>
        <v>LV &gt;750MWh</v>
      </c>
      <c r="E39" s="74" t="s">
        <v>35</v>
      </c>
      <c r="F39" s="74" t="str">
        <f>Inputs_Prices!F39</f>
        <v>LV &gt;750MWh</v>
      </c>
      <c r="H39" s="98" t="s">
        <v>125</v>
      </c>
      <c r="I39" s="99" t="s">
        <v>128</v>
      </c>
      <c r="J39" s="93"/>
      <c r="K39" s="93"/>
      <c r="M39" s="164"/>
      <c r="N39" s="164"/>
      <c r="O39" s="76">
        <f>'[2]Input Vol for 20-21 proposal'!O39</f>
        <v>235338545.95413524</v>
      </c>
      <c r="P39" s="76">
        <f>'[2]Input Vol for 20-21 proposal'!P39</f>
        <v>230629346.68030077</v>
      </c>
      <c r="Q39" s="76">
        <f>'[2]Input Vol for 20-21 proposal'!Q39</f>
        <v>228428779.65140858</v>
      </c>
      <c r="R39" s="76">
        <f>'[2]Input Vol for 20-21 proposal'!R39</f>
        <v>226335836.64653701</v>
      </c>
      <c r="S39" s="76">
        <f>'[2]Input Vol for 20-21 proposal'!S39</f>
        <v>224528440.50732705</v>
      </c>
    </row>
    <row r="40" spans="3:19" s="6" customFormat="1" ht="11.25" customHeight="1" x14ac:dyDescent="0.25">
      <c r="D40" s="90" t="str">
        <f>Inputs_Prices!D40</f>
        <v>HV &gt;750MWh</v>
      </c>
      <c r="E40" s="74" t="s">
        <v>35</v>
      </c>
      <c r="F40" s="74" t="str">
        <f>Inputs_Prices!F40</f>
        <v>HV</v>
      </c>
      <c r="H40" s="98" t="s">
        <v>125</v>
      </c>
      <c r="I40" s="99" t="s">
        <v>128</v>
      </c>
      <c r="J40" s="93"/>
      <c r="K40" s="93"/>
      <c r="M40" s="164"/>
      <c r="N40" s="164"/>
      <c r="O40" s="76">
        <f>'[2]Input Vol for 20-21 proposal'!O40</f>
        <v>315392312</v>
      </c>
      <c r="P40" s="76">
        <f>'[2]Input Vol for 20-21 proposal'!P40</f>
        <v>309081211.36571276</v>
      </c>
      <c r="Q40" s="76">
        <f>'[2]Input Vol for 20-21 proposal'!Q40</f>
        <v>306132090.04714853</v>
      </c>
      <c r="R40" s="76">
        <f>'[2]Input Vol for 20-21 proposal'!R40</f>
        <v>303327202.60079151</v>
      </c>
      <c r="S40" s="76">
        <f>'[2]Input Vol for 20-21 proposal'!S40</f>
        <v>300904994.86285299</v>
      </c>
    </row>
    <row r="41" spans="3:19" s="6" customFormat="1" ht="11.25" customHeight="1" x14ac:dyDescent="0.25">
      <c r="M41" s="164"/>
      <c r="N41" s="164"/>
    </row>
    <row r="42" spans="3:19" s="6" customFormat="1" ht="11.25" customHeight="1" x14ac:dyDescent="0.25">
      <c r="M42" s="164"/>
      <c r="N42" s="164"/>
      <c r="O42" s="163"/>
      <c r="P42" s="163"/>
      <c r="Q42" s="163"/>
      <c r="R42" s="163"/>
      <c r="S42" s="163"/>
    </row>
    <row r="43" spans="3:19" s="13" customFormat="1" ht="14" x14ac:dyDescent="0.2">
      <c r="C43" s="13" t="str">
        <f>Inputs_Prices!C43</f>
        <v>Demand</v>
      </c>
    </row>
    <row r="44" spans="3:19" s="6" customFormat="1" ht="11.25" customHeight="1" x14ac:dyDescent="0.25">
      <c r="M44" s="164"/>
      <c r="N44" s="164"/>
    </row>
    <row r="45" spans="3:19" s="6" customFormat="1" ht="11.25" customHeight="1" x14ac:dyDescent="0.25">
      <c r="D45" s="83" t="str">
        <f>D$10</f>
        <v>Tariff</v>
      </c>
      <c r="E45" s="65" t="str">
        <f>E$10</f>
        <v>Tariff Components</v>
      </c>
      <c r="F45" s="65" t="str">
        <f>F$10</f>
        <v>Tariff Class</v>
      </c>
      <c r="H45" s="65" t="str">
        <f>Lookup!E$19</f>
        <v>Source</v>
      </c>
      <c r="I45" s="65" t="str">
        <f>Lookup!F$19</f>
        <v>Unit</v>
      </c>
      <c r="K45" s="65" t="s">
        <v>180</v>
      </c>
      <c r="L45" s="7"/>
      <c r="M45" s="164"/>
      <c r="N45" s="164"/>
      <c r="O45" s="65" t="str">
        <f>O$10</f>
        <v>FY20</v>
      </c>
      <c r="P45" s="65" t="str">
        <f>P$10</f>
        <v>FY21</v>
      </c>
      <c r="Q45" s="65" t="str">
        <f>Q$10</f>
        <v>FY22</v>
      </c>
      <c r="R45" s="65" t="str">
        <f>R$10</f>
        <v>FY23</v>
      </c>
      <c r="S45" s="65" t="str">
        <f>S$10</f>
        <v>FY24</v>
      </c>
    </row>
    <row r="46" spans="3:19" s="6" customFormat="1" ht="11.25" customHeight="1" x14ac:dyDescent="0.25">
      <c r="D46" s="3"/>
      <c r="M46" s="164"/>
      <c r="N46" s="164"/>
    </row>
    <row r="47" spans="3:19" s="6" customFormat="1" ht="11.25" customHeight="1" x14ac:dyDescent="0.25">
      <c r="D47" s="90" t="str">
        <f>Inputs_Prices!D47</f>
        <v>LV Smart Meter</v>
      </c>
      <c r="E47" s="74" t="s">
        <v>35</v>
      </c>
      <c r="F47" s="74" t="str">
        <f>Inputs_Prices!F47</f>
        <v>LV &lt;750MWh</v>
      </c>
      <c r="H47" s="98" t="s">
        <v>125</v>
      </c>
      <c r="I47" s="99" t="s">
        <v>129</v>
      </c>
      <c r="K47" s="99" t="s">
        <v>9</v>
      </c>
      <c r="M47" s="164"/>
      <c r="N47" s="164"/>
      <c r="O47" s="76">
        <f>'[2]Input Vol for 20-21 proposal'!O47</f>
        <v>1192396.0202147996</v>
      </c>
      <c r="P47" s="76">
        <f>'[2]Input Vol for 20-21 proposal'!P47</f>
        <v>1237571.1324846344</v>
      </c>
      <c r="Q47" s="76">
        <f>'[2]Input Vol for 20-21 proposal'!Q47</f>
        <v>1289955.4029275004</v>
      </c>
      <c r="R47" s="76">
        <f>'[2]Input Vol for 20-21 proposal'!R47</f>
        <v>1344114.4975494184</v>
      </c>
      <c r="S47" s="76">
        <f>'[2]Input Vol for 20-21 proposal'!S47</f>
        <v>1395943.5795902263</v>
      </c>
    </row>
    <row r="48" spans="3:19" s="6" customFormat="1" ht="11.25" customHeight="1" x14ac:dyDescent="0.25">
      <c r="D48" s="90" t="str">
        <f>Inputs_Prices!D48</f>
        <v>HV Smart meter &lt;750MWh</v>
      </c>
      <c r="E48" s="74" t="s">
        <v>35</v>
      </c>
      <c r="F48" s="74" t="str">
        <f>Inputs_Prices!F48</f>
        <v>HV</v>
      </c>
      <c r="H48" s="98" t="s">
        <v>125</v>
      </c>
      <c r="I48" s="99" t="s">
        <v>129</v>
      </c>
      <c r="K48" s="99" t="s">
        <v>9</v>
      </c>
      <c r="M48" s="164"/>
      <c r="N48" s="164"/>
      <c r="O48" s="76">
        <f>'[2]Input Vol for 20-21 proposal'!O48</f>
        <v>40208.76</v>
      </c>
      <c r="P48" s="76">
        <f>'[2]Input Vol for 20-21 proposal'!P48</f>
        <v>39599.684723427039</v>
      </c>
      <c r="Q48" s="76">
        <f>'[2]Input Vol for 20-21 proposal'!Q48</f>
        <v>39318.162013930589</v>
      </c>
      <c r="R48" s="76">
        <f>'[2]Input Vol for 20-21 proposal'!R48</f>
        <v>39053.587972112575</v>
      </c>
      <c r="S48" s="76">
        <f>'[2]Input Vol for 20-21 proposal'!S48</f>
        <v>38836.868605031101</v>
      </c>
    </row>
    <row r="49" spans="2:19" s="6" customFormat="1" ht="11.25" customHeight="1" x14ac:dyDescent="0.25">
      <c r="D49" s="90" t="str">
        <f>Inputs_Prices!D49</f>
        <v>LV &gt;750MWh</v>
      </c>
      <c r="E49" s="98" t="s">
        <v>476</v>
      </c>
      <c r="F49" s="74" t="str">
        <f>Inputs_Prices!F49</f>
        <v>LV &gt;750MWh</v>
      </c>
      <c r="H49" s="98" t="s">
        <v>125</v>
      </c>
      <c r="I49" s="99" t="s">
        <v>129</v>
      </c>
      <c r="K49" s="99" t="s">
        <v>9</v>
      </c>
      <c r="M49" s="164"/>
      <c r="N49" s="164"/>
      <c r="O49" s="76">
        <f>'[2]Input Vol for 20-21 proposal'!O49</f>
        <v>644860.56830605969</v>
      </c>
      <c r="P49" s="76">
        <f>'[2]Input Vol for 20-21 proposal'!P49</f>
        <v>638076.56328352704</v>
      </c>
      <c r="Q49" s="76">
        <f>'[2]Input Vol for 20-21 proposal'!Q49</f>
        <v>629193.09047971189</v>
      </c>
      <c r="R49" s="76">
        <f>'[2]Input Vol for 20-21 proposal'!R49</f>
        <v>622908.50289972709</v>
      </c>
      <c r="S49" s="76">
        <f>'[2]Input Vol for 20-21 proposal'!S49</f>
        <v>619323.66875845997</v>
      </c>
    </row>
    <row r="50" spans="2:19" s="6" customFormat="1" ht="11.25" customHeight="1" x14ac:dyDescent="0.25">
      <c r="D50" s="90" t="str">
        <f>Inputs_Prices!D50</f>
        <v>LV &gt;750MWh</v>
      </c>
      <c r="E50" s="98" t="s">
        <v>473</v>
      </c>
      <c r="F50" s="74" t="str">
        <f>Inputs_Prices!F50</f>
        <v>LV &gt;750MWh</v>
      </c>
      <c r="H50" s="98" t="s">
        <v>125</v>
      </c>
      <c r="I50" s="99" t="s">
        <v>129</v>
      </c>
      <c r="K50" s="99" t="s">
        <v>10</v>
      </c>
      <c r="M50" s="164"/>
      <c r="N50" s="164"/>
      <c r="O50" s="76">
        <f>'[2]Input Vol for 20-21 proposal'!O50</f>
        <v>640811.01160714182</v>
      </c>
      <c r="P50" s="76">
        <f>'[2]Input Vol for 20-21 proposal'!P50</f>
        <v>634069.60837224312</v>
      </c>
      <c r="Q50" s="76">
        <f>'[2]Input Vol for 20-21 proposal'!Q50</f>
        <v>625241.92146784638</v>
      </c>
      <c r="R50" s="76">
        <f>'[2]Input Vol for 20-21 proposal'!R50</f>
        <v>618996.79946380982</v>
      </c>
      <c r="S50" s="76">
        <f>'[2]Input Vol for 20-21 proposal'!S50</f>
        <v>615434.4771488579</v>
      </c>
    </row>
    <row r="51" spans="2:19" s="6" customFormat="1" ht="11.25" customHeight="1" x14ac:dyDescent="0.25">
      <c r="D51" s="90" t="str">
        <f>Inputs_Prices!D51</f>
        <v>HV &gt;750MWh</v>
      </c>
      <c r="E51" s="98" t="s">
        <v>474</v>
      </c>
      <c r="F51" s="74" t="str">
        <f>Inputs_Prices!F51</f>
        <v>HV</v>
      </c>
      <c r="H51" s="98" t="s">
        <v>125</v>
      </c>
      <c r="I51" s="99" t="s">
        <v>129</v>
      </c>
      <c r="K51" s="99" t="s">
        <v>9</v>
      </c>
      <c r="M51" s="164"/>
      <c r="N51" s="164"/>
      <c r="O51" s="76">
        <f>'[2]Input Vol for 20-21 proposal'!O51</f>
        <v>750450.4800000001</v>
      </c>
      <c r="P51" s="76">
        <f>'[2]Input Vol for 20-21 proposal'!P51</f>
        <v>742555.65734266897</v>
      </c>
      <c r="Q51" s="76">
        <f>'[2]Input Vol for 20-21 proposal'!Q51</f>
        <v>732217.59860975237</v>
      </c>
      <c r="R51" s="76">
        <f>'[2]Input Vol for 20-21 proposal'!R51</f>
        <v>724903.96834950789</v>
      </c>
      <c r="S51" s="76">
        <f>'[2]Input Vol for 20-21 proposal'!S51</f>
        <v>720732.15100750304</v>
      </c>
    </row>
    <row r="52" spans="2:19" s="6" customFormat="1" ht="11.25" customHeight="1" x14ac:dyDescent="0.25">
      <c r="D52" s="90" t="str">
        <f>Inputs_Prices!D52</f>
        <v>HV &gt;750MWh</v>
      </c>
      <c r="E52" s="98" t="s">
        <v>475</v>
      </c>
      <c r="F52" s="74" t="str">
        <f>Inputs_Prices!F52</f>
        <v>HV</v>
      </c>
      <c r="H52" s="98" t="s">
        <v>125</v>
      </c>
      <c r="I52" s="99" t="s">
        <v>129</v>
      </c>
      <c r="K52" s="99" t="s">
        <v>10</v>
      </c>
      <c r="M52" s="164"/>
      <c r="N52" s="164"/>
      <c r="O52" s="76">
        <f>'[2]Input Vol for 20-21 proposal'!O52</f>
        <v>738429.57030295534</v>
      </c>
      <c r="P52" s="76">
        <f>'[2]Input Vol for 20-21 proposal'!P52</f>
        <v>730661.20895488746</v>
      </c>
      <c r="Q52" s="76">
        <f>'[2]Input Vol for 20-21 proposal'!Q52</f>
        <v>720488.74791799881</v>
      </c>
      <c r="R52" s="76">
        <f>'[2]Input Vol for 20-21 proposal'!R52</f>
        <v>713292.26927702699</v>
      </c>
      <c r="S52" s="76">
        <f>'[2]Input Vol for 20-21 proposal'!S52</f>
        <v>709187.27718315949</v>
      </c>
    </row>
    <row r="53" spans="2:19" s="6" customFormat="1" ht="11.25" customHeight="1" x14ac:dyDescent="0.25">
      <c r="M53" s="164"/>
      <c r="N53" s="164"/>
      <c r="O53" s="164"/>
      <c r="P53" s="164"/>
      <c r="Q53" s="164"/>
      <c r="R53" s="164"/>
      <c r="S53" s="164"/>
    </row>
    <row r="54" spans="2:19" s="6" customFormat="1" ht="11.25" customHeight="1" x14ac:dyDescent="0.25">
      <c r="M54" s="164"/>
      <c r="N54" s="164"/>
      <c r="O54" s="164"/>
      <c r="P54" s="164"/>
      <c r="Q54" s="164"/>
      <c r="R54" s="164"/>
      <c r="S54" s="164"/>
    </row>
    <row r="55" spans="2:19" s="4" customFormat="1" ht="15.5" x14ac:dyDescent="0.2">
      <c r="B55" s="4" t="s">
        <v>33</v>
      </c>
    </row>
  </sheetData>
  <conditionalFormatting sqref="B2">
    <cfRule type="cellIs" dxfId="38" priority="1" operator="notEqual">
      <formula>"No Errors Found"</formula>
    </cfRule>
  </conditionalFormatting>
  <dataValidations count="4">
    <dataValidation type="list" allowBlank="1" showInputMessage="1" showErrorMessage="1" sqref="J21:J27 J36:J40">
      <formula1>LU_Basis</formula1>
    </dataValidation>
    <dataValidation type="list" allowBlank="1" showInputMessage="1" showErrorMessage="1" sqref="I21:I27 I34:I40 I47:I52">
      <formula1>LU_Units</formula1>
    </dataValidation>
    <dataValidation type="list" allowBlank="1" showInputMessage="1" showErrorMessage="1" sqref="K21:K27 K36:K40">
      <formula1>LU_Timing</formula1>
    </dataValidation>
    <dataValidation type="list" allowBlank="1" showInputMessage="1" showErrorMessage="1" sqref="K47:K52">
      <formula1>Yes_No</formula1>
    </dataValidation>
  </dataValidations>
  <hyperlinks>
    <hyperlink ref="B3:E3" location="TOC!A1" display="TOC!A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203"/>
  <sheetViews>
    <sheetView showGridLines="0" zoomScaleNormal="100" workbookViewId="0">
      <pane ySplit="11" topLeftCell="A51" activePane="bottomLeft" state="frozen"/>
      <selection pane="bottomLeft" activeCell="N73" sqref="N73"/>
    </sheetView>
  </sheetViews>
  <sheetFormatPr defaultColWidth="9.33203125" defaultRowHeight="10" outlineLevelRow="1" x14ac:dyDescent="0.2"/>
  <cols>
    <col min="1" max="1" width="3.33203125" style="7" customWidth="1"/>
    <col min="2" max="3" width="2.77734375" style="7" customWidth="1"/>
    <col min="4" max="4" width="34.33203125" style="7" bestFit="1" customWidth="1"/>
    <col min="5" max="5" width="39.6640625" style="7" bestFit="1" customWidth="1"/>
    <col min="6" max="6" width="14.44140625" style="7" bestFit="1" customWidth="1"/>
    <col min="7" max="7" width="2.44140625" style="7" customWidth="1"/>
    <col min="8" max="8" width="12.33203125" style="7" bestFit="1" customWidth="1"/>
    <col min="9" max="9" width="10.77734375" style="7" customWidth="1"/>
    <col min="10" max="11" width="12.77734375" style="7" customWidth="1"/>
    <col min="12" max="12" width="2.44140625" style="7" customWidth="1"/>
    <col min="13" max="19" width="12.77734375" style="7" customWidth="1"/>
    <col min="20" max="20" width="4.33203125" style="7" customWidth="1"/>
    <col min="21" max="24" width="10.77734375" style="7" customWidth="1"/>
    <col min="25" max="16384" width="9.33203125" style="7"/>
  </cols>
  <sheetData>
    <row r="1" spans="1:22" ht="19" x14ac:dyDescent="0.2">
      <c r="A1" s="70">
        <f>IF(SUM($A11:$A203)&gt;0,1,0)</f>
        <v>0</v>
      </c>
      <c r="B1" s="5" t="s">
        <v>141</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t="s">
        <v>196</v>
      </c>
      <c r="E10" s="61" t="s">
        <v>100</v>
      </c>
      <c r="F10" s="61" t="s">
        <v>101</v>
      </c>
      <c r="H10" s="61" t="str">
        <f>Lookup!E19</f>
        <v>Source</v>
      </c>
      <c r="I10" s="61" t="str">
        <f>Lookup!F19</f>
        <v>Unit</v>
      </c>
      <c r="J10" s="61" t="str">
        <f>Lookup!G19</f>
        <v>Basis</v>
      </c>
      <c r="K10" s="61"/>
      <c r="L10" s="61"/>
      <c r="M10" s="61" t="str">
        <f>Lookup!M19</f>
        <v>FY18</v>
      </c>
      <c r="N10" s="61" t="str">
        <f>Lookup!N19</f>
        <v>FY19</v>
      </c>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213</v>
      </c>
    </row>
    <row r="13" spans="1:22" s="6" customFormat="1" ht="11.25" customHeight="1" x14ac:dyDescent="0.2"/>
    <row r="14" spans="1:22" s="6" customFormat="1" ht="11.25" customHeight="1" x14ac:dyDescent="0.2">
      <c r="D14" s="124" t="s">
        <v>267</v>
      </c>
    </row>
    <row r="15" spans="1:22" s="6" customFormat="1" ht="11.25" customHeight="1" x14ac:dyDescent="0.2"/>
    <row r="16" spans="1:22" s="6" customFormat="1" ht="11.25" customHeight="1" x14ac:dyDescent="0.2"/>
    <row r="17" spans="2:19" s="4" customFormat="1" ht="15.5" x14ac:dyDescent="0.2">
      <c r="B17" s="4" t="s">
        <v>214</v>
      </c>
    </row>
    <row r="18" spans="2:19" s="6" customFormat="1" ht="11.25" customHeight="1" x14ac:dyDescent="0.2"/>
    <row r="19" spans="2:19" s="6" customFormat="1" ht="11.25" customHeight="1" x14ac:dyDescent="0.2">
      <c r="D19" s="124" t="s">
        <v>297</v>
      </c>
    </row>
    <row r="20" spans="2:19" s="6" customFormat="1" ht="11.25" customHeight="1" x14ac:dyDescent="0.2">
      <c r="D20" s="124" t="s">
        <v>321</v>
      </c>
    </row>
    <row r="21" spans="2:19" s="6" customFormat="1" ht="11.25" customHeight="1" x14ac:dyDescent="0.2">
      <c r="D21" s="124"/>
    </row>
    <row r="22" spans="2:19" s="6" customFormat="1" ht="11.25" customHeight="1" x14ac:dyDescent="0.2"/>
    <row r="23" spans="2:19" s="13" customFormat="1" ht="14" x14ac:dyDescent="0.2">
      <c r="C23" s="13" t="s">
        <v>278</v>
      </c>
    </row>
    <row r="24" spans="2:19" s="6" customFormat="1" ht="11.25" customHeight="1" x14ac:dyDescent="0.2"/>
    <row r="25" spans="2:19" s="6" customFormat="1" ht="11.25" customHeight="1" x14ac:dyDescent="0.2"/>
    <row r="26" spans="2:19" s="6" customFormat="1" ht="11.25" customHeight="1" x14ac:dyDescent="0.2">
      <c r="D26" s="83" t="s">
        <v>148</v>
      </c>
      <c r="H26" s="65" t="str">
        <f>Lookup!E$19</f>
        <v>Source</v>
      </c>
      <c r="I26" s="65" t="str">
        <f>Lookup!F$19</f>
        <v>Unit</v>
      </c>
      <c r="J26" s="65" t="str">
        <f>Lookup!G$19</f>
        <v>Basis</v>
      </c>
      <c r="L26" s="7"/>
      <c r="N26" s="65" t="str">
        <f t="shared" ref="N26:S26" si="0">N$10</f>
        <v>FY19</v>
      </c>
      <c r="O26" s="65" t="str">
        <f t="shared" si="0"/>
        <v>FY20</v>
      </c>
      <c r="P26" s="65" t="str">
        <f t="shared" si="0"/>
        <v>FY21</v>
      </c>
      <c r="Q26" s="65" t="str">
        <f t="shared" si="0"/>
        <v>FY22</v>
      </c>
      <c r="R26" s="65" t="str">
        <f t="shared" si="0"/>
        <v>FY23</v>
      </c>
      <c r="S26" s="65" t="str">
        <f t="shared" si="0"/>
        <v>FY24</v>
      </c>
    </row>
    <row r="27" spans="2:19" s="6" customFormat="1" ht="11.25" customHeight="1" x14ac:dyDescent="0.2">
      <c r="N27" s="84"/>
      <c r="O27" s="84"/>
      <c r="P27" s="84"/>
      <c r="Q27" s="84"/>
      <c r="R27" s="84"/>
      <c r="S27" s="84"/>
    </row>
    <row r="28" spans="2:19" s="6" customFormat="1" ht="11.25" customHeight="1" x14ac:dyDescent="0.2">
      <c r="D28" s="96" t="s">
        <v>330</v>
      </c>
      <c r="H28" s="98" t="s">
        <v>152</v>
      </c>
      <c r="I28" s="99" t="s">
        <v>72</v>
      </c>
      <c r="J28" s="99" t="s">
        <v>35</v>
      </c>
      <c r="N28" s="112"/>
      <c r="O28" s="111">
        <v>2.4248746575396697E-2</v>
      </c>
      <c r="P28" s="111">
        <v>2.4248746575396697E-2</v>
      </c>
      <c r="Q28" s="111">
        <v>2.4248746575396697E-2</v>
      </c>
      <c r="R28" s="111">
        <v>2.4248746575396697E-2</v>
      </c>
      <c r="S28" s="111">
        <v>2.4248746575396697E-2</v>
      </c>
    </row>
    <row r="29" spans="2:19" s="6" customFormat="1" ht="11.25" customHeight="1" x14ac:dyDescent="0.2">
      <c r="D29" s="96" t="s">
        <v>280</v>
      </c>
      <c r="N29" s="84"/>
      <c r="O29" s="84"/>
      <c r="P29" s="84"/>
      <c r="Q29" s="84"/>
      <c r="R29" s="84"/>
      <c r="S29" s="84"/>
    </row>
    <row r="30" spans="2:19" s="6" customFormat="1" ht="11.25" customHeight="1" x14ac:dyDescent="0.2">
      <c r="D30" s="145" t="s">
        <v>463</v>
      </c>
      <c r="H30" s="98" t="s">
        <v>279</v>
      </c>
      <c r="I30" s="99" t="s">
        <v>74</v>
      </c>
      <c r="J30" s="99" t="s">
        <v>35</v>
      </c>
      <c r="N30" s="87">
        <v>112.1</v>
      </c>
      <c r="O30" s="87">
        <v>114.1</v>
      </c>
      <c r="P30" s="87">
        <v>116.2</v>
      </c>
      <c r="Q30" s="87"/>
      <c r="R30" s="87"/>
      <c r="S30" s="87"/>
    </row>
    <row r="31" spans="2:19" s="6" customFormat="1" ht="11.25" customHeight="1" x14ac:dyDescent="0.2">
      <c r="D31" s="145" t="s">
        <v>281</v>
      </c>
      <c r="H31" s="98" t="s">
        <v>279</v>
      </c>
      <c r="I31" s="99" t="s">
        <v>35</v>
      </c>
      <c r="J31" s="99" t="s">
        <v>35</v>
      </c>
      <c r="N31" s="146">
        <v>43070</v>
      </c>
      <c r="O31" s="146">
        <v>43435</v>
      </c>
      <c r="P31" s="146">
        <v>43800</v>
      </c>
      <c r="Q31" s="146">
        <v>44166</v>
      </c>
      <c r="R31" s="146">
        <v>44531</v>
      </c>
      <c r="S31" s="146">
        <v>44896</v>
      </c>
    </row>
    <row r="32" spans="2:19" s="6" customFormat="1" ht="11.25" customHeight="1" x14ac:dyDescent="0.2">
      <c r="N32" s="84"/>
      <c r="O32" s="84"/>
      <c r="P32" s="84"/>
      <c r="Q32" s="84"/>
      <c r="R32" s="84"/>
      <c r="S32" s="84"/>
    </row>
    <row r="33" spans="3:19" s="6" customFormat="1" ht="11.25" customHeight="1" x14ac:dyDescent="0.2">
      <c r="D33" s="153" t="s">
        <v>149</v>
      </c>
      <c r="E33" s="108"/>
      <c r="F33" s="108"/>
      <c r="G33" s="108"/>
      <c r="H33" s="149" t="s">
        <v>279</v>
      </c>
      <c r="I33" s="150" t="s">
        <v>72</v>
      </c>
      <c r="J33" s="150" t="s">
        <v>35</v>
      </c>
      <c r="K33" s="108"/>
      <c r="L33" s="108"/>
      <c r="N33" s="158"/>
      <c r="O33" s="152">
        <f>IF(O30=0,O28,O30/N30-1)</f>
        <v>1.7841213202497874E-2</v>
      </c>
      <c r="P33" s="152">
        <f>IF(P30=0,P28,P30/O30-1)</f>
        <v>1.8404907975460238E-2</v>
      </c>
      <c r="Q33" s="152">
        <f>IF(Q30=0,Q28,Q30/P30-1)</f>
        <v>2.4248746575396697E-2</v>
      </c>
      <c r="R33" s="152">
        <f>IF(R30=0,R28,R30/Q30-1)</f>
        <v>2.4248746575396697E-2</v>
      </c>
      <c r="S33" s="152">
        <f>IF(S30=0,S28,S30/R30-1)</f>
        <v>2.4248746575396697E-2</v>
      </c>
    </row>
    <row r="34" spans="3:19" s="6" customFormat="1" ht="11.25" customHeight="1" x14ac:dyDescent="0.2">
      <c r="D34" s="96"/>
      <c r="H34" s="98"/>
      <c r="I34" s="99"/>
      <c r="J34" s="99"/>
      <c r="O34" s="147"/>
      <c r="P34" s="147"/>
      <c r="Q34" s="147"/>
      <c r="R34" s="147"/>
      <c r="S34" s="147"/>
    </row>
    <row r="35" spans="3:19" s="6" customFormat="1" ht="11.25" customHeight="1" x14ac:dyDescent="0.2">
      <c r="D35" s="96" t="s">
        <v>179</v>
      </c>
      <c r="H35" s="98" t="s">
        <v>89</v>
      </c>
      <c r="I35" s="99" t="s">
        <v>74</v>
      </c>
      <c r="J35" s="99" t="s">
        <v>35</v>
      </c>
      <c r="N35" s="104">
        <v>1</v>
      </c>
      <c r="O35" s="105">
        <f>N35*(1+O$33)</f>
        <v>1.0178412132024979</v>
      </c>
      <c r="P35" s="105">
        <f>O35*(1+P$33)</f>
        <v>1.0365744870651206</v>
      </c>
      <c r="Q35" s="105">
        <f>P35*(1+Q$33)</f>
        <v>1.0617101191084846</v>
      </c>
      <c r="R35" s="105">
        <f>Q35*(1+R$33)</f>
        <v>1.0874552587232804</v>
      </c>
      <c r="S35" s="105">
        <f>R35*(1+S$33)</f>
        <v>1.1138246857041436</v>
      </c>
    </row>
    <row r="36" spans="3:19" s="6" customFormat="1" ht="11.25" customHeight="1" x14ac:dyDescent="0.2"/>
    <row r="37" spans="3:19" s="6" customFormat="1" ht="11.25" customHeight="1" x14ac:dyDescent="0.2"/>
    <row r="38" spans="3:19" s="13" customFormat="1" ht="14" x14ac:dyDescent="0.2">
      <c r="C38" s="13" t="s">
        <v>464</v>
      </c>
    </row>
    <row r="39" spans="3:19" s="6" customFormat="1" ht="11.25" customHeight="1" x14ac:dyDescent="0.2"/>
    <row r="40" spans="3:19" s="6" customFormat="1" ht="11.25" customHeight="1" x14ac:dyDescent="0.2"/>
    <row r="41" spans="3:19" s="6" customFormat="1" ht="11.25" customHeight="1" x14ac:dyDescent="0.2">
      <c r="D41" s="83" t="s">
        <v>148</v>
      </c>
      <c r="H41" s="65" t="str">
        <f>Lookup!E$19</f>
        <v>Source</v>
      </c>
      <c r="I41" s="65" t="str">
        <f>Lookup!F$19</f>
        <v>Unit</v>
      </c>
      <c r="J41" s="65" t="str">
        <f>Lookup!G$19</f>
        <v>Basis</v>
      </c>
      <c r="L41" s="7"/>
      <c r="O41" s="65" t="str">
        <f>O$10</f>
        <v>FY20</v>
      </c>
      <c r="P41" s="65" t="str">
        <f>P$10</f>
        <v>FY21</v>
      </c>
      <c r="Q41" s="65" t="str">
        <f>Q$10</f>
        <v>FY22</v>
      </c>
      <c r="R41" s="65" t="str">
        <f>R$10</f>
        <v>FY23</v>
      </c>
      <c r="S41" s="65" t="str">
        <f>S$10</f>
        <v>FY24</v>
      </c>
    </row>
    <row r="42" spans="3:19" s="6" customFormat="1" ht="11.25" customHeight="1" x14ac:dyDescent="0.2">
      <c r="O42" s="84"/>
      <c r="P42" s="84"/>
      <c r="Q42" s="84"/>
      <c r="R42" s="84"/>
      <c r="S42" s="84"/>
    </row>
    <row r="43" spans="3:19" s="6" customFormat="1" ht="11.25" customHeight="1" x14ac:dyDescent="0.2">
      <c r="D43" s="148" t="s">
        <v>298</v>
      </c>
      <c r="O43" s="84"/>
      <c r="P43" s="84"/>
      <c r="Q43" s="84"/>
      <c r="R43" s="84"/>
      <c r="S43" s="84"/>
    </row>
    <row r="44" spans="3:19" s="6" customFormat="1" ht="11.25" customHeight="1" x14ac:dyDescent="0.2">
      <c r="D44" s="145" t="s">
        <v>292</v>
      </c>
      <c r="H44" s="98" t="s">
        <v>152</v>
      </c>
      <c r="I44" s="99" t="s">
        <v>76</v>
      </c>
      <c r="J44" s="99" t="s">
        <v>69</v>
      </c>
      <c r="O44" s="79">
        <v>141736.93093372628</v>
      </c>
      <c r="P44" s="79">
        <v>146625.61259083584</v>
      </c>
      <c r="Q44" s="79">
        <v>151682.91091113343</v>
      </c>
      <c r="R44" s="79">
        <v>156914.64169141237</v>
      </c>
      <c r="S44" s="79">
        <v>162326.82132247416</v>
      </c>
    </row>
    <row r="45" spans="3:19" s="6" customFormat="1" ht="11.25" customHeight="1" x14ac:dyDescent="0.2">
      <c r="D45" s="96"/>
      <c r="H45" s="97"/>
      <c r="I45" s="97"/>
      <c r="J45" s="97"/>
    </row>
    <row r="46" spans="3:19" s="6" customFormat="1" ht="11.25" customHeight="1" x14ac:dyDescent="0.2">
      <c r="D46" s="148" t="s">
        <v>284</v>
      </c>
      <c r="O46" s="84"/>
      <c r="P46" s="84"/>
      <c r="Q46" s="84"/>
      <c r="R46" s="84"/>
      <c r="S46" s="84"/>
    </row>
    <row r="47" spans="3:19" s="6" customFormat="1" ht="11.25" customHeight="1" x14ac:dyDescent="0.2">
      <c r="D47" s="145" t="s">
        <v>292</v>
      </c>
      <c r="H47" s="98" t="s">
        <v>152</v>
      </c>
      <c r="I47" s="99" t="s">
        <v>72</v>
      </c>
      <c r="J47" s="99" t="s">
        <v>35</v>
      </c>
      <c r="O47" s="68">
        <v>0.23049416540600617</v>
      </c>
      <c r="P47" s="68">
        <v>-0.01</v>
      </c>
      <c r="Q47" s="68">
        <v>-0.01</v>
      </c>
      <c r="R47" s="68">
        <v>-0.01</v>
      </c>
      <c r="S47" s="68">
        <v>-0.01</v>
      </c>
    </row>
    <row r="48" spans="3:19" s="6" customFormat="1" ht="11.25" customHeight="1" x14ac:dyDescent="0.2">
      <c r="D48" s="145" t="s">
        <v>285</v>
      </c>
      <c r="H48" s="98" t="s">
        <v>152</v>
      </c>
      <c r="I48" s="99" t="s">
        <v>72</v>
      </c>
      <c r="J48" s="99" t="s">
        <v>35</v>
      </c>
      <c r="O48" s="68">
        <f>'[3]X factors'!G63</f>
        <v>0.23049416540600617</v>
      </c>
      <c r="P48" s="68">
        <f>'[3]X factors'!H63</f>
        <v>-8.7803842624104653E-3</v>
      </c>
      <c r="Q48" s="68">
        <f>'[3]X factors'!I63</f>
        <v>-0.01</v>
      </c>
      <c r="R48" s="68">
        <f>'[3]X factors'!J63</f>
        <v>-0.01</v>
      </c>
      <c r="S48" s="68">
        <f>'[3]X factors'!K63</f>
        <v>-0.01</v>
      </c>
    </row>
    <row r="49" spans="4:19" s="6" customFormat="1" ht="11.25" customHeight="1" x14ac:dyDescent="0.2">
      <c r="D49" s="145" t="s">
        <v>286</v>
      </c>
      <c r="H49" s="98" t="s">
        <v>152</v>
      </c>
      <c r="I49" s="99" t="s">
        <v>72</v>
      </c>
      <c r="J49" s="99" t="s">
        <v>35</v>
      </c>
      <c r="O49" s="68"/>
      <c r="P49" s="68"/>
      <c r="Q49" s="68"/>
      <c r="R49" s="68"/>
      <c r="S49" s="68"/>
    </row>
    <row r="50" spans="4:19" s="6" customFormat="1" ht="11.25" customHeight="1" x14ac:dyDescent="0.2">
      <c r="D50" s="145" t="s">
        <v>287</v>
      </c>
      <c r="H50" s="98" t="s">
        <v>152</v>
      </c>
      <c r="I50" s="99" t="s">
        <v>72</v>
      </c>
      <c r="J50" s="99" t="s">
        <v>35</v>
      </c>
      <c r="O50" s="68"/>
      <c r="P50" s="68"/>
      <c r="Q50" s="68"/>
      <c r="R50" s="68"/>
      <c r="S50" s="68"/>
    </row>
    <row r="51" spans="4:19" s="6" customFormat="1" ht="11.25" customHeight="1" x14ac:dyDescent="0.2">
      <c r="D51" s="145" t="s">
        <v>288</v>
      </c>
      <c r="H51" s="98" t="s">
        <v>152</v>
      </c>
      <c r="I51" s="99" t="s">
        <v>72</v>
      </c>
      <c r="J51" s="99" t="s">
        <v>35</v>
      </c>
      <c r="O51" s="68"/>
      <c r="P51" s="68"/>
      <c r="Q51" s="68"/>
      <c r="R51" s="68"/>
      <c r="S51" s="68"/>
    </row>
    <row r="52" spans="4:19" s="6" customFormat="1" ht="11.25" customHeight="1" x14ac:dyDescent="0.2">
      <c r="O52" s="84"/>
      <c r="P52" s="84"/>
      <c r="Q52" s="84"/>
      <c r="R52" s="84"/>
      <c r="S52" s="84"/>
    </row>
    <row r="53" spans="4:19" s="6" customFormat="1" ht="11.25" customHeight="1" x14ac:dyDescent="0.2">
      <c r="D53" s="151" t="s">
        <v>293</v>
      </c>
      <c r="E53" s="108"/>
      <c r="F53" s="108"/>
      <c r="G53" s="108"/>
      <c r="H53" s="149" t="s">
        <v>89</v>
      </c>
      <c r="I53" s="150" t="s">
        <v>72</v>
      </c>
      <c r="J53" s="150" t="s">
        <v>35</v>
      </c>
      <c r="K53" s="108"/>
      <c r="L53" s="108"/>
      <c r="O53" s="152">
        <f>LOOKUP(2,1/(O47:O51&lt;&gt;""),O47:O51)</f>
        <v>0.23049416540600617</v>
      </c>
      <c r="P53" s="152">
        <f>LOOKUP(2,1/(P47:P51&lt;&gt;""),P47:P51)</f>
        <v>-8.7803842624104653E-3</v>
      </c>
      <c r="Q53" s="152">
        <f>LOOKUP(2,1/(Q47:Q51&lt;&gt;""),Q47:Q51)</f>
        <v>-0.01</v>
      </c>
      <c r="R53" s="152">
        <f>LOOKUP(2,1/(R47:R51&lt;&gt;""),R47:R51)</f>
        <v>-0.01</v>
      </c>
      <c r="S53" s="152">
        <f>LOOKUP(2,1/(S47:S51&lt;&gt;""),S47:S51)</f>
        <v>-0.01</v>
      </c>
    </row>
    <row r="54" spans="4:19" s="6" customFormat="1" ht="11.25" customHeight="1" x14ac:dyDescent="0.2">
      <c r="O54" s="84"/>
      <c r="P54" s="84"/>
      <c r="Q54" s="84"/>
      <c r="R54" s="84"/>
      <c r="S54" s="84"/>
    </row>
    <row r="55" spans="4:19" s="6" customFormat="1" ht="11.25" customHeight="1" x14ac:dyDescent="0.2">
      <c r="D55" s="148" t="s">
        <v>151</v>
      </c>
      <c r="O55" s="84"/>
      <c r="P55" s="84"/>
      <c r="Q55" s="84"/>
      <c r="R55" s="84"/>
      <c r="S55" s="84"/>
    </row>
    <row r="56" spans="4:19" s="6" customFormat="1" ht="11.25" customHeight="1" x14ac:dyDescent="0.2">
      <c r="D56" s="145" t="s">
        <v>292</v>
      </c>
      <c r="H56" s="98" t="s">
        <v>152</v>
      </c>
      <c r="I56" s="99" t="s">
        <v>72</v>
      </c>
      <c r="J56" s="99" t="s">
        <v>35</v>
      </c>
      <c r="O56" s="111">
        <v>2.3943609272164726E-2</v>
      </c>
      <c r="P56" s="111">
        <v>2.3943609272164726E-2</v>
      </c>
      <c r="Q56" s="111">
        <v>2.3943609272164726E-2</v>
      </c>
      <c r="R56" s="111">
        <v>2.3943609272164726E-2</v>
      </c>
      <c r="S56" s="111">
        <v>2.3943609272164726E-2</v>
      </c>
    </row>
    <row r="57" spans="4:19" s="6" customFormat="1" ht="11.25" customHeight="1" x14ac:dyDescent="0.2">
      <c r="D57" s="145" t="s">
        <v>285</v>
      </c>
      <c r="H57" s="98" t="s">
        <v>152</v>
      </c>
      <c r="I57" s="99" t="s">
        <v>72</v>
      </c>
      <c r="J57" s="99" t="s">
        <v>35</v>
      </c>
      <c r="O57" s="111">
        <f>[3]WACC!G19</f>
        <v>2.3943609272164726E-2</v>
      </c>
      <c r="P57" s="111">
        <f>[3]WACC!H19</f>
        <v>2.3289091085008852E-2</v>
      </c>
      <c r="Q57" s="111">
        <f>[3]WACC!I19</f>
        <v>2.3943609272164726E-2</v>
      </c>
      <c r="R57" s="111">
        <f>[3]WACC!J19</f>
        <v>2.3943609272164726E-2</v>
      </c>
      <c r="S57" s="111">
        <f>[3]WACC!K19</f>
        <v>2.3943609272164726E-2</v>
      </c>
    </row>
    <row r="58" spans="4:19" s="6" customFormat="1" ht="11.25" customHeight="1" x14ac:dyDescent="0.2">
      <c r="D58" s="145" t="s">
        <v>286</v>
      </c>
      <c r="H58" s="98" t="s">
        <v>152</v>
      </c>
      <c r="I58" s="99" t="s">
        <v>72</v>
      </c>
      <c r="J58" s="99" t="s">
        <v>35</v>
      </c>
      <c r="O58" s="68"/>
      <c r="P58" s="68"/>
      <c r="Q58" s="68"/>
      <c r="R58" s="68"/>
      <c r="S58" s="68"/>
    </row>
    <row r="59" spans="4:19" s="6" customFormat="1" ht="11.25" customHeight="1" x14ac:dyDescent="0.2">
      <c r="D59" s="145" t="s">
        <v>287</v>
      </c>
      <c r="H59" s="98" t="s">
        <v>152</v>
      </c>
      <c r="I59" s="99" t="s">
        <v>72</v>
      </c>
      <c r="J59" s="99" t="s">
        <v>35</v>
      </c>
      <c r="O59" s="68"/>
      <c r="P59" s="68"/>
      <c r="Q59" s="68"/>
      <c r="R59" s="68"/>
      <c r="S59" s="68"/>
    </row>
    <row r="60" spans="4:19" s="6" customFormat="1" ht="11.25" customHeight="1" x14ac:dyDescent="0.2">
      <c r="D60" s="145" t="s">
        <v>288</v>
      </c>
      <c r="H60" s="98" t="s">
        <v>152</v>
      </c>
      <c r="I60" s="99" t="s">
        <v>72</v>
      </c>
      <c r="J60" s="99" t="s">
        <v>35</v>
      </c>
      <c r="O60" s="68"/>
      <c r="P60" s="68"/>
      <c r="Q60" s="68"/>
      <c r="R60" s="68"/>
      <c r="S60" s="68"/>
    </row>
    <row r="61" spans="4:19" s="6" customFormat="1" ht="11.25" customHeight="1" x14ac:dyDescent="0.2">
      <c r="O61" s="84"/>
      <c r="P61" s="84"/>
      <c r="Q61" s="84"/>
      <c r="R61" s="84"/>
      <c r="S61" s="84"/>
    </row>
    <row r="62" spans="4:19" s="6" customFormat="1" ht="11.25" customHeight="1" x14ac:dyDescent="0.2">
      <c r="D62" s="151" t="s">
        <v>293</v>
      </c>
      <c r="E62" s="108"/>
      <c r="F62" s="108"/>
      <c r="G62" s="108"/>
      <c r="H62" s="149" t="s">
        <v>89</v>
      </c>
      <c r="I62" s="150" t="s">
        <v>72</v>
      </c>
      <c r="J62" s="150" t="s">
        <v>35</v>
      </c>
      <c r="K62" s="108"/>
      <c r="L62" s="108"/>
      <c r="O62" s="152">
        <f>LOOKUP(2,1/(O56:O60&lt;&gt;""),O56:O60)</f>
        <v>2.3943609272164726E-2</v>
      </c>
      <c r="P62" s="152">
        <f>LOOKUP(2,1/(P56:P60&lt;&gt;""),P56:P60)</f>
        <v>2.3289091085008852E-2</v>
      </c>
      <c r="Q62" s="152">
        <f>LOOKUP(2,1/(Q56:Q60&lt;&gt;""),Q56:Q60)</f>
        <v>2.3943609272164726E-2</v>
      </c>
      <c r="R62" s="152">
        <f>LOOKUP(2,1/(R56:R60&lt;&gt;""),R56:R60)</f>
        <v>2.3943609272164726E-2</v>
      </c>
      <c r="S62" s="152">
        <f>LOOKUP(2,1/(S56:S60&lt;&gt;""),S56:S60)</f>
        <v>2.3943609272164726E-2</v>
      </c>
    </row>
    <row r="63" spans="4:19" s="6" customFormat="1" ht="11.25" customHeight="1" x14ac:dyDescent="0.2"/>
    <row r="64" spans="4:19" s="6" customFormat="1" ht="11.25" customHeight="1" x14ac:dyDescent="0.2">
      <c r="D64" s="148" t="s">
        <v>318</v>
      </c>
      <c r="O64" s="84"/>
      <c r="P64" s="84"/>
      <c r="Q64" s="84"/>
      <c r="R64" s="84"/>
      <c r="S64" s="84"/>
    </row>
    <row r="65" spans="3:19" s="6" customFormat="1" ht="11.25" customHeight="1" x14ac:dyDescent="0.2">
      <c r="D65" s="145" t="s">
        <v>292</v>
      </c>
      <c r="H65" s="98" t="s">
        <v>152</v>
      </c>
      <c r="I65" s="99" t="s">
        <v>72</v>
      </c>
      <c r="J65" s="99" t="s">
        <v>35</v>
      </c>
      <c r="O65" s="68">
        <v>0.02</v>
      </c>
    </row>
    <row r="66" spans="3:19" s="6" customFormat="1" ht="11.25" customHeight="1" x14ac:dyDescent="0.2"/>
    <row r="67" spans="3:19" s="6" customFormat="1" ht="11.25" customHeight="1" x14ac:dyDescent="0.2"/>
    <row r="68" spans="3:19" s="13" customFormat="1" ht="14" x14ac:dyDescent="0.2">
      <c r="C68" s="13" t="s">
        <v>283</v>
      </c>
    </row>
    <row r="71" spans="3:19" s="6" customFormat="1" ht="11.25" customHeight="1" x14ac:dyDescent="0.2">
      <c r="D71" s="83" t="s">
        <v>148</v>
      </c>
      <c r="E71" s="7"/>
      <c r="F71" s="7"/>
      <c r="H71" s="65" t="str">
        <f>Lookup!E$19</f>
        <v>Source</v>
      </c>
      <c r="I71" s="65" t="str">
        <f>Lookup!F$19</f>
        <v>Unit</v>
      </c>
      <c r="J71" s="65" t="str">
        <f>Lookup!G$19</f>
        <v>Basis</v>
      </c>
      <c r="K71" s="7"/>
      <c r="L71" s="7"/>
      <c r="M71" s="65" t="str">
        <f t="shared" ref="M71:S71" si="1">M$10</f>
        <v>FY18</v>
      </c>
      <c r="N71" s="65" t="str">
        <f t="shared" si="1"/>
        <v>FY19</v>
      </c>
      <c r="O71" s="65" t="str">
        <f t="shared" si="1"/>
        <v>FY20</v>
      </c>
      <c r="P71" s="65" t="str">
        <f t="shared" si="1"/>
        <v>FY21</v>
      </c>
      <c r="Q71" s="65" t="str">
        <f t="shared" si="1"/>
        <v>FY22</v>
      </c>
      <c r="R71" s="65" t="str">
        <f t="shared" si="1"/>
        <v>FY23</v>
      </c>
      <c r="S71" s="65" t="str">
        <f t="shared" si="1"/>
        <v>FY24</v>
      </c>
    </row>
    <row r="73" spans="3:19" ht="12.5" x14ac:dyDescent="0.2">
      <c r="D73" s="12" t="s">
        <v>184</v>
      </c>
      <c r="H73" s="102" t="str">
        <f>H84</f>
        <v>Calculated</v>
      </c>
      <c r="I73" s="102" t="str">
        <f>I84</f>
        <v>$000's</v>
      </c>
      <c r="J73" s="102" t="str">
        <f>J84</f>
        <v>Nominal</v>
      </c>
      <c r="M73" s="79">
        <v>0</v>
      </c>
      <c r="N73" s="79">
        <v>0</v>
      </c>
      <c r="O73" s="79"/>
      <c r="P73" s="79"/>
      <c r="Q73" s="79"/>
      <c r="R73" s="79"/>
      <c r="S73" s="79"/>
    </row>
    <row r="74" spans="3:19" ht="12.5" x14ac:dyDescent="0.2">
      <c r="D74" s="12" t="s">
        <v>186</v>
      </c>
      <c r="H74" s="102" t="str">
        <f t="shared" ref="H74:J75" si="2">H73</f>
        <v>Calculated</v>
      </c>
      <c r="I74" s="102" t="str">
        <f t="shared" si="2"/>
        <v>$000's</v>
      </c>
      <c r="J74" s="102" t="str">
        <f t="shared" si="2"/>
        <v>Nominal</v>
      </c>
      <c r="M74" s="79">
        <v>0</v>
      </c>
      <c r="N74" s="79">
        <v>0</v>
      </c>
      <c r="O74" s="79"/>
      <c r="P74" s="79"/>
      <c r="Q74" s="79"/>
      <c r="R74" s="79"/>
      <c r="S74" s="79"/>
    </row>
    <row r="75" spans="3:19" ht="12.5" x14ac:dyDescent="0.2">
      <c r="D75" s="12" t="s">
        <v>301</v>
      </c>
      <c r="H75" s="102" t="str">
        <f t="shared" si="2"/>
        <v>Calculated</v>
      </c>
      <c r="I75" s="102" t="str">
        <f t="shared" si="2"/>
        <v>$000's</v>
      </c>
      <c r="J75" s="102" t="str">
        <f t="shared" si="2"/>
        <v>Nominal</v>
      </c>
      <c r="M75" s="79">
        <v>37611.109027434679</v>
      </c>
      <c r="N75" s="79">
        <v>34020.688188122811</v>
      </c>
      <c r="O75" s="79"/>
      <c r="P75" s="79"/>
      <c r="Q75" s="79"/>
      <c r="R75" s="79"/>
      <c r="S75" s="79"/>
    </row>
    <row r="76" spans="3:19" x14ac:dyDescent="0.2">
      <c r="M76" s="283"/>
    </row>
    <row r="78" spans="3:19" s="13" customFormat="1" ht="14" x14ac:dyDescent="0.2">
      <c r="C78" s="13" t="s">
        <v>486</v>
      </c>
    </row>
    <row r="81" spans="2:19" s="6" customFormat="1" ht="11.25" customHeight="1" x14ac:dyDescent="0.2">
      <c r="D81" s="83" t="s">
        <v>148</v>
      </c>
      <c r="E81" s="7"/>
      <c r="F81" s="7"/>
      <c r="H81" s="65" t="str">
        <f>Lookup!E$19</f>
        <v>Source</v>
      </c>
      <c r="I81" s="65" t="str">
        <f>Lookup!F$19</f>
        <v>Unit</v>
      </c>
      <c r="J81" s="65" t="str">
        <f>Lookup!G$19</f>
        <v>Basis</v>
      </c>
      <c r="K81" s="7"/>
      <c r="L81" s="7"/>
      <c r="M81" s="65" t="str">
        <f>M$10</f>
        <v>FY18</v>
      </c>
      <c r="N81" s="65" t="str">
        <f>N$10</f>
        <v>FY19</v>
      </c>
      <c r="O81" s="65" t="str">
        <f t="shared" ref="O81:S81" si="3">O$10</f>
        <v>FY20</v>
      </c>
      <c r="P81" s="65" t="str">
        <f t="shared" si="3"/>
        <v>FY21</v>
      </c>
      <c r="Q81" s="65" t="str">
        <f t="shared" si="3"/>
        <v>FY22</v>
      </c>
      <c r="R81" s="65" t="str">
        <f t="shared" si="3"/>
        <v>FY23</v>
      </c>
      <c r="S81" s="65" t="str">
        <f t="shared" si="3"/>
        <v>FY24</v>
      </c>
    </row>
    <row r="82" spans="2:19" x14ac:dyDescent="0.2">
      <c r="M82" s="284" t="s">
        <v>63</v>
      </c>
      <c r="N82" s="284" t="s">
        <v>63</v>
      </c>
      <c r="O82" s="284" t="s">
        <v>483</v>
      </c>
      <c r="P82" s="284" t="s">
        <v>483</v>
      </c>
      <c r="Q82" s="284" t="s">
        <v>483</v>
      </c>
      <c r="R82" s="284" t="s">
        <v>483</v>
      </c>
      <c r="S82" s="284" t="s">
        <v>483</v>
      </c>
    </row>
    <row r="83" spans="2:19" ht="12.5" x14ac:dyDescent="0.2">
      <c r="D83" s="12" t="s">
        <v>182</v>
      </c>
      <c r="H83" s="95" t="s">
        <v>89</v>
      </c>
      <c r="I83" s="99" t="s">
        <v>76</v>
      </c>
      <c r="J83" s="99" t="s">
        <v>69</v>
      </c>
      <c r="M83" s="79">
        <v>164662.71151999998</v>
      </c>
      <c r="N83" s="79">
        <v>170806.00099999999</v>
      </c>
      <c r="O83" s="79">
        <v>157486</v>
      </c>
      <c r="P83" s="79"/>
      <c r="Q83" s="79"/>
      <c r="R83" s="79"/>
      <c r="S83" s="79"/>
    </row>
    <row r="84" spans="2:19" ht="12.5" x14ac:dyDescent="0.2">
      <c r="D84" s="12" t="s">
        <v>488</v>
      </c>
      <c r="H84" s="102" t="str">
        <f>H83</f>
        <v>Calculated</v>
      </c>
      <c r="I84" s="102" t="str">
        <f>I83</f>
        <v>$000's</v>
      </c>
      <c r="J84" s="102" t="str">
        <f>J83</f>
        <v>Nominal</v>
      </c>
      <c r="M84" s="79">
        <v>211401.87526915231</v>
      </c>
      <c r="N84" s="79">
        <v>211130.85806505725</v>
      </c>
      <c r="O84" s="126" t="s">
        <v>322</v>
      </c>
    </row>
    <row r="85" spans="2:19" ht="12.5" x14ac:dyDescent="0.2">
      <c r="D85" s="12"/>
      <c r="H85" s="95"/>
      <c r="I85" s="99"/>
      <c r="J85" s="99"/>
      <c r="M85" s="78"/>
      <c r="N85" s="78"/>
    </row>
    <row r="86" spans="2:19" ht="12.5" x14ac:dyDescent="0.2">
      <c r="D86" s="12" t="s">
        <v>487</v>
      </c>
      <c r="H86" s="102" t="str">
        <f>H75</f>
        <v>Calculated</v>
      </c>
      <c r="I86" s="102" t="str">
        <f>I75</f>
        <v>$000's</v>
      </c>
      <c r="J86" s="102" t="str">
        <f>J75</f>
        <v>Nominal</v>
      </c>
      <c r="M86" s="79">
        <v>546.8284650097545</v>
      </c>
    </row>
    <row r="88" spans="2:19" ht="12.5" x14ac:dyDescent="0.2">
      <c r="D88" s="96" t="s">
        <v>150</v>
      </c>
      <c r="E88" s="6"/>
      <c r="F88" s="6"/>
      <c r="G88" s="6"/>
      <c r="H88" s="98" t="s">
        <v>152</v>
      </c>
      <c r="I88" s="99" t="s">
        <v>72</v>
      </c>
      <c r="J88" s="99" t="s">
        <v>35</v>
      </c>
      <c r="K88" s="6"/>
      <c r="L88" s="6"/>
      <c r="M88" s="111">
        <v>7.2779999999999997E-2</v>
      </c>
      <c r="N88" s="111">
        <v>7.2779999999999997E-2</v>
      </c>
      <c r="O88" s="126" t="s">
        <v>479</v>
      </c>
    </row>
    <row r="91" spans="2:19" s="4" customFormat="1" ht="15.5" x14ac:dyDescent="0.2">
      <c r="B91" s="4" t="s">
        <v>268</v>
      </c>
    </row>
    <row r="92" spans="2:19" s="6" customFormat="1" ht="11.25" customHeight="1" x14ac:dyDescent="0.2"/>
    <row r="93" spans="2:19" s="6" customFormat="1" ht="11.25" customHeight="1" x14ac:dyDescent="0.2">
      <c r="D93" s="124" t="s">
        <v>271</v>
      </c>
    </row>
    <row r="94" spans="2:19" s="6" customFormat="1" ht="11.25" customHeight="1" x14ac:dyDescent="0.2">
      <c r="M94" s="357" t="s">
        <v>465</v>
      </c>
      <c r="N94" s="357"/>
      <c r="O94" s="357"/>
    </row>
    <row r="95" spans="2:19" s="6" customFormat="1" ht="13" x14ac:dyDescent="0.2">
      <c r="M95" s="127"/>
      <c r="N95" s="127" t="s">
        <v>270</v>
      </c>
      <c r="O95" s="127" t="s">
        <v>122</v>
      </c>
    </row>
    <row r="96" spans="2:19" s="6" customFormat="1" ht="11.25" customHeight="1" x14ac:dyDescent="0.2">
      <c r="D96" s="83" t="str">
        <f>D$10</f>
        <v>Tariff</v>
      </c>
      <c r="E96" s="7"/>
      <c r="H96" s="65" t="str">
        <f>Lookup!E$19</f>
        <v>Source</v>
      </c>
      <c r="I96" s="65" t="str">
        <f>Lookup!F$19</f>
        <v>Unit</v>
      </c>
      <c r="J96" s="65" t="str">
        <f>Lookup!G$19</f>
        <v>Basis</v>
      </c>
      <c r="K96" s="7"/>
      <c r="L96" s="7"/>
      <c r="M96" s="138"/>
      <c r="N96" s="138" t="str">
        <f>+Lookup!D54</f>
        <v>¢/kWh</v>
      </c>
      <c r="O96" s="138" t="str">
        <f>Lookup!$D$55</f>
        <v>$/kVA</v>
      </c>
      <c r="P96" s="7"/>
      <c r="Q96" s="7"/>
      <c r="R96" s="7"/>
      <c r="S96" s="7"/>
    </row>
    <row r="97" spans="3:19" s="6" customFormat="1" ht="11.25" customHeight="1" x14ac:dyDescent="0.2">
      <c r="E97" s="7"/>
      <c r="J97" s="7"/>
      <c r="K97" s="7"/>
      <c r="P97" s="7"/>
      <c r="Q97" s="7"/>
      <c r="R97" s="7"/>
      <c r="S97" s="7"/>
    </row>
    <row r="98" spans="3:19" s="6" customFormat="1" ht="11.25" customHeight="1" x14ac:dyDescent="0.2">
      <c r="D98" s="88" t="str">
        <f>Lookup!E98</f>
        <v>LV Residential Accumulation</v>
      </c>
      <c r="E98" s="7"/>
      <c r="H98" s="98" t="s">
        <v>125</v>
      </c>
      <c r="I98" s="98" t="s">
        <v>139</v>
      </c>
      <c r="J98" s="99" t="s">
        <v>174</v>
      </c>
      <c r="K98" s="7"/>
      <c r="M98" s="89"/>
      <c r="N98" s="249">
        <v>2.9459419649432901</v>
      </c>
      <c r="O98" s="89">
        <v>0</v>
      </c>
      <c r="P98" s="7"/>
      <c r="Q98" s="7"/>
      <c r="R98" s="7"/>
      <c r="S98" s="7"/>
    </row>
    <row r="99" spans="3:19" s="6" customFormat="1" ht="11.25" customHeight="1" x14ac:dyDescent="0.2">
      <c r="D99" s="88" t="str">
        <f>Lookup!E99</f>
        <v>LV Non-Residential Accumulation</v>
      </c>
      <c r="E99" s="7"/>
      <c r="H99" s="98" t="s">
        <v>125</v>
      </c>
      <c r="I99" s="98" t="s">
        <v>139</v>
      </c>
      <c r="J99" s="99" t="s">
        <v>174</v>
      </c>
      <c r="K99" s="7"/>
      <c r="M99" s="89"/>
      <c r="N99" s="249">
        <v>3.0106879421947914</v>
      </c>
      <c r="O99" s="89">
        <v>0</v>
      </c>
      <c r="P99" s="7"/>
      <c r="Q99" s="7"/>
      <c r="R99" s="7"/>
      <c r="S99" s="7"/>
    </row>
    <row r="100" spans="3:19" s="6" customFormat="1" ht="11.25" customHeight="1" x14ac:dyDescent="0.2">
      <c r="D100" s="88" t="str">
        <f>Lookup!E100</f>
        <v>LV Unmetered</v>
      </c>
      <c r="E100" s="7"/>
      <c r="H100" s="98" t="s">
        <v>125</v>
      </c>
      <c r="I100" s="98" t="s">
        <v>139</v>
      </c>
      <c r="J100" s="99" t="s">
        <v>174</v>
      </c>
      <c r="K100" s="7"/>
      <c r="M100" s="89"/>
      <c r="N100" s="249">
        <v>3.0441400304414001</v>
      </c>
      <c r="O100" s="89">
        <v>0</v>
      </c>
      <c r="P100" s="7"/>
      <c r="Q100" s="7"/>
      <c r="R100" s="7"/>
      <c r="S100" s="7"/>
    </row>
    <row r="101" spans="3:19" s="6" customFormat="1" ht="11.25" customHeight="1" x14ac:dyDescent="0.2">
      <c r="D101" s="88" t="str">
        <f>Lookup!E102</f>
        <v>LV Smart meter</v>
      </c>
      <c r="E101" s="7"/>
      <c r="H101" s="98" t="s">
        <v>125</v>
      </c>
      <c r="I101" s="98" t="s">
        <v>139</v>
      </c>
      <c r="J101" s="99" t="s">
        <v>174</v>
      </c>
      <c r="K101" s="7"/>
      <c r="M101" s="89"/>
      <c r="N101" s="89"/>
      <c r="O101" s="89">
        <v>9</v>
      </c>
      <c r="P101" s="7"/>
      <c r="Q101" s="7"/>
      <c r="R101" s="7"/>
      <c r="S101" s="7"/>
    </row>
    <row r="102" spans="3:19" s="6" customFormat="1" ht="11.25" customHeight="1" x14ac:dyDescent="0.2">
      <c r="D102" s="88" t="str">
        <f>Lookup!E104</f>
        <v>HV Smart meter &lt;750MWh</v>
      </c>
      <c r="E102" s="7"/>
      <c r="H102" s="98" t="s">
        <v>125</v>
      </c>
      <c r="I102" s="98" t="s">
        <v>139</v>
      </c>
      <c r="J102" s="99" t="s">
        <v>174</v>
      </c>
      <c r="K102" s="7"/>
      <c r="M102" s="89"/>
      <c r="N102" s="89"/>
      <c r="O102" s="89">
        <v>8.0749999999999993</v>
      </c>
      <c r="P102" s="7"/>
      <c r="Q102" s="7"/>
      <c r="R102" s="7"/>
      <c r="S102" s="7"/>
    </row>
    <row r="103" spans="3:19" s="6" customFormat="1" ht="11.25" customHeight="1" x14ac:dyDescent="0.2">
      <c r="D103" s="88" t="str">
        <f>Lookup!E105</f>
        <v>LV &gt;750MWh</v>
      </c>
      <c r="E103" s="7"/>
      <c r="H103" s="98" t="s">
        <v>125</v>
      </c>
      <c r="I103" s="98" t="s">
        <v>139</v>
      </c>
      <c r="J103" s="99" t="s">
        <v>174</v>
      </c>
      <c r="K103" s="7"/>
      <c r="M103" s="89"/>
      <c r="N103" s="89"/>
      <c r="O103" s="89">
        <v>17</v>
      </c>
      <c r="P103" s="7"/>
      <c r="Q103" s="7"/>
      <c r="R103" s="7"/>
      <c r="S103" s="7"/>
    </row>
    <row r="104" spans="3:19" s="6" customFormat="1" ht="11.25" customHeight="1" x14ac:dyDescent="0.2">
      <c r="D104" s="88" t="str">
        <f>Lookup!E106</f>
        <v>HV &gt;750MWh</v>
      </c>
      <c r="E104" s="7"/>
      <c r="H104" s="98" t="s">
        <v>125</v>
      </c>
      <c r="I104" s="98" t="s">
        <v>139</v>
      </c>
      <c r="J104" s="99" t="s">
        <v>174</v>
      </c>
      <c r="K104" s="7"/>
      <c r="M104" s="89"/>
      <c r="N104" s="89"/>
      <c r="O104" s="89">
        <v>8.0749999999999993</v>
      </c>
      <c r="P104" s="7"/>
      <c r="Q104" s="7"/>
      <c r="R104" s="7"/>
      <c r="S104" s="7"/>
    </row>
    <row r="107" spans="3:19" s="4" customFormat="1" ht="15.5" x14ac:dyDescent="0.2">
      <c r="C107" s="4" t="s">
        <v>269</v>
      </c>
    </row>
    <row r="108" spans="3:19" s="6" customFormat="1" ht="11.25" customHeight="1" x14ac:dyDescent="0.2"/>
    <row r="109" spans="3:19" s="6" customFormat="1" ht="11.25" customHeight="1" x14ac:dyDescent="0.2">
      <c r="D109" s="124" t="s">
        <v>272</v>
      </c>
    </row>
    <row r="110" spans="3:19" s="6" customFormat="1" ht="11.25" customHeight="1" x14ac:dyDescent="0.2"/>
    <row r="111" spans="3:19" ht="52" x14ac:dyDescent="0.2">
      <c r="D111" s="83" t="s">
        <v>160</v>
      </c>
      <c r="F111" s="65" t="str">
        <f>F$10</f>
        <v>Tariff Class</v>
      </c>
      <c r="H111" s="65" t="str">
        <f>Lookup!E$19</f>
        <v>Source</v>
      </c>
      <c r="I111" s="65" t="str">
        <f>Lookup!F$19</f>
        <v>Unit</v>
      </c>
      <c r="M111" s="72" t="s">
        <v>169</v>
      </c>
      <c r="N111" s="72" t="s">
        <v>170</v>
      </c>
    </row>
    <row r="113" spans="4:14" ht="12.5" x14ac:dyDescent="0.2">
      <c r="D113" s="88" t="str">
        <f>$D$178</f>
        <v>Transmission</v>
      </c>
      <c r="F113" s="64" t="str">
        <f>Lookup!$D$91</f>
        <v>LV &lt;750MWh</v>
      </c>
      <c r="H113" s="98" t="s">
        <v>125</v>
      </c>
      <c r="I113" s="99" t="s">
        <v>72</v>
      </c>
      <c r="M113" s="68">
        <v>0.05</v>
      </c>
      <c r="N113" s="68">
        <v>0.98</v>
      </c>
    </row>
    <row r="114" spans="4:14" ht="12.5" x14ac:dyDescent="0.2">
      <c r="D114" s="88" t="str">
        <f>$D$178</f>
        <v>Transmission</v>
      </c>
      <c r="F114" s="64" t="str">
        <f>Lookup!$D$92</f>
        <v>LV &gt;750MWh</v>
      </c>
      <c r="H114" s="98" t="s">
        <v>125</v>
      </c>
      <c r="I114" s="99" t="s">
        <v>72</v>
      </c>
      <c r="M114" s="68">
        <v>0.03</v>
      </c>
      <c r="N114" s="68">
        <v>0.98</v>
      </c>
    </row>
    <row r="115" spans="4:14" ht="12.5" x14ac:dyDescent="0.2">
      <c r="D115" s="88" t="str">
        <f>$D$178</f>
        <v>Transmission</v>
      </c>
      <c r="F115" s="64" t="str">
        <f>Lookup!$D$93</f>
        <v>HV</v>
      </c>
      <c r="H115" s="98" t="s">
        <v>125</v>
      </c>
      <c r="I115" s="99" t="s">
        <v>72</v>
      </c>
      <c r="M115" s="68">
        <v>0.05</v>
      </c>
      <c r="N115" s="68">
        <v>0.65</v>
      </c>
    </row>
    <row r="116" spans="4:14" ht="12.5" x14ac:dyDescent="0.2">
      <c r="D116" s="88" t="str">
        <f>$D$179</f>
        <v>Zone Substations</v>
      </c>
      <c r="F116" s="64" t="str">
        <f>Lookup!$D$91</f>
        <v>LV &lt;750MWh</v>
      </c>
      <c r="H116" s="98" t="s">
        <v>125</v>
      </c>
      <c r="I116" s="99" t="s">
        <v>72</v>
      </c>
      <c r="M116" s="68">
        <v>0.05</v>
      </c>
      <c r="N116" s="68">
        <v>0.95</v>
      </c>
    </row>
    <row r="117" spans="4:14" ht="12.5" x14ac:dyDescent="0.2">
      <c r="D117" s="88" t="str">
        <f>$D$179</f>
        <v>Zone Substations</v>
      </c>
      <c r="F117" s="64" t="str">
        <f>Lookup!$D$92</f>
        <v>LV &gt;750MWh</v>
      </c>
      <c r="H117" s="98" t="s">
        <v>125</v>
      </c>
      <c r="I117" s="99" t="s">
        <v>72</v>
      </c>
      <c r="M117" s="68">
        <v>0.05</v>
      </c>
      <c r="N117" s="68">
        <v>0.9</v>
      </c>
    </row>
    <row r="118" spans="4:14" ht="12.5" x14ac:dyDescent="0.2">
      <c r="D118" s="88" t="str">
        <f>$D$179</f>
        <v>Zone Substations</v>
      </c>
      <c r="F118" s="64" t="str">
        <f>Lookup!$D$93</f>
        <v>HV</v>
      </c>
      <c r="H118" s="98" t="s">
        <v>125</v>
      </c>
      <c r="I118" s="99" t="s">
        <v>72</v>
      </c>
      <c r="M118" s="68">
        <v>0.05</v>
      </c>
      <c r="N118" s="68">
        <v>0.3</v>
      </c>
    </row>
    <row r="119" spans="4:14" ht="12.5" x14ac:dyDescent="0.2">
      <c r="D119" s="88" t="str">
        <f>$D$180</f>
        <v>HV Distribution</v>
      </c>
      <c r="F119" s="64" t="str">
        <f>Lookup!$D$91</f>
        <v>LV &lt;750MWh</v>
      </c>
      <c r="H119" s="98" t="s">
        <v>125</v>
      </c>
      <c r="I119" s="99" t="s">
        <v>72</v>
      </c>
      <c r="M119" s="68">
        <v>0.05</v>
      </c>
      <c r="N119" s="68">
        <v>0.95</v>
      </c>
    </row>
    <row r="120" spans="4:14" ht="12.5" x14ac:dyDescent="0.2">
      <c r="D120" s="88" t="str">
        <f>$D$180</f>
        <v>HV Distribution</v>
      </c>
      <c r="F120" s="64" t="str">
        <f>Lookup!$D$92</f>
        <v>LV &gt;750MWh</v>
      </c>
      <c r="H120" s="98" t="s">
        <v>125</v>
      </c>
      <c r="I120" s="99" t="s">
        <v>72</v>
      </c>
      <c r="M120" s="68">
        <v>0.1</v>
      </c>
      <c r="N120" s="68">
        <v>0.8</v>
      </c>
    </row>
    <row r="121" spans="4:14" ht="12.5" x14ac:dyDescent="0.2">
      <c r="D121" s="88" t="str">
        <f>$D$180</f>
        <v>HV Distribution</v>
      </c>
      <c r="F121" s="64" t="str">
        <f>Lookup!$D$93</f>
        <v>HV</v>
      </c>
      <c r="H121" s="98" t="s">
        <v>125</v>
      </c>
      <c r="I121" s="99" t="s">
        <v>72</v>
      </c>
      <c r="M121" s="68">
        <v>0.05</v>
      </c>
      <c r="N121" s="68">
        <v>0.1</v>
      </c>
    </row>
    <row r="122" spans="4:14" ht="12.5" x14ac:dyDescent="0.2">
      <c r="D122" s="88" t="str">
        <f>$D$181</f>
        <v>Distribution Substations</v>
      </c>
      <c r="F122" s="64" t="str">
        <f>Lookup!$D$91</f>
        <v>LV &lt;750MWh</v>
      </c>
      <c r="H122" s="98" t="s">
        <v>125</v>
      </c>
      <c r="I122" s="99" t="s">
        <v>72</v>
      </c>
      <c r="M122" s="68">
        <v>0.3</v>
      </c>
      <c r="N122" s="68">
        <v>0.8</v>
      </c>
    </row>
    <row r="123" spans="4:14" ht="12.5" x14ac:dyDescent="0.2">
      <c r="D123" s="88" t="str">
        <f>$D$181</f>
        <v>Distribution Substations</v>
      </c>
      <c r="F123" s="64" t="str">
        <f>Lookup!$D$92</f>
        <v>LV &gt;750MWh</v>
      </c>
      <c r="H123" s="98" t="s">
        <v>125</v>
      </c>
      <c r="I123" s="99" t="s">
        <v>72</v>
      </c>
      <c r="M123" s="68">
        <v>0.1</v>
      </c>
      <c r="N123" s="68">
        <v>0.8</v>
      </c>
    </row>
    <row r="124" spans="4:14" ht="12.5" x14ac:dyDescent="0.2">
      <c r="D124" s="88" t="str">
        <f>$D$181</f>
        <v>Distribution Substations</v>
      </c>
      <c r="F124" s="64" t="str">
        <f>Lookup!$D$93</f>
        <v>HV</v>
      </c>
      <c r="H124" s="98" t="s">
        <v>125</v>
      </c>
      <c r="I124" s="99" t="s">
        <v>72</v>
      </c>
      <c r="M124" s="68">
        <v>0</v>
      </c>
      <c r="N124" s="68">
        <v>0</v>
      </c>
    </row>
    <row r="125" spans="4:14" ht="12.5" x14ac:dyDescent="0.2">
      <c r="D125" s="88" t="str">
        <f>$D$182</f>
        <v>LV Distribution</v>
      </c>
      <c r="F125" s="64" t="str">
        <f>Lookup!$D$91</f>
        <v>LV &lt;750MWh</v>
      </c>
      <c r="H125" s="98" t="s">
        <v>125</v>
      </c>
      <c r="I125" s="99" t="s">
        <v>72</v>
      </c>
      <c r="M125" s="68">
        <v>0.5</v>
      </c>
      <c r="N125" s="68">
        <v>0.9</v>
      </c>
    </row>
    <row r="126" spans="4:14" ht="12.5" x14ac:dyDescent="0.2">
      <c r="D126" s="88" t="str">
        <f>$D$182</f>
        <v>LV Distribution</v>
      </c>
      <c r="F126" s="64" t="str">
        <f>Lookup!$D$92</f>
        <v>LV &gt;750MWh</v>
      </c>
      <c r="H126" s="98" t="s">
        <v>125</v>
      </c>
      <c r="I126" s="99" t="s">
        <v>72</v>
      </c>
      <c r="M126" s="68">
        <v>0.15</v>
      </c>
      <c r="N126" s="68">
        <v>0.4</v>
      </c>
    </row>
    <row r="127" spans="4:14" ht="12.5" x14ac:dyDescent="0.2">
      <c r="D127" s="88" t="str">
        <f>$D$182</f>
        <v>LV Distribution</v>
      </c>
      <c r="F127" s="64" t="str">
        <f>Lookup!$D$93</f>
        <v>HV</v>
      </c>
      <c r="H127" s="98" t="s">
        <v>125</v>
      </c>
      <c r="I127" s="99" t="s">
        <v>72</v>
      </c>
      <c r="M127" s="68">
        <v>0</v>
      </c>
      <c r="N127" s="68">
        <v>0</v>
      </c>
    </row>
    <row r="128" spans="4:14" ht="12.5" x14ac:dyDescent="0.2">
      <c r="D128" s="88" t="str">
        <f>$D$183</f>
        <v>Common Services</v>
      </c>
      <c r="F128" s="64" t="str">
        <f>Lookup!$D$91</f>
        <v>LV &lt;750MWh</v>
      </c>
      <c r="H128" s="98" t="s">
        <v>125</v>
      </c>
      <c r="I128" s="99" t="s">
        <v>72</v>
      </c>
      <c r="M128" s="68">
        <v>0</v>
      </c>
      <c r="N128" s="68">
        <v>1</v>
      </c>
    </row>
    <row r="129" spans="2:19" ht="12.5" x14ac:dyDescent="0.2">
      <c r="D129" s="88" t="str">
        <f>$D$183</f>
        <v>Common Services</v>
      </c>
      <c r="F129" s="64" t="str">
        <f>Lookup!$D$92</f>
        <v>LV &gt;750MWh</v>
      </c>
      <c r="H129" s="98" t="s">
        <v>125</v>
      </c>
      <c r="I129" s="99" t="s">
        <v>72</v>
      </c>
      <c r="M129" s="68">
        <v>0</v>
      </c>
      <c r="N129" s="68">
        <v>1</v>
      </c>
    </row>
    <row r="130" spans="2:19" ht="12.5" x14ac:dyDescent="0.2">
      <c r="D130" s="88" t="str">
        <f>$D$183</f>
        <v>Common Services</v>
      </c>
      <c r="F130" s="64" t="str">
        <f>Lookup!$D$93</f>
        <v>HV</v>
      </c>
      <c r="H130" s="98" t="s">
        <v>125</v>
      </c>
      <c r="I130" s="99" t="s">
        <v>72</v>
      </c>
      <c r="M130" s="68">
        <v>0</v>
      </c>
      <c r="N130" s="68">
        <v>1</v>
      </c>
    </row>
    <row r="133" spans="2:19" s="4" customFormat="1" ht="15.5" x14ac:dyDescent="0.2">
      <c r="B133" s="4" t="s">
        <v>242</v>
      </c>
    </row>
    <row r="134" spans="2:19" s="6" customFormat="1" ht="11.25" customHeight="1" x14ac:dyDescent="0.2"/>
    <row r="135" spans="2:19" s="6" customFormat="1" ht="11.25" customHeight="1" x14ac:dyDescent="0.2">
      <c r="D135" s="124" t="s">
        <v>274</v>
      </c>
    </row>
    <row r="136" spans="2:19" s="6" customFormat="1" ht="11.25" customHeight="1" x14ac:dyDescent="0.2">
      <c r="D136" s="124" t="s">
        <v>273</v>
      </c>
    </row>
    <row r="137" spans="2:19" s="6" customFormat="1" ht="11.25" customHeight="1" x14ac:dyDescent="0.2">
      <c r="D137" s="124" t="s">
        <v>275</v>
      </c>
    </row>
    <row r="138" spans="2:19" s="6" customFormat="1" ht="11.25" customHeight="1" x14ac:dyDescent="0.2"/>
    <row r="139" spans="2:19" s="6" customFormat="1" ht="11.25" customHeight="1" x14ac:dyDescent="0.2"/>
    <row r="140" spans="2:19" s="13" customFormat="1" ht="14" x14ac:dyDescent="0.2">
      <c r="C140" s="13" t="s">
        <v>147</v>
      </c>
    </row>
    <row r="141" spans="2:19" s="6" customFormat="1" ht="11.25" customHeight="1" x14ac:dyDescent="0.2"/>
    <row r="142" spans="2:19" s="6" customFormat="1" ht="11.25" customHeight="1" x14ac:dyDescent="0.2">
      <c r="D142" s="83" t="str">
        <f>D$10</f>
        <v>Tariff</v>
      </c>
      <c r="H142" s="65" t="str">
        <f>Lookup!E$19</f>
        <v>Source</v>
      </c>
      <c r="I142" s="65" t="str">
        <f>Lookup!F$19</f>
        <v>Unit</v>
      </c>
      <c r="L142" s="7"/>
      <c r="M142" s="65" t="str">
        <f t="shared" ref="M142:S142" si="4">M$10</f>
        <v>FY18</v>
      </c>
      <c r="N142" s="65" t="str">
        <f t="shared" si="4"/>
        <v>FY19</v>
      </c>
      <c r="O142" s="65" t="str">
        <f t="shared" si="4"/>
        <v>FY20</v>
      </c>
      <c r="P142" s="65" t="str">
        <f t="shared" si="4"/>
        <v>FY21</v>
      </c>
      <c r="Q142" s="65" t="str">
        <f t="shared" si="4"/>
        <v>FY22</v>
      </c>
      <c r="R142" s="65" t="str">
        <f t="shared" si="4"/>
        <v>FY23</v>
      </c>
      <c r="S142" s="65" t="str">
        <f t="shared" si="4"/>
        <v>FY24</v>
      </c>
    </row>
    <row r="143" spans="2:19" s="6" customFormat="1" ht="11.25" customHeight="1" x14ac:dyDescent="0.2"/>
    <row r="144" spans="2:19" s="6" customFormat="1" ht="11.25" customHeight="1" x14ac:dyDescent="0.2">
      <c r="D144" s="100" t="s">
        <v>102</v>
      </c>
      <c r="H144" s="98" t="s">
        <v>125</v>
      </c>
      <c r="I144" s="99" t="s">
        <v>130</v>
      </c>
      <c r="M144" s="82"/>
      <c r="N144" s="82"/>
      <c r="O144" s="76">
        <v>61879.044516869653</v>
      </c>
      <c r="P144" s="76">
        <v>59013.983404043487</v>
      </c>
      <c r="Q144" s="76">
        <v>56183</v>
      </c>
      <c r="R144" s="76">
        <v>53308</v>
      </c>
      <c r="S144" s="76">
        <v>50429.746439445102</v>
      </c>
    </row>
    <row r="145" spans="3:19" s="6" customFormat="1" ht="11.25" customHeight="1" x14ac:dyDescent="0.2">
      <c r="D145" s="100" t="s">
        <v>105</v>
      </c>
      <c r="H145" s="98" t="s">
        <v>125</v>
      </c>
      <c r="I145" s="99" t="s">
        <v>130</v>
      </c>
      <c r="M145" s="82"/>
      <c r="N145" s="82"/>
      <c r="O145" s="76">
        <v>7815.2276533176264</v>
      </c>
      <c r="P145" s="76">
        <v>7458.3929311566217</v>
      </c>
      <c r="Q145" s="76">
        <v>7066.0830261954934</v>
      </c>
      <c r="R145" s="76">
        <v>6721.4801173349642</v>
      </c>
      <c r="S145" s="76">
        <v>6373.5873631225959</v>
      </c>
    </row>
    <row r="146" spans="3:19" s="6" customFormat="1" ht="11.25" customHeight="1" x14ac:dyDescent="0.2">
      <c r="D146" s="100" t="s">
        <v>107</v>
      </c>
      <c r="H146" s="98" t="s">
        <v>125</v>
      </c>
      <c r="I146" s="99" t="s">
        <v>130</v>
      </c>
      <c r="M146" s="82"/>
      <c r="N146" s="82"/>
      <c r="O146" s="76">
        <v>0</v>
      </c>
      <c r="P146" s="76">
        <v>0</v>
      </c>
      <c r="Q146" s="76">
        <v>0</v>
      </c>
      <c r="R146" s="76">
        <v>0</v>
      </c>
      <c r="S146" s="76">
        <v>0</v>
      </c>
    </row>
    <row r="147" spans="3:19" s="6" customFormat="1" ht="11.25" customHeight="1" x14ac:dyDescent="0.2">
      <c r="D147" s="100" t="s">
        <v>107</v>
      </c>
      <c r="H147" s="98" t="s">
        <v>125</v>
      </c>
      <c r="I147" s="99" t="s">
        <v>130</v>
      </c>
      <c r="M147" s="82"/>
      <c r="N147" s="82"/>
      <c r="O147" s="76">
        <v>0</v>
      </c>
      <c r="P147" s="76">
        <v>0</v>
      </c>
      <c r="Q147" s="76">
        <v>0</v>
      </c>
      <c r="R147" s="76">
        <v>0</v>
      </c>
      <c r="S147" s="76">
        <v>0</v>
      </c>
    </row>
    <row r="148" spans="3:19" s="6" customFormat="1" ht="11.25" customHeight="1" x14ac:dyDescent="0.2">
      <c r="D148" s="100" t="s">
        <v>109</v>
      </c>
      <c r="H148" s="98" t="s">
        <v>125</v>
      </c>
      <c r="I148" s="99" t="s">
        <v>130</v>
      </c>
      <c r="M148" s="82"/>
      <c r="N148" s="82"/>
      <c r="O148" s="76">
        <v>13943</v>
      </c>
      <c r="P148" s="76">
        <v>17905</v>
      </c>
      <c r="Q148" s="76">
        <v>22163</v>
      </c>
      <c r="R148" s="76">
        <v>26028</v>
      </c>
      <c r="S148" s="76">
        <v>29905</v>
      </c>
    </row>
    <row r="149" spans="3:19" s="6" customFormat="1" ht="11.25" customHeight="1" x14ac:dyDescent="0.2">
      <c r="D149" s="100" t="s">
        <v>109</v>
      </c>
      <c r="H149" s="98" t="s">
        <v>125</v>
      </c>
      <c r="I149" s="99" t="s">
        <v>130</v>
      </c>
      <c r="M149" s="82"/>
      <c r="N149" s="82"/>
      <c r="O149" s="76">
        <v>2849</v>
      </c>
      <c r="P149" s="76">
        <v>2881</v>
      </c>
      <c r="Q149" s="76">
        <v>2914</v>
      </c>
      <c r="R149" s="76">
        <v>2946</v>
      </c>
      <c r="S149" s="76">
        <v>2978</v>
      </c>
    </row>
    <row r="150" spans="3:19" s="6" customFormat="1" ht="11.25" customHeight="1" x14ac:dyDescent="0.2">
      <c r="D150" s="100" t="s">
        <v>111</v>
      </c>
      <c r="H150" s="98" t="s">
        <v>125</v>
      </c>
      <c r="I150" s="99" t="s">
        <v>130</v>
      </c>
      <c r="M150" s="82"/>
      <c r="N150" s="82"/>
      <c r="O150" s="76">
        <v>36</v>
      </c>
      <c r="P150" s="76">
        <v>36</v>
      </c>
      <c r="Q150" s="76">
        <v>36</v>
      </c>
      <c r="R150" s="76">
        <v>36</v>
      </c>
      <c r="S150" s="76">
        <v>36</v>
      </c>
    </row>
    <row r="151" spans="3:19" s="6" customFormat="1" ht="11.25" customHeight="1" x14ac:dyDescent="0.2">
      <c r="D151" s="100" t="s">
        <v>114</v>
      </c>
      <c r="H151" s="98" t="s">
        <v>125</v>
      </c>
      <c r="I151" s="99" t="s">
        <v>130</v>
      </c>
      <c r="M151" s="82"/>
      <c r="N151" s="82"/>
      <c r="O151" s="76">
        <v>156</v>
      </c>
      <c r="P151" s="76">
        <v>159</v>
      </c>
      <c r="Q151" s="76">
        <v>164</v>
      </c>
      <c r="R151" s="76">
        <v>166</v>
      </c>
      <c r="S151" s="76">
        <v>169</v>
      </c>
    </row>
    <row r="152" spans="3:19" s="6" customFormat="1" ht="11.25" customHeight="1" x14ac:dyDescent="0.2">
      <c r="D152" s="100" t="s">
        <v>116</v>
      </c>
      <c r="H152" s="98" t="s">
        <v>125</v>
      </c>
      <c r="I152" s="99" t="s">
        <v>130</v>
      </c>
      <c r="M152" s="82"/>
      <c r="N152" s="82"/>
      <c r="O152" s="76">
        <v>40</v>
      </c>
      <c r="P152" s="76">
        <v>41</v>
      </c>
      <c r="Q152" s="76">
        <v>42</v>
      </c>
      <c r="R152" s="76">
        <v>43</v>
      </c>
      <c r="S152" s="76">
        <v>44</v>
      </c>
    </row>
    <row r="153" spans="3:19" s="6" customFormat="1" ht="11.25" customHeight="1" x14ac:dyDescent="0.2"/>
    <row r="154" spans="3:19" s="6" customFormat="1" ht="11.25" customHeight="1" x14ac:dyDescent="0.2">
      <c r="D154" s="73" t="s">
        <v>88</v>
      </c>
      <c r="H154" s="67" t="s">
        <v>89</v>
      </c>
      <c r="I154" s="67" t="str">
        <f>Lookup!D$60</f>
        <v>NMI</v>
      </c>
      <c r="M154" s="66" t="str">
        <f>NA</f>
        <v>N/A</v>
      </c>
      <c r="N154" s="66" t="str">
        <f>NA</f>
        <v>N/A</v>
      </c>
      <c r="O154" s="77">
        <f>SUM(O144:O152)</f>
        <v>86718.27217018728</v>
      </c>
      <c r="P154" s="77">
        <f>SUM(P144:P152)</f>
        <v>87494.376335200111</v>
      </c>
      <c r="Q154" s="77">
        <f>SUM(Q144:Q152)</f>
        <v>88568.083026195498</v>
      </c>
      <c r="R154" s="77">
        <f>SUM(R144:R152)</f>
        <v>89248.480117334955</v>
      </c>
      <c r="S154" s="77">
        <f>SUM(S144:S152)</f>
        <v>89935.333802567708</v>
      </c>
    </row>
    <row r="155" spans="3:19" s="6" customFormat="1" ht="11.25" customHeight="1" x14ac:dyDescent="0.2"/>
    <row r="156" spans="3:19" s="6" customFormat="1" ht="11.25" customHeight="1" x14ac:dyDescent="0.2"/>
    <row r="157" spans="3:19" s="13" customFormat="1" ht="14" x14ac:dyDescent="0.2">
      <c r="C157" s="13" t="s">
        <v>146</v>
      </c>
    </row>
    <row r="158" spans="3:19" s="6" customFormat="1" ht="11.25" customHeight="1" x14ac:dyDescent="0.2"/>
    <row r="159" spans="3:19" s="6" customFormat="1" ht="11.25" customHeight="1" x14ac:dyDescent="0.2">
      <c r="D159" s="83" t="str">
        <f>D$10</f>
        <v>Tariff</v>
      </c>
      <c r="H159" s="65" t="str">
        <f>Lookup!E$19</f>
        <v>Source</v>
      </c>
      <c r="I159" s="65" t="str">
        <f>Lookup!F$19</f>
        <v>Unit</v>
      </c>
      <c r="L159" s="7"/>
      <c r="M159" s="65" t="str">
        <f t="shared" ref="M159:S159" si="5">M$10</f>
        <v>FY18</v>
      </c>
      <c r="N159" s="65" t="str">
        <f t="shared" si="5"/>
        <v>FY19</v>
      </c>
      <c r="O159" s="65" t="str">
        <f t="shared" si="5"/>
        <v>FY20</v>
      </c>
      <c r="P159" s="65" t="str">
        <f t="shared" si="5"/>
        <v>FY21</v>
      </c>
      <c r="Q159" s="65" t="str">
        <f t="shared" si="5"/>
        <v>FY22</v>
      </c>
      <c r="R159" s="65" t="str">
        <f t="shared" si="5"/>
        <v>FY23</v>
      </c>
      <c r="S159" s="65" t="str">
        <f t="shared" si="5"/>
        <v>FY24</v>
      </c>
    </row>
    <row r="160" spans="3:19" s="6" customFormat="1" ht="11.25" customHeight="1" x14ac:dyDescent="0.2"/>
    <row r="161" spans="3:19" s="6" customFormat="1" ht="11.25" customHeight="1" x14ac:dyDescent="0.2">
      <c r="D161" s="100" t="s">
        <v>102</v>
      </c>
      <c r="H161" s="98" t="s">
        <v>125</v>
      </c>
      <c r="I161" s="99" t="s">
        <v>129</v>
      </c>
      <c r="M161" s="82"/>
      <c r="N161" s="82"/>
      <c r="O161" s="76">
        <v>156829.00634912256</v>
      </c>
      <c r="P161" s="76">
        <v>147404.20377180085</v>
      </c>
      <c r="Q161" s="76">
        <v>138052.28370271591</v>
      </c>
      <c r="R161" s="76">
        <v>129138.73273432734</v>
      </c>
      <c r="S161" s="76">
        <v>120480.79090019679</v>
      </c>
    </row>
    <row r="162" spans="3:19" s="6" customFormat="1" ht="11.25" customHeight="1" x14ac:dyDescent="0.2">
      <c r="D162" s="100" t="s">
        <v>105</v>
      </c>
      <c r="H162" s="98" t="s">
        <v>125</v>
      </c>
      <c r="I162" s="99" t="s">
        <v>129</v>
      </c>
      <c r="M162" s="82"/>
      <c r="N162" s="82"/>
      <c r="O162" s="76">
        <v>26948.251161104614</v>
      </c>
      <c r="P162" s="76">
        <v>25328.767923213694</v>
      </c>
      <c r="Q162" s="76">
        <v>23721.808236819645</v>
      </c>
      <c r="R162" s="76">
        <v>22190.174415849604</v>
      </c>
      <c r="S162" s="76">
        <v>20702.462438863706</v>
      </c>
    </row>
    <row r="163" spans="3:19" s="6" customFormat="1" ht="11.25" customHeight="1" x14ac:dyDescent="0.2">
      <c r="D163" s="100" t="s">
        <v>107</v>
      </c>
      <c r="H163" s="98" t="s">
        <v>125</v>
      </c>
      <c r="I163" s="99" t="s">
        <v>129</v>
      </c>
      <c r="M163" s="82"/>
      <c r="N163" s="82"/>
      <c r="O163" s="76">
        <v>270.56577917626214</v>
      </c>
      <c r="P163" s="76">
        <v>267.592588842927</v>
      </c>
      <c r="Q163" s="76">
        <v>264.65823719919587</v>
      </c>
      <c r="R163" s="76">
        <v>261.76221423878604</v>
      </c>
      <c r="S163" s="76">
        <v>258.90401666057733</v>
      </c>
    </row>
    <row r="164" spans="3:19" s="6" customFormat="1" ht="11.25" customHeight="1" x14ac:dyDescent="0.2">
      <c r="D164" s="100" t="s">
        <v>107</v>
      </c>
      <c r="H164" s="98" t="s">
        <v>125</v>
      </c>
      <c r="I164" s="99" t="s">
        <v>129</v>
      </c>
      <c r="M164" s="82"/>
      <c r="N164" s="82"/>
      <c r="O164" s="76">
        <v>125.09970000000003</v>
      </c>
      <c r="P164" s="76">
        <v>125.09970000000003</v>
      </c>
      <c r="Q164" s="76">
        <v>125.09970000000003</v>
      </c>
      <c r="R164" s="76">
        <v>125.09970000000003</v>
      </c>
      <c r="S164" s="76">
        <v>125.09970000000003</v>
      </c>
    </row>
    <row r="165" spans="3:19" s="6" customFormat="1" ht="11.25" customHeight="1" x14ac:dyDescent="0.2">
      <c r="D165" s="100" t="s">
        <v>109</v>
      </c>
      <c r="H165" s="98" t="s">
        <v>125</v>
      </c>
      <c r="I165" s="99" t="s">
        <v>129</v>
      </c>
      <c r="M165" s="82"/>
      <c r="N165" s="82"/>
      <c r="O165" s="76">
        <v>38468.962240112181</v>
      </c>
      <c r="P165" s="76">
        <v>48963.171896500571</v>
      </c>
      <c r="Q165" s="76">
        <v>59900.979487072713</v>
      </c>
      <c r="R165" s="76">
        <v>69871.364384274857</v>
      </c>
      <c r="S165" s="76">
        <v>79829.281529161628</v>
      </c>
    </row>
    <row r="166" spans="3:19" s="6" customFormat="1" ht="11.25" customHeight="1" x14ac:dyDescent="0.2">
      <c r="D166" s="100" t="s">
        <v>109</v>
      </c>
      <c r="H166" s="98" t="s">
        <v>125</v>
      </c>
      <c r="I166" s="99" t="s">
        <v>129</v>
      </c>
      <c r="M166" s="82"/>
      <c r="N166" s="82"/>
      <c r="O166" s="76">
        <v>167544.95147092064</v>
      </c>
      <c r="P166" s="76">
        <v>167893.13677356718</v>
      </c>
      <c r="Q166" s="76">
        <v>167779.95980823896</v>
      </c>
      <c r="R166" s="76">
        <v>168431.24046107178</v>
      </c>
      <c r="S166" s="76">
        <v>169264.28900464447</v>
      </c>
    </row>
    <row r="167" spans="3:19" s="6" customFormat="1" ht="11.25" customHeight="1" x14ac:dyDescent="0.2">
      <c r="D167" s="100" t="s">
        <v>111</v>
      </c>
      <c r="H167" s="98" t="s">
        <v>125</v>
      </c>
      <c r="I167" s="99" t="s">
        <v>129</v>
      </c>
      <c r="M167" s="82"/>
      <c r="N167" s="82"/>
      <c r="O167" s="76">
        <v>2823.3647621588234</v>
      </c>
      <c r="P167" s="76">
        <v>2823.4262712495488</v>
      </c>
      <c r="Q167" s="76">
        <v>2824.7788558833472</v>
      </c>
      <c r="R167" s="76">
        <v>2827.2141685932265</v>
      </c>
      <c r="S167" s="76">
        <v>2833.0125415144644</v>
      </c>
    </row>
    <row r="168" spans="3:19" s="6" customFormat="1" ht="11.25" customHeight="1" x14ac:dyDescent="0.2">
      <c r="D168" s="100" t="s">
        <v>114</v>
      </c>
      <c r="H168" s="98" t="s">
        <v>125</v>
      </c>
      <c r="I168" s="99" t="s">
        <v>129</v>
      </c>
      <c r="M168" s="82"/>
      <c r="N168" s="82"/>
      <c r="O168" s="76">
        <v>66354.428798429057</v>
      </c>
      <c r="P168" s="76">
        <v>66414.101627958429</v>
      </c>
      <c r="Q168" s="76">
        <v>65914.952854085655</v>
      </c>
      <c r="R168" s="76">
        <v>65754.762962144145</v>
      </c>
      <c r="S168" s="76">
        <v>65687.755831468734</v>
      </c>
    </row>
    <row r="169" spans="3:19" s="6" customFormat="1" ht="11.25" customHeight="1" x14ac:dyDescent="0.2">
      <c r="D169" s="100" t="s">
        <v>116</v>
      </c>
      <c r="H169" s="98" t="s">
        <v>125</v>
      </c>
      <c r="I169" s="99" t="s">
        <v>129</v>
      </c>
      <c r="M169" s="82"/>
      <c r="N169" s="82"/>
      <c r="O169" s="76">
        <v>68114.737059216612</v>
      </c>
      <c r="P169" s="76">
        <v>68415.88112990465</v>
      </c>
      <c r="Q169" s="76">
        <v>67980.269941283332</v>
      </c>
      <c r="R169" s="76">
        <v>67814.571615306806</v>
      </c>
      <c r="S169" s="76">
        <v>67926.107786989902</v>
      </c>
    </row>
    <row r="170" spans="3:19" s="6" customFormat="1" ht="11.25" customHeight="1" x14ac:dyDescent="0.2"/>
    <row r="171" spans="3:19" s="6" customFormat="1" ht="11.25" customHeight="1" x14ac:dyDescent="0.2">
      <c r="D171" s="73" t="s">
        <v>88</v>
      </c>
      <c r="H171" s="67" t="s">
        <v>89</v>
      </c>
      <c r="I171" s="67" t="str">
        <f>Lookup!D$59</f>
        <v>kVA</v>
      </c>
      <c r="M171" s="66" t="str">
        <f>NA</f>
        <v>N/A</v>
      </c>
      <c r="N171" s="66" t="str">
        <f>NA</f>
        <v>N/A</v>
      </c>
      <c r="O171" s="77">
        <f>SUM(O161:O169)</f>
        <v>527479.36732024071</v>
      </c>
      <c r="P171" s="77">
        <f>SUM(P161:P169)</f>
        <v>527635.38168303785</v>
      </c>
      <c r="Q171" s="77">
        <f>SUM(Q161:Q169)</f>
        <v>526564.79082329874</v>
      </c>
      <c r="R171" s="77">
        <f>SUM(R161:R169)</f>
        <v>526414.92265580653</v>
      </c>
      <c r="S171" s="77">
        <f>SUM(S161:S169)</f>
        <v>527107.70374950022</v>
      </c>
    </row>
    <row r="172" spans="3:19" s="6" customFormat="1" ht="11.25" customHeight="1" x14ac:dyDescent="0.2"/>
    <row r="173" spans="3:19" s="6" customFormat="1" ht="11.25" customHeight="1" x14ac:dyDescent="0.2"/>
    <row r="174" spans="3:19" s="13" customFormat="1" ht="14" x14ac:dyDescent="0.2">
      <c r="C174" s="13" t="s">
        <v>253</v>
      </c>
    </row>
    <row r="176" spans="3:19" ht="13" x14ac:dyDescent="0.2">
      <c r="D176" s="83" t="s">
        <v>160</v>
      </c>
      <c r="H176" s="65" t="str">
        <f>Lookup!E$19</f>
        <v>Source</v>
      </c>
      <c r="I176" s="65" t="str">
        <f>Lookup!F$19</f>
        <v>Unit</v>
      </c>
      <c r="M176" s="65" t="s">
        <v>21</v>
      </c>
    </row>
    <row r="178" spans="1:19" ht="12.5" x14ac:dyDescent="0.2">
      <c r="D178" s="101" t="s">
        <v>153</v>
      </c>
      <c r="H178" s="98" t="s">
        <v>125</v>
      </c>
      <c r="I178" s="99" t="s">
        <v>72</v>
      </c>
      <c r="M178" s="68">
        <v>0.17380898588015073</v>
      </c>
    </row>
    <row r="179" spans="1:19" ht="12.5" x14ac:dyDescent="0.2">
      <c r="D179" s="101" t="s">
        <v>154</v>
      </c>
      <c r="H179" s="98" t="s">
        <v>125</v>
      </c>
      <c r="I179" s="99" t="s">
        <v>72</v>
      </c>
      <c r="M179" s="68">
        <v>0.28475940139648215</v>
      </c>
    </row>
    <row r="180" spans="1:19" ht="12.5" x14ac:dyDescent="0.2">
      <c r="D180" s="101" t="s">
        <v>155</v>
      </c>
      <c r="H180" s="98" t="s">
        <v>125</v>
      </c>
      <c r="I180" s="99" t="s">
        <v>72</v>
      </c>
      <c r="M180" s="68">
        <v>0.19133213176674826</v>
      </c>
    </row>
    <row r="181" spans="1:19" ht="12.5" x14ac:dyDescent="0.2">
      <c r="D181" s="101" t="s">
        <v>156</v>
      </c>
      <c r="H181" s="98" t="s">
        <v>125</v>
      </c>
      <c r="I181" s="99" t="s">
        <v>72</v>
      </c>
      <c r="M181" s="68">
        <v>0.17450584060105409</v>
      </c>
    </row>
    <row r="182" spans="1:19" ht="12.5" x14ac:dyDescent="0.2">
      <c r="D182" s="101" t="s">
        <v>157</v>
      </c>
      <c r="H182" s="98" t="s">
        <v>125</v>
      </c>
      <c r="I182" s="99" t="s">
        <v>72</v>
      </c>
      <c r="M182" s="68">
        <v>7.5593640355564748E-2</v>
      </c>
    </row>
    <row r="183" spans="1:19" ht="12.5" x14ac:dyDescent="0.2">
      <c r="D183" s="101" t="s">
        <v>158</v>
      </c>
      <c r="H183" s="95" t="s">
        <v>89</v>
      </c>
      <c r="I183" s="99" t="s">
        <v>72</v>
      </c>
      <c r="M183" s="85">
        <f>1-SUM(M178:M182)</f>
        <v>0.10000000000000009</v>
      </c>
    </row>
    <row r="184" spans="1:19" s="6" customFormat="1" ht="11.25" customHeight="1" x14ac:dyDescent="0.2">
      <c r="E184" s="7"/>
      <c r="F184" s="7"/>
      <c r="J184" s="7"/>
      <c r="K184" s="7"/>
      <c r="N184" s="7"/>
      <c r="O184" s="7"/>
      <c r="P184" s="7"/>
      <c r="Q184" s="7"/>
      <c r="R184" s="7"/>
      <c r="S184" s="7"/>
    </row>
    <row r="185" spans="1:19" s="6" customFormat="1" ht="11.25" customHeight="1" x14ac:dyDescent="0.2">
      <c r="D185" s="73" t="s">
        <v>88</v>
      </c>
      <c r="E185" s="7"/>
      <c r="F185" s="7"/>
      <c r="H185" s="67" t="s">
        <v>89</v>
      </c>
      <c r="I185" s="67" t="str">
        <f>Lookup!D$60</f>
        <v>NMI</v>
      </c>
      <c r="J185" s="7"/>
      <c r="K185" s="7"/>
      <c r="M185" s="86">
        <f>SUM(M178:M183)</f>
        <v>1</v>
      </c>
      <c r="N185" s="7"/>
      <c r="O185" s="7"/>
      <c r="P185" s="7"/>
      <c r="Q185" s="7"/>
      <c r="R185" s="7"/>
      <c r="S185" s="7"/>
    </row>
    <row r="187" spans="1:19" s="6" customFormat="1" ht="11.25" customHeight="1" x14ac:dyDescent="0.2">
      <c r="A187" s="70">
        <f>IF(SUM($M187)=0,0,1)</f>
        <v>0</v>
      </c>
      <c r="D187" s="96" t="s">
        <v>92</v>
      </c>
      <c r="E187" s="7"/>
      <c r="F187" s="7"/>
      <c r="H187" s="95" t="s">
        <v>89</v>
      </c>
      <c r="I187" s="99" t="s">
        <v>35</v>
      </c>
      <c r="J187" s="7"/>
      <c r="K187" s="7"/>
      <c r="M187" s="70">
        <f>IF(M184&lt;0,1,0)</f>
        <v>0</v>
      </c>
      <c r="N187" s="7"/>
      <c r="O187" s="7"/>
      <c r="P187" s="7"/>
      <c r="Q187" s="7"/>
      <c r="R187" s="7"/>
      <c r="S187" s="7"/>
    </row>
    <row r="190" spans="1:19" s="13" customFormat="1" ht="14" x14ac:dyDescent="0.2">
      <c r="C190" s="13" t="s">
        <v>159</v>
      </c>
    </row>
    <row r="191" spans="1:19" s="6" customFormat="1" ht="11.25" customHeight="1" x14ac:dyDescent="0.2"/>
    <row r="192" spans="1:19" s="6" customFormat="1" ht="11.25" customHeight="1" x14ac:dyDescent="0.2">
      <c r="D192" s="83" t="str">
        <f>D$10</f>
        <v>Tariff</v>
      </c>
      <c r="H192" s="65" t="str">
        <f>Lookup!E$19</f>
        <v>Source</v>
      </c>
      <c r="I192" s="65" t="str">
        <f>Lookup!F$19</f>
        <v>Unit</v>
      </c>
      <c r="L192" s="7"/>
      <c r="M192" s="65" t="s">
        <v>21</v>
      </c>
    </row>
    <row r="193" spans="2:13" s="6" customFormat="1" ht="11.25" customHeight="1" x14ac:dyDescent="0.2"/>
    <row r="194" spans="2:13" s="6" customFormat="1" ht="11.25" customHeight="1" x14ac:dyDescent="0.2">
      <c r="D194" s="100" t="s">
        <v>102</v>
      </c>
      <c r="H194" s="98" t="s">
        <v>125</v>
      </c>
      <c r="I194" s="99" t="s">
        <v>74</v>
      </c>
      <c r="M194" s="87">
        <v>1</v>
      </c>
    </row>
    <row r="195" spans="2:13" s="6" customFormat="1" ht="11.25" customHeight="1" x14ac:dyDescent="0.2">
      <c r="D195" s="100" t="s">
        <v>105</v>
      </c>
      <c r="H195" s="98" t="s">
        <v>125</v>
      </c>
      <c r="I195" s="99" t="s">
        <v>74</v>
      </c>
      <c r="M195" s="87">
        <v>2</v>
      </c>
    </row>
    <row r="196" spans="2:13" s="6" customFormat="1" ht="11.25" customHeight="1" x14ac:dyDescent="0.2">
      <c r="D196" s="100" t="s">
        <v>107</v>
      </c>
      <c r="H196" s="98" t="s">
        <v>125</v>
      </c>
      <c r="I196" s="99" t="s">
        <v>74</v>
      </c>
      <c r="M196" s="87">
        <v>0</v>
      </c>
    </row>
    <row r="197" spans="2:13" s="6" customFormat="1" ht="11.25" customHeight="1" x14ac:dyDescent="0.2">
      <c r="D197" s="100" t="s">
        <v>109</v>
      </c>
      <c r="H197" s="98" t="s">
        <v>125</v>
      </c>
      <c r="I197" s="99" t="s">
        <v>74</v>
      </c>
      <c r="M197" s="87">
        <v>0</v>
      </c>
    </row>
    <row r="198" spans="2:13" s="6" customFormat="1" ht="11.25" customHeight="1" x14ac:dyDescent="0.2">
      <c r="D198" s="100" t="s">
        <v>111</v>
      </c>
      <c r="H198" s="98" t="s">
        <v>125</v>
      </c>
      <c r="I198" s="99" t="s">
        <v>74</v>
      </c>
      <c r="M198" s="87">
        <v>0</v>
      </c>
    </row>
    <row r="199" spans="2:13" s="6" customFormat="1" ht="11.25" customHeight="1" x14ac:dyDescent="0.2">
      <c r="D199" s="100" t="s">
        <v>114</v>
      </c>
      <c r="H199" s="98" t="s">
        <v>125</v>
      </c>
      <c r="I199" s="99" t="s">
        <v>74</v>
      </c>
      <c r="M199" s="87">
        <v>3</v>
      </c>
    </row>
    <row r="200" spans="2:13" s="6" customFormat="1" ht="11.25" customHeight="1" x14ac:dyDescent="0.2">
      <c r="D200" s="100" t="s">
        <v>116</v>
      </c>
      <c r="H200" s="98" t="s">
        <v>125</v>
      </c>
      <c r="I200" s="99" t="s">
        <v>74</v>
      </c>
      <c r="M200" s="87">
        <v>0</v>
      </c>
    </row>
    <row r="201" spans="2:13" x14ac:dyDescent="0.2">
      <c r="J201" s="6"/>
      <c r="K201" s="6"/>
    </row>
    <row r="203" spans="2:13" s="4" customFormat="1" ht="15.5" x14ac:dyDescent="0.2">
      <c r="B203" s="4" t="s">
        <v>33</v>
      </c>
    </row>
  </sheetData>
  <mergeCells count="1">
    <mergeCell ref="M94:O94"/>
  </mergeCells>
  <conditionalFormatting sqref="B2">
    <cfRule type="cellIs" dxfId="37" priority="4" operator="notEqual">
      <formula>"No Errors Found"</formula>
    </cfRule>
  </conditionalFormatting>
  <conditionalFormatting sqref="O83">
    <cfRule type="expression" dxfId="36" priority="3">
      <formula>O$82=No_Input</formula>
    </cfRule>
  </conditionalFormatting>
  <conditionalFormatting sqref="P83:S83">
    <cfRule type="expression" dxfId="35" priority="2">
      <formula>P$82=No_Input</formula>
    </cfRule>
  </conditionalFormatting>
  <conditionalFormatting sqref="M83:N83">
    <cfRule type="expression" dxfId="34" priority="1">
      <formula>M$82=No_Input</formula>
    </cfRule>
  </conditionalFormatting>
  <dataValidations count="4">
    <dataValidation type="list" allowBlank="1" showInputMessage="1" showErrorMessage="1" sqref="I161:I169 I144:I152 I44 I88 I178:I183 I187 I194:I200 I113:I130 I83:I85 I65 I33:I35 I30:I31 I53 I47:I51 I56:I60 I62 I28">
      <formula1>LU_Units</formula1>
    </dataValidation>
    <dataValidation type="list" allowBlank="1" showInputMessage="1" showErrorMessage="1" sqref="J98:J104 J44 J83:J85 J65 J33:J35 J88 J30:J31 J53 J47:J51 J56:J60 J62 J28">
      <formula1>LU_Basis</formula1>
    </dataValidation>
    <dataValidation type="list" allowBlank="1" showInputMessage="1" showErrorMessage="1" sqref="D161:D169 D144:D152 D194:D200">
      <formula1>LU_Tariff_Assignments</formula1>
    </dataValidation>
    <dataValidation type="list" allowBlank="1" showInputMessage="1" showErrorMessage="1" sqref="M82:S82">
      <formula1>LU_Revenue_Input</formula1>
    </dataValidation>
  </dataValidations>
  <hyperlinks>
    <hyperlink ref="B3:E3" location="TOC!A1" display="TOC!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74"/>
  <sheetViews>
    <sheetView showGridLines="0" workbookViewId="0">
      <pane ySplit="11" topLeftCell="A12" activePane="bottomLeft" state="frozen"/>
      <selection pane="bottomLeft" activeCell="B1" sqref="B1"/>
    </sheetView>
  </sheetViews>
  <sheetFormatPr defaultColWidth="9.33203125" defaultRowHeight="10" outlineLevelRow="1" x14ac:dyDescent="0.2"/>
  <cols>
    <col min="1" max="1" width="3.33203125" style="7" customWidth="1"/>
    <col min="2" max="3" width="2.77734375" style="7" customWidth="1"/>
    <col min="4" max="4" width="34.33203125" style="7" bestFit="1" customWidth="1"/>
    <col min="5" max="5" width="51.33203125" style="7" bestFit="1" customWidth="1"/>
    <col min="6" max="6" width="14.44140625" style="7" bestFit="1" customWidth="1"/>
    <col min="7" max="7" width="2.44140625" style="7" customWidth="1"/>
    <col min="8" max="8" width="12.33203125" style="7" bestFit="1" customWidth="1"/>
    <col min="9" max="9" width="10.77734375" style="7" customWidth="1"/>
    <col min="10" max="11" width="12.77734375" style="7" customWidth="1"/>
    <col min="12" max="12" width="2.44140625" style="7" customWidth="1"/>
    <col min="13" max="13" width="16" style="7" customWidth="1"/>
    <col min="14" max="14" width="11.77734375" style="7" customWidth="1"/>
    <col min="15" max="19" width="15.44140625" style="7" customWidth="1"/>
    <col min="20" max="20" width="4.33203125" style="7" customWidth="1"/>
    <col min="21" max="24" width="10.77734375" style="7" customWidth="1"/>
    <col min="25" max="16384" width="9.33203125" style="7"/>
  </cols>
  <sheetData>
    <row r="1" spans="1:22" ht="19" x14ac:dyDescent="0.2">
      <c r="A1" s="70">
        <f>IF(SUM($A11:$A74)&gt;0,1,0)</f>
        <v>0</v>
      </c>
      <c r="B1" s="5" t="s">
        <v>142</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c r="N5" s="62"/>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c r="N6" s="62"/>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c r="N7" s="63"/>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c r="N8" s="64"/>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c r="N9" s="64"/>
      <c r="O9" s="64" t="e">
        <f>Lookup!#REF!</f>
        <v>#REF!</v>
      </c>
      <c r="P9" s="64" t="e">
        <f>Lookup!#REF!</f>
        <v>#REF!</v>
      </c>
      <c r="Q9" s="64" t="e">
        <f>Lookup!#REF!</f>
        <v>#REF!</v>
      </c>
      <c r="R9" s="64" t="e">
        <f>Lookup!#REF!</f>
        <v>#REF!</v>
      </c>
      <c r="S9" s="64" t="e">
        <f>Lookup!#REF!</f>
        <v>#REF!</v>
      </c>
    </row>
    <row r="10" spans="1:22" ht="13" collapsed="1" x14ac:dyDescent="0.2">
      <c r="B10" s="10" t="str">
        <f>Lookup!B19</f>
        <v>FY</v>
      </c>
      <c r="D10" s="61" t="s">
        <v>196</v>
      </c>
      <c r="E10" s="61" t="s">
        <v>100</v>
      </c>
      <c r="F10" s="61" t="s">
        <v>101</v>
      </c>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207</v>
      </c>
    </row>
    <row r="13" spans="1:22" s="6" customFormat="1" ht="11.25" customHeight="1" x14ac:dyDescent="0.2"/>
    <row r="14" spans="1:22" s="6" customFormat="1" ht="11.25" customHeight="1" x14ac:dyDescent="0.2">
      <c r="D14" s="124" t="s">
        <v>466</v>
      </c>
    </row>
    <row r="15" spans="1:22" s="6" customFormat="1" ht="11.25" customHeight="1" x14ac:dyDescent="0.2"/>
    <row r="16" spans="1:22" s="6" customFormat="1" ht="11.25" customHeight="1" x14ac:dyDescent="0.2"/>
    <row r="17" spans="1:19" s="13" customFormat="1" ht="14" x14ac:dyDescent="0.2">
      <c r="C17" s="13" t="s">
        <v>210</v>
      </c>
    </row>
    <row r="18" spans="1:19" s="6" customFormat="1" ht="11.25" customHeight="1" x14ac:dyDescent="0.2"/>
    <row r="19" spans="1:19" s="6" customFormat="1" ht="11.25" customHeight="1" x14ac:dyDescent="0.2">
      <c r="D19" s="83" t="s">
        <v>211</v>
      </c>
      <c r="F19" s="65" t="str">
        <f>F$10</f>
        <v>Tariff Class</v>
      </c>
      <c r="H19" s="65" t="str">
        <f>Lookup!E$19</f>
        <v>Source</v>
      </c>
      <c r="I19" s="65" t="str">
        <f>Lookup!F$19</f>
        <v>Unit</v>
      </c>
      <c r="J19" s="65" t="str">
        <f>Lookup!G$19</f>
        <v>Basis</v>
      </c>
      <c r="L19" s="7"/>
      <c r="O19" s="65" t="str">
        <f>O$10</f>
        <v>FY20</v>
      </c>
      <c r="P19" s="65" t="str">
        <f>P$10</f>
        <v>FY21</v>
      </c>
      <c r="Q19" s="65" t="str">
        <f>Q$10</f>
        <v>FY22</v>
      </c>
      <c r="R19" s="65" t="str">
        <f>R$10</f>
        <v>FY23</v>
      </c>
      <c r="S19" s="65" t="str">
        <f>S$10</f>
        <v>FY24</v>
      </c>
    </row>
    <row r="20" spans="1:19" s="6" customFormat="1" ht="11.25" customHeight="1" x14ac:dyDescent="0.2"/>
    <row r="21" spans="1:19" s="6" customFormat="1" ht="11.25" customHeight="1" x14ac:dyDescent="0.2">
      <c r="D21" s="90" t="str">
        <f>C29</f>
        <v>System Access Charge</v>
      </c>
      <c r="F21" s="74" t="s">
        <v>35</v>
      </c>
      <c r="H21" s="95" t="s">
        <v>212</v>
      </c>
      <c r="I21" s="95" t="s">
        <v>76</v>
      </c>
      <c r="J21" s="95" t="s">
        <v>69</v>
      </c>
      <c r="O21" s="78">
        <f>O41</f>
        <v>31500.175311967036</v>
      </c>
      <c r="P21" s="78">
        <f>P41</f>
        <v>40614.457992710966</v>
      </c>
      <c r="Q21" s="78">
        <f>Q41</f>
        <v>43465.555938999903</v>
      </c>
      <c r="R21" s="78">
        <f>R41</f>
        <v>46355.544731165006</v>
      </c>
      <c r="S21" s="78">
        <f>S41</f>
        <v>49420.999166917703</v>
      </c>
    </row>
    <row r="22" spans="1:19" s="6" customFormat="1" ht="11.25" customHeight="1" x14ac:dyDescent="0.2">
      <c r="D22" s="90" t="str">
        <f>C45</f>
        <v>Consumption</v>
      </c>
      <c r="F22" s="74" t="s">
        <v>35</v>
      </c>
      <c r="H22" s="95" t="s">
        <v>212</v>
      </c>
      <c r="I22" s="95" t="s">
        <v>76</v>
      </c>
      <c r="J22" s="95" t="s">
        <v>69</v>
      </c>
      <c r="O22" s="78">
        <f>O57</f>
        <v>88173.097690869021</v>
      </c>
      <c r="P22" s="78">
        <f>P57</f>
        <v>69263.46866758843</v>
      </c>
      <c r="Q22" s="78">
        <f>Q57</f>
        <v>69069.917712147624</v>
      </c>
      <c r="R22" s="78">
        <f>R57</f>
        <v>69009.716438403586</v>
      </c>
      <c r="S22" s="78">
        <f>S57</f>
        <v>68910.346854991731</v>
      </c>
    </row>
    <row r="23" spans="1:19" s="6" customFormat="1" ht="11.25" customHeight="1" x14ac:dyDescent="0.2">
      <c r="D23" s="90" t="str">
        <f>C61</f>
        <v>Demand</v>
      </c>
      <c r="F23" s="74" t="s">
        <v>35</v>
      </c>
      <c r="H23" s="95" t="s">
        <v>212</v>
      </c>
      <c r="I23" s="95" t="s">
        <v>76</v>
      </c>
      <c r="J23" s="95" t="s">
        <v>69</v>
      </c>
      <c r="O23" s="78">
        <f>O70</f>
        <v>38137.717315572198</v>
      </c>
      <c r="P23" s="78">
        <f>P70</f>
        <v>36051.465744239234</v>
      </c>
      <c r="Q23" s="78">
        <f>Q70</f>
        <v>38099.914503755295</v>
      </c>
      <c r="R23" s="78">
        <f>R70</f>
        <v>40465.541485261019</v>
      </c>
      <c r="S23" s="78">
        <f>S70</f>
        <v>42874.462925555308</v>
      </c>
    </row>
    <row r="24" spans="1:19" s="6" customFormat="1" ht="11.25" customHeight="1" x14ac:dyDescent="0.2"/>
    <row r="25" spans="1:19" s="6" customFormat="1" ht="11.25" customHeight="1" x14ac:dyDescent="0.2">
      <c r="D25" s="73" t="s">
        <v>88</v>
      </c>
      <c r="F25" s="67" t="s">
        <v>35</v>
      </c>
      <c r="H25" s="67" t="s">
        <v>89</v>
      </c>
      <c r="I25" s="67" t="str">
        <f>Thousands</f>
        <v>$000's</v>
      </c>
      <c r="J25" s="67" t="str">
        <f>Nominal</f>
        <v>Nominal</v>
      </c>
      <c r="O25" s="80">
        <f>SUM(O21:O23)</f>
        <v>157810.99031840824</v>
      </c>
      <c r="P25" s="80">
        <f>SUM(P21:P23)</f>
        <v>145929.39240453864</v>
      </c>
      <c r="Q25" s="80">
        <f>SUM(Q21:Q23)</f>
        <v>150635.38815490284</v>
      </c>
      <c r="R25" s="80">
        <f>SUM(R21:R23)</f>
        <v>155830.8026548296</v>
      </c>
      <c r="S25" s="80">
        <f>SUM(S21:S23)</f>
        <v>161205.80894746474</v>
      </c>
    </row>
    <row r="26" spans="1:19" s="6" customFormat="1" ht="11.25" customHeight="1" x14ac:dyDescent="0.2">
      <c r="O26" s="84"/>
      <c r="P26" s="84"/>
      <c r="Q26" s="84"/>
      <c r="R26" s="84"/>
      <c r="S26" s="84"/>
    </row>
    <row r="27" spans="1:19" s="6" customFormat="1" ht="11.25" hidden="1" customHeight="1" outlineLevel="1" x14ac:dyDescent="0.2">
      <c r="A27" s="70">
        <f>IF(SUM($O27:$S27)=0,0,1)</f>
        <v>0</v>
      </c>
      <c r="D27" s="96" t="s">
        <v>209</v>
      </c>
      <c r="E27" s="95"/>
      <c r="F27" s="95"/>
      <c r="G27" s="97"/>
      <c r="H27" s="95"/>
      <c r="I27" s="95"/>
      <c r="J27" s="95"/>
      <c r="K27" s="69"/>
      <c r="O27" s="70">
        <f>IF(ROUND(O25-O41-O57-O70,5)=0,0,1)</f>
        <v>0</v>
      </c>
      <c r="P27" s="70">
        <f>IF(ROUND(P25-P41-P57-P70,5)=0,0,1)</f>
        <v>0</v>
      </c>
      <c r="Q27" s="70">
        <f>IF(ROUND(Q25-Q41-Q57-Q70,5)=0,0,1)</f>
        <v>0</v>
      </c>
      <c r="R27" s="70">
        <f>IF(ROUND(R25-R41-R57-R70,5)=0,0,1)</f>
        <v>0</v>
      </c>
      <c r="S27" s="70">
        <f>IF(ROUND(S25-S41-S57-S70,5)=0,0,1)</f>
        <v>0</v>
      </c>
    </row>
    <row r="28" spans="1:19" s="6" customFormat="1" ht="11.25" customHeight="1" collapsed="1" x14ac:dyDescent="0.2"/>
    <row r="29" spans="1:19" s="13" customFormat="1" ht="14" x14ac:dyDescent="0.2">
      <c r="C29" s="13" t="str">
        <f>Inputs_Prices!C17</f>
        <v>System Access Charge</v>
      </c>
    </row>
    <row r="30" spans="1:19" s="6" customFormat="1" ht="11.25" customHeight="1" x14ac:dyDescent="0.2"/>
    <row r="31" spans="1:19" s="6" customFormat="1" ht="11.25" customHeight="1" x14ac:dyDescent="0.2">
      <c r="D31" s="83" t="str">
        <f>D$10</f>
        <v>Tariff</v>
      </c>
      <c r="F31" s="65" t="str">
        <f>F$10</f>
        <v>Tariff Class</v>
      </c>
      <c r="H31" s="65" t="str">
        <f>Lookup!E$19</f>
        <v>Source</v>
      </c>
      <c r="I31" s="65" t="str">
        <f>Lookup!F$19</f>
        <v>Unit</v>
      </c>
      <c r="J31" s="65" t="str">
        <f>Lookup!G$19</f>
        <v>Basis</v>
      </c>
      <c r="L31" s="7"/>
      <c r="O31" s="65" t="str">
        <f>O$10</f>
        <v>FY20</v>
      </c>
      <c r="P31" s="65" t="str">
        <f>P$10</f>
        <v>FY21</v>
      </c>
      <c r="Q31" s="65" t="str">
        <f>Q$10</f>
        <v>FY22</v>
      </c>
      <c r="R31" s="65" t="str">
        <f>R$10</f>
        <v>FY23</v>
      </c>
      <c r="S31" s="65" t="str">
        <f>S$10</f>
        <v>FY24</v>
      </c>
    </row>
    <row r="32" spans="1:19" s="6" customFormat="1" ht="11.25" customHeight="1" x14ac:dyDescent="0.2">
      <c r="D32" s="3"/>
    </row>
    <row r="33" spans="1:19" s="6" customFormat="1" ht="11.25" customHeight="1" x14ac:dyDescent="0.2">
      <c r="D33" s="90" t="str">
        <f>Inputs_Prices!D21</f>
        <v>LV Residential Accumulation</v>
      </c>
      <c r="F33" s="74" t="str">
        <f>Inputs_Prices!F21</f>
        <v>LV &lt;750MWh</v>
      </c>
      <c r="H33" s="95" t="s">
        <v>89</v>
      </c>
      <c r="I33" s="95" t="s">
        <v>76</v>
      </c>
      <c r="J33" s="95" t="s">
        <v>69</v>
      </c>
      <c r="O33" s="78">
        <f>Inputs_Prices!O21*Inputs_Volumes!O21*Cents_to_Dollars*Dollars_to_Thousands</f>
        <v>14918.927965242834</v>
      </c>
      <c r="P33" s="78">
        <f>Inputs_Prices!P21*Inputs_Volumes!P21*Cents_to_Dollars*Dollars_to_Thousands</f>
        <v>20398.078182300003</v>
      </c>
      <c r="Q33" s="78">
        <f>Inputs_Prices!Q21*Inputs_Volumes!Q21*Cents_to_Dollars*Dollars_to_Thousands</f>
        <v>20180.013462855804</v>
      </c>
      <c r="R33" s="78">
        <f>Inputs_Prices!R21*Inputs_Volumes!R21*Cents_to_Dollars*Dollars_to_Thousands</f>
        <v>19882.442814149115</v>
      </c>
      <c r="S33" s="78">
        <f>Inputs_Prices!S21*Inputs_Volumes!S21*Cents_to_Dollars*Dollars_to_Thousands</f>
        <v>19584.425674627666</v>
      </c>
    </row>
    <row r="34" spans="1:19" s="6" customFormat="1" ht="11.25" customHeight="1" x14ac:dyDescent="0.2">
      <c r="D34" s="90" t="str">
        <f>Inputs_Prices!D22</f>
        <v>LV Non-Residential Accumulation</v>
      </c>
      <c r="F34" s="74" t="str">
        <f>Inputs_Prices!F22</f>
        <v>LV &lt;750MWh</v>
      </c>
      <c r="H34" s="95" t="s">
        <v>89</v>
      </c>
      <c r="I34" s="95" t="s">
        <v>76</v>
      </c>
      <c r="J34" s="95" t="s">
        <v>69</v>
      </c>
      <c r="O34" s="78">
        <f>Inputs_Prices!O22*Inputs_Volumes!O22*Cents_to_Dollars*Dollars_to_Thousands</f>
        <v>3982.7910462242021</v>
      </c>
      <c r="P34" s="78">
        <f>Inputs_Prices!P22*Inputs_Volumes!P22*Cents_to_Dollars*Dollars_to_Thousands</f>
        <v>4228.3980000000001</v>
      </c>
      <c r="Q34" s="78">
        <f>Inputs_Prices!Q22*Inputs_Volumes!Q22*Cents_to_Dollars*Dollars_to_Thousands</f>
        <v>4164.5924552429997</v>
      </c>
      <c r="R34" s="78">
        <f>Inputs_Prices!R22*Inputs_Volumes!R22*Cents_to_Dollars*Dollars_to_Thousands</f>
        <v>4112.3855679315066</v>
      </c>
      <c r="S34" s="78">
        <f>Inputs_Prices!S22*Inputs_Volumes!S22*Cents_to_Dollars*Dollars_to_Thousands</f>
        <v>4061.873605727445</v>
      </c>
    </row>
    <row r="35" spans="1:19" s="6" customFormat="1" ht="11.25" customHeight="1" x14ac:dyDescent="0.2">
      <c r="D35" s="90" t="str">
        <f>Inputs_Prices!D23</f>
        <v>LV Unmetered</v>
      </c>
      <c r="F35" s="74" t="str">
        <f>Inputs_Prices!F23</f>
        <v>LV &lt;750MWh</v>
      </c>
      <c r="H35" s="95" t="s">
        <v>89</v>
      </c>
      <c r="I35" s="95" t="s">
        <v>76</v>
      </c>
      <c r="J35" s="95" t="s">
        <v>69</v>
      </c>
      <c r="O35" s="78">
        <f>Inputs_Prices!O23*Inputs_Volumes!O23*Cents_to_Dollars*Dollars_to_Thousands</f>
        <v>0</v>
      </c>
      <c r="P35" s="78">
        <f>Inputs_Prices!P23*Inputs_Volumes!P23*Cents_to_Dollars*Dollars_to_Thousands</f>
        <v>0</v>
      </c>
      <c r="Q35" s="78">
        <f>Inputs_Prices!Q23*Inputs_Volumes!Q23*Cents_to_Dollars*Dollars_to_Thousands</f>
        <v>0</v>
      </c>
      <c r="R35" s="78">
        <f>Inputs_Prices!R23*Inputs_Volumes!R23*Cents_to_Dollars*Dollars_to_Thousands</f>
        <v>0</v>
      </c>
      <c r="S35" s="78">
        <f>Inputs_Prices!S23*Inputs_Volumes!S23*Cents_to_Dollars*Dollars_to_Thousands</f>
        <v>0</v>
      </c>
    </row>
    <row r="36" spans="1:19" s="6" customFormat="1" ht="11.25" customHeight="1" x14ac:dyDescent="0.2">
      <c r="D36" s="90" t="str">
        <f>Inputs_Prices!D24</f>
        <v>LV Smart Meter</v>
      </c>
      <c r="F36" s="74" t="str">
        <f>Inputs_Prices!F24</f>
        <v>LV &lt;750MWh</v>
      </c>
      <c r="H36" s="95" t="s">
        <v>89</v>
      </c>
      <c r="I36" s="95" t="s">
        <v>76</v>
      </c>
      <c r="J36" s="95" t="s">
        <v>69</v>
      </c>
      <c r="O36" s="78">
        <f>Inputs_Prices!O24*Inputs_Volumes!O24*Cents_to_Dollars*Dollars_to_Thousands</f>
        <v>7306.4074004999993</v>
      </c>
      <c r="P36" s="78">
        <f>Inputs_Prices!P24*Inputs_Volumes!P24*Cents_to_Dollars*Dollars_to_Thousands</f>
        <v>10322.298000000001</v>
      </c>
      <c r="Q36" s="78">
        <f>Inputs_Prices!Q24*Inputs_Volumes!Q24*Cents_to_Dollars*Dollars_to_Thousands</f>
        <v>13083.111853317003</v>
      </c>
      <c r="R36" s="78">
        <f>Inputs_Prices!R24*Inputs_Volumes!R24*Cents_to_Dollars*Dollars_to_Thousands</f>
        <v>15996.092051685277</v>
      </c>
      <c r="S36" s="78">
        <f>Inputs_Prices!S24*Inputs_Volumes!S24*Cents_to_Dollars*Dollars_to_Thousands</f>
        <v>19036.537004660597</v>
      </c>
    </row>
    <row r="37" spans="1:19" s="6" customFormat="1" ht="11.25" customHeight="1" x14ac:dyDescent="0.2">
      <c r="D37" s="90" t="str">
        <f>Inputs_Prices!D25</f>
        <v>HV Smart meter &lt;750MWh</v>
      </c>
      <c r="F37" s="74" t="str">
        <f>Inputs_Prices!F25</f>
        <v>HV</v>
      </c>
      <c r="H37" s="95" t="s">
        <v>89</v>
      </c>
      <c r="I37" s="95" t="s">
        <v>76</v>
      </c>
      <c r="J37" s="95" t="s">
        <v>69</v>
      </c>
      <c r="O37" s="81">
        <f>Inputs_Prices!O25*Inputs_Volumes!O25*Cents_to_Dollars*Dollars_to_Thousands</f>
        <v>14.328899999999999</v>
      </c>
      <c r="P37" s="81">
        <f>Inputs_Prices!P25*Inputs_Volumes!P25*Cents_to_Dollars*Dollars_to_Thousands</f>
        <v>15.86835616438356</v>
      </c>
      <c r="Q37" s="81">
        <f>Inputs_Prices!Q25*Inputs_Volumes!Q25*Cents_to_Dollars*Dollars_to_Thousands</f>
        <v>16.44226700178082</v>
      </c>
      <c r="R37" s="81">
        <f>Inputs_Prices!R25*Inputs_Volumes!R25*Cents_to_Dollars*Dollars_to_Thousands</f>
        <v>17.088102807343773</v>
      </c>
      <c r="S37" s="81">
        <f>Inputs_Prices!S25*Inputs_Volumes!S25*Cents_to_Dollars*Dollars_to_Thousands</f>
        <v>17.774624318645216</v>
      </c>
    </row>
    <row r="38" spans="1:19" s="6" customFormat="1" ht="11.25" customHeight="1" x14ac:dyDescent="0.2">
      <c r="D38" s="90" t="str">
        <f>Inputs_Prices!D26</f>
        <v>LV &gt;750MWh</v>
      </c>
      <c r="F38" s="74" t="str">
        <f>Inputs_Prices!F26</f>
        <v>LV &gt;750MWh</v>
      </c>
      <c r="H38" s="95" t="s">
        <v>89</v>
      </c>
      <c r="I38" s="95" t="s">
        <v>76</v>
      </c>
      <c r="J38" s="95" t="s">
        <v>69</v>
      </c>
      <c r="O38" s="78">
        <f>Inputs_Prices!O26*Inputs_Volumes!O26*Cents_to_Dollars*Dollars_to_Thousands</f>
        <v>4329.78</v>
      </c>
      <c r="P38" s="78">
        <f>Inputs_Prices!P26*Inputs_Volumes!P26*Cents_to_Dollars*Dollars_to_Thousands</f>
        <v>4471.0447693150691</v>
      </c>
      <c r="Q38" s="78">
        <f>Inputs_Prices!Q26*Inputs_Volumes!Q26*Cents_to_Dollars*Dollars_to_Thousands</f>
        <v>4767.7574609188878</v>
      </c>
      <c r="R38" s="78">
        <f>Inputs_Prices!R26*Inputs_Volumes!R26*Cents_to_Dollars*Dollars_to_Thousands</f>
        <v>5011.1547706190222</v>
      </c>
      <c r="S38" s="78">
        <f>Inputs_Prices!S26*Inputs_Volumes!S26*Cents_to_Dollars*Dollars_to_Thousands</f>
        <v>5295.994626898856</v>
      </c>
    </row>
    <row r="39" spans="1:19" s="6" customFormat="1" ht="11.25" customHeight="1" x14ac:dyDescent="0.2">
      <c r="D39" s="90" t="str">
        <f>Inputs_Prices!D27</f>
        <v>HV &gt;750MWh</v>
      </c>
      <c r="F39" s="74" t="str">
        <f>Inputs_Prices!F27</f>
        <v>HV</v>
      </c>
      <c r="H39" s="95" t="s">
        <v>89</v>
      </c>
      <c r="I39" s="95" t="s">
        <v>76</v>
      </c>
      <c r="J39" s="95" t="s">
        <v>69</v>
      </c>
      <c r="O39" s="78">
        <f>Inputs_Prices!O27*Inputs_Volumes!O27*Cents_to_Dollars*Dollars_to_Thousands</f>
        <v>947.94</v>
      </c>
      <c r="P39" s="78">
        <f>Inputs_Prices!P27*Inputs_Volumes!P27*Cents_to_Dollars*Dollars_to_Thousands</f>
        <v>1178.770684931507</v>
      </c>
      <c r="Q39" s="78">
        <f>Inputs_Prices!Q27*Inputs_Volumes!Q27*Cents_to_Dollars*Dollars_to_Thousands</f>
        <v>1253.6384396634248</v>
      </c>
      <c r="R39" s="78">
        <f>Inputs_Prices!R27*Inputs_Volumes!R27*Cents_to_Dollars*Dollars_to_Thousands</f>
        <v>1336.3814239727426</v>
      </c>
      <c r="S39" s="78">
        <f>Inputs_Prices!S27*Inputs_Volumes!S27*Cents_to_Dollars*Dollars_to_Thousands</f>
        <v>1424.3936306844923</v>
      </c>
    </row>
    <row r="40" spans="1:19" s="6" customFormat="1" ht="11.25" customHeight="1" x14ac:dyDescent="0.2"/>
    <row r="41" spans="1:19" s="6" customFormat="1" ht="11.25" customHeight="1" x14ac:dyDescent="0.2">
      <c r="D41" s="73" t="s">
        <v>88</v>
      </c>
      <c r="F41" s="67" t="s">
        <v>35</v>
      </c>
      <c r="H41" s="67" t="s">
        <v>89</v>
      </c>
      <c r="I41" s="67" t="str">
        <f>Thousands</f>
        <v>$000's</v>
      </c>
      <c r="J41" s="67" t="str">
        <f>Nominal</f>
        <v>Nominal</v>
      </c>
      <c r="O41" s="80">
        <f>SUM(O33:O39)</f>
        <v>31500.175311967036</v>
      </c>
      <c r="P41" s="80">
        <f>SUM(P33:P39)</f>
        <v>40614.457992710966</v>
      </c>
      <c r="Q41" s="80">
        <f>SUM(Q33:Q39)</f>
        <v>43465.555938999903</v>
      </c>
      <c r="R41" s="80">
        <f>SUM(R33:R39)</f>
        <v>46355.544731165006</v>
      </c>
      <c r="S41" s="80">
        <f>SUM(S33:S39)</f>
        <v>49420.999166917703</v>
      </c>
    </row>
    <row r="42" spans="1:19" s="6" customFormat="1" ht="11.25" customHeight="1" x14ac:dyDescent="0.2">
      <c r="O42" s="84"/>
      <c r="P42" s="84"/>
      <c r="Q42" s="84"/>
      <c r="R42" s="84"/>
      <c r="S42" s="84"/>
    </row>
    <row r="43" spans="1:19" s="6" customFormat="1" ht="11.25" hidden="1" customHeight="1" outlineLevel="1" x14ac:dyDescent="0.2">
      <c r="A43" s="70">
        <f>IF(SUM($O43:$S43)=0,0,1)</f>
        <v>0</v>
      </c>
      <c r="D43" s="96" t="s">
        <v>209</v>
      </c>
      <c r="E43" s="95"/>
      <c r="F43" s="95"/>
      <c r="G43" s="97"/>
      <c r="H43" s="95"/>
      <c r="I43" s="95"/>
      <c r="J43" s="95"/>
      <c r="K43" s="69"/>
      <c r="O43" s="70">
        <f>IF(ISERROR(O41)&lt;&gt;0,0,1)</f>
        <v>0</v>
      </c>
      <c r="P43" s="70">
        <f>IF(ISERROR(P41)&lt;&gt;0,0,1)</f>
        <v>0</v>
      </c>
      <c r="Q43" s="70">
        <f>IF(ISERROR(Q41)&lt;&gt;0,0,1)</f>
        <v>0</v>
      </c>
      <c r="R43" s="70">
        <f>IF(ISERROR(R41)&lt;&gt;0,0,1)</f>
        <v>0</v>
      </c>
      <c r="S43" s="70">
        <f>IF(ISERROR(S41)&lt;&gt;0,0,1)</f>
        <v>0</v>
      </c>
    </row>
    <row r="44" spans="1:19" s="6" customFormat="1" ht="11.25" customHeight="1" collapsed="1" x14ac:dyDescent="0.2"/>
    <row r="45" spans="1:19" s="13" customFormat="1" ht="14" x14ac:dyDescent="0.2">
      <c r="C45" s="13" t="str">
        <f>Inputs_Prices!C30</f>
        <v>Consumption</v>
      </c>
    </row>
    <row r="46" spans="1:19" s="6" customFormat="1" ht="11.25" customHeight="1" x14ac:dyDescent="0.2"/>
    <row r="47" spans="1:19" s="6" customFormat="1" ht="11.25" customHeight="1" x14ac:dyDescent="0.2">
      <c r="D47" s="83" t="str">
        <f>D$10</f>
        <v>Tariff</v>
      </c>
      <c r="F47" s="65" t="str">
        <f>F$10</f>
        <v>Tariff Class</v>
      </c>
      <c r="H47" s="65" t="str">
        <f>Lookup!E$19</f>
        <v>Source</v>
      </c>
      <c r="I47" s="65" t="str">
        <f>Lookup!F$19</f>
        <v>Unit</v>
      </c>
      <c r="J47" s="65" t="str">
        <f>Lookup!G$19</f>
        <v>Basis</v>
      </c>
      <c r="L47" s="7"/>
      <c r="O47" s="65" t="str">
        <f>O$10</f>
        <v>FY20</v>
      </c>
      <c r="P47" s="65" t="str">
        <f>P$10</f>
        <v>FY21</v>
      </c>
      <c r="Q47" s="65" t="str">
        <f>Q$10</f>
        <v>FY22</v>
      </c>
      <c r="R47" s="65" t="str">
        <f>R$10</f>
        <v>FY23</v>
      </c>
      <c r="S47" s="65" t="str">
        <f>S$10</f>
        <v>FY24</v>
      </c>
    </row>
    <row r="48" spans="1:19" s="6" customFormat="1" ht="11.25" customHeight="1" x14ac:dyDescent="0.2">
      <c r="D48" s="3"/>
    </row>
    <row r="49" spans="1:19" s="6" customFormat="1" ht="11.25" customHeight="1" x14ac:dyDescent="0.2">
      <c r="D49" s="90" t="str">
        <f>Inputs_Prices!D34</f>
        <v>LV Residential Accumulation</v>
      </c>
      <c r="F49" s="74" t="str">
        <f>Inputs_Prices!F34</f>
        <v>LV &lt;750MWh</v>
      </c>
      <c r="H49" s="95" t="s">
        <v>89</v>
      </c>
      <c r="I49" s="95" t="s">
        <v>76</v>
      </c>
      <c r="J49" s="95" t="s">
        <v>69</v>
      </c>
      <c r="O49" s="78">
        <f>Inputs_Prices!O34*Inputs_Volumes!O34*Cents_to_Dollars*Dollars_to_Thousands</f>
        <v>50427.566666485582</v>
      </c>
      <c r="P49" s="78">
        <f>Inputs_Prices!P34*Inputs_Volumes!P34*Cents_to_Dollars*Dollars_to_Thousands</f>
        <v>38630.051471672188</v>
      </c>
      <c r="Q49" s="78">
        <f>Inputs_Prices!Q34*Inputs_Volumes!Q34*Cents_to_Dollars*Dollars_to_Thousands</f>
        <v>37220.619131196137</v>
      </c>
      <c r="R49" s="78">
        <f>Inputs_Prices!R34*Inputs_Volumes!R34*Cents_to_Dollars*Dollars_to_Thousands</f>
        <v>35781.259243635555</v>
      </c>
      <c r="S49" s="78">
        <f>Inputs_Prices!S34*Inputs_Volumes!S34*Cents_to_Dollars*Dollars_to_Thousands</f>
        <v>34314.634040332312</v>
      </c>
    </row>
    <row r="50" spans="1:19" s="6" customFormat="1" ht="11.25" customHeight="1" x14ac:dyDescent="0.2">
      <c r="D50" s="90" t="str">
        <f>Inputs_Prices!D35</f>
        <v>LV Non-Residential Accumulation</v>
      </c>
      <c r="F50" s="74" t="str">
        <f>Inputs_Prices!F35</f>
        <v>LV &lt;750MWh</v>
      </c>
      <c r="H50" s="95" t="s">
        <v>89</v>
      </c>
      <c r="I50" s="95" t="s">
        <v>76</v>
      </c>
      <c r="J50" s="95" t="s">
        <v>69</v>
      </c>
      <c r="O50" s="78">
        <f>Inputs_Prices!O35*Inputs_Volumes!O35*Cents_to_Dollars*Dollars_to_Thousands</f>
        <v>6818.4810611142211</v>
      </c>
      <c r="P50" s="78">
        <f>Inputs_Prices!P35*Inputs_Volumes!P35*Cents_to_Dollars*Dollars_to_Thousands</f>
        <v>5428.7433911518865</v>
      </c>
      <c r="Q50" s="78">
        <f>Inputs_Prices!Q35*Inputs_Volumes!Q35*Cents_to_Dollars*Dollars_to_Thousands</f>
        <v>5230.673592843541</v>
      </c>
      <c r="R50" s="78">
        <f>Inputs_Prices!R35*Inputs_Volumes!R35*Cents_to_Dollars*Dollars_to_Thousands</f>
        <v>5028.3980281108961</v>
      </c>
      <c r="S50" s="78">
        <f>Inputs_Prices!S35*Inputs_Volumes!S35*Cents_to_Dollars*Dollars_to_Thousands</f>
        <v>4822.29082461499</v>
      </c>
    </row>
    <row r="51" spans="1:19" s="6" customFormat="1" ht="11.25" customHeight="1" x14ac:dyDescent="0.2">
      <c r="D51" s="90" t="str">
        <f>Inputs_Prices!D36</f>
        <v>LV Unmetered</v>
      </c>
      <c r="F51" s="74" t="str">
        <f>Inputs_Prices!F36</f>
        <v>LV &lt;750MWh</v>
      </c>
      <c r="H51" s="95" t="s">
        <v>89</v>
      </c>
      <c r="I51" s="95" t="s">
        <v>76</v>
      </c>
      <c r="J51" s="95" t="s">
        <v>69</v>
      </c>
      <c r="O51" s="78">
        <f>Inputs_Prices!O36*Inputs_Volumes!O36*Cents_to_Dollars*Dollars_to_Thousands</f>
        <v>1147.4845564710001</v>
      </c>
      <c r="P51" s="78">
        <f>Inputs_Prices!P36*Inputs_Volumes!P36*Cents_to_Dollars*Dollars_to_Thousands</f>
        <v>1104.5769420518643</v>
      </c>
      <c r="Q51" s="78">
        <f>Inputs_Prices!Q36*Inputs_Volumes!Q36*Cents_to_Dollars*Dollars_to_Thousands</f>
        <v>1145.0744706108276</v>
      </c>
      <c r="R51" s="78">
        <f>Inputs_Prices!R36*Inputs_Volumes!R36*Cents_to_Dollars*Dollars_to_Thousands</f>
        <v>1191.0778242943543</v>
      </c>
      <c r="S51" s="78">
        <f>Inputs_Prices!S36*Inputs_Volumes!S36*Cents_to_Dollars*Dollars_to_Thousands</f>
        <v>1237.3657959801528</v>
      </c>
    </row>
    <row r="52" spans="1:19" s="6" customFormat="1" ht="11.25" customHeight="1" x14ac:dyDescent="0.2">
      <c r="D52" s="90" t="str">
        <f>Inputs_Prices!D37</f>
        <v>LV Smart Meter</v>
      </c>
      <c r="F52" s="74" t="str">
        <f>Inputs_Prices!F37</f>
        <v>LV &lt;750MWh</v>
      </c>
      <c r="H52" s="95" t="s">
        <v>89</v>
      </c>
      <c r="I52" s="95" t="s">
        <v>76</v>
      </c>
      <c r="J52" s="95" t="s">
        <v>69</v>
      </c>
      <c r="O52" s="78">
        <f>Inputs_Prices!O37*Inputs_Volumes!O37*Cents_to_Dollars*Dollars_to_Thousands</f>
        <v>15042.370156604458</v>
      </c>
      <c r="P52" s="78">
        <f>Inputs_Prices!P37*Inputs_Volumes!P37*Cents_to_Dollars*Dollars_to_Thousands</f>
        <v>12034.035900512619</v>
      </c>
      <c r="Q52" s="78">
        <f>Inputs_Prices!Q37*Inputs_Volumes!Q37*Cents_to_Dollars*Dollars_to_Thousands</f>
        <v>13090.389423066608</v>
      </c>
      <c r="R52" s="78">
        <f>Inputs_Prices!R37*Inputs_Volumes!R37*Cents_to_Dollars*Dollars_to_Thousands</f>
        <v>14257.337389516502</v>
      </c>
      <c r="S52" s="78">
        <f>Inputs_Prices!S37*Inputs_Volumes!S37*Cents_to_Dollars*Dollars_to_Thousands</f>
        <v>15421.536357201448</v>
      </c>
    </row>
    <row r="53" spans="1:19" s="6" customFormat="1" ht="11.25" customHeight="1" x14ac:dyDescent="0.2">
      <c r="D53" s="90" t="str">
        <f>Inputs_Prices!D38</f>
        <v>HV Smart meter &lt;750MWh</v>
      </c>
      <c r="F53" s="74" t="str">
        <f>Inputs_Prices!F38</f>
        <v>HV</v>
      </c>
      <c r="H53" s="95" t="s">
        <v>89</v>
      </c>
      <c r="I53" s="95" t="s">
        <v>76</v>
      </c>
      <c r="J53" s="95" t="s">
        <v>69</v>
      </c>
      <c r="O53" s="78">
        <f>Inputs_Prices!O38*Inputs_Volumes!O38*Cents_to_Dollars*Dollars_to_Thousands</f>
        <v>252.97368599999999</v>
      </c>
      <c r="P53" s="78">
        <f>Inputs_Prices!P38*Inputs_Volumes!P38*Cents_to_Dollars*Dollars_to_Thousands</f>
        <v>190.06556149960701</v>
      </c>
      <c r="Q53" s="78">
        <f>Inputs_Prices!Q38*Inputs_Volumes!Q38*Cents_to_Dollars*Dollars_to_Thousands</f>
        <v>195.06054825401054</v>
      </c>
      <c r="R53" s="78">
        <f>Inputs_Prices!R38*Inputs_Volumes!R38*Cents_to_Dollars*Dollars_to_Thousands</f>
        <v>200.8649198386712</v>
      </c>
      <c r="S53" s="78">
        <f>Inputs_Prices!S38*Inputs_Volumes!S38*Cents_to_Dollars*Dollars_to_Thousands</f>
        <v>206.58096991220705</v>
      </c>
    </row>
    <row r="54" spans="1:19" s="6" customFormat="1" ht="11.25" customHeight="1" x14ac:dyDescent="0.2">
      <c r="D54" s="90" t="str">
        <f>Inputs_Prices!D39</f>
        <v>LV &gt;750MWh</v>
      </c>
      <c r="F54" s="74" t="str">
        <f>Inputs_Prices!F39</f>
        <v>LV &gt;750MWh</v>
      </c>
      <c r="H54" s="95" t="s">
        <v>89</v>
      </c>
      <c r="I54" s="95" t="s">
        <v>76</v>
      </c>
      <c r="J54" s="95" t="s">
        <v>69</v>
      </c>
      <c r="O54" s="78">
        <f>Inputs_Prices!O39*Inputs_Volumes!O39*Cents_to_Dollars*Dollars_to_Thousands</f>
        <v>6189.4037585937558</v>
      </c>
      <c r="P54" s="78">
        <f>Inputs_Prices!P39*Inputs_Volumes!P39*Cents_to_Dollars*Dollars_to_Thousands</f>
        <v>4612.5869336060159</v>
      </c>
      <c r="Q54" s="78">
        <f>Inputs_Prices!Q39*Inputs_Volumes!Q39*Cents_to_Dollars*Dollars_to_Thousands</f>
        <v>4733.8072665012223</v>
      </c>
      <c r="R54" s="78">
        <f>Inputs_Prices!R39*Inputs_Volumes!R39*Cents_to_Dollars*Dollars_to_Thousands</f>
        <v>4874.6700736187277</v>
      </c>
      <c r="S54" s="78">
        <f>Inputs_Prices!S39*Inputs_Volumes!S39*Cents_to_Dollars*Dollars_to_Thousands</f>
        <v>5013.3894590402888</v>
      </c>
    </row>
    <row r="55" spans="1:19" s="6" customFormat="1" ht="11.25" customHeight="1" x14ac:dyDescent="0.2">
      <c r="D55" s="90" t="str">
        <f>Inputs_Prices!D40</f>
        <v>HV &gt;750MWh</v>
      </c>
      <c r="F55" s="74" t="str">
        <f>Inputs_Prices!F40</f>
        <v>HV</v>
      </c>
      <c r="H55" s="95" t="s">
        <v>89</v>
      </c>
      <c r="I55" s="95" t="s">
        <v>76</v>
      </c>
      <c r="J55" s="95" t="s">
        <v>69</v>
      </c>
      <c r="O55" s="78">
        <f>Inputs_Prices!O40*Inputs_Volumes!O40*Cents_to_Dollars*Dollars_to_Thousands</f>
        <v>8294.8178055999997</v>
      </c>
      <c r="P55" s="78">
        <f>Inputs_Prices!P40*Inputs_Volumes!P40*Cents_to_Dollars*Dollars_to_Thousands</f>
        <v>7263.4084670942502</v>
      </c>
      <c r="Q55" s="78">
        <f>Inputs_Prices!Q40*Inputs_Volumes!Q40*Cents_to_Dollars*Dollars_to_Thousands</f>
        <v>7454.2932796752693</v>
      </c>
      <c r="R55" s="78">
        <f>Inputs_Prices!R40*Inputs_Volumes!R40*Cents_to_Dollars*Dollars_to_Thousands</f>
        <v>7676.1089593888846</v>
      </c>
      <c r="S55" s="78">
        <f>Inputs_Prices!S40*Inputs_Volumes!S40*Cents_to_Dollars*Dollars_to_Thousands</f>
        <v>7894.5494079103328</v>
      </c>
    </row>
    <row r="56" spans="1:19" s="6" customFormat="1" ht="11.25" customHeight="1" x14ac:dyDescent="0.2"/>
    <row r="57" spans="1:19" s="6" customFormat="1" ht="11.25" customHeight="1" x14ac:dyDescent="0.2">
      <c r="D57" s="73" t="s">
        <v>88</v>
      </c>
      <c r="F57" s="67" t="s">
        <v>35</v>
      </c>
      <c r="H57" s="67" t="s">
        <v>89</v>
      </c>
      <c r="I57" s="67" t="str">
        <f>Thousands</f>
        <v>$000's</v>
      </c>
      <c r="J57" s="67" t="str">
        <f>Nominal</f>
        <v>Nominal</v>
      </c>
      <c r="O57" s="80">
        <f>SUM(O49:O55)</f>
        <v>88173.097690869021</v>
      </c>
      <c r="P57" s="80">
        <f>SUM(P49:P55)</f>
        <v>69263.46866758843</v>
      </c>
      <c r="Q57" s="80">
        <f>SUM(Q49:Q55)</f>
        <v>69069.917712147624</v>
      </c>
      <c r="R57" s="80">
        <f>SUM(R49:R55)</f>
        <v>69009.716438403586</v>
      </c>
      <c r="S57" s="80">
        <f>SUM(S49:S55)</f>
        <v>68910.346854991731</v>
      </c>
    </row>
    <row r="58" spans="1:19" s="6" customFormat="1" ht="11.25" customHeight="1" x14ac:dyDescent="0.2"/>
    <row r="59" spans="1:19" s="6" customFormat="1" ht="11.25" hidden="1" customHeight="1" outlineLevel="1" x14ac:dyDescent="0.2">
      <c r="A59" s="70">
        <f>IF(SUM($O59:$S59)=0,0,1)</f>
        <v>0</v>
      </c>
      <c r="D59" s="96" t="s">
        <v>209</v>
      </c>
      <c r="E59" s="95"/>
      <c r="F59" s="95"/>
      <c r="G59" s="97"/>
      <c r="H59" s="95"/>
      <c r="I59" s="95"/>
      <c r="J59" s="95"/>
      <c r="K59" s="69"/>
      <c r="O59" s="70">
        <f>IF(ISERROR(O57)&lt;&gt;0,0,1)</f>
        <v>0</v>
      </c>
      <c r="P59" s="70">
        <f>IF(ISERROR(P57)&lt;&gt;0,0,1)</f>
        <v>0</v>
      </c>
      <c r="Q59" s="70">
        <f>IF(ISERROR(Q57)&lt;&gt;0,0,1)</f>
        <v>0</v>
      </c>
      <c r="R59" s="70">
        <f>IF(ISERROR(R57)&lt;&gt;0,0,1)</f>
        <v>0</v>
      </c>
      <c r="S59" s="70">
        <f>IF(ISERROR(S57)&lt;&gt;0,0,1)</f>
        <v>0</v>
      </c>
    </row>
    <row r="60" spans="1:19" s="6" customFormat="1" ht="11.25" customHeight="1" collapsed="1" x14ac:dyDescent="0.2"/>
    <row r="61" spans="1:19" s="13" customFormat="1" ht="14" x14ac:dyDescent="0.2">
      <c r="C61" s="13" t="str">
        <f>Inputs_Prices!C43</f>
        <v>Demand</v>
      </c>
    </row>
    <row r="62" spans="1:19" s="6" customFormat="1" ht="11.25" customHeight="1" x14ac:dyDescent="0.2"/>
    <row r="63" spans="1:19" s="6" customFormat="1" ht="11.25" customHeight="1" x14ac:dyDescent="0.2">
      <c r="D63" s="83" t="str">
        <f>D$10</f>
        <v>Tariff</v>
      </c>
      <c r="F63" s="65" t="str">
        <f>F$10</f>
        <v>Tariff Class</v>
      </c>
      <c r="H63" s="65" t="str">
        <f>Lookup!E$19</f>
        <v>Source</v>
      </c>
      <c r="I63" s="65" t="str">
        <f>Lookup!F$19</f>
        <v>Unit</v>
      </c>
      <c r="J63" s="65" t="str">
        <f>Lookup!G$19</f>
        <v>Basis</v>
      </c>
      <c r="L63" s="7"/>
      <c r="O63" s="65" t="str">
        <f>O$10</f>
        <v>FY20</v>
      </c>
      <c r="P63" s="65" t="str">
        <f>P$10</f>
        <v>FY21</v>
      </c>
      <c r="Q63" s="65" t="str">
        <f>Q$10</f>
        <v>FY22</v>
      </c>
      <c r="R63" s="65" t="str">
        <f>R$10</f>
        <v>FY23</v>
      </c>
      <c r="S63" s="65" t="str">
        <f>S$10</f>
        <v>FY24</v>
      </c>
    </row>
    <row r="64" spans="1:19" s="6" customFormat="1" ht="11.25" customHeight="1" x14ac:dyDescent="0.2">
      <c r="D64" s="3"/>
    </row>
    <row r="65" spans="1:19" s="6" customFormat="1" ht="11.25" customHeight="1" x14ac:dyDescent="0.2">
      <c r="D65" s="90" t="str">
        <f>Inputs_Prices!D47</f>
        <v>LV Smart Meter</v>
      </c>
      <c r="F65" s="74" t="str">
        <f>Inputs_Prices!F47</f>
        <v>LV &lt;750MWh</v>
      </c>
      <c r="H65" s="95" t="s">
        <v>89</v>
      </c>
      <c r="I65" s="95" t="s">
        <v>76</v>
      </c>
      <c r="J65" s="95" t="s">
        <v>69</v>
      </c>
      <c r="O65" s="78">
        <f>Inputs_Prices!O47*Inputs_Volumes!O47*Dollars_to_Thousands</f>
        <v>24456.042374605542</v>
      </c>
      <c r="P65" s="78">
        <f>Inputs_Prices!P47*Inputs_Volumes!P47*Dollars_to_Thousands</f>
        <v>21657.494818481104</v>
      </c>
      <c r="Q65" s="78">
        <f>Inputs_Prices!Q47*Inputs_Volumes!Q47*Dollars_to_Thousands</f>
        <v>23390.66134974064</v>
      </c>
      <c r="R65" s="78">
        <f>Inputs_Prices!R47*Inputs_Volumes!R47*Dollars_to_Thousands</f>
        <v>25330.060241782696</v>
      </c>
      <c r="S65" s="78">
        <f>Inputs_Prices!S47*Inputs_Volumes!S47*Dollars_to_Thousands</f>
        <v>27273.194033146105</v>
      </c>
    </row>
    <row r="66" spans="1:19" s="6" customFormat="1" ht="11.25" customHeight="1" x14ac:dyDescent="0.2">
      <c r="D66" s="90" t="str">
        <f>Inputs_Prices!D48</f>
        <v>HV Smart meter &lt;750MWh</v>
      </c>
      <c r="F66" s="74" t="str">
        <f>Inputs_Prices!F48</f>
        <v>HV</v>
      </c>
      <c r="H66" s="95" t="s">
        <v>89</v>
      </c>
      <c r="I66" s="95" t="s">
        <v>76</v>
      </c>
      <c r="J66" s="95" t="s">
        <v>69</v>
      </c>
      <c r="O66" s="78">
        <f>Inputs_Prices!O48*Inputs_Volumes!O48*Dollars_to_Thousands</f>
        <v>381.98322000000002</v>
      </c>
      <c r="P66" s="78">
        <f>Inputs_Prices!P48*Inputs_Volumes!P48*Dollars_to_Thousands</f>
        <v>331.46278475702451</v>
      </c>
      <c r="Q66" s="78">
        <f>Inputs_Prices!Q48*Inputs_Volumes!Q48*Dollars_to_Thousands</f>
        <v>341.00913339949761</v>
      </c>
      <c r="R66" s="78">
        <f>Inputs_Prices!R48*Inputs_Volumes!R48*Dollars_to_Thousands</f>
        <v>352.01882992039179</v>
      </c>
      <c r="S66" s="78">
        <f>Inputs_Prices!S48*Inputs_Volumes!S48*Dollars_to_Thousands</f>
        <v>362.92537994923066</v>
      </c>
    </row>
    <row r="67" spans="1:19" s="6" customFormat="1" ht="11.25" customHeight="1" x14ac:dyDescent="0.2">
      <c r="D67" s="90" t="str">
        <f>Inputs_Prices!D49</f>
        <v>LV &gt;750MWh</v>
      </c>
      <c r="F67" s="74" t="str">
        <f>Inputs_Prices!F49</f>
        <v>LV &gt;750MWh</v>
      </c>
      <c r="H67" s="95" t="s">
        <v>89</v>
      </c>
      <c r="I67" s="95" t="s">
        <v>76</v>
      </c>
      <c r="J67" s="95" t="s">
        <v>69</v>
      </c>
      <c r="O67" s="78">
        <f>Inputs_Prices!O49*Inputs_Volumes!O49*Dollars_to_Thousands</f>
        <v>7093.4662513666563</v>
      </c>
      <c r="P67" s="78">
        <f>Inputs_Prices!P49*Inputs_Volumes!P49*Dollars_to_Thousands</f>
        <v>7847.0655752608154</v>
      </c>
      <c r="Q67" s="78">
        <f>Inputs_Prices!Q49*Inputs_Volumes!Q49*Dollars_to_Thousands</f>
        <v>8017.6702406580607</v>
      </c>
      <c r="R67" s="78">
        <f>Inputs_Prices!R49*Inputs_Volumes!R49*Dollars_to_Thousands</f>
        <v>8249.3675968342704</v>
      </c>
      <c r="S67" s="78">
        <f>Inputs_Prices!S49*Inputs_Volumes!S49*Dollars_to_Thousands</f>
        <v>8503.1972676327332</v>
      </c>
    </row>
    <row r="68" spans="1:19" s="6" customFormat="1" ht="11.25" customHeight="1" x14ac:dyDescent="0.2">
      <c r="D68" s="90" t="str">
        <f>Inputs_Prices!D51</f>
        <v>HV &gt;750MWh</v>
      </c>
      <c r="F68" s="74" t="str">
        <f>Inputs_Prices!F51</f>
        <v>HV</v>
      </c>
      <c r="H68" s="95" t="s">
        <v>89</v>
      </c>
      <c r="I68" s="95" t="s">
        <v>76</v>
      </c>
      <c r="J68" s="95" t="s">
        <v>69</v>
      </c>
      <c r="O68" s="78">
        <f>Inputs_Prices!O51*Inputs_Volumes!O51*Dollars_to_Thousands</f>
        <v>6206.2254696000009</v>
      </c>
      <c r="P68" s="78">
        <f>Inputs_Prices!P51*Inputs_Volumes!P51*Dollars_to_Thousands</f>
        <v>6215.4425657402899</v>
      </c>
      <c r="Q68" s="78">
        <f>Inputs_Prices!Q51*Inputs_Volumes!Q51*Dollars_to_Thousands</f>
        <v>6350.5737799570998</v>
      </c>
      <c r="R68" s="78">
        <f>Inputs_Prices!R51*Inputs_Volumes!R51*Dollars_to_Thousands</f>
        <v>6534.0948167236666</v>
      </c>
      <c r="S68" s="78">
        <f>Inputs_Prices!S51*Inputs_Volumes!S51*Dollars_to_Thousands</f>
        <v>6735.1462448272441</v>
      </c>
    </row>
    <row r="69" spans="1:19" s="6" customFormat="1" ht="11.25" customHeight="1" x14ac:dyDescent="0.2"/>
    <row r="70" spans="1:19" s="6" customFormat="1" ht="11.25" customHeight="1" x14ac:dyDescent="0.2">
      <c r="D70" s="73" t="s">
        <v>88</v>
      </c>
      <c r="F70" s="67" t="s">
        <v>35</v>
      </c>
      <c r="H70" s="67" t="s">
        <v>89</v>
      </c>
      <c r="I70" s="67" t="str">
        <f>Thousands</f>
        <v>$000's</v>
      </c>
      <c r="J70" s="67" t="str">
        <f>Nominal</f>
        <v>Nominal</v>
      </c>
      <c r="O70" s="80">
        <f>SUM(O65:O68)</f>
        <v>38137.717315572198</v>
      </c>
      <c r="P70" s="80">
        <f>SUM(P65:P68)</f>
        <v>36051.465744239234</v>
      </c>
      <c r="Q70" s="80">
        <f>SUM(Q65:Q68)</f>
        <v>38099.914503755295</v>
      </c>
      <c r="R70" s="80">
        <f>SUM(R65:R68)</f>
        <v>40465.541485261019</v>
      </c>
      <c r="S70" s="80">
        <f>SUM(S65:S68)</f>
        <v>42874.462925555308</v>
      </c>
    </row>
    <row r="71" spans="1:19" s="6" customFormat="1" ht="11.25" customHeight="1" x14ac:dyDescent="0.2"/>
    <row r="72" spans="1:19" s="6" customFormat="1" ht="11.25" hidden="1" customHeight="1" outlineLevel="1" x14ac:dyDescent="0.2">
      <c r="A72" s="70">
        <f>IF(SUM($O72:$S72)=0,0,1)</f>
        <v>0</v>
      </c>
      <c r="D72" s="96" t="s">
        <v>209</v>
      </c>
      <c r="E72" s="95"/>
      <c r="F72" s="95"/>
      <c r="G72" s="97"/>
      <c r="H72" s="95"/>
      <c r="I72" s="95"/>
      <c r="J72" s="95"/>
      <c r="K72" s="69"/>
      <c r="O72" s="70">
        <f>IF(ISERROR(O70)&lt;&gt;0,0,1)</f>
        <v>0</v>
      </c>
      <c r="P72" s="70">
        <f>IF(ISERROR(P70)&lt;&gt;0,0,1)</f>
        <v>0</v>
      </c>
      <c r="Q72" s="70">
        <f>IF(ISERROR(Q70)&lt;&gt;0,0,1)</f>
        <v>0</v>
      </c>
      <c r="R72" s="70">
        <f>IF(ISERROR(R70)&lt;&gt;0,0,1)</f>
        <v>0</v>
      </c>
      <c r="S72" s="70">
        <f>IF(ISERROR(S70)&lt;&gt;0,0,1)</f>
        <v>0</v>
      </c>
    </row>
    <row r="73" spans="1:19" s="6" customFormat="1" ht="11.25" customHeight="1" collapsed="1" x14ac:dyDescent="0.2"/>
    <row r="74" spans="1:19" s="4" customFormat="1" ht="15.5" x14ac:dyDescent="0.2">
      <c r="B74" s="4" t="s">
        <v>33</v>
      </c>
    </row>
  </sheetData>
  <conditionalFormatting sqref="B2">
    <cfRule type="cellIs" dxfId="33" priority="1" operator="notEqual">
      <formula>"No Errors Found"</formula>
    </cfRule>
  </conditionalFormatting>
  <dataValidations count="3">
    <dataValidation type="list" allowBlank="1" showInputMessage="1" showErrorMessage="1" sqref="K72 K59 K43 K27">
      <formula1>LU_Timing</formula1>
    </dataValidation>
    <dataValidation type="list" allowBlank="1" showInputMessage="1" showErrorMessage="1" sqref="I59 I43 I72 I21:I23 I27 I33:I39 I49:I55 I65:I68">
      <formula1>LU_Units</formula1>
    </dataValidation>
    <dataValidation type="list" allowBlank="1" showInputMessage="1" showErrorMessage="1" sqref="J43 J59 J72 J21:J23 J27 J33:J39 J49:J55 J65:J68">
      <formula1>LU_Basis</formula1>
    </dataValidation>
  </dataValidations>
  <hyperlinks>
    <hyperlink ref="B3:E3" location="TOC!A1" display="TOC!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06"/>
  <sheetViews>
    <sheetView showGridLines="0" workbookViewId="0">
      <pane ySplit="11" topLeftCell="A12" activePane="bottomLeft" state="frozen"/>
      <selection pane="bottomLeft" activeCell="A12" sqref="A12"/>
    </sheetView>
  </sheetViews>
  <sheetFormatPr defaultColWidth="9.33203125" defaultRowHeight="10" outlineLevelRow="1" x14ac:dyDescent="0.2"/>
  <cols>
    <col min="1" max="1" width="3.33203125" style="7" customWidth="1"/>
    <col min="2" max="3" width="2.77734375" style="7" customWidth="1"/>
    <col min="4" max="4" width="26.6640625" style="7" customWidth="1"/>
    <col min="5" max="5" width="17.6640625" style="7" customWidth="1"/>
    <col min="6" max="7" width="3.44140625" style="7" customWidth="1"/>
    <col min="8" max="10" width="12.44140625" style="7" customWidth="1"/>
    <col min="11" max="12" width="3.44140625" style="7" customWidth="1"/>
    <col min="13" max="14" width="10.44140625" style="7" customWidth="1"/>
    <col min="15" max="19" width="15.44140625" style="7" customWidth="1"/>
    <col min="20" max="20" width="4.33203125" style="7" customWidth="1"/>
    <col min="21" max="21" width="15.6640625" style="7" customWidth="1"/>
    <col min="22" max="22" width="17.44140625" style="7" customWidth="1"/>
    <col min="23" max="24" width="10.77734375" style="7" customWidth="1"/>
    <col min="25" max="16384" width="9.33203125" style="7"/>
  </cols>
  <sheetData>
    <row r="1" spans="1:22" ht="19" x14ac:dyDescent="0.2">
      <c r="A1" s="70">
        <f>IF(SUM($A11:$A106)&gt;0,1,0)</f>
        <v>0</v>
      </c>
      <c r="B1" s="5" t="s">
        <v>165</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166</v>
      </c>
    </row>
    <row r="13" spans="1:22" s="6" customFormat="1" ht="11.25" customHeight="1" x14ac:dyDescent="0.2"/>
    <row r="14" spans="1:22" s="6" customFormat="1" ht="11.25" customHeight="1" x14ac:dyDescent="0.2">
      <c r="D14" s="124" t="s">
        <v>215</v>
      </c>
    </row>
    <row r="15" spans="1:22" s="6" customFormat="1" ht="11.25" customHeight="1" x14ac:dyDescent="0.2"/>
    <row r="16" spans="1:22" s="6" customFormat="1" ht="11.25" customHeight="1" x14ac:dyDescent="0.2"/>
    <row r="17" spans="1:19" s="4" customFormat="1" ht="15.5" x14ac:dyDescent="0.2">
      <c r="B17" s="4" t="s">
        <v>210</v>
      </c>
    </row>
    <row r="18" spans="1:19" s="6" customFormat="1" ht="11.25" customHeight="1" x14ac:dyDescent="0.2"/>
    <row r="19" spans="1:19" s="13" customFormat="1" ht="14" x14ac:dyDescent="0.2">
      <c r="C19" s="13" t="s">
        <v>192</v>
      </c>
    </row>
    <row r="20" spans="1:19" s="6" customFormat="1" ht="11.25" customHeight="1" x14ac:dyDescent="0.2"/>
    <row r="21" spans="1:19" s="6" customFormat="1" ht="11.25" customHeight="1" x14ac:dyDescent="0.2">
      <c r="D21" s="83" t="str">
        <f>Inputs_Other!F111</f>
        <v>Tariff Class</v>
      </c>
      <c r="H21" s="65" t="str">
        <f>Lookup!E$19</f>
        <v>Source</v>
      </c>
      <c r="I21" s="65" t="str">
        <f>Lookup!F$19</f>
        <v>Unit</v>
      </c>
      <c r="J21" s="65" t="str">
        <f>Lookup!G$19</f>
        <v>Basis</v>
      </c>
      <c r="L21" s="7"/>
      <c r="M21" s="7"/>
      <c r="N21" s="7"/>
      <c r="O21" s="65" t="str">
        <f>O$10</f>
        <v>FY20</v>
      </c>
      <c r="P21" s="65" t="str">
        <f>P$10</f>
        <v>FY21</v>
      </c>
      <c r="Q21" s="65" t="str">
        <f>Q$10</f>
        <v>FY22</v>
      </c>
      <c r="R21" s="65" t="str">
        <f>R$10</f>
        <v>FY23</v>
      </c>
      <c r="S21" s="65" t="str">
        <f>S$10</f>
        <v>FY24</v>
      </c>
    </row>
    <row r="22" spans="1:19" s="6" customFormat="1" ht="11.25" customHeight="1" x14ac:dyDescent="0.2">
      <c r="D22" s="3"/>
    </row>
    <row r="23" spans="1:19" s="6" customFormat="1" ht="11.25" customHeight="1" x14ac:dyDescent="0.2">
      <c r="D23" s="100" t="s">
        <v>104</v>
      </c>
      <c r="E23" s="97"/>
      <c r="F23" s="97"/>
      <c r="G23" s="97"/>
      <c r="H23" s="95" t="s">
        <v>89</v>
      </c>
      <c r="I23" s="99" t="s">
        <v>76</v>
      </c>
      <c r="J23" s="99" t="s">
        <v>69</v>
      </c>
      <c r="O23" s="78">
        <f t="shared" ref="O23:S25" si="0">SUMIF($E$61:$E$78,$D23,O$61:O$78)</f>
        <v>146805.04850916535</v>
      </c>
      <c r="P23" s="78">
        <f t="shared" si="0"/>
        <v>135752.08854362258</v>
      </c>
      <c r="Q23" s="78">
        <f t="shared" si="0"/>
        <v>140129.88208653248</v>
      </c>
      <c r="R23" s="78">
        <f t="shared" si="0"/>
        <v>144962.96168477897</v>
      </c>
      <c r="S23" s="78">
        <f t="shared" si="0"/>
        <v>149963.1081127006</v>
      </c>
    </row>
    <row r="24" spans="1:19" s="6" customFormat="1" ht="11.25" customHeight="1" x14ac:dyDescent="0.2">
      <c r="D24" s="100" t="s">
        <v>114</v>
      </c>
      <c r="E24" s="97"/>
      <c r="F24" s="97"/>
      <c r="G24" s="97"/>
      <c r="H24" s="95" t="s">
        <v>89</v>
      </c>
      <c r="I24" s="99" t="s">
        <v>76</v>
      </c>
      <c r="J24" s="99" t="s">
        <v>69</v>
      </c>
      <c r="O24" s="78">
        <f t="shared" si="0"/>
        <v>134064.23975010353</v>
      </c>
      <c r="P24" s="78">
        <f t="shared" si="0"/>
        <v>123970.53595846375</v>
      </c>
      <c r="Q24" s="78">
        <f t="shared" si="0"/>
        <v>127968.39276974698</v>
      </c>
      <c r="R24" s="78">
        <f t="shared" si="0"/>
        <v>132382.02260448795</v>
      </c>
      <c r="S24" s="78">
        <f t="shared" si="0"/>
        <v>136948.21999555832</v>
      </c>
    </row>
    <row r="25" spans="1:19" s="6" customFormat="1" ht="11.25" customHeight="1" x14ac:dyDescent="0.2">
      <c r="D25" s="100" t="s">
        <v>113</v>
      </c>
      <c r="E25" s="97"/>
      <c r="F25" s="97"/>
      <c r="G25" s="97"/>
      <c r="H25" s="95" t="s">
        <v>89</v>
      </c>
      <c r="I25" s="99" t="s">
        <v>76</v>
      </c>
      <c r="J25" s="99" t="s">
        <v>69</v>
      </c>
      <c r="O25" s="78">
        <f t="shared" si="0"/>
        <v>50110.808614472036</v>
      </c>
      <c r="P25" s="78">
        <f t="shared" si="0"/>
        <v>46337.963149813804</v>
      </c>
      <c r="Q25" s="78">
        <f t="shared" si="0"/>
        <v>47832.290331407523</v>
      </c>
      <c r="R25" s="78">
        <f t="shared" si="0"/>
        <v>49482.026013018753</v>
      </c>
      <c r="S25" s="78">
        <f t="shared" si="0"/>
        <v>51188.788711157678</v>
      </c>
    </row>
    <row r="26" spans="1:19" s="6" customFormat="1" ht="11.25" customHeight="1" x14ac:dyDescent="0.2"/>
    <row r="27" spans="1:19" s="6" customFormat="1" ht="11.25" hidden="1" customHeight="1" outlineLevel="1" x14ac:dyDescent="0.2">
      <c r="D27" s="96" t="s">
        <v>138</v>
      </c>
      <c r="E27" s="97"/>
      <c r="F27" s="95" t="str">
        <f>NA</f>
        <v>N/A</v>
      </c>
      <c r="G27" s="97"/>
      <c r="H27" s="95" t="s">
        <v>89</v>
      </c>
      <c r="I27" s="99" t="s">
        <v>76</v>
      </c>
      <c r="J27" s="99" t="s">
        <v>69</v>
      </c>
      <c r="K27" s="93"/>
      <c r="O27" s="78">
        <f>SUM(O61:O78)</f>
        <v>330980.09687374101</v>
      </c>
      <c r="P27" s="78">
        <f>SUM(P61:P78)</f>
        <v>306060.58765190019</v>
      </c>
      <c r="Q27" s="78">
        <f>SUM(Q61:Q78)</f>
        <v>315930.56518768705</v>
      </c>
      <c r="R27" s="78">
        <f>SUM(R61:R78)</f>
        <v>326827.01030228566</v>
      </c>
      <c r="S27" s="78">
        <f>SUM(S61:S78)</f>
        <v>338100.11681941658</v>
      </c>
    </row>
    <row r="28" spans="1:19" s="6" customFormat="1" ht="11.25" hidden="1" customHeight="1" outlineLevel="1" x14ac:dyDescent="0.2">
      <c r="A28" s="70">
        <f>IF(SUM($M28:$S28)=0,0,1)</f>
        <v>0</v>
      </c>
      <c r="D28" s="96" t="s">
        <v>92</v>
      </c>
      <c r="E28" s="97"/>
      <c r="F28" s="95"/>
      <c r="G28" s="97"/>
      <c r="H28" s="95"/>
      <c r="I28" s="99"/>
      <c r="J28" s="99"/>
      <c r="K28" s="93"/>
      <c r="O28" s="70">
        <f>IF(ROUND(O27-SUM(O23:O25),2)=0,0,1)</f>
        <v>0</v>
      </c>
      <c r="P28" s="70">
        <f>IF(ROUND(P27-SUM(P23:P25),2)=0,0,1)</f>
        <v>0</v>
      </c>
      <c r="Q28" s="70">
        <f>IF(ROUND(Q27-SUM(Q23:Q25),2)=0,0,1)</f>
        <v>0</v>
      </c>
      <c r="R28" s="70">
        <f>IF(ROUND(R27-SUM(R23:R25),2)=0,0,1)</f>
        <v>0</v>
      </c>
      <c r="S28" s="70">
        <f>IF(ROUND(S27-SUM(S23:S25),2)=0,0,1)</f>
        <v>0</v>
      </c>
    </row>
    <row r="29" spans="1:19" s="6" customFormat="1" ht="11.25" customHeight="1" collapsed="1" x14ac:dyDescent="0.2"/>
    <row r="30" spans="1:19" s="6" customFormat="1" ht="11.25" customHeight="1" x14ac:dyDescent="0.2"/>
    <row r="31" spans="1:19" s="13" customFormat="1" ht="14" x14ac:dyDescent="0.2">
      <c r="C31" s="13" t="s">
        <v>193</v>
      </c>
    </row>
    <row r="32" spans="1:19" s="6" customFormat="1" ht="11.25" customHeight="1" x14ac:dyDescent="0.2"/>
    <row r="33" spans="1:19" s="6" customFormat="1" ht="11.25" customHeight="1" x14ac:dyDescent="0.2">
      <c r="D33" s="83" t="str">
        <f>Inputs_Other!F111</f>
        <v>Tariff Class</v>
      </c>
      <c r="H33" s="65" t="str">
        <f>Lookup!E$19</f>
        <v>Source</v>
      </c>
      <c r="I33" s="65" t="str">
        <f>Lookup!F$19</f>
        <v>Unit</v>
      </c>
      <c r="J33" s="65" t="str">
        <f>Lookup!G$19</f>
        <v>Basis</v>
      </c>
      <c r="L33" s="7"/>
      <c r="M33" s="7"/>
      <c r="N33" s="7"/>
      <c r="O33" s="65" t="str">
        <f>O$10</f>
        <v>FY20</v>
      </c>
      <c r="P33" s="65" t="str">
        <f>P$10</f>
        <v>FY21</v>
      </c>
      <c r="Q33" s="65" t="str">
        <f>Q$10</f>
        <v>FY22</v>
      </c>
      <c r="R33" s="65" t="str">
        <f>R$10</f>
        <v>FY23</v>
      </c>
      <c r="S33" s="65" t="str">
        <f>S$10</f>
        <v>FY24</v>
      </c>
    </row>
    <row r="34" spans="1:19" s="6" customFormat="1" ht="11.25" customHeight="1" x14ac:dyDescent="0.2">
      <c r="D34" s="3"/>
    </row>
    <row r="35" spans="1:19" s="6" customFormat="1" ht="11.25" customHeight="1" x14ac:dyDescent="0.2">
      <c r="D35" s="100" t="s">
        <v>104</v>
      </c>
      <c r="E35" s="97"/>
      <c r="F35" s="97"/>
      <c r="G35" s="97"/>
      <c r="H35" s="95" t="s">
        <v>89</v>
      </c>
      <c r="I35" s="99" t="s">
        <v>76</v>
      </c>
      <c r="J35" s="99" t="s">
        <v>69</v>
      </c>
      <c r="O35" s="78">
        <f t="shared" ref="O35:S37" si="1">SUMIF($E$86:$E$103,$D35,O$86:O$103)</f>
        <v>19354.507705556396</v>
      </c>
      <c r="P35" s="78">
        <f t="shared" si="1"/>
        <v>17897.305783723659</v>
      </c>
      <c r="Q35" s="78">
        <f t="shared" si="1"/>
        <v>18474.466036181155</v>
      </c>
      <c r="R35" s="78">
        <f t="shared" si="1"/>
        <v>19111.650365165515</v>
      </c>
      <c r="S35" s="78">
        <f t="shared" si="1"/>
        <v>19770.860477834616</v>
      </c>
    </row>
    <row r="36" spans="1:19" s="6" customFormat="1" ht="11.25" customHeight="1" x14ac:dyDescent="0.2">
      <c r="D36" s="100" t="s">
        <v>114</v>
      </c>
      <c r="E36" s="97"/>
      <c r="F36" s="97"/>
      <c r="G36" s="97"/>
      <c r="H36" s="95" t="s">
        <v>89</v>
      </c>
      <c r="I36" s="99" t="s">
        <v>76</v>
      </c>
      <c r="J36" s="99" t="s">
        <v>69</v>
      </c>
      <c r="O36" s="78">
        <f t="shared" si="1"/>
        <v>10632.528560969269</v>
      </c>
      <c r="P36" s="78">
        <f t="shared" si="1"/>
        <v>9832.004916106016</v>
      </c>
      <c r="Q36" s="78">
        <f t="shared" si="1"/>
        <v>10149.071770084887</v>
      </c>
      <c r="R36" s="78">
        <f t="shared" si="1"/>
        <v>10499.113252906134</v>
      </c>
      <c r="S36" s="78">
        <f t="shared" si="1"/>
        <v>10861.254747655794</v>
      </c>
    </row>
    <row r="37" spans="1:19" s="6" customFormat="1" ht="11.25" customHeight="1" x14ac:dyDescent="0.2">
      <c r="D37" s="100" t="s">
        <v>113</v>
      </c>
      <c r="E37" s="97"/>
      <c r="F37" s="97"/>
      <c r="G37" s="97"/>
      <c r="H37" s="95" t="s">
        <v>89</v>
      </c>
      <c r="I37" s="99" t="s">
        <v>76</v>
      </c>
      <c r="J37" s="99" t="s">
        <v>69</v>
      </c>
      <c r="O37" s="78">
        <f t="shared" si="1"/>
        <v>5128.0722259341755</v>
      </c>
      <c r="P37" s="78">
        <f t="shared" si="1"/>
        <v>4741.9793933697447</v>
      </c>
      <c r="Q37" s="78">
        <f t="shared" si="1"/>
        <v>4894.9008474086277</v>
      </c>
      <c r="R37" s="78">
        <f t="shared" si="1"/>
        <v>5063.7259764160235</v>
      </c>
      <c r="S37" s="78">
        <f t="shared" si="1"/>
        <v>5238.3869453882735</v>
      </c>
    </row>
    <row r="38" spans="1:19" s="6" customFormat="1" ht="11.25" customHeight="1" x14ac:dyDescent="0.2"/>
    <row r="39" spans="1:19" s="6" customFormat="1" ht="11.25" hidden="1" customHeight="1" outlineLevel="1" x14ac:dyDescent="0.2">
      <c r="D39" s="96" t="s">
        <v>138</v>
      </c>
      <c r="E39" s="97"/>
      <c r="F39" s="95" t="str">
        <f>NA</f>
        <v>N/A</v>
      </c>
      <c r="G39" s="97"/>
      <c r="H39" s="95" t="s">
        <v>89</v>
      </c>
      <c r="I39" s="99" t="s">
        <v>76</v>
      </c>
      <c r="J39" s="99" t="s">
        <v>69</v>
      </c>
      <c r="K39" s="93"/>
      <c r="O39" s="78">
        <f>SUM(O86:O103)</f>
        <v>35115.108492459847</v>
      </c>
      <c r="P39" s="78">
        <f>SUM(P86:P103)</f>
        <v>32471.290093199423</v>
      </c>
      <c r="Q39" s="78">
        <f>SUM(Q86:Q103)</f>
        <v>33518.438653674668</v>
      </c>
      <c r="R39" s="78">
        <f>SUM(R86:R103)</f>
        <v>34674.48959448767</v>
      </c>
      <c r="S39" s="78">
        <f>SUM(S86:S103)</f>
        <v>35870.502170878688</v>
      </c>
    </row>
    <row r="40" spans="1:19" s="6" customFormat="1" ht="11.25" hidden="1" customHeight="1" outlineLevel="1" x14ac:dyDescent="0.2">
      <c r="A40" s="70">
        <f>IF(SUM($M40:$S40)=0,0,1)</f>
        <v>0</v>
      </c>
      <c r="D40" s="96" t="s">
        <v>92</v>
      </c>
      <c r="E40" s="97"/>
      <c r="F40" s="95"/>
      <c r="G40" s="97"/>
      <c r="H40" s="95"/>
      <c r="I40" s="99"/>
      <c r="J40" s="99"/>
      <c r="K40" s="93"/>
      <c r="O40" s="70">
        <f>IF(ROUND(O39-SUM(O35:O37),2)=0,0,1)</f>
        <v>0</v>
      </c>
      <c r="P40" s="70">
        <f>IF(ROUND(P39-SUM(P35:P37),2)=0,0,1)</f>
        <v>0</v>
      </c>
      <c r="Q40" s="70">
        <f>IF(ROUND(Q39-SUM(Q35:Q37),2)=0,0,1)</f>
        <v>0</v>
      </c>
      <c r="R40" s="70">
        <f>IF(ROUND(R39-SUM(R35:R37),2)=0,0,1)</f>
        <v>0</v>
      </c>
      <c r="S40" s="70">
        <f>IF(ROUND(S39-SUM(S35:S37),2)=0,0,1)</f>
        <v>0</v>
      </c>
    </row>
    <row r="41" spans="1:19" s="6" customFormat="1" ht="11.25" customHeight="1" collapsed="1" x14ac:dyDescent="0.2"/>
    <row r="42" spans="1:19" s="6" customFormat="1" ht="11.25" customHeight="1" x14ac:dyDescent="0.2"/>
    <row r="43" spans="1:19" s="4" customFormat="1" ht="15.5" x14ac:dyDescent="0.2">
      <c r="B43" s="4" t="s">
        <v>14</v>
      </c>
    </row>
    <row r="44" spans="1:19" s="6" customFormat="1" ht="11.25" customHeight="1" x14ac:dyDescent="0.2"/>
    <row r="45" spans="1:19" s="6" customFormat="1" ht="11.25" customHeight="1" x14ac:dyDescent="0.2">
      <c r="D45" s="124" t="s">
        <v>220</v>
      </c>
    </row>
    <row r="46" spans="1:19" s="6" customFormat="1" ht="11.25" customHeight="1" x14ac:dyDescent="0.2">
      <c r="D46" s="124" t="s">
        <v>221</v>
      </c>
    </row>
    <row r="47" spans="1:19" s="6" customFormat="1" ht="11.25" customHeight="1" x14ac:dyDescent="0.2"/>
    <row r="48" spans="1:19" s="6" customFormat="1" ht="11.25" customHeight="1" x14ac:dyDescent="0.2"/>
    <row r="49" spans="3:22" s="13" customFormat="1" ht="14" x14ac:dyDescent="0.2">
      <c r="C49" s="13" t="s">
        <v>218</v>
      </c>
    </row>
    <row r="50" spans="3:22" s="6" customFormat="1" ht="11.25" customHeight="1" x14ac:dyDescent="0.2"/>
    <row r="51" spans="3:22" s="6" customFormat="1" ht="11.25" customHeight="1" x14ac:dyDescent="0.2">
      <c r="D51" s="83" t="str">
        <f>C49</f>
        <v>Forecast revenue</v>
      </c>
      <c r="H51" s="65" t="str">
        <f>H$10</f>
        <v>Source</v>
      </c>
      <c r="I51" s="65" t="str">
        <f>I$10</f>
        <v>Unit</v>
      </c>
      <c r="J51" s="65" t="str">
        <f>J$10</f>
        <v>Basis</v>
      </c>
      <c r="L51" s="7"/>
      <c r="M51" s="7"/>
      <c r="N51" s="7"/>
      <c r="O51" s="65" t="str">
        <f>O$10</f>
        <v>FY20</v>
      </c>
      <c r="P51" s="65" t="str">
        <f>P$10</f>
        <v>FY21</v>
      </c>
      <c r="Q51" s="65" t="str">
        <f>Q$10</f>
        <v>FY22</v>
      </c>
      <c r="R51" s="65" t="str">
        <f>R$10</f>
        <v>FY23</v>
      </c>
      <c r="S51" s="65" t="str">
        <f>S$10</f>
        <v>FY24</v>
      </c>
    </row>
    <row r="52" spans="3:22" s="6" customFormat="1" ht="11.25" customHeight="1" x14ac:dyDescent="0.2">
      <c r="D52" s="3"/>
    </row>
    <row r="53" spans="3:22" s="6" customFormat="1" ht="11.25" customHeight="1" x14ac:dyDescent="0.2">
      <c r="D53" s="88" t="s">
        <v>219</v>
      </c>
      <c r="E53" s="97"/>
      <c r="F53" s="97"/>
      <c r="G53" s="97"/>
      <c r="H53" s="95" t="s">
        <v>89</v>
      </c>
      <c r="I53" s="99" t="s">
        <v>76</v>
      </c>
      <c r="J53" s="99" t="s">
        <v>69</v>
      </c>
      <c r="O53" s="78">
        <f>Calc_Revenue!O25</f>
        <v>157810.99031840824</v>
      </c>
      <c r="P53" s="78">
        <f>Calc_Revenue!P25</f>
        <v>145929.39240453864</v>
      </c>
      <c r="Q53" s="78">
        <f>Calc_Revenue!Q25</f>
        <v>150635.38815490284</v>
      </c>
      <c r="R53" s="78">
        <f>Calc_Revenue!R25</f>
        <v>155830.8026548296</v>
      </c>
      <c r="S53" s="78">
        <f>Calc_Revenue!S25</f>
        <v>161205.80894746474</v>
      </c>
    </row>
    <row r="54" spans="3:22" s="6" customFormat="1" ht="11.25" customHeight="1" x14ac:dyDescent="0.2">
      <c r="D54" s="3"/>
    </row>
    <row r="55" spans="3:22" s="6" customFormat="1" ht="11.25" customHeight="1" x14ac:dyDescent="0.2">
      <c r="D55" s="3"/>
    </row>
    <row r="56" spans="3:22" s="13" customFormat="1" ht="14" x14ac:dyDescent="0.2">
      <c r="C56" s="13" t="s">
        <v>168</v>
      </c>
    </row>
    <row r="57" spans="3:22" s="6" customFormat="1" ht="11.25" customHeight="1" x14ac:dyDescent="0.2"/>
    <row r="58" spans="3:22" s="6" customFormat="1" ht="11.25" customHeight="1" x14ac:dyDescent="0.2">
      <c r="U58" s="358" t="s">
        <v>227</v>
      </c>
      <c r="V58" s="357"/>
    </row>
    <row r="59" spans="3:22" s="6" customFormat="1" ht="34.9" customHeight="1" x14ac:dyDescent="0.2">
      <c r="D59" s="83" t="str">
        <f>Inputs_Other!D111</f>
        <v>Network Element</v>
      </c>
      <c r="E59" s="83" t="str">
        <f>Inputs_Other!F111</f>
        <v>Tariff Class</v>
      </c>
      <c r="H59" s="65" t="str">
        <f>H$10</f>
        <v>Source</v>
      </c>
      <c r="I59" s="65" t="str">
        <f>I$10</f>
        <v>Unit</v>
      </c>
      <c r="J59" s="65" t="str">
        <f>J$10</f>
        <v>Basis</v>
      </c>
      <c r="O59" s="65" t="str">
        <f>O$10</f>
        <v>FY20</v>
      </c>
      <c r="P59" s="65" t="str">
        <f>P$10</f>
        <v>FY21</v>
      </c>
      <c r="Q59" s="65" t="str">
        <f>Q$10</f>
        <v>FY22</v>
      </c>
      <c r="R59" s="65" t="str">
        <f>R$10</f>
        <v>FY23</v>
      </c>
      <c r="S59" s="65" t="str">
        <f>S$10</f>
        <v>FY24</v>
      </c>
      <c r="U59" s="139" t="s">
        <v>217</v>
      </c>
      <c r="V59" s="72" t="s">
        <v>170</v>
      </c>
    </row>
    <row r="60" spans="3:22" s="6" customFormat="1" ht="11.25" customHeight="1" x14ac:dyDescent="0.2">
      <c r="D60" s="7"/>
      <c r="E60" s="7"/>
      <c r="U60" s="140"/>
      <c r="V60" s="141"/>
    </row>
    <row r="61" spans="3:22" s="6" customFormat="1" ht="11.25" customHeight="1" x14ac:dyDescent="0.2">
      <c r="D61" s="88" t="str">
        <f>Inputs_Other!D113</f>
        <v>Transmission</v>
      </c>
      <c r="E61" s="88" t="str">
        <f>Inputs_Other!F113</f>
        <v>LV &lt;750MWh</v>
      </c>
      <c r="H61" s="95" t="s">
        <v>89</v>
      </c>
      <c r="I61" s="95" t="s">
        <v>76</v>
      </c>
      <c r="J61" s="95" t="s">
        <v>69</v>
      </c>
      <c r="O61" s="78">
        <f>$U61*O$53*$V61</f>
        <v>26880.388824225123</v>
      </c>
      <c r="P61" s="78">
        <f t="shared" ref="P61:S78" si="2">$U61*P$53*$V61</f>
        <v>24856.562909860641</v>
      </c>
      <c r="Q61" s="78">
        <f t="shared" si="2"/>
        <v>25658.148371809202</v>
      </c>
      <c r="R61" s="78">
        <f t="shared" si="2"/>
        <v>26543.097902759317</v>
      </c>
      <c r="S61" s="78">
        <f t="shared" si="2"/>
        <v>27458.637807725212</v>
      </c>
      <c r="U61" s="142">
        <f t="shared" ref="U61:U78" si="3">INDEX(Network_Cost_Allocators,MATCH(D61,Network_Element,0))</f>
        <v>0.17380898588015073</v>
      </c>
      <c r="V61" s="143">
        <f>Inputs_Other!N113</f>
        <v>0.98</v>
      </c>
    </row>
    <row r="62" spans="3:22" s="6" customFormat="1" ht="11.25" customHeight="1" x14ac:dyDescent="0.2">
      <c r="D62" s="88" t="str">
        <f>Inputs_Other!D114</f>
        <v>Transmission</v>
      </c>
      <c r="E62" s="88" t="str">
        <f>Inputs_Other!F114</f>
        <v>LV &gt;750MWh</v>
      </c>
      <c r="H62" s="95" t="s">
        <v>89</v>
      </c>
      <c r="I62" s="95" t="s">
        <v>76</v>
      </c>
      <c r="J62" s="95" t="s">
        <v>69</v>
      </c>
      <c r="O62" s="78">
        <f t="shared" ref="O62:O77" si="4">$U62*O$53*$V62</f>
        <v>26880.388824225123</v>
      </c>
      <c r="P62" s="78">
        <f t="shared" si="2"/>
        <v>24856.562909860641</v>
      </c>
      <c r="Q62" s="78">
        <f t="shared" si="2"/>
        <v>25658.148371809202</v>
      </c>
      <c r="R62" s="78">
        <f t="shared" si="2"/>
        <v>26543.097902759317</v>
      </c>
      <c r="S62" s="78">
        <f t="shared" si="2"/>
        <v>27458.637807725212</v>
      </c>
      <c r="U62" s="142">
        <f t="shared" si="3"/>
        <v>0.17380898588015073</v>
      </c>
      <c r="V62" s="143">
        <f>Inputs_Other!N114</f>
        <v>0.98</v>
      </c>
    </row>
    <row r="63" spans="3:22" s="6" customFormat="1" ht="11.25" customHeight="1" x14ac:dyDescent="0.2">
      <c r="D63" s="88" t="str">
        <f>Inputs_Other!D115</f>
        <v>Transmission</v>
      </c>
      <c r="E63" s="88" t="str">
        <f>Inputs_Other!F115</f>
        <v>HV</v>
      </c>
      <c r="H63" s="95" t="s">
        <v>89</v>
      </c>
      <c r="I63" s="95" t="s">
        <v>76</v>
      </c>
      <c r="J63" s="95" t="s">
        <v>69</v>
      </c>
      <c r="O63" s="78">
        <f t="shared" si="4"/>
        <v>17828.829322190133</v>
      </c>
      <c r="P63" s="78">
        <f t="shared" si="2"/>
        <v>16486.49580756063</v>
      </c>
      <c r="Q63" s="78">
        <f t="shared" si="2"/>
        <v>17018.159634363248</v>
      </c>
      <c r="R63" s="78">
        <f t="shared" si="2"/>
        <v>17605.115955911795</v>
      </c>
      <c r="S63" s="78">
        <f t="shared" si="2"/>
        <v>18212.361811246315</v>
      </c>
      <c r="U63" s="142">
        <f t="shared" si="3"/>
        <v>0.17380898588015073</v>
      </c>
      <c r="V63" s="143">
        <f>Inputs_Other!N115</f>
        <v>0.65</v>
      </c>
    </row>
    <row r="64" spans="3:22" s="6" customFormat="1" ht="11.25" customHeight="1" x14ac:dyDescent="0.2">
      <c r="D64" s="88" t="str">
        <f>Inputs_Other!D116</f>
        <v>Zone Substations</v>
      </c>
      <c r="E64" s="88" t="str">
        <f>Inputs_Other!F116</f>
        <v>LV &lt;750MWh</v>
      </c>
      <c r="H64" s="95" t="s">
        <v>89</v>
      </c>
      <c r="I64" s="95" t="s">
        <v>76</v>
      </c>
      <c r="J64" s="95" t="s">
        <v>69</v>
      </c>
      <c r="O64" s="78">
        <f t="shared" si="4"/>
        <v>42691.254980013167</v>
      </c>
      <c r="P64" s="78">
        <f t="shared" si="2"/>
        <v>39477.02810590533</v>
      </c>
      <c r="Q64" s="78">
        <f t="shared" si="2"/>
        <v>40750.100812111021</v>
      </c>
      <c r="R64" s="78">
        <f t="shared" si="2"/>
        <v>42155.571778966485</v>
      </c>
      <c r="S64" s="78">
        <f t="shared" si="2"/>
        <v>43609.626174639932</v>
      </c>
      <c r="U64" s="142">
        <f t="shared" si="3"/>
        <v>0.28475940139648215</v>
      </c>
      <c r="V64" s="143">
        <f>Inputs_Other!N116</f>
        <v>0.95</v>
      </c>
    </row>
    <row r="65" spans="4:22" s="6" customFormat="1" ht="11.25" customHeight="1" x14ac:dyDescent="0.2">
      <c r="D65" s="88" t="str">
        <f>Inputs_Other!D117</f>
        <v>Zone Substations</v>
      </c>
      <c r="E65" s="88" t="str">
        <f>Inputs_Other!F117</f>
        <v>LV &gt;750MWh</v>
      </c>
      <c r="H65" s="95" t="s">
        <v>89</v>
      </c>
      <c r="I65" s="95" t="s">
        <v>76</v>
      </c>
      <c r="J65" s="95" t="s">
        <v>69</v>
      </c>
      <c r="O65" s="78">
        <f t="shared" si="4"/>
        <v>40444.346823170374</v>
      </c>
      <c r="P65" s="78">
        <f t="shared" si="2"/>
        <v>37399.289784541892</v>
      </c>
      <c r="Q65" s="78">
        <f t="shared" si="2"/>
        <v>38605.358664105181</v>
      </c>
      <c r="R65" s="78">
        <f t="shared" si="2"/>
        <v>39936.857474810357</v>
      </c>
      <c r="S65" s="78">
        <f t="shared" si="2"/>
        <v>41314.382691764149</v>
      </c>
      <c r="U65" s="142">
        <f t="shared" si="3"/>
        <v>0.28475940139648215</v>
      </c>
      <c r="V65" s="143">
        <f>Inputs_Other!N117</f>
        <v>0.9</v>
      </c>
    </row>
    <row r="66" spans="4:22" s="6" customFormat="1" ht="11.25" customHeight="1" x14ac:dyDescent="0.2">
      <c r="D66" s="88" t="str">
        <f>Inputs_Other!D118</f>
        <v>Zone Substations</v>
      </c>
      <c r="E66" s="88" t="str">
        <f>Inputs_Other!F118</f>
        <v>HV</v>
      </c>
      <c r="H66" s="95" t="s">
        <v>89</v>
      </c>
      <c r="I66" s="95" t="s">
        <v>76</v>
      </c>
      <c r="J66" s="95" t="s">
        <v>69</v>
      </c>
      <c r="O66" s="78">
        <f t="shared" si="4"/>
        <v>13481.448941056789</v>
      </c>
      <c r="P66" s="78">
        <f t="shared" si="2"/>
        <v>12466.429928180631</v>
      </c>
      <c r="Q66" s="78">
        <f t="shared" si="2"/>
        <v>12868.452888035061</v>
      </c>
      <c r="R66" s="78">
        <f t="shared" si="2"/>
        <v>13312.285824936786</v>
      </c>
      <c r="S66" s="78">
        <f t="shared" si="2"/>
        <v>13771.460897254716</v>
      </c>
      <c r="U66" s="142">
        <f t="shared" si="3"/>
        <v>0.28475940139648215</v>
      </c>
      <c r="V66" s="143">
        <f>Inputs_Other!N118</f>
        <v>0.3</v>
      </c>
    </row>
    <row r="67" spans="4:22" s="6" customFormat="1" ht="11.25" customHeight="1" x14ac:dyDescent="0.2">
      <c r="D67" s="88" t="str">
        <f>Inputs_Other!D119</f>
        <v>HV Distribution</v>
      </c>
      <c r="E67" s="88" t="str">
        <f>Inputs_Other!F119</f>
        <v>LV &lt;750MWh</v>
      </c>
      <c r="H67" s="95" t="s">
        <v>89</v>
      </c>
      <c r="I67" s="95" t="s">
        <v>76</v>
      </c>
      <c r="J67" s="95" t="s">
        <v>69</v>
      </c>
      <c r="O67" s="78">
        <f t="shared" si="4"/>
        <v>28684.59753415058</v>
      </c>
      <c r="P67" s="78">
        <f t="shared" si="2"/>
        <v>26524.932649377362</v>
      </c>
      <c r="Q67" s="78">
        <f t="shared" si="2"/>
        <v>27380.320438429684</v>
      </c>
      <c r="R67" s="78">
        <f t="shared" si="2"/>
        <v>28324.667683528402</v>
      </c>
      <c r="S67" s="78">
        <f t="shared" si="2"/>
        <v>29301.658525146489</v>
      </c>
      <c r="U67" s="142">
        <f t="shared" si="3"/>
        <v>0.19133213176674826</v>
      </c>
      <c r="V67" s="143">
        <f>Inputs_Other!N119</f>
        <v>0.95</v>
      </c>
    </row>
    <row r="68" spans="4:22" s="6" customFormat="1" ht="11.25" customHeight="1" x14ac:dyDescent="0.2">
      <c r="D68" s="88" t="str">
        <f>Inputs_Other!D120</f>
        <v>HV Distribution</v>
      </c>
      <c r="E68" s="88" t="str">
        <f>Inputs_Other!F120</f>
        <v>LV &gt;750MWh</v>
      </c>
      <c r="H68" s="95" t="s">
        <v>89</v>
      </c>
      <c r="I68" s="95" t="s">
        <v>76</v>
      </c>
      <c r="J68" s="95" t="s">
        <v>69</v>
      </c>
      <c r="O68" s="78">
        <f t="shared" si="4"/>
        <v>24155.450555074174</v>
      </c>
      <c r="P68" s="78">
        <f t="shared" si="2"/>
        <v>22336.78538894936</v>
      </c>
      <c r="Q68" s="78">
        <f t="shared" si="2"/>
        <v>23057.111948151316</v>
      </c>
      <c r="R68" s="78">
        <f t="shared" si="2"/>
        <v>23852.351733497606</v>
      </c>
      <c r="S68" s="78">
        <f t="shared" si="2"/>
        <v>24675.080863281255</v>
      </c>
      <c r="U68" s="142">
        <f t="shared" si="3"/>
        <v>0.19133213176674826</v>
      </c>
      <c r="V68" s="143">
        <f>Inputs_Other!N120</f>
        <v>0.8</v>
      </c>
    </row>
    <row r="69" spans="4:22" s="6" customFormat="1" ht="11.25" customHeight="1" x14ac:dyDescent="0.2">
      <c r="D69" s="88" t="str">
        <f>Inputs_Other!D121</f>
        <v>HV Distribution</v>
      </c>
      <c r="E69" s="88" t="str">
        <f>Inputs_Other!F121</f>
        <v>HV</v>
      </c>
      <c r="H69" s="95" t="s">
        <v>89</v>
      </c>
      <c r="I69" s="95" t="s">
        <v>76</v>
      </c>
      <c r="J69" s="95" t="s">
        <v>69</v>
      </c>
      <c r="O69" s="78">
        <f t="shared" si="4"/>
        <v>3019.4313193842718</v>
      </c>
      <c r="P69" s="78">
        <f t="shared" si="2"/>
        <v>2792.09817361867</v>
      </c>
      <c r="Q69" s="78">
        <f t="shared" si="2"/>
        <v>2882.1389935189145</v>
      </c>
      <c r="R69" s="78">
        <f t="shared" si="2"/>
        <v>2981.5439666872007</v>
      </c>
      <c r="S69" s="78">
        <f t="shared" si="2"/>
        <v>3084.3851079101569</v>
      </c>
      <c r="U69" s="142">
        <f t="shared" si="3"/>
        <v>0.19133213176674826</v>
      </c>
      <c r="V69" s="143">
        <f>Inputs_Other!N121</f>
        <v>0.1</v>
      </c>
    </row>
    <row r="70" spans="4:22" s="6" customFormat="1" ht="11.25" customHeight="1" x14ac:dyDescent="0.2">
      <c r="D70" s="88" t="str">
        <f>Inputs_Other!D122</f>
        <v>Distribution Substations</v>
      </c>
      <c r="E70" s="88" t="str">
        <f>Inputs_Other!F122</f>
        <v>LV &lt;750MWh</v>
      </c>
      <c r="H70" s="95" t="s">
        <v>89</v>
      </c>
      <c r="I70" s="95" t="s">
        <v>76</v>
      </c>
      <c r="J70" s="95" t="s">
        <v>69</v>
      </c>
      <c r="O70" s="78">
        <f t="shared" si="4"/>
        <v>22031.151617278912</v>
      </c>
      <c r="P70" s="78">
        <f t="shared" si="2"/>
        <v>20372.425031964074</v>
      </c>
      <c r="Q70" s="78">
        <f t="shared" si="2"/>
        <v>21029.404027389912</v>
      </c>
      <c r="R70" s="78">
        <f t="shared" si="2"/>
        <v>21754.70816705441</v>
      </c>
      <c r="S70" s="78">
        <f t="shared" si="2"/>
        <v>22505.084160120212</v>
      </c>
      <c r="U70" s="142">
        <f t="shared" si="3"/>
        <v>0.17450584060105409</v>
      </c>
      <c r="V70" s="143">
        <f>Inputs_Other!N122</f>
        <v>0.8</v>
      </c>
    </row>
    <row r="71" spans="4:22" s="6" customFormat="1" ht="11.25" customHeight="1" x14ac:dyDescent="0.2">
      <c r="D71" s="88" t="str">
        <f>Inputs_Other!D123</f>
        <v>Distribution Substations</v>
      </c>
      <c r="E71" s="88" t="str">
        <f>Inputs_Other!F123</f>
        <v>LV &gt;750MWh</v>
      </c>
      <c r="H71" s="95" t="s">
        <v>89</v>
      </c>
      <c r="I71" s="95" t="s">
        <v>76</v>
      </c>
      <c r="J71" s="95" t="s">
        <v>69</v>
      </c>
      <c r="O71" s="78">
        <f t="shared" si="4"/>
        <v>22031.151617278912</v>
      </c>
      <c r="P71" s="78">
        <f t="shared" si="2"/>
        <v>20372.425031964074</v>
      </c>
      <c r="Q71" s="78">
        <f t="shared" si="2"/>
        <v>21029.404027389912</v>
      </c>
      <c r="R71" s="78">
        <f t="shared" si="2"/>
        <v>21754.70816705441</v>
      </c>
      <c r="S71" s="78">
        <f t="shared" si="2"/>
        <v>22505.084160120212</v>
      </c>
      <c r="U71" s="142">
        <f t="shared" si="3"/>
        <v>0.17450584060105409</v>
      </c>
      <c r="V71" s="143">
        <f>Inputs_Other!N123</f>
        <v>0.8</v>
      </c>
    </row>
    <row r="72" spans="4:22" s="6" customFormat="1" ht="11.25" customHeight="1" x14ac:dyDescent="0.2">
      <c r="D72" s="88" t="str">
        <f>Inputs_Other!D124</f>
        <v>Distribution Substations</v>
      </c>
      <c r="E72" s="88" t="str">
        <f>Inputs_Other!F124</f>
        <v>HV</v>
      </c>
      <c r="H72" s="95" t="s">
        <v>89</v>
      </c>
      <c r="I72" s="95" t="s">
        <v>76</v>
      </c>
      <c r="J72" s="95" t="s">
        <v>69</v>
      </c>
      <c r="O72" s="78">
        <f t="shared" si="4"/>
        <v>0</v>
      </c>
      <c r="P72" s="78">
        <f t="shared" si="2"/>
        <v>0</v>
      </c>
      <c r="Q72" s="78">
        <f t="shared" si="2"/>
        <v>0</v>
      </c>
      <c r="R72" s="78">
        <f t="shared" si="2"/>
        <v>0</v>
      </c>
      <c r="S72" s="78">
        <f t="shared" si="2"/>
        <v>0</v>
      </c>
      <c r="U72" s="142">
        <f t="shared" si="3"/>
        <v>0.17450584060105409</v>
      </c>
      <c r="V72" s="143">
        <f>Inputs_Other!N124</f>
        <v>0</v>
      </c>
    </row>
    <row r="73" spans="4:22" s="6" customFormat="1" ht="11.25" customHeight="1" x14ac:dyDescent="0.2">
      <c r="D73" s="88" t="str">
        <f>Inputs_Other!D125</f>
        <v>LV Distribution</v>
      </c>
      <c r="E73" s="88" t="str">
        <f>Inputs_Other!F125</f>
        <v>LV &lt;750MWh</v>
      </c>
      <c r="H73" s="95" t="s">
        <v>89</v>
      </c>
      <c r="I73" s="95" t="s">
        <v>76</v>
      </c>
      <c r="J73" s="95" t="s">
        <v>69</v>
      </c>
      <c r="O73" s="78">
        <f t="shared" si="4"/>
        <v>10736.556521656736</v>
      </c>
      <c r="P73" s="78">
        <f t="shared" si="2"/>
        <v>9928.2006060612985</v>
      </c>
      <c r="Q73" s="78">
        <f t="shared" si="2"/>
        <v>10248.369621302361</v>
      </c>
      <c r="R73" s="78">
        <f t="shared" si="2"/>
        <v>10601.835886987357</v>
      </c>
      <c r="S73" s="78">
        <f t="shared" si="2"/>
        <v>10967.520550322279</v>
      </c>
      <c r="U73" s="142">
        <f t="shared" si="3"/>
        <v>7.5593640355564748E-2</v>
      </c>
      <c r="V73" s="143">
        <f>Inputs_Other!N125</f>
        <v>0.9</v>
      </c>
    </row>
    <row r="74" spans="4:22" s="6" customFormat="1" ht="11.25" customHeight="1" x14ac:dyDescent="0.2">
      <c r="D74" s="88" t="str">
        <f>Inputs_Other!D126</f>
        <v>LV Distribution</v>
      </c>
      <c r="E74" s="88" t="str">
        <f>Inputs_Other!F126</f>
        <v>LV &gt;750MWh</v>
      </c>
      <c r="H74" s="95" t="s">
        <v>89</v>
      </c>
      <c r="I74" s="95" t="s">
        <v>76</v>
      </c>
      <c r="J74" s="95" t="s">
        <v>69</v>
      </c>
      <c r="O74" s="78">
        <f t="shared" si="4"/>
        <v>4771.8028985141054</v>
      </c>
      <c r="P74" s="78">
        <f t="shared" si="2"/>
        <v>4412.5336026939103</v>
      </c>
      <c r="Q74" s="78">
        <f t="shared" si="2"/>
        <v>4554.8309428010498</v>
      </c>
      <c r="R74" s="78">
        <f t="shared" si="2"/>
        <v>4711.9270608832694</v>
      </c>
      <c r="S74" s="78">
        <f t="shared" si="2"/>
        <v>4874.4535779210128</v>
      </c>
      <c r="U74" s="142">
        <f t="shared" si="3"/>
        <v>7.5593640355564748E-2</v>
      </c>
      <c r="V74" s="143">
        <f>Inputs_Other!N126</f>
        <v>0.4</v>
      </c>
    </row>
    <row r="75" spans="4:22" s="6" customFormat="1" ht="11.25" customHeight="1" x14ac:dyDescent="0.2">
      <c r="D75" s="88" t="str">
        <f>Inputs_Other!D127</f>
        <v>LV Distribution</v>
      </c>
      <c r="E75" s="88" t="str">
        <f>Inputs_Other!F127</f>
        <v>HV</v>
      </c>
      <c r="H75" s="95" t="s">
        <v>89</v>
      </c>
      <c r="I75" s="95" t="s">
        <v>76</v>
      </c>
      <c r="J75" s="95" t="s">
        <v>69</v>
      </c>
      <c r="O75" s="78">
        <f t="shared" si="4"/>
        <v>0</v>
      </c>
      <c r="P75" s="78">
        <f t="shared" si="2"/>
        <v>0</v>
      </c>
      <c r="Q75" s="78">
        <f t="shared" si="2"/>
        <v>0</v>
      </c>
      <c r="R75" s="78">
        <f t="shared" si="2"/>
        <v>0</v>
      </c>
      <c r="S75" s="78">
        <f t="shared" si="2"/>
        <v>0</v>
      </c>
      <c r="U75" s="142">
        <f t="shared" si="3"/>
        <v>7.5593640355564748E-2</v>
      </c>
      <c r="V75" s="143">
        <f>Inputs_Other!N127</f>
        <v>0</v>
      </c>
    </row>
    <row r="76" spans="4:22" s="6" customFormat="1" ht="11.25" customHeight="1" x14ac:dyDescent="0.2">
      <c r="D76" s="88" t="str">
        <f>Inputs_Other!D128</f>
        <v>Common Services</v>
      </c>
      <c r="E76" s="88" t="str">
        <f>Inputs_Other!F128</f>
        <v>LV &lt;750MWh</v>
      </c>
      <c r="H76" s="95" t="s">
        <v>89</v>
      </c>
      <c r="I76" s="95" t="s">
        <v>76</v>
      </c>
      <c r="J76" s="95" t="s">
        <v>69</v>
      </c>
      <c r="O76" s="78">
        <f t="shared" si="4"/>
        <v>15781.099031840839</v>
      </c>
      <c r="P76" s="78">
        <f t="shared" si="2"/>
        <v>14592.939240453878</v>
      </c>
      <c r="Q76" s="78">
        <f t="shared" si="2"/>
        <v>15063.538815490298</v>
      </c>
      <c r="R76" s="78">
        <f t="shared" si="2"/>
        <v>15583.080265482975</v>
      </c>
      <c r="S76" s="78">
        <f t="shared" si="2"/>
        <v>16120.580894746488</v>
      </c>
      <c r="U76" s="142">
        <f t="shared" si="3"/>
        <v>0.10000000000000009</v>
      </c>
      <c r="V76" s="143">
        <f>Inputs_Other!N128</f>
        <v>1</v>
      </c>
    </row>
    <row r="77" spans="4:22" s="6" customFormat="1" ht="11.25" customHeight="1" x14ac:dyDescent="0.2">
      <c r="D77" s="88" t="str">
        <f>Inputs_Other!D129</f>
        <v>Common Services</v>
      </c>
      <c r="E77" s="88" t="str">
        <f>Inputs_Other!F129</f>
        <v>LV &gt;750MWh</v>
      </c>
      <c r="H77" s="95" t="s">
        <v>89</v>
      </c>
      <c r="I77" s="95" t="s">
        <v>76</v>
      </c>
      <c r="J77" s="95" t="s">
        <v>69</v>
      </c>
      <c r="O77" s="78">
        <f t="shared" si="4"/>
        <v>15781.099031840839</v>
      </c>
      <c r="P77" s="78">
        <f t="shared" si="2"/>
        <v>14592.939240453878</v>
      </c>
      <c r="Q77" s="78">
        <f t="shared" si="2"/>
        <v>15063.538815490298</v>
      </c>
      <c r="R77" s="78">
        <f t="shared" si="2"/>
        <v>15583.080265482975</v>
      </c>
      <c r="S77" s="78">
        <f t="shared" si="2"/>
        <v>16120.580894746488</v>
      </c>
      <c r="U77" s="142">
        <f t="shared" si="3"/>
        <v>0.10000000000000009</v>
      </c>
      <c r="V77" s="143">
        <f>Inputs_Other!N129</f>
        <v>1</v>
      </c>
    </row>
    <row r="78" spans="4:22" s="6" customFormat="1" ht="11.25" customHeight="1" x14ac:dyDescent="0.2">
      <c r="D78" s="88" t="str">
        <f>Inputs_Other!D130</f>
        <v>Common Services</v>
      </c>
      <c r="E78" s="88" t="str">
        <f>Inputs_Other!F130</f>
        <v>HV</v>
      </c>
      <c r="H78" s="95" t="s">
        <v>89</v>
      </c>
      <c r="I78" s="95" t="s">
        <v>76</v>
      </c>
      <c r="J78" s="95" t="s">
        <v>69</v>
      </c>
      <c r="O78" s="78">
        <f>$U78*O$53*$V78</f>
        <v>15781.099031840839</v>
      </c>
      <c r="P78" s="78">
        <f t="shared" si="2"/>
        <v>14592.939240453878</v>
      </c>
      <c r="Q78" s="78">
        <f t="shared" si="2"/>
        <v>15063.538815490298</v>
      </c>
      <c r="R78" s="78">
        <f t="shared" si="2"/>
        <v>15583.080265482975</v>
      </c>
      <c r="S78" s="78">
        <f t="shared" si="2"/>
        <v>16120.580894746488</v>
      </c>
      <c r="U78" s="142">
        <f t="shared" si="3"/>
        <v>0.10000000000000009</v>
      </c>
      <c r="V78" s="143">
        <f>Inputs_Other!N130</f>
        <v>1</v>
      </c>
    </row>
    <row r="79" spans="4:22" s="6" customFormat="1" ht="11.25" customHeight="1" x14ac:dyDescent="0.2"/>
    <row r="80" spans="4:22" s="6" customFormat="1" ht="11.25" customHeight="1" x14ac:dyDescent="0.2"/>
    <row r="81" spans="3:22" s="13" customFormat="1" ht="14" x14ac:dyDescent="0.2">
      <c r="C81" s="13" t="s">
        <v>167</v>
      </c>
    </row>
    <row r="82" spans="3:22" s="6" customFormat="1" ht="11.25" customHeight="1" x14ac:dyDescent="0.2"/>
    <row r="83" spans="3:22" s="6" customFormat="1" ht="11.25" customHeight="1" x14ac:dyDescent="0.2">
      <c r="U83" s="358" t="s">
        <v>227</v>
      </c>
      <c r="V83" s="357"/>
    </row>
    <row r="84" spans="3:22" s="6" customFormat="1" ht="34.9" customHeight="1" x14ac:dyDescent="0.2">
      <c r="D84" s="83" t="str">
        <f>Inputs_Other!D111</f>
        <v>Network Element</v>
      </c>
      <c r="E84" s="83" t="str">
        <f>Inputs_Other!F111</f>
        <v>Tariff Class</v>
      </c>
      <c r="H84" s="65" t="str">
        <f>H$10</f>
        <v>Source</v>
      </c>
      <c r="I84" s="65" t="str">
        <f>I$10</f>
        <v>Unit</v>
      </c>
      <c r="J84" s="65" t="str">
        <f>J$10</f>
        <v>Basis</v>
      </c>
      <c r="O84" s="65" t="str">
        <f>O$10</f>
        <v>FY20</v>
      </c>
      <c r="P84" s="65" t="str">
        <f>P$10</f>
        <v>FY21</v>
      </c>
      <c r="Q84" s="65" t="str">
        <f>Q$10</f>
        <v>FY22</v>
      </c>
      <c r="R84" s="65" t="str">
        <f>R$10</f>
        <v>FY23</v>
      </c>
      <c r="S84" s="65" t="str">
        <f>S$10</f>
        <v>FY24</v>
      </c>
      <c r="U84" s="139" t="s">
        <v>217</v>
      </c>
      <c r="V84" s="72" t="s">
        <v>169</v>
      </c>
    </row>
    <row r="85" spans="3:22" s="6" customFormat="1" ht="11.25" customHeight="1" x14ac:dyDescent="0.2">
      <c r="D85" s="7"/>
      <c r="E85" s="7"/>
      <c r="U85" s="140"/>
      <c r="V85" s="141"/>
    </row>
    <row r="86" spans="3:22" s="6" customFormat="1" ht="11.25" customHeight="1" x14ac:dyDescent="0.2">
      <c r="D86" s="88" t="str">
        <f>Inputs_Other!D113</f>
        <v>Transmission</v>
      </c>
      <c r="E86" s="88" t="str">
        <f>Inputs_Other!F113</f>
        <v>LV &lt;750MWh</v>
      </c>
      <c r="H86" s="95" t="s">
        <v>89</v>
      </c>
      <c r="I86" s="95" t="s">
        <v>76</v>
      </c>
      <c r="J86" s="95" t="s">
        <v>69</v>
      </c>
      <c r="O86" s="78">
        <f t="shared" ref="O86:S101" si="5">$U86*O$53*$V86</f>
        <v>1371.4484093992412</v>
      </c>
      <c r="P86" s="78">
        <f t="shared" si="5"/>
        <v>1268.1919851969715</v>
      </c>
      <c r="Q86" s="78">
        <f t="shared" si="5"/>
        <v>1309.0892026433266</v>
      </c>
      <c r="R86" s="78">
        <f t="shared" si="5"/>
        <v>1354.2396889162919</v>
      </c>
      <c r="S86" s="78">
        <f t="shared" si="5"/>
        <v>1400.9509085574089</v>
      </c>
      <c r="U86" s="142">
        <f t="shared" ref="U86:U103" si="6">INDEX(Network_Cost_Allocators,MATCH(D86,Network_Element,0))</f>
        <v>0.17380898588015073</v>
      </c>
      <c r="V86" s="143">
        <f>Inputs_Other!M113</f>
        <v>0.05</v>
      </c>
    </row>
    <row r="87" spans="3:22" s="6" customFormat="1" ht="11.25" customHeight="1" x14ac:dyDescent="0.2">
      <c r="D87" s="88" t="str">
        <f>Inputs_Other!D114</f>
        <v>Transmission</v>
      </c>
      <c r="E87" s="88" t="str">
        <f>Inputs_Other!F114</f>
        <v>LV &gt;750MWh</v>
      </c>
      <c r="H87" s="95" t="s">
        <v>89</v>
      </c>
      <c r="I87" s="95" t="s">
        <v>76</v>
      </c>
      <c r="J87" s="95" t="s">
        <v>69</v>
      </c>
      <c r="O87" s="78">
        <f t="shared" si="5"/>
        <v>822.86904563954465</v>
      </c>
      <c r="P87" s="78">
        <f t="shared" si="5"/>
        <v>760.91519111818286</v>
      </c>
      <c r="Q87" s="78">
        <f t="shared" si="5"/>
        <v>785.45352158599599</v>
      </c>
      <c r="R87" s="78">
        <f t="shared" si="5"/>
        <v>812.54381334977506</v>
      </c>
      <c r="S87" s="78">
        <f t="shared" si="5"/>
        <v>840.57054513444518</v>
      </c>
      <c r="U87" s="142">
        <f t="shared" si="6"/>
        <v>0.17380898588015073</v>
      </c>
      <c r="V87" s="143">
        <f>Inputs_Other!M114</f>
        <v>0.03</v>
      </c>
    </row>
    <row r="88" spans="3:22" s="6" customFormat="1" ht="11.25" customHeight="1" x14ac:dyDescent="0.2">
      <c r="D88" s="88" t="str">
        <f>Inputs_Other!D115</f>
        <v>Transmission</v>
      </c>
      <c r="E88" s="88" t="str">
        <f>Inputs_Other!F115</f>
        <v>HV</v>
      </c>
      <c r="H88" s="95" t="s">
        <v>89</v>
      </c>
      <c r="I88" s="95" t="s">
        <v>76</v>
      </c>
      <c r="J88" s="95" t="s">
        <v>69</v>
      </c>
      <c r="O88" s="78">
        <f t="shared" si="5"/>
        <v>1371.4484093992412</v>
      </c>
      <c r="P88" s="78">
        <f t="shared" si="5"/>
        <v>1268.1919851969715</v>
      </c>
      <c r="Q88" s="78">
        <f t="shared" si="5"/>
        <v>1309.0892026433266</v>
      </c>
      <c r="R88" s="78">
        <f t="shared" si="5"/>
        <v>1354.2396889162919</v>
      </c>
      <c r="S88" s="78">
        <f t="shared" si="5"/>
        <v>1400.9509085574089</v>
      </c>
      <c r="U88" s="142">
        <f t="shared" si="6"/>
        <v>0.17380898588015073</v>
      </c>
      <c r="V88" s="143">
        <f>Inputs_Other!M115</f>
        <v>0.05</v>
      </c>
    </row>
    <row r="89" spans="3:22" s="6" customFormat="1" ht="11.25" customHeight="1" x14ac:dyDescent="0.2">
      <c r="D89" s="88" t="str">
        <f>Inputs_Other!D116</f>
        <v>Zone Substations</v>
      </c>
      <c r="E89" s="88" t="str">
        <f>Inputs_Other!F116</f>
        <v>LV &lt;750MWh</v>
      </c>
      <c r="H89" s="95" t="s">
        <v>89</v>
      </c>
      <c r="I89" s="95" t="s">
        <v>76</v>
      </c>
      <c r="J89" s="95" t="s">
        <v>69</v>
      </c>
      <c r="O89" s="78">
        <f t="shared" si="5"/>
        <v>2246.9081568427987</v>
      </c>
      <c r="P89" s="78">
        <f t="shared" si="5"/>
        <v>2077.7383213634384</v>
      </c>
      <c r="Q89" s="78">
        <f t="shared" si="5"/>
        <v>2144.7421480058433</v>
      </c>
      <c r="R89" s="78">
        <f t="shared" si="5"/>
        <v>2218.7143041561312</v>
      </c>
      <c r="S89" s="78">
        <f t="shared" si="5"/>
        <v>2295.2434828757864</v>
      </c>
      <c r="U89" s="142">
        <f t="shared" si="6"/>
        <v>0.28475940139648215</v>
      </c>
      <c r="V89" s="143">
        <f>Inputs_Other!M116</f>
        <v>0.05</v>
      </c>
    </row>
    <row r="90" spans="3:22" s="6" customFormat="1" ht="11.25" customHeight="1" x14ac:dyDescent="0.2">
      <c r="D90" s="88" t="str">
        <f>Inputs_Other!D117</f>
        <v>Zone Substations</v>
      </c>
      <c r="E90" s="88" t="str">
        <f>Inputs_Other!F117</f>
        <v>LV &gt;750MWh</v>
      </c>
      <c r="H90" s="95" t="s">
        <v>89</v>
      </c>
      <c r="I90" s="95" t="s">
        <v>76</v>
      </c>
      <c r="J90" s="95" t="s">
        <v>69</v>
      </c>
      <c r="O90" s="78">
        <f t="shared" si="5"/>
        <v>2246.9081568427987</v>
      </c>
      <c r="P90" s="78">
        <f t="shared" si="5"/>
        <v>2077.7383213634384</v>
      </c>
      <c r="Q90" s="78">
        <f t="shared" si="5"/>
        <v>2144.7421480058433</v>
      </c>
      <c r="R90" s="78">
        <f t="shared" si="5"/>
        <v>2218.7143041561312</v>
      </c>
      <c r="S90" s="78">
        <f t="shared" si="5"/>
        <v>2295.2434828757864</v>
      </c>
      <c r="U90" s="142">
        <f t="shared" si="6"/>
        <v>0.28475940139648215</v>
      </c>
      <c r="V90" s="143">
        <f>Inputs_Other!M117</f>
        <v>0.05</v>
      </c>
    </row>
    <row r="91" spans="3:22" s="6" customFormat="1" ht="11.25" customHeight="1" x14ac:dyDescent="0.2">
      <c r="D91" s="88" t="str">
        <f>Inputs_Other!D118</f>
        <v>Zone Substations</v>
      </c>
      <c r="E91" s="88" t="str">
        <f>Inputs_Other!F118</f>
        <v>HV</v>
      </c>
      <c r="H91" s="95" t="s">
        <v>89</v>
      </c>
      <c r="I91" s="95" t="s">
        <v>76</v>
      </c>
      <c r="J91" s="95" t="s">
        <v>69</v>
      </c>
      <c r="O91" s="78">
        <f t="shared" si="5"/>
        <v>2246.9081568427987</v>
      </c>
      <c r="P91" s="78">
        <f t="shared" si="5"/>
        <v>2077.7383213634384</v>
      </c>
      <c r="Q91" s="78">
        <f t="shared" si="5"/>
        <v>2144.7421480058433</v>
      </c>
      <c r="R91" s="78">
        <f t="shared" si="5"/>
        <v>2218.7143041561312</v>
      </c>
      <c r="S91" s="78">
        <f t="shared" si="5"/>
        <v>2295.2434828757864</v>
      </c>
      <c r="U91" s="142">
        <f t="shared" si="6"/>
        <v>0.28475940139648215</v>
      </c>
      <c r="V91" s="143">
        <f>Inputs_Other!M118</f>
        <v>0.05</v>
      </c>
    </row>
    <row r="92" spans="3:22" s="6" customFormat="1" ht="11.25" customHeight="1" x14ac:dyDescent="0.2">
      <c r="D92" s="88" t="str">
        <f>Inputs_Other!D119</f>
        <v>HV Distribution</v>
      </c>
      <c r="E92" s="88" t="str">
        <f>Inputs_Other!F119</f>
        <v>LV &lt;750MWh</v>
      </c>
      <c r="H92" s="95" t="s">
        <v>89</v>
      </c>
      <c r="I92" s="95" t="s">
        <v>76</v>
      </c>
      <c r="J92" s="95" t="s">
        <v>69</v>
      </c>
      <c r="O92" s="78">
        <f t="shared" si="5"/>
        <v>1509.7156596921359</v>
      </c>
      <c r="P92" s="78">
        <f t="shared" si="5"/>
        <v>1396.049086809335</v>
      </c>
      <c r="Q92" s="78">
        <f t="shared" si="5"/>
        <v>1441.0694967594573</v>
      </c>
      <c r="R92" s="78">
        <f t="shared" si="5"/>
        <v>1490.7719833436004</v>
      </c>
      <c r="S92" s="78">
        <f t="shared" si="5"/>
        <v>1542.1925539550784</v>
      </c>
      <c r="U92" s="142">
        <f t="shared" si="6"/>
        <v>0.19133213176674826</v>
      </c>
      <c r="V92" s="143">
        <f>Inputs_Other!M119</f>
        <v>0.05</v>
      </c>
    </row>
    <row r="93" spans="3:22" s="6" customFormat="1" ht="11.25" customHeight="1" x14ac:dyDescent="0.2">
      <c r="D93" s="88" t="str">
        <f>Inputs_Other!D120</f>
        <v>HV Distribution</v>
      </c>
      <c r="E93" s="88" t="str">
        <f>Inputs_Other!F120</f>
        <v>LV &gt;750MWh</v>
      </c>
      <c r="H93" s="95" t="s">
        <v>89</v>
      </c>
      <c r="I93" s="95" t="s">
        <v>76</v>
      </c>
      <c r="J93" s="95" t="s">
        <v>69</v>
      </c>
      <c r="O93" s="78">
        <f t="shared" si="5"/>
        <v>3019.4313193842718</v>
      </c>
      <c r="P93" s="78">
        <f t="shared" si="5"/>
        <v>2792.09817361867</v>
      </c>
      <c r="Q93" s="78">
        <f t="shared" si="5"/>
        <v>2882.1389935189145</v>
      </c>
      <c r="R93" s="78">
        <f t="shared" si="5"/>
        <v>2981.5439666872007</v>
      </c>
      <c r="S93" s="78">
        <f t="shared" si="5"/>
        <v>3084.3851079101569</v>
      </c>
      <c r="U93" s="142">
        <f t="shared" si="6"/>
        <v>0.19133213176674826</v>
      </c>
      <c r="V93" s="143">
        <f>Inputs_Other!M120</f>
        <v>0.1</v>
      </c>
    </row>
    <row r="94" spans="3:22" s="6" customFormat="1" ht="11.25" customHeight="1" x14ac:dyDescent="0.2">
      <c r="D94" s="88" t="str">
        <f>Inputs_Other!D121</f>
        <v>HV Distribution</v>
      </c>
      <c r="E94" s="88" t="str">
        <f>Inputs_Other!F121</f>
        <v>HV</v>
      </c>
      <c r="H94" s="95" t="s">
        <v>89</v>
      </c>
      <c r="I94" s="95" t="s">
        <v>76</v>
      </c>
      <c r="J94" s="95" t="s">
        <v>69</v>
      </c>
      <c r="O94" s="78">
        <f t="shared" si="5"/>
        <v>1509.7156596921359</v>
      </c>
      <c r="P94" s="78">
        <f t="shared" si="5"/>
        <v>1396.049086809335</v>
      </c>
      <c r="Q94" s="78">
        <f t="shared" si="5"/>
        <v>1441.0694967594573</v>
      </c>
      <c r="R94" s="78">
        <f t="shared" si="5"/>
        <v>1490.7719833436004</v>
      </c>
      <c r="S94" s="78">
        <f t="shared" si="5"/>
        <v>1542.1925539550784</v>
      </c>
      <c r="U94" s="142">
        <f t="shared" si="6"/>
        <v>0.19133213176674826</v>
      </c>
      <c r="V94" s="143">
        <f>Inputs_Other!M121</f>
        <v>0.05</v>
      </c>
    </row>
    <row r="95" spans="3:22" s="6" customFormat="1" ht="11.25" customHeight="1" x14ac:dyDescent="0.2">
      <c r="D95" s="88" t="str">
        <f>Inputs_Other!D122</f>
        <v>Distribution Substations</v>
      </c>
      <c r="E95" s="88" t="str">
        <f>Inputs_Other!F122</f>
        <v>LV &lt;750MWh</v>
      </c>
      <c r="H95" s="95" t="s">
        <v>89</v>
      </c>
      <c r="I95" s="95" t="s">
        <v>76</v>
      </c>
      <c r="J95" s="95" t="s">
        <v>69</v>
      </c>
      <c r="O95" s="78">
        <f t="shared" si="5"/>
        <v>8261.6818564795904</v>
      </c>
      <c r="P95" s="78">
        <f t="shared" si="5"/>
        <v>7639.6593869865274</v>
      </c>
      <c r="Q95" s="78">
        <f t="shared" si="5"/>
        <v>7886.0265102712156</v>
      </c>
      <c r="R95" s="78">
        <f t="shared" si="5"/>
        <v>8158.0155626454025</v>
      </c>
      <c r="S95" s="78">
        <f t="shared" si="5"/>
        <v>8439.4065600450776</v>
      </c>
      <c r="U95" s="142">
        <f t="shared" si="6"/>
        <v>0.17450584060105409</v>
      </c>
      <c r="V95" s="143">
        <f>Inputs_Other!M122</f>
        <v>0.3</v>
      </c>
    </row>
    <row r="96" spans="3:22" s="6" customFormat="1" ht="11.25" customHeight="1" x14ac:dyDescent="0.2">
      <c r="D96" s="88" t="str">
        <f>Inputs_Other!D123</f>
        <v>Distribution Substations</v>
      </c>
      <c r="E96" s="88" t="str">
        <f>Inputs_Other!F123</f>
        <v>LV &gt;750MWh</v>
      </c>
      <c r="H96" s="95" t="s">
        <v>89</v>
      </c>
      <c r="I96" s="95" t="s">
        <v>76</v>
      </c>
      <c r="J96" s="95" t="s">
        <v>69</v>
      </c>
      <c r="O96" s="78">
        <f t="shared" si="5"/>
        <v>2753.8939521598641</v>
      </c>
      <c r="P96" s="78">
        <f t="shared" si="5"/>
        <v>2546.5531289955093</v>
      </c>
      <c r="Q96" s="78">
        <f t="shared" si="5"/>
        <v>2628.675503423739</v>
      </c>
      <c r="R96" s="78">
        <f t="shared" si="5"/>
        <v>2719.3385208818013</v>
      </c>
      <c r="S96" s="78">
        <f t="shared" si="5"/>
        <v>2813.1355200150265</v>
      </c>
      <c r="U96" s="142">
        <f t="shared" si="6"/>
        <v>0.17450584060105409</v>
      </c>
      <c r="V96" s="143">
        <f>Inputs_Other!M123</f>
        <v>0.1</v>
      </c>
    </row>
    <row r="97" spans="2:22" s="6" customFormat="1" ht="11.25" customHeight="1" x14ac:dyDescent="0.2">
      <c r="D97" s="88" t="str">
        <f>Inputs_Other!D124</f>
        <v>Distribution Substations</v>
      </c>
      <c r="E97" s="88" t="str">
        <f>Inputs_Other!F124</f>
        <v>HV</v>
      </c>
      <c r="H97" s="95" t="s">
        <v>89</v>
      </c>
      <c r="I97" s="95" t="s">
        <v>76</v>
      </c>
      <c r="J97" s="95" t="s">
        <v>69</v>
      </c>
      <c r="O97" s="78">
        <f t="shared" si="5"/>
        <v>0</v>
      </c>
      <c r="P97" s="78">
        <f t="shared" si="5"/>
        <v>0</v>
      </c>
      <c r="Q97" s="78">
        <f t="shared" si="5"/>
        <v>0</v>
      </c>
      <c r="R97" s="78">
        <f t="shared" si="5"/>
        <v>0</v>
      </c>
      <c r="S97" s="78">
        <f t="shared" si="5"/>
        <v>0</v>
      </c>
      <c r="U97" s="142">
        <f t="shared" si="6"/>
        <v>0.17450584060105409</v>
      </c>
      <c r="V97" s="143">
        <f>Inputs_Other!M124</f>
        <v>0</v>
      </c>
    </row>
    <row r="98" spans="2:22" s="6" customFormat="1" ht="11.25" customHeight="1" x14ac:dyDescent="0.2">
      <c r="D98" s="88" t="str">
        <f>Inputs_Other!D125</f>
        <v>LV Distribution</v>
      </c>
      <c r="E98" s="88" t="str">
        <f>Inputs_Other!F125</f>
        <v>LV &lt;750MWh</v>
      </c>
      <c r="H98" s="95" t="s">
        <v>89</v>
      </c>
      <c r="I98" s="95" t="s">
        <v>76</v>
      </c>
      <c r="J98" s="95" t="s">
        <v>69</v>
      </c>
      <c r="O98" s="78">
        <f t="shared" si="5"/>
        <v>5964.7536231426311</v>
      </c>
      <c r="P98" s="78">
        <f t="shared" si="5"/>
        <v>5515.6670033673881</v>
      </c>
      <c r="Q98" s="78">
        <f t="shared" si="5"/>
        <v>5693.5386785013116</v>
      </c>
      <c r="R98" s="78">
        <f t="shared" si="5"/>
        <v>5889.908826104087</v>
      </c>
      <c r="S98" s="78">
        <f t="shared" si="5"/>
        <v>6093.066972401266</v>
      </c>
      <c r="U98" s="142">
        <f t="shared" si="6"/>
        <v>7.5593640355564748E-2</v>
      </c>
      <c r="V98" s="143">
        <f>Inputs_Other!M125</f>
        <v>0.5</v>
      </c>
    </row>
    <row r="99" spans="2:22" s="6" customFormat="1" ht="11.25" customHeight="1" x14ac:dyDescent="0.2">
      <c r="D99" s="88" t="str">
        <f>Inputs_Other!D126</f>
        <v>LV Distribution</v>
      </c>
      <c r="E99" s="88" t="str">
        <f>Inputs_Other!F126</f>
        <v>LV &gt;750MWh</v>
      </c>
      <c r="H99" s="95" t="s">
        <v>89</v>
      </c>
      <c r="I99" s="95" t="s">
        <v>76</v>
      </c>
      <c r="J99" s="95" t="s">
        <v>69</v>
      </c>
      <c r="O99" s="78">
        <f t="shared" si="5"/>
        <v>1789.4260869427892</v>
      </c>
      <c r="P99" s="78">
        <f t="shared" si="5"/>
        <v>1654.7001010102165</v>
      </c>
      <c r="Q99" s="78">
        <f t="shared" si="5"/>
        <v>1708.0616035503933</v>
      </c>
      <c r="R99" s="78">
        <f t="shared" si="5"/>
        <v>1766.9726478312261</v>
      </c>
      <c r="S99" s="78">
        <f t="shared" si="5"/>
        <v>1827.9200917203798</v>
      </c>
      <c r="U99" s="142">
        <f t="shared" si="6"/>
        <v>7.5593640355564748E-2</v>
      </c>
      <c r="V99" s="143">
        <f>Inputs_Other!M126</f>
        <v>0.15</v>
      </c>
    </row>
    <row r="100" spans="2:22" s="6" customFormat="1" ht="11.25" customHeight="1" x14ac:dyDescent="0.2">
      <c r="D100" s="88" t="str">
        <f>Inputs_Other!D127</f>
        <v>LV Distribution</v>
      </c>
      <c r="E100" s="88" t="str">
        <f>Inputs_Other!F127</f>
        <v>HV</v>
      </c>
      <c r="H100" s="95" t="s">
        <v>89</v>
      </c>
      <c r="I100" s="95" t="s">
        <v>76</v>
      </c>
      <c r="J100" s="95" t="s">
        <v>69</v>
      </c>
      <c r="O100" s="78">
        <f t="shared" si="5"/>
        <v>0</v>
      </c>
      <c r="P100" s="78">
        <f t="shared" si="5"/>
        <v>0</v>
      </c>
      <c r="Q100" s="78">
        <f t="shared" si="5"/>
        <v>0</v>
      </c>
      <c r="R100" s="78">
        <f t="shared" si="5"/>
        <v>0</v>
      </c>
      <c r="S100" s="78">
        <f t="shared" si="5"/>
        <v>0</v>
      </c>
      <c r="U100" s="142">
        <f t="shared" si="6"/>
        <v>7.5593640355564748E-2</v>
      </c>
      <c r="V100" s="143">
        <f>Inputs_Other!M127</f>
        <v>0</v>
      </c>
    </row>
    <row r="101" spans="2:22" s="6" customFormat="1" ht="11.25" customHeight="1" x14ac:dyDescent="0.2">
      <c r="D101" s="88" t="str">
        <f>Inputs_Other!D128</f>
        <v>Common Services</v>
      </c>
      <c r="E101" s="88" t="str">
        <f>Inputs_Other!F128</f>
        <v>LV &lt;750MWh</v>
      </c>
      <c r="H101" s="95" t="s">
        <v>89</v>
      </c>
      <c r="I101" s="95" t="s">
        <v>76</v>
      </c>
      <c r="J101" s="95" t="s">
        <v>69</v>
      </c>
      <c r="O101" s="78">
        <f t="shared" si="5"/>
        <v>0</v>
      </c>
      <c r="P101" s="78">
        <f t="shared" si="5"/>
        <v>0</v>
      </c>
      <c r="Q101" s="78">
        <f t="shared" si="5"/>
        <v>0</v>
      </c>
      <c r="R101" s="78">
        <f t="shared" si="5"/>
        <v>0</v>
      </c>
      <c r="S101" s="78">
        <f t="shared" si="5"/>
        <v>0</v>
      </c>
      <c r="U101" s="142">
        <f t="shared" si="6"/>
        <v>0.10000000000000009</v>
      </c>
      <c r="V101" s="143">
        <f>Inputs_Other!M128</f>
        <v>0</v>
      </c>
    </row>
    <row r="102" spans="2:22" s="6" customFormat="1" ht="11.25" customHeight="1" x14ac:dyDescent="0.2">
      <c r="D102" s="88" t="str">
        <f>Inputs_Other!D129</f>
        <v>Common Services</v>
      </c>
      <c r="E102" s="88" t="str">
        <f>Inputs_Other!F129</f>
        <v>LV &gt;750MWh</v>
      </c>
      <c r="H102" s="95" t="s">
        <v>89</v>
      </c>
      <c r="I102" s="95" t="s">
        <v>76</v>
      </c>
      <c r="J102" s="95" t="s">
        <v>69</v>
      </c>
      <c r="O102" s="78">
        <f t="shared" ref="O102:S103" si="7">$U102*O$53*$V102</f>
        <v>0</v>
      </c>
      <c r="P102" s="78">
        <f t="shared" si="7"/>
        <v>0</v>
      </c>
      <c r="Q102" s="78">
        <f t="shared" si="7"/>
        <v>0</v>
      </c>
      <c r="R102" s="78">
        <f t="shared" si="7"/>
        <v>0</v>
      </c>
      <c r="S102" s="78">
        <f t="shared" si="7"/>
        <v>0</v>
      </c>
      <c r="U102" s="142">
        <f t="shared" si="6"/>
        <v>0.10000000000000009</v>
      </c>
      <c r="V102" s="143">
        <f>Inputs_Other!M129</f>
        <v>0</v>
      </c>
    </row>
    <row r="103" spans="2:22" s="6" customFormat="1" ht="11.25" customHeight="1" x14ac:dyDescent="0.2">
      <c r="D103" s="88" t="str">
        <f>Inputs_Other!D130</f>
        <v>Common Services</v>
      </c>
      <c r="E103" s="88" t="str">
        <f>Inputs_Other!F130</f>
        <v>HV</v>
      </c>
      <c r="H103" s="95" t="s">
        <v>89</v>
      </c>
      <c r="I103" s="95" t="s">
        <v>76</v>
      </c>
      <c r="J103" s="95" t="s">
        <v>69</v>
      </c>
      <c r="O103" s="78">
        <f t="shared" si="7"/>
        <v>0</v>
      </c>
      <c r="P103" s="78">
        <f t="shared" si="7"/>
        <v>0</v>
      </c>
      <c r="Q103" s="78">
        <f t="shared" si="7"/>
        <v>0</v>
      </c>
      <c r="R103" s="78">
        <f t="shared" si="7"/>
        <v>0</v>
      </c>
      <c r="S103" s="78">
        <f t="shared" si="7"/>
        <v>0</v>
      </c>
      <c r="U103" s="142">
        <f t="shared" si="6"/>
        <v>0.10000000000000009</v>
      </c>
      <c r="V103" s="143">
        <f>Inputs_Other!M130</f>
        <v>0</v>
      </c>
    </row>
    <row r="104" spans="2:22" s="6" customFormat="1" ht="11.25" customHeight="1" x14ac:dyDescent="0.2"/>
    <row r="105" spans="2:22" s="6" customFormat="1" ht="11.25" customHeight="1" x14ac:dyDescent="0.2"/>
    <row r="106" spans="2:22" s="4" customFormat="1" ht="15.5" x14ac:dyDescent="0.2">
      <c r="B106" s="4" t="s">
        <v>33</v>
      </c>
    </row>
  </sheetData>
  <mergeCells count="2">
    <mergeCell ref="U58:V58"/>
    <mergeCell ref="U83:V83"/>
  </mergeCells>
  <conditionalFormatting sqref="B2">
    <cfRule type="cellIs" dxfId="32" priority="1" operator="notEqual">
      <formula>"No Errors Found"</formula>
    </cfRule>
  </conditionalFormatting>
  <dataValidations disablePrompts="1" count="4">
    <dataValidation type="list" allowBlank="1" showInputMessage="1" showErrorMessage="1" sqref="J86:J103 J61:J78 J27:J28 J23:J25 J39:J40 J35:J37 J53">
      <formula1>LU_Basis</formula1>
    </dataValidation>
    <dataValidation type="list" allowBlank="1" showInputMessage="1" showErrorMessage="1" sqref="I86:I103 I61:I78 I27:I28 I23:I25 I39:I40 I35:I37 I53">
      <formula1>LU_Units</formula1>
    </dataValidation>
    <dataValidation type="list" allowBlank="1" showInputMessage="1" showErrorMessage="1" sqref="D23:D25 D35:D37">
      <formula1>LU_Tariff_Classes</formula1>
    </dataValidation>
    <dataValidation type="list" allowBlank="1" showInputMessage="1" showErrorMessage="1" sqref="K39:K40 K27:K28">
      <formula1>LU_Timing</formula1>
    </dataValidation>
  </dataValidations>
  <hyperlinks>
    <hyperlink ref="B3:E3" location="TOC!A1" display="TOC!A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60"/>
  <sheetViews>
    <sheetView showGridLines="0" zoomScaleNormal="100" workbookViewId="0">
      <pane ySplit="11" topLeftCell="A103" activePane="bottomLeft" state="frozen"/>
      <selection pane="bottomLeft" activeCell="P126" sqref="P126"/>
    </sheetView>
  </sheetViews>
  <sheetFormatPr defaultColWidth="9.33203125" defaultRowHeight="10" outlineLevelRow="1" x14ac:dyDescent="0.2"/>
  <cols>
    <col min="1" max="1" width="3.33203125" style="7" customWidth="1"/>
    <col min="2" max="3" width="2.77734375" style="7" customWidth="1"/>
    <col min="4" max="4" width="26.77734375" style="7" customWidth="1"/>
    <col min="5" max="5" width="17.77734375" style="7" customWidth="1"/>
    <col min="6" max="7" width="3.6640625" style="7" customWidth="1"/>
    <col min="8" max="10" width="12.6640625" style="7" customWidth="1"/>
    <col min="11" max="12" width="3.44140625" style="7" customWidth="1"/>
    <col min="13" max="14" width="11.77734375" style="7" bestFit="1" customWidth="1"/>
    <col min="15" max="19" width="15.6640625" style="7" customWidth="1"/>
    <col min="20" max="20" width="4.33203125" style="7" customWidth="1"/>
    <col min="21" max="16384" width="9.33203125" style="7"/>
  </cols>
  <sheetData>
    <row r="1" spans="1:22" ht="19" x14ac:dyDescent="0.2">
      <c r="A1" s="70">
        <f>IF(SUM($A11:$A160)&gt;0,1,0)</f>
        <v>0</v>
      </c>
      <c r="B1" s="5" t="s">
        <v>172</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234</v>
      </c>
    </row>
    <row r="13" spans="1:22" s="6" customFormat="1" ht="4.5" customHeight="1" x14ac:dyDescent="0.2"/>
    <row r="14" spans="1:22" s="6" customFormat="1" ht="11.25" customHeight="1" x14ac:dyDescent="0.2"/>
    <row r="15" spans="1:22" s="6" customFormat="1" ht="11.25" customHeight="1" x14ac:dyDescent="0.2">
      <c r="D15" s="124" t="s">
        <v>235</v>
      </c>
    </row>
    <row r="16" spans="1:22" s="6" customFormat="1" ht="11.25" customHeight="1" x14ac:dyDescent="0.2">
      <c r="D16" s="124" t="s">
        <v>238</v>
      </c>
    </row>
    <row r="17" spans="2:19" s="6" customFormat="1" ht="11.25" customHeight="1" x14ac:dyDescent="0.2">
      <c r="D17" s="124" t="s">
        <v>237</v>
      </c>
    </row>
    <row r="18" spans="2:19" s="6" customFormat="1" ht="11.25" customHeight="1" x14ac:dyDescent="0.2"/>
    <row r="19" spans="2:19" s="6" customFormat="1" ht="11.25" customHeight="1" x14ac:dyDescent="0.2"/>
    <row r="20" spans="2:19" s="6" customFormat="1" ht="11.25" customHeight="1" x14ac:dyDescent="0.2">
      <c r="D20" s="83" t="s">
        <v>225</v>
      </c>
      <c r="H20" s="65" t="str">
        <f>Lookup!E$19</f>
        <v>Source</v>
      </c>
      <c r="I20" s="65" t="str">
        <f>Lookup!F$19</f>
        <v>Unit</v>
      </c>
      <c r="J20" s="65" t="str">
        <f>Lookup!G$19</f>
        <v>Basis</v>
      </c>
      <c r="L20" s="7"/>
      <c r="M20" s="7"/>
      <c r="N20" s="7"/>
      <c r="O20" s="65" t="str">
        <f>O$10</f>
        <v>FY20</v>
      </c>
      <c r="P20" s="65" t="str">
        <f>P$10</f>
        <v>FY21</v>
      </c>
      <c r="Q20" s="65" t="str">
        <f>Q$10</f>
        <v>FY22</v>
      </c>
      <c r="R20" s="65" t="str">
        <f>R$10</f>
        <v>FY23</v>
      </c>
      <c r="S20" s="65" t="str">
        <f>S$10</f>
        <v>FY24</v>
      </c>
    </row>
    <row r="21" spans="2:19" s="6" customFormat="1" ht="11.25" customHeight="1" x14ac:dyDescent="0.2">
      <c r="D21" s="3"/>
    </row>
    <row r="22" spans="2:19" s="6" customFormat="1" ht="11.25" customHeight="1" x14ac:dyDescent="0.2">
      <c r="D22" s="88" t="s">
        <v>224</v>
      </c>
      <c r="E22" s="97"/>
      <c r="F22" s="97"/>
      <c r="G22" s="97"/>
      <c r="H22" s="98" t="s">
        <v>89</v>
      </c>
      <c r="I22" s="99" t="s">
        <v>74</v>
      </c>
      <c r="J22" s="99" t="s">
        <v>35</v>
      </c>
      <c r="O22" s="264">
        <f>Inputs_Other!O35</f>
        <v>1.0178412132024979</v>
      </c>
      <c r="P22" s="105">
        <f>Inputs_Other!P35</f>
        <v>1.0365744870651206</v>
      </c>
      <c r="Q22" s="105">
        <f>Inputs_Other!Q35</f>
        <v>1.0617101191084846</v>
      </c>
      <c r="R22" s="105">
        <f>Inputs_Other!R35</f>
        <v>1.0874552587232804</v>
      </c>
      <c r="S22" s="105">
        <f>Inputs_Other!S35</f>
        <v>1.1138246857041436</v>
      </c>
    </row>
    <row r="23" spans="2:19" s="6" customFormat="1" ht="11.25" customHeight="1" x14ac:dyDescent="0.2"/>
    <row r="24" spans="2:19" s="6" customFormat="1" ht="11.25" customHeight="1" x14ac:dyDescent="0.2"/>
    <row r="25" spans="2:19" s="4" customFormat="1" ht="15.5" x14ac:dyDescent="0.2">
      <c r="B25" s="4" t="str">
        <f>Inputs_Prices!C17</f>
        <v>System Access Charge</v>
      </c>
    </row>
    <row r="26" spans="2:19" s="6" customFormat="1" ht="11.25" customHeight="1" x14ac:dyDescent="0.2"/>
    <row r="27" spans="2:19" s="13" customFormat="1" ht="14" x14ac:dyDescent="0.2">
      <c r="C27" s="13" t="s">
        <v>236</v>
      </c>
    </row>
    <row r="28" spans="2:19" s="6" customFormat="1" ht="11.25" customHeight="1" x14ac:dyDescent="0.2"/>
    <row r="29" spans="2:19" s="6" customFormat="1" ht="11.25" customHeight="1" x14ac:dyDescent="0.2">
      <c r="D29" s="83" t="s">
        <v>196</v>
      </c>
      <c r="H29" s="65" t="str">
        <f>Lookup!E$19</f>
        <v>Source</v>
      </c>
      <c r="I29" s="65" t="str">
        <f>Lookup!F$19</f>
        <v>Unit</v>
      </c>
      <c r="J29" s="65" t="str">
        <f>Lookup!G$19</f>
        <v>Basis</v>
      </c>
      <c r="L29" s="7"/>
      <c r="M29" s="7"/>
      <c r="N29" s="7"/>
      <c r="O29" s="65" t="str">
        <f>O$10</f>
        <v>FY20</v>
      </c>
      <c r="P29" s="65" t="str">
        <f>P$10</f>
        <v>FY21</v>
      </c>
      <c r="Q29" s="65" t="str">
        <f>Q$10</f>
        <v>FY22</v>
      </c>
      <c r="R29" s="65" t="str">
        <f>R$10</f>
        <v>FY23</v>
      </c>
      <c r="S29" s="65" t="str">
        <f>S$10</f>
        <v>FY24</v>
      </c>
    </row>
    <row r="30" spans="2:19" s="6" customFormat="1" ht="11.25" customHeight="1" x14ac:dyDescent="0.2">
      <c r="D30" s="3"/>
    </row>
    <row r="31" spans="2:19" s="6" customFormat="1" ht="11.25" customHeight="1" x14ac:dyDescent="0.2">
      <c r="D31" s="88" t="str">
        <f t="array" ref="D31:D37">Tariff_Assignment</f>
        <v>LV Residential Accumulation</v>
      </c>
      <c r="E31" s="97"/>
      <c r="F31" s="97"/>
      <c r="G31" s="97"/>
      <c r="H31" s="95" t="s">
        <v>89</v>
      </c>
      <c r="I31" s="99" t="s">
        <v>432</v>
      </c>
      <c r="J31" s="99" t="s">
        <v>69</v>
      </c>
      <c r="O31" s="252">
        <f>Inputs_Other!$M98*O$22</f>
        <v>0</v>
      </c>
      <c r="P31" s="252">
        <f>Inputs_Other!$M98*P$22</f>
        <v>0</v>
      </c>
      <c r="Q31" s="252">
        <f>Inputs_Other!$M98*Q$22</f>
        <v>0</v>
      </c>
      <c r="R31" s="252">
        <f>Inputs_Other!$M98*R$22</f>
        <v>0</v>
      </c>
      <c r="S31" s="252">
        <f>Inputs_Other!$M98*S$22</f>
        <v>0</v>
      </c>
    </row>
    <row r="32" spans="2:19" s="6" customFormat="1" ht="11.25" customHeight="1" x14ac:dyDescent="0.2">
      <c r="D32" s="88" t="str">
        <v>LV Non-Residential Accumulation</v>
      </c>
      <c r="H32" s="95" t="s">
        <v>89</v>
      </c>
      <c r="I32" s="99" t="s">
        <v>432</v>
      </c>
      <c r="J32" s="99" t="s">
        <v>69</v>
      </c>
      <c r="O32" s="252">
        <f>Inputs_Other!$M99*O$22</f>
        <v>0</v>
      </c>
      <c r="P32" s="252">
        <f>Inputs_Other!$M99*P$22</f>
        <v>0</v>
      </c>
      <c r="Q32" s="252">
        <f>Inputs_Other!$M99*Q$22</f>
        <v>0</v>
      </c>
      <c r="R32" s="252">
        <f>Inputs_Other!$M99*R$22</f>
        <v>0</v>
      </c>
      <c r="S32" s="252">
        <f>Inputs_Other!$M99*S$22</f>
        <v>0</v>
      </c>
    </row>
    <row r="33" spans="3:19" s="6" customFormat="1" ht="11.25" customHeight="1" x14ac:dyDescent="0.2">
      <c r="D33" s="88" t="str">
        <v>LV Unmetered</v>
      </c>
      <c r="H33" s="95" t="s">
        <v>89</v>
      </c>
      <c r="I33" s="99" t="s">
        <v>432</v>
      </c>
      <c r="J33" s="99" t="s">
        <v>69</v>
      </c>
      <c r="O33" s="252">
        <f>Inputs_Other!$M100*O$22</f>
        <v>0</v>
      </c>
      <c r="P33" s="252">
        <f>Inputs_Other!$M100*P$22</f>
        <v>0</v>
      </c>
      <c r="Q33" s="252">
        <f>Inputs_Other!$M100*Q$22</f>
        <v>0</v>
      </c>
      <c r="R33" s="252">
        <f>Inputs_Other!$M100*R$22</f>
        <v>0</v>
      </c>
      <c r="S33" s="252">
        <f>Inputs_Other!$M100*S$22</f>
        <v>0</v>
      </c>
    </row>
    <row r="34" spans="3:19" s="6" customFormat="1" ht="11.25" customHeight="1" x14ac:dyDescent="0.2">
      <c r="D34" s="88" t="str">
        <v>LV Smart meter</v>
      </c>
      <c r="H34" s="95" t="s">
        <v>89</v>
      </c>
      <c r="I34" s="99" t="s">
        <v>432</v>
      </c>
      <c r="J34" s="99" t="s">
        <v>69</v>
      </c>
      <c r="O34" s="252">
        <f>Inputs_Other!$M101*O$22</f>
        <v>0</v>
      </c>
      <c r="P34" s="252">
        <f>Inputs_Other!$M101*P$22</f>
        <v>0</v>
      </c>
      <c r="Q34" s="252">
        <f>Inputs_Other!$M101*Q$22</f>
        <v>0</v>
      </c>
      <c r="R34" s="252">
        <f>Inputs_Other!$M101*R$22</f>
        <v>0</v>
      </c>
      <c r="S34" s="252">
        <f>Inputs_Other!$M101*S$22</f>
        <v>0</v>
      </c>
    </row>
    <row r="35" spans="3:19" s="6" customFormat="1" ht="11.25" customHeight="1" x14ac:dyDescent="0.2">
      <c r="D35" s="88" t="str">
        <v>HV Smart meter &lt;750MWh</v>
      </c>
      <c r="H35" s="95" t="s">
        <v>89</v>
      </c>
      <c r="I35" s="99" t="s">
        <v>432</v>
      </c>
      <c r="J35" s="99" t="s">
        <v>69</v>
      </c>
      <c r="O35" s="252">
        <f>Inputs_Other!$M102*O$22</f>
        <v>0</v>
      </c>
      <c r="P35" s="252">
        <f>Inputs_Other!$M102*P$22</f>
        <v>0</v>
      </c>
      <c r="Q35" s="252">
        <f>Inputs_Other!$M102*Q$22</f>
        <v>0</v>
      </c>
      <c r="R35" s="252">
        <f>Inputs_Other!$M102*R$22</f>
        <v>0</v>
      </c>
      <c r="S35" s="252">
        <f>Inputs_Other!$M102*S$22</f>
        <v>0</v>
      </c>
    </row>
    <row r="36" spans="3:19" s="6" customFormat="1" ht="11.25" customHeight="1" x14ac:dyDescent="0.2">
      <c r="D36" s="88" t="str">
        <v>LV &gt;750MWh</v>
      </c>
      <c r="H36" s="95" t="s">
        <v>89</v>
      </c>
      <c r="I36" s="99" t="s">
        <v>432</v>
      </c>
      <c r="J36" s="99" t="s">
        <v>69</v>
      </c>
      <c r="O36" s="252">
        <f>Inputs_Other!$M103*O$22</f>
        <v>0</v>
      </c>
      <c r="P36" s="252">
        <f>Inputs_Other!$M103*P$22</f>
        <v>0</v>
      </c>
      <c r="Q36" s="252">
        <f>Inputs_Other!$M103*Q$22</f>
        <v>0</v>
      </c>
      <c r="R36" s="252">
        <f>Inputs_Other!$M103*R$22</f>
        <v>0</v>
      </c>
      <c r="S36" s="252">
        <f>Inputs_Other!$M103*S$22</f>
        <v>0</v>
      </c>
    </row>
    <row r="37" spans="3:19" s="6" customFormat="1" ht="11.25" customHeight="1" x14ac:dyDescent="0.2">
      <c r="D37" s="88" t="str">
        <v>HV &gt;750MWh</v>
      </c>
      <c r="H37" s="95" t="s">
        <v>89</v>
      </c>
      <c r="I37" s="99" t="s">
        <v>432</v>
      </c>
      <c r="J37" s="99" t="s">
        <v>69</v>
      </c>
      <c r="O37" s="252">
        <f>Inputs_Other!$M104*O$22</f>
        <v>0</v>
      </c>
      <c r="P37" s="252">
        <f>Inputs_Other!$M104*P$22</f>
        <v>0</v>
      </c>
      <c r="Q37" s="252">
        <f>Inputs_Other!$M104*Q$22</f>
        <v>0</v>
      </c>
      <c r="R37" s="252">
        <f>Inputs_Other!$M104*R$22</f>
        <v>0</v>
      </c>
      <c r="S37" s="252">
        <f>Inputs_Other!$M104*S$22</f>
        <v>0</v>
      </c>
    </row>
    <row r="38" spans="3:19" s="6" customFormat="1" ht="11.25" customHeight="1" x14ac:dyDescent="0.2"/>
    <row r="39" spans="3:19" s="6" customFormat="1" ht="11.25" customHeight="1" x14ac:dyDescent="0.2"/>
    <row r="40" spans="3:19" s="13" customFormat="1" ht="14" x14ac:dyDescent="0.2">
      <c r="C40" s="13" t="s">
        <v>239</v>
      </c>
    </row>
    <row r="41" spans="3:19" s="6" customFormat="1" ht="11.25" customHeight="1" x14ac:dyDescent="0.2"/>
    <row r="42" spans="3:19" s="6" customFormat="1" ht="11.25" customHeight="1" x14ac:dyDescent="0.2">
      <c r="D42" s="83" t="s">
        <v>196</v>
      </c>
      <c r="H42" s="65" t="str">
        <f>Lookup!E$19</f>
        <v>Source</v>
      </c>
      <c r="I42" s="65" t="str">
        <f>Lookup!F$19</f>
        <v>Unit</v>
      </c>
      <c r="J42" s="65" t="str">
        <f>Lookup!G$19</f>
        <v>Basis</v>
      </c>
      <c r="L42" s="7"/>
      <c r="M42" s="7"/>
      <c r="N42" s="7"/>
      <c r="O42" s="65" t="str">
        <f>O$10</f>
        <v>FY20</v>
      </c>
      <c r="P42" s="65" t="str">
        <f>P$10</f>
        <v>FY21</v>
      </c>
      <c r="Q42" s="65" t="str">
        <f>Q$10</f>
        <v>FY22</v>
      </c>
      <c r="R42" s="65" t="str">
        <f>R$10</f>
        <v>FY23</v>
      </c>
      <c r="S42" s="65" t="str">
        <f>S$10</f>
        <v>FY24</v>
      </c>
    </row>
    <row r="43" spans="3:19" s="6" customFormat="1" ht="11.25" customHeight="1" x14ac:dyDescent="0.2">
      <c r="D43" s="3"/>
    </row>
    <row r="44" spans="3:19" s="6" customFormat="1" ht="11.25" customHeight="1" x14ac:dyDescent="0.2">
      <c r="D44" s="88" t="str">
        <f t="array" ref="D44:D50">Tariff_Assignment</f>
        <v>LV Residential Accumulation</v>
      </c>
      <c r="E44" s="97"/>
      <c r="F44" s="97"/>
      <c r="G44" s="97"/>
      <c r="H44" s="95" t="s">
        <v>89</v>
      </c>
      <c r="I44" s="99" t="s">
        <v>126</v>
      </c>
      <c r="J44" s="99" t="s">
        <v>69</v>
      </c>
      <c r="O44" s="91">
        <f>SUMIFS(Inputs_Volumes!O$21:O$27,Inputs_Volumes!$D$21:$D$27,$D44)</f>
        <v>23296264.780204296</v>
      </c>
      <c r="P44" s="91">
        <f>SUMIFS(Inputs_Volumes!P$21:P$27,Inputs_Volumes!$D$21:$D$27,$D44)</f>
        <v>22240722</v>
      </c>
      <c r="Q44" s="91">
        <f>SUMIFS(Inputs_Volumes!Q$21:Q$27,Inputs_Volumes!$D$21:$D$27,$D44)</f>
        <v>21234954</v>
      </c>
      <c r="R44" s="91">
        <f>SUMIFS(Inputs_Volumes!R$21:R$27,Inputs_Volumes!$D$21:$D$27,$D44)</f>
        <v>20131098</v>
      </c>
      <c r="S44" s="91">
        <f>SUMIFS(Inputs_Volumes!S$21:S$27,Inputs_Volumes!$D$21:$D$27,$D44)</f>
        <v>19126714.783561643</v>
      </c>
    </row>
    <row r="45" spans="3:19" s="6" customFormat="1" ht="11.25" customHeight="1" x14ac:dyDescent="0.2">
      <c r="D45" s="88" t="str">
        <v>LV Non-Residential Accumulation</v>
      </c>
      <c r="H45" s="95" t="s">
        <v>89</v>
      </c>
      <c r="I45" s="99" t="s">
        <v>126</v>
      </c>
      <c r="J45" s="99" t="s">
        <v>69</v>
      </c>
      <c r="O45" s="91">
        <f>SUMIFS(Inputs_Volumes!O$21:O$27,Inputs_Volumes!$D$21:$D$27,$D45)</f>
        <v>2950215.5897957049</v>
      </c>
      <c r="P45" s="91">
        <f>SUMIFS(Inputs_Volumes!P$21:P$27,Inputs_Volumes!$D$21:$D$27,$D45)</f>
        <v>2818932</v>
      </c>
      <c r="Q45" s="91">
        <f>SUMIFS(Inputs_Volumes!Q$21:Q$27,Inputs_Volumes!$D$21:$D$27,$D45)</f>
        <v>2679486</v>
      </c>
      <c r="R45" s="91">
        <f>SUMIFS(Inputs_Volumes!R$21:R$27,Inputs_Volumes!$D$21:$D$27,$D45)</f>
        <v>2545896</v>
      </c>
      <c r="S45" s="91">
        <f>SUMIFS(Inputs_Volumes!S$21:S$27,Inputs_Volumes!$D$21:$D$27,$D45)</f>
        <v>2425521.1068493151</v>
      </c>
    </row>
    <row r="46" spans="3:19" s="6" customFormat="1" ht="11.25" customHeight="1" x14ac:dyDescent="0.2">
      <c r="D46" s="88" t="str">
        <v>LV Unmetered</v>
      </c>
      <c r="H46" s="95" t="s">
        <v>89</v>
      </c>
      <c r="I46" s="99" t="s">
        <v>126</v>
      </c>
      <c r="J46" s="99" t="s">
        <v>69</v>
      </c>
      <c r="O46" s="91">
        <f>SUMIFS(Inputs_Volumes!O$21:O$27,Inputs_Volumes!$D$21:$D$27,$D46)</f>
        <v>0</v>
      </c>
      <c r="P46" s="91">
        <f>SUMIFS(Inputs_Volumes!P$21:P$27,Inputs_Volumes!$D$21:$D$27,$D46)</f>
        <v>0</v>
      </c>
      <c r="Q46" s="91">
        <f>SUMIFS(Inputs_Volumes!Q$21:Q$27,Inputs_Volumes!$D$21:$D$27,$D46)</f>
        <v>0</v>
      </c>
      <c r="R46" s="91">
        <f>SUMIFS(Inputs_Volumes!R$21:R$27,Inputs_Volumes!$D$21:$D$27,$D46)</f>
        <v>0</v>
      </c>
      <c r="S46" s="91">
        <f>SUMIFS(Inputs_Volumes!S$21:S$27,Inputs_Volumes!$D$21:$D$27,$D46)</f>
        <v>0</v>
      </c>
    </row>
    <row r="47" spans="3:19" s="6" customFormat="1" ht="11.25" customHeight="1" x14ac:dyDescent="0.2">
      <c r="D47" s="88" t="str">
        <v>LV Smart meter</v>
      </c>
      <c r="H47" s="95" t="s">
        <v>89</v>
      </c>
      <c r="I47" s="99" t="s">
        <v>126</v>
      </c>
      <c r="J47" s="99" t="s">
        <v>69</v>
      </c>
      <c r="O47" s="91">
        <f>SUMIFS(Inputs_Volumes!O$21:O$27,Inputs_Volumes!$D$21:$D$27,$D47)</f>
        <v>5412153.6299999999</v>
      </c>
      <c r="P47" s="91">
        <f>SUMIFS(Inputs_Volumes!P$21:P$27,Inputs_Volumes!$D$21:$D$27,$D47)</f>
        <v>6881532</v>
      </c>
      <c r="Q47" s="91">
        <f>SUMIFS(Inputs_Volumes!Q$21:Q$27,Inputs_Volumes!$D$21:$D$27,$D47)</f>
        <v>8417634</v>
      </c>
      <c r="R47" s="91">
        <f>SUMIFS(Inputs_Volumes!R$21:R$27,Inputs_Volumes!$D$21:$D$27,$D47)</f>
        <v>9902862</v>
      </c>
      <c r="S47" s="91">
        <f>SUMIFS(Inputs_Volumes!S$21:S$27,Inputs_Volumes!$D$21:$D$27,$D47)</f>
        <v>11367542.860273972</v>
      </c>
    </row>
    <row r="48" spans="3:19" s="6" customFormat="1" ht="11.25" customHeight="1" x14ac:dyDescent="0.2">
      <c r="D48" s="88" t="str">
        <v>HV Smart meter &lt;750MWh</v>
      </c>
      <c r="H48" s="95" t="s">
        <v>89</v>
      </c>
      <c r="I48" s="99" t="s">
        <v>126</v>
      </c>
      <c r="J48" s="99" t="s">
        <v>69</v>
      </c>
      <c r="O48" s="91">
        <f>SUMIFS(Inputs_Volumes!O$21:O$27,Inputs_Volumes!$D$21:$D$27,$D48)</f>
        <v>10614</v>
      </c>
      <c r="P48" s="91">
        <f>SUMIFS(Inputs_Volumes!P$21:P$27,Inputs_Volumes!$D$21:$D$27,$D48)</f>
        <v>10578.904109589041</v>
      </c>
      <c r="Q48" s="91">
        <f>SUMIFS(Inputs_Volumes!Q$21:Q$27,Inputs_Volumes!$D$21:$D$27,$D48)</f>
        <v>10578.904109589041</v>
      </c>
      <c r="R48" s="91">
        <f>SUMIFS(Inputs_Volumes!R$21:R$27,Inputs_Volumes!$D$21:$D$27,$D48)</f>
        <v>10578.904109589041</v>
      </c>
      <c r="S48" s="91">
        <f>SUMIFS(Inputs_Volumes!S$21:S$27,Inputs_Volumes!$D$21:$D$27,$D48)</f>
        <v>10614</v>
      </c>
    </row>
    <row r="49" spans="3:19" s="6" customFormat="1" ht="11.25" customHeight="1" x14ac:dyDescent="0.2">
      <c r="D49" s="88" t="str">
        <v>LV &gt;750MWh</v>
      </c>
      <c r="H49" s="95" t="s">
        <v>89</v>
      </c>
      <c r="I49" s="99" t="s">
        <v>126</v>
      </c>
      <c r="J49" s="99" t="s">
        <v>69</v>
      </c>
      <c r="O49" s="91">
        <f>SUMIFS(Inputs_Volumes!O$21:O$27,Inputs_Volumes!$D$21:$D$27,$D49)</f>
        <v>61854</v>
      </c>
      <c r="P49" s="91">
        <f>SUMIFS(Inputs_Volumes!P$21:P$27,Inputs_Volumes!$D$21:$D$27,$D49)</f>
        <v>62795.572602739725</v>
      </c>
      <c r="Q49" s="91">
        <f>SUMIFS(Inputs_Volumes!Q$21:Q$27,Inputs_Volumes!$D$21:$D$27,$D49)</f>
        <v>64625.572602739725</v>
      </c>
      <c r="R49" s="91">
        <f>SUMIFS(Inputs_Volumes!R$21:R$27,Inputs_Volumes!$D$21:$D$27,$D49)</f>
        <v>65357.572602739725</v>
      </c>
      <c r="S49" s="91">
        <f>SUMIFS(Inputs_Volumes!S$21:S$27,Inputs_Volumes!$D$21:$D$27,$D49)</f>
        <v>66625.035616438356</v>
      </c>
    </row>
    <row r="50" spans="3:19" s="6" customFormat="1" ht="11.25" customHeight="1" x14ac:dyDescent="0.2">
      <c r="D50" s="88" t="str">
        <v>HV &gt;750MWh</v>
      </c>
      <c r="H50" s="95" t="s">
        <v>89</v>
      </c>
      <c r="I50" s="99" t="s">
        <v>126</v>
      </c>
      <c r="J50" s="99" t="s">
        <v>69</v>
      </c>
      <c r="O50" s="91">
        <f>SUMIFS(Inputs_Volumes!O$21:O$27,Inputs_Volumes!$D$21:$D$27,$D50)</f>
        <v>13542</v>
      </c>
      <c r="P50" s="91">
        <f>SUMIFS(Inputs_Volumes!P$21:P$27,Inputs_Volumes!$D$21:$D$27,$D50)</f>
        <v>13867.890410958906</v>
      </c>
      <c r="Q50" s="91">
        <f>SUMIFS(Inputs_Volumes!Q$21:Q$27,Inputs_Volumes!$D$21:$D$27,$D50)</f>
        <v>14233.890410958906</v>
      </c>
      <c r="R50" s="91">
        <f>SUMIFS(Inputs_Volumes!R$21:R$27,Inputs_Volumes!$D$21:$D$27,$D50)</f>
        <v>14599.890410958906</v>
      </c>
      <c r="S50" s="91">
        <f>SUMIFS(Inputs_Volumes!S$21:S$27,Inputs_Volumes!$D$21:$D$27,$D50)</f>
        <v>15010.010958904111</v>
      </c>
    </row>
    <row r="51" spans="3:19" s="6" customFormat="1" ht="11.25" customHeight="1" x14ac:dyDescent="0.2"/>
    <row r="52" spans="3:19" s="6" customFormat="1" ht="11.25" customHeight="1" x14ac:dyDescent="0.2"/>
    <row r="53" spans="3:19" s="13" customFormat="1" ht="14" x14ac:dyDescent="0.2">
      <c r="C53" s="132" t="s">
        <v>240</v>
      </c>
    </row>
    <row r="54" spans="3:19" s="6" customFormat="1" ht="11.25" customHeight="1" x14ac:dyDescent="0.2"/>
    <row r="55" spans="3:19" s="6" customFormat="1" ht="11.25" customHeight="1" x14ac:dyDescent="0.2">
      <c r="D55" s="83" t="s">
        <v>99</v>
      </c>
      <c r="H55" s="65" t="str">
        <f>Lookup!E$19</f>
        <v>Source</v>
      </c>
      <c r="I55" s="65" t="str">
        <f>Lookup!F$19</f>
        <v>Unit</v>
      </c>
      <c r="J55" s="65" t="str">
        <f>Lookup!G$19</f>
        <v>Basis</v>
      </c>
      <c r="L55" s="7"/>
      <c r="M55" s="7"/>
      <c r="N55" s="7"/>
      <c r="O55" s="65" t="str">
        <f>O$10</f>
        <v>FY20</v>
      </c>
      <c r="P55" s="65" t="str">
        <f>P$10</f>
        <v>FY21</v>
      </c>
      <c r="Q55" s="65" t="str">
        <f>Q$10</f>
        <v>FY22</v>
      </c>
      <c r="R55" s="65" t="str">
        <f>R$10</f>
        <v>FY23</v>
      </c>
      <c r="S55" s="65" t="str">
        <f>S$10</f>
        <v>FY24</v>
      </c>
    </row>
    <row r="56" spans="3:19" s="6" customFormat="1" ht="11.25" customHeight="1" x14ac:dyDescent="0.2">
      <c r="D56" s="3"/>
    </row>
    <row r="57" spans="3:19" s="6" customFormat="1" ht="11.25" customHeight="1" x14ac:dyDescent="0.2">
      <c r="D57" s="88" t="str">
        <f t="array" ref="D57:D63">Tariff_Assignment</f>
        <v>LV Residential Accumulation</v>
      </c>
      <c r="E57" s="97"/>
      <c r="F57" s="97"/>
      <c r="G57" s="97"/>
      <c r="H57" s="95" t="s">
        <v>89</v>
      </c>
      <c r="I57" s="99" t="s">
        <v>76</v>
      </c>
      <c r="J57" s="99" t="s">
        <v>69</v>
      </c>
      <c r="O57" s="78">
        <f t="shared" ref="O57:S63" si="0">O31*O44*Cents_to_Dollars</f>
        <v>0</v>
      </c>
      <c r="P57" s="78">
        <f t="shared" si="0"/>
        <v>0</v>
      </c>
      <c r="Q57" s="78">
        <f t="shared" si="0"/>
        <v>0</v>
      </c>
      <c r="R57" s="78">
        <f t="shared" si="0"/>
        <v>0</v>
      </c>
      <c r="S57" s="78">
        <f t="shared" si="0"/>
        <v>0</v>
      </c>
    </row>
    <row r="58" spans="3:19" s="6" customFormat="1" ht="11.25" customHeight="1" x14ac:dyDescent="0.2">
      <c r="D58" s="88" t="str">
        <v>LV Non-Residential Accumulation</v>
      </c>
      <c r="H58" s="95" t="s">
        <v>89</v>
      </c>
      <c r="I58" s="99" t="s">
        <v>76</v>
      </c>
      <c r="J58" s="99" t="s">
        <v>69</v>
      </c>
      <c r="O58" s="78">
        <f t="shared" si="0"/>
        <v>0</v>
      </c>
      <c r="P58" s="78">
        <f t="shared" si="0"/>
        <v>0</v>
      </c>
      <c r="Q58" s="78">
        <f t="shared" si="0"/>
        <v>0</v>
      </c>
      <c r="R58" s="78">
        <f t="shared" si="0"/>
        <v>0</v>
      </c>
      <c r="S58" s="78">
        <f t="shared" si="0"/>
        <v>0</v>
      </c>
    </row>
    <row r="59" spans="3:19" s="6" customFormat="1" ht="11.25" customHeight="1" x14ac:dyDescent="0.2">
      <c r="D59" s="88" t="str">
        <v>LV Unmetered</v>
      </c>
      <c r="H59" s="95" t="s">
        <v>89</v>
      </c>
      <c r="I59" s="99" t="s">
        <v>76</v>
      </c>
      <c r="J59" s="99" t="s">
        <v>69</v>
      </c>
      <c r="O59" s="78">
        <f t="shared" si="0"/>
        <v>0</v>
      </c>
      <c r="P59" s="78">
        <f t="shared" si="0"/>
        <v>0</v>
      </c>
      <c r="Q59" s="78">
        <f t="shared" si="0"/>
        <v>0</v>
      </c>
      <c r="R59" s="78">
        <f t="shared" si="0"/>
        <v>0</v>
      </c>
      <c r="S59" s="78">
        <f t="shared" si="0"/>
        <v>0</v>
      </c>
    </row>
    <row r="60" spans="3:19" s="6" customFormat="1" ht="11.25" customHeight="1" x14ac:dyDescent="0.2">
      <c r="D60" s="88" t="str">
        <v>LV Smart meter</v>
      </c>
      <c r="H60" s="95" t="s">
        <v>89</v>
      </c>
      <c r="I60" s="99" t="s">
        <v>76</v>
      </c>
      <c r="J60" s="99" t="s">
        <v>69</v>
      </c>
      <c r="O60" s="78">
        <f t="shared" si="0"/>
        <v>0</v>
      </c>
      <c r="P60" s="78">
        <f t="shared" si="0"/>
        <v>0</v>
      </c>
      <c r="Q60" s="78">
        <f t="shared" si="0"/>
        <v>0</v>
      </c>
      <c r="R60" s="78">
        <f t="shared" si="0"/>
        <v>0</v>
      </c>
      <c r="S60" s="78">
        <f t="shared" si="0"/>
        <v>0</v>
      </c>
    </row>
    <row r="61" spans="3:19" s="6" customFormat="1" ht="11.25" customHeight="1" x14ac:dyDescent="0.2">
      <c r="D61" s="88" t="str">
        <v>HV Smart meter &lt;750MWh</v>
      </c>
      <c r="H61" s="95" t="s">
        <v>89</v>
      </c>
      <c r="I61" s="99" t="s">
        <v>76</v>
      </c>
      <c r="J61" s="99" t="s">
        <v>69</v>
      </c>
      <c r="O61" s="78">
        <f t="shared" si="0"/>
        <v>0</v>
      </c>
      <c r="P61" s="78">
        <f t="shared" si="0"/>
        <v>0</v>
      </c>
      <c r="Q61" s="78">
        <f t="shared" si="0"/>
        <v>0</v>
      </c>
      <c r="R61" s="78">
        <f t="shared" si="0"/>
        <v>0</v>
      </c>
      <c r="S61" s="78">
        <f t="shared" si="0"/>
        <v>0</v>
      </c>
    </row>
    <row r="62" spans="3:19" s="6" customFormat="1" ht="11.25" customHeight="1" x14ac:dyDescent="0.2">
      <c r="D62" s="88" t="str">
        <v>LV &gt;750MWh</v>
      </c>
      <c r="H62" s="95" t="s">
        <v>89</v>
      </c>
      <c r="I62" s="99" t="s">
        <v>76</v>
      </c>
      <c r="J62" s="99" t="s">
        <v>69</v>
      </c>
      <c r="O62" s="78">
        <f t="shared" si="0"/>
        <v>0</v>
      </c>
      <c r="P62" s="78">
        <f t="shared" si="0"/>
        <v>0</v>
      </c>
      <c r="Q62" s="78">
        <f t="shared" si="0"/>
        <v>0</v>
      </c>
      <c r="R62" s="78">
        <f t="shared" si="0"/>
        <v>0</v>
      </c>
      <c r="S62" s="78">
        <f t="shared" si="0"/>
        <v>0</v>
      </c>
    </row>
    <row r="63" spans="3:19" s="6" customFormat="1" ht="11.25" customHeight="1" x14ac:dyDescent="0.2">
      <c r="D63" s="88" t="str">
        <v>HV &gt;750MWh</v>
      </c>
      <c r="H63" s="95" t="s">
        <v>89</v>
      </c>
      <c r="I63" s="99" t="s">
        <v>76</v>
      </c>
      <c r="J63" s="99" t="s">
        <v>69</v>
      </c>
      <c r="O63" s="78">
        <f t="shared" si="0"/>
        <v>0</v>
      </c>
      <c r="P63" s="78">
        <f t="shared" si="0"/>
        <v>0</v>
      </c>
      <c r="Q63" s="78">
        <f t="shared" si="0"/>
        <v>0</v>
      </c>
      <c r="R63" s="78">
        <f t="shared" si="0"/>
        <v>0</v>
      </c>
      <c r="S63" s="78">
        <f t="shared" si="0"/>
        <v>0</v>
      </c>
    </row>
    <row r="64" spans="3:19" s="6" customFormat="1" ht="11.25" customHeight="1" x14ac:dyDescent="0.2"/>
    <row r="65" spans="1:19" s="6" customFormat="1" ht="11.25" customHeight="1" x14ac:dyDescent="0.2">
      <c r="D65" s="73" t="s">
        <v>88</v>
      </c>
      <c r="H65" s="67" t="s">
        <v>89</v>
      </c>
      <c r="I65" s="67" t="str">
        <f>Thousands</f>
        <v>$000's</v>
      </c>
      <c r="J65" s="67" t="str">
        <f>Nominal</f>
        <v>Nominal</v>
      </c>
      <c r="O65" s="80">
        <f>SUM(O57:O63)</f>
        <v>0</v>
      </c>
      <c r="P65" s="80">
        <f>SUM(P57:P63)</f>
        <v>0</v>
      </c>
      <c r="Q65" s="80">
        <f>SUM(Q57:Q63)</f>
        <v>0</v>
      </c>
      <c r="R65" s="80">
        <f>SUM(R57:R63)</f>
        <v>0</v>
      </c>
      <c r="S65" s="80">
        <f>SUM(S57:S63)</f>
        <v>0</v>
      </c>
    </row>
    <row r="66" spans="1:19" s="6" customFormat="1" ht="11.25" customHeight="1" x14ac:dyDescent="0.2"/>
    <row r="67" spans="1:19" s="6" customFormat="1" ht="11.25" hidden="1" customHeight="1" outlineLevel="1" x14ac:dyDescent="0.2">
      <c r="D67" s="96" t="s">
        <v>138</v>
      </c>
      <c r="E67" s="97"/>
      <c r="G67" s="97"/>
      <c r="H67" s="95" t="s">
        <v>89</v>
      </c>
      <c r="I67" s="99" t="s">
        <v>76</v>
      </c>
      <c r="J67" s="99" t="s">
        <v>69</v>
      </c>
      <c r="K67" s="74"/>
      <c r="O67" s="78">
        <f>SUMPRODUCT(O31:O37,O44:O50)*Cents_to_Dollars</f>
        <v>0</v>
      </c>
      <c r="P67" s="78">
        <f>SUMPRODUCT(P31:P37,P44:P50)*Cents_to_Dollars</f>
        <v>0</v>
      </c>
      <c r="Q67" s="78">
        <f>SUMPRODUCT(Q31:Q37,Q44:Q50)*Cents_to_Dollars</f>
        <v>0</v>
      </c>
      <c r="R67" s="78">
        <f>SUMPRODUCT(R31:R37,R44:R50)*Cents_to_Dollars</f>
        <v>0</v>
      </c>
      <c r="S67" s="78">
        <f>SUMPRODUCT(S31:S37,S44:S50)*Cents_to_Dollars</f>
        <v>0</v>
      </c>
    </row>
    <row r="68" spans="1:19" s="6" customFormat="1" ht="11.25" hidden="1" customHeight="1" outlineLevel="1" x14ac:dyDescent="0.2">
      <c r="A68" s="70">
        <f>IF(SUM($M68:$S68)=0,0,1)</f>
        <v>0</v>
      </c>
      <c r="D68" s="96" t="s">
        <v>92</v>
      </c>
      <c r="E68" s="97"/>
      <c r="F68" s="95"/>
      <c r="G68" s="97"/>
      <c r="H68" s="95"/>
      <c r="I68" s="99"/>
      <c r="J68" s="99"/>
      <c r="K68" s="74"/>
      <c r="O68" s="70">
        <f>IF(ROUND(O67-O65,2)=0,0,1)</f>
        <v>0</v>
      </c>
      <c r="P68" s="70">
        <f>IF(ROUND(P67-P65,2)=0,0,1)</f>
        <v>0</v>
      </c>
      <c r="Q68" s="70">
        <f>IF(ROUND(Q67-Q65,2)=0,0,1)</f>
        <v>0</v>
      </c>
      <c r="R68" s="70">
        <f>IF(ROUND(R67-R65,2)=0,0,1)</f>
        <v>0</v>
      </c>
      <c r="S68" s="70">
        <f>IF(ROUND(S67-S65,2)=0,0,1)</f>
        <v>0</v>
      </c>
    </row>
    <row r="69" spans="1:19" s="6" customFormat="1" ht="11.25" customHeight="1" collapsed="1" x14ac:dyDescent="0.2"/>
    <row r="70" spans="1:19" s="4" customFormat="1" ht="15.5" x14ac:dyDescent="0.2">
      <c r="B70" s="4" t="str">
        <f>Inputs_Prices!C30</f>
        <v>Consumption</v>
      </c>
    </row>
    <row r="71" spans="1:19" s="6" customFormat="1" ht="11.25" customHeight="1" x14ac:dyDescent="0.2"/>
    <row r="72" spans="1:19" s="13" customFormat="1" ht="14" x14ac:dyDescent="0.2">
      <c r="C72" s="13" t="s">
        <v>236</v>
      </c>
    </row>
    <row r="73" spans="1:19" s="6" customFormat="1" ht="11.25" customHeight="1" x14ac:dyDescent="0.2"/>
    <row r="74" spans="1:19" s="6" customFormat="1" ht="11.25" customHeight="1" x14ac:dyDescent="0.2">
      <c r="D74" s="83" t="s">
        <v>196</v>
      </c>
      <c r="H74" s="65" t="str">
        <f>Lookup!E$19</f>
        <v>Source</v>
      </c>
      <c r="I74" s="65" t="str">
        <f>Lookup!F$19</f>
        <v>Unit</v>
      </c>
      <c r="J74" s="65" t="str">
        <f>Lookup!G$19</f>
        <v>Basis</v>
      </c>
      <c r="L74" s="7"/>
      <c r="M74" s="7"/>
      <c r="N74" s="7"/>
      <c r="O74" s="65" t="str">
        <f>O$10</f>
        <v>FY20</v>
      </c>
      <c r="P74" s="65" t="str">
        <f>P$10</f>
        <v>FY21</v>
      </c>
      <c r="Q74" s="65" t="str">
        <f>Q$10</f>
        <v>FY22</v>
      </c>
      <c r="R74" s="65" t="str">
        <f>R$10</f>
        <v>FY23</v>
      </c>
      <c r="S74" s="65" t="str">
        <f>S$10</f>
        <v>FY24</v>
      </c>
    </row>
    <row r="75" spans="1:19" s="6" customFormat="1" ht="11.25" customHeight="1" x14ac:dyDescent="0.2">
      <c r="D75" s="3"/>
    </row>
    <row r="76" spans="1:19" s="6" customFormat="1" ht="11.25" customHeight="1" x14ac:dyDescent="0.2">
      <c r="D76" s="88" t="str">
        <f t="array" ref="D76:D82">Tariff_Assignment</f>
        <v>LV Residential Accumulation</v>
      </c>
      <c r="E76" s="97"/>
      <c r="F76" s="97"/>
      <c r="G76" s="97"/>
      <c r="H76" s="95" t="s">
        <v>89</v>
      </c>
      <c r="I76" s="99" t="s">
        <v>121</v>
      </c>
      <c r="J76" s="99" t="s">
        <v>69</v>
      </c>
      <c r="O76" s="253">
        <f>Inputs_Other!$N98*O$22</f>
        <v>2.998501143622029</v>
      </c>
      <c r="P76" s="253">
        <f>Inputs_Other!$N98*P$22</f>
        <v>3.0536882812347041</v>
      </c>
      <c r="Q76" s="253">
        <f>Inputs_Other!$N98*Q$22</f>
        <v>3.1277363944866234</v>
      </c>
      <c r="R76" s="253">
        <f>Inputs_Other!$N98*R$22</f>
        <v>3.2035800816711748</v>
      </c>
      <c r="S76" s="253">
        <f>Inputs_Other!$N98*S$22</f>
        <v>3.2812628832056072</v>
      </c>
    </row>
    <row r="77" spans="1:19" s="6" customFormat="1" ht="11.25" customHeight="1" x14ac:dyDescent="0.2">
      <c r="D77" s="88" t="str">
        <v>LV Non-Residential Accumulation</v>
      </c>
      <c r="H77" s="95" t="s">
        <v>89</v>
      </c>
      <c r="I77" s="99" t="s">
        <v>121</v>
      </c>
      <c r="J77" s="99" t="s">
        <v>69</v>
      </c>
      <c r="O77" s="253">
        <f>Inputs_Other!$N99*O$22</f>
        <v>3.0644022676576781</v>
      </c>
      <c r="P77" s="253">
        <f>Inputs_Other!$N99*P$22</f>
        <v>3.1208023093937092</v>
      </c>
      <c r="Q77" s="253">
        <f>Inputs_Other!$N99*Q$22</f>
        <v>3.1964778537061105</v>
      </c>
      <c r="R77" s="253">
        <f>Inputs_Other!$N99*R$22</f>
        <v>3.2739884351144974</v>
      </c>
      <c r="S77" s="253">
        <f>Inputs_Other!$N99*S$22</f>
        <v>3.3533785509683685</v>
      </c>
    </row>
    <row r="78" spans="1:19" s="6" customFormat="1" ht="11.25" customHeight="1" x14ac:dyDescent="0.2">
      <c r="D78" s="88" t="str">
        <v>LV Unmetered</v>
      </c>
      <c r="H78" s="95" t="s">
        <v>89</v>
      </c>
      <c r="I78" s="99" t="s">
        <v>121</v>
      </c>
      <c r="J78" s="99" t="s">
        <v>69</v>
      </c>
      <c r="O78" s="253">
        <f>Inputs_Other!$N100*O$22</f>
        <v>3.0984511817427633</v>
      </c>
      <c r="P78" s="253">
        <f>Inputs_Other!$N100*P$22</f>
        <v>3.1554778906091947</v>
      </c>
      <c r="Q78" s="253">
        <f>Inputs_Other!$N100*Q$22</f>
        <v>3.2319942743028447</v>
      </c>
      <c r="R78" s="253">
        <f>Inputs_Other!$N100*R$22</f>
        <v>3.3103660843935474</v>
      </c>
      <c r="S78" s="253">
        <f>Inputs_Other!$N100*S$22</f>
        <v>3.3906383126457946</v>
      </c>
    </row>
    <row r="79" spans="1:19" s="6" customFormat="1" ht="11.25" customHeight="1" x14ac:dyDescent="0.2">
      <c r="D79" s="88" t="str">
        <v>LV Smart meter</v>
      </c>
      <c r="H79" s="95" t="s">
        <v>89</v>
      </c>
      <c r="I79" s="99" t="s">
        <v>121</v>
      </c>
      <c r="J79" s="99" t="s">
        <v>69</v>
      </c>
      <c r="O79" s="253">
        <f>Inputs_Other!$N101*O$22</f>
        <v>0</v>
      </c>
      <c r="P79" s="253">
        <f>Inputs_Other!$N101*P$22</f>
        <v>0</v>
      </c>
      <c r="Q79" s="253">
        <f>Inputs_Other!$N101*Q$22</f>
        <v>0</v>
      </c>
      <c r="R79" s="253">
        <f>Inputs_Other!$N101*R$22</f>
        <v>0</v>
      </c>
      <c r="S79" s="253">
        <f>Inputs_Other!$N101*S$22</f>
        <v>0</v>
      </c>
    </row>
    <row r="80" spans="1:19" s="6" customFormat="1" ht="11.25" customHeight="1" x14ac:dyDescent="0.2">
      <c r="D80" s="88" t="str">
        <v>HV Smart meter &lt;750MWh</v>
      </c>
      <c r="H80" s="95" t="s">
        <v>89</v>
      </c>
      <c r="I80" s="99" t="s">
        <v>121</v>
      </c>
      <c r="J80" s="99" t="s">
        <v>69</v>
      </c>
      <c r="O80" s="253">
        <f>Inputs_Other!$N102*O$22</f>
        <v>0</v>
      </c>
      <c r="P80" s="253">
        <f>Inputs_Other!$N102*P$22</f>
        <v>0</v>
      </c>
      <c r="Q80" s="253">
        <f>Inputs_Other!$N102*Q$22</f>
        <v>0</v>
      </c>
      <c r="R80" s="253">
        <f>Inputs_Other!$N102*R$22</f>
        <v>0</v>
      </c>
      <c r="S80" s="253">
        <f>Inputs_Other!$N102*S$22</f>
        <v>0</v>
      </c>
    </row>
    <row r="81" spans="3:19" s="6" customFormat="1" ht="11.25" customHeight="1" x14ac:dyDescent="0.2">
      <c r="D81" s="88" t="str">
        <v>LV &gt;750MWh</v>
      </c>
      <c r="H81" s="95" t="s">
        <v>89</v>
      </c>
      <c r="I81" s="99" t="s">
        <v>121</v>
      </c>
      <c r="J81" s="99" t="s">
        <v>69</v>
      </c>
      <c r="O81" s="253">
        <f>Inputs_Other!$N103*O$22</f>
        <v>0</v>
      </c>
      <c r="P81" s="253">
        <f>Inputs_Other!$N103*P$22</f>
        <v>0</v>
      </c>
      <c r="Q81" s="253">
        <f>Inputs_Other!$N103*Q$22</f>
        <v>0</v>
      </c>
      <c r="R81" s="253">
        <f>Inputs_Other!$N103*R$22</f>
        <v>0</v>
      </c>
      <c r="S81" s="253">
        <f>Inputs_Other!$N103*S$22</f>
        <v>0</v>
      </c>
    </row>
    <row r="82" spans="3:19" s="6" customFormat="1" ht="11.25" customHeight="1" x14ac:dyDescent="0.2">
      <c r="D82" s="88" t="str">
        <v>HV &gt;750MWh</v>
      </c>
      <c r="H82" s="95" t="s">
        <v>89</v>
      </c>
      <c r="I82" s="99" t="s">
        <v>121</v>
      </c>
      <c r="J82" s="99" t="s">
        <v>69</v>
      </c>
      <c r="O82" s="253">
        <f>Inputs_Other!$N104*O$22</f>
        <v>0</v>
      </c>
      <c r="P82" s="253">
        <f>Inputs_Other!$N104*P$22</f>
        <v>0</v>
      </c>
      <c r="Q82" s="253">
        <f>Inputs_Other!$N104*Q$22</f>
        <v>0</v>
      </c>
      <c r="R82" s="253">
        <f>Inputs_Other!$N104*R$22</f>
        <v>0</v>
      </c>
      <c r="S82" s="253">
        <f>Inputs_Other!$N104*S$22</f>
        <v>0</v>
      </c>
    </row>
    <row r="83" spans="3:19" s="6" customFormat="1" ht="11.25" customHeight="1" x14ac:dyDescent="0.2"/>
    <row r="84" spans="3:19" s="6" customFormat="1" ht="11.25" customHeight="1" x14ac:dyDescent="0.2"/>
    <row r="85" spans="3:19" s="13" customFormat="1" ht="14" x14ac:dyDescent="0.2">
      <c r="C85" s="13" t="s">
        <v>239</v>
      </c>
    </row>
    <row r="86" spans="3:19" s="6" customFormat="1" ht="11.25" customHeight="1" x14ac:dyDescent="0.2"/>
    <row r="87" spans="3:19" s="6" customFormat="1" ht="11.25" customHeight="1" x14ac:dyDescent="0.2">
      <c r="D87" s="83" t="s">
        <v>196</v>
      </c>
      <c r="H87" s="65" t="str">
        <f>Lookup!E$19</f>
        <v>Source</v>
      </c>
      <c r="I87" s="65" t="str">
        <f>Lookup!F$19</f>
        <v>Unit</v>
      </c>
      <c r="J87" s="65" t="str">
        <f>Lookup!G$19</f>
        <v>Basis</v>
      </c>
      <c r="L87" s="7"/>
      <c r="M87" s="7"/>
      <c r="N87" s="7"/>
      <c r="O87" s="65" t="str">
        <f>O$10</f>
        <v>FY20</v>
      </c>
      <c r="P87" s="65" t="str">
        <f>P$10</f>
        <v>FY21</v>
      </c>
      <c r="Q87" s="65" t="str">
        <f>Q$10</f>
        <v>FY22</v>
      </c>
      <c r="R87" s="65" t="str">
        <f>R$10</f>
        <v>FY23</v>
      </c>
      <c r="S87" s="65" t="str">
        <f>S$10</f>
        <v>FY24</v>
      </c>
    </row>
    <row r="88" spans="3:19" s="6" customFormat="1" ht="11.25" customHeight="1" x14ac:dyDescent="0.2">
      <c r="D88" s="3"/>
    </row>
    <row r="89" spans="3:19" s="6" customFormat="1" ht="11.25" customHeight="1" x14ac:dyDescent="0.2">
      <c r="D89" s="88" t="str">
        <f t="array" ref="D89:D95">Tariff_Assignment</f>
        <v>LV Residential Accumulation</v>
      </c>
      <c r="E89" s="97"/>
      <c r="F89" s="97"/>
      <c r="G89" s="97"/>
      <c r="H89" s="95" t="s">
        <v>89</v>
      </c>
      <c r="I89" s="99" t="s">
        <v>128</v>
      </c>
      <c r="J89" s="99" t="s">
        <v>69</v>
      </c>
      <c r="O89" s="91">
        <f>SUMIFS(Inputs_Volumes!O$34:O$40,Inputs_Volumes!$D$34:$D$40,$D89)</f>
        <v>492552907.46713793</v>
      </c>
      <c r="P89" s="91">
        <f>SUMIFS(Inputs_Volumes!P$34:P$40,Inputs_Volumes!$D$34:$D$40,$D89)</f>
        <v>454471193.78437859</v>
      </c>
      <c r="Q89" s="91">
        <f>SUMIFS(Inputs_Volumes!Q$34:Q$40,Inputs_Volumes!$D$34:$D$40,$D89)</f>
        <v>422605271.96639299</v>
      </c>
      <c r="R89" s="91">
        <f>SUMIFS(Inputs_Volumes!R$34:R$40,Inputs_Volumes!$D$34:$D$40,$D89)</f>
        <v>390908205.06185406</v>
      </c>
      <c r="S89" s="91">
        <f>SUMIFS(Inputs_Volumes!S$34:S$40,Inputs_Volumes!$D$34:$D$40,$D89)</f>
        <v>361601612.01272613</v>
      </c>
    </row>
    <row r="90" spans="3:19" s="6" customFormat="1" ht="11.25" customHeight="1" x14ac:dyDescent="0.2">
      <c r="D90" s="88" t="str">
        <v>LV Non-Residential Accumulation</v>
      </c>
      <c r="H90" s="95" t="s">
        <v>89</v>
      </c>
      <c r="I90" s="99" t="s">
        <v>128</v>
      </c>
      <c r="J90" s="99" t="s">
        <v>69</v>
      </c>
      <c r="O90" s="91">
        <f>SUMIFS(Inputs_Volumes!O$34:O$40,Inputs_Volumes!$D$34:$D$40,$D90)</f>
        <v>65373739.799752839</v>
      </c>
      <c r="P90" s="91">
        <f>SUMIFS(Inputs_Volumes!P$34:P$40,Inputs_Volumes!$D$34:$D$40,$D90)</f>
        <v>60319371.012798727</v>
      </c>
      <c r="Q90" s="91">
        <f>SUMIFS(Inputs_Volumes!Q$34:Q$40,Inputs_Volumes!$D$34:$D$40,$D90)</f>
        <v>56089988.849325769</v>
      </c>
      <c r="R90" s="91">
        <f>SUMIFS(Inputs_Volumes!R$34:R$40,Inputs_Volumes!$D$34:$D$40,$D90)</f>
        <v>51883017.836022109</v>
      </c>
      <c r="S90" s="91">
        <f>SUMIFS(Inputs_Volumes!S$34:S$40,Inputs_Volumes!$D$34:$D$40,$D90)</f>
        <v>47993320.791570581</v>
      </c>
    </row>
    <row r="91" spans="3:19" s="6" customFormat="1" ht="11.25" customHeight="1" x14ac:dyDescent="0.2">
      <c r="D91" s="88" t="str">
        <v>LV Unmetered</v>
      </c>
      <c r="H91" s="95" t="s">
        <v>89</v>
      </c>
      <c r="I91" s="99" t="s">
        <v>128</v>
      </c>
      <c r="J91" s="99" t="s">
        <v>69</v>
      </c>
      <c r="O91" s="91">
        <f>SUMIFS(Inputs_Volumes!O$34:O$40,Inputs_Volumes!$D$34:$D$40,$D91)</f>
        <v>20840620.350000001</v>
      </c>
      <c r="P91" s="91">
        <f>SUMIFS(Inputs_Volumes!P$34:P$40,Inputs_Volumes!$D$34:$D$40,$D91)</f>
        <v>20841074.378337059</v>
      </c>
      <c r="Q91" s="91">
        <f>SUMIFS(Inputs_Volumes!Q$34:Q$40,Inputs_Volumes!$D$34:$D$40,$D91)</f>
        <v>20851058.459466796</v>
      </c>
      <c r="R91" s="91">
        <f>SUMIFS(Inputs_Volumes!R$34:R$40,Inputs_Volumes!$D$34:$D$40,$D91)</f>
        <v>20869034.680003494</v>
      </c>
      <c r="S91" s="91">
        <f>SUMIFS(Inputs_Volumes!S$34:S$40,Inputs_Volumes!$D$34:$D$40,$D91)</f>
        <v>20911835.273932721</v>
      </c>
    </row>
    <row r="92" spans="3:19" s="6" customFormat="1" ht="11.25" customHeight="1" x14ac:dyDescent="0.2">
      <c r="D92" s="88" t="str">
        <v>LV Smart meter</v>
      </c>
      <c r="H92" s="95" t="s">
        <v>89</v>
      </c>
      <c r="I92" s="99" t="s">
        <v>128</v>
      </c>
      <c r="J92" s="99" t="s">
        <v>69</v>
      </c>
      <c r="O92" s="91">
        <f>SUMIFS(Inputs_Volumes!O$34:O$40,Inputs_Volumes!$D$34:$D$40,$D92)</f>
        <v>501412338.55348194</v>
      </c>
      <c r="P92" s="91">
        <f>SUMIFS(Inputs_Volumes!P$34:P$40,Inputs_Volumes!$D$34:$D$40,$D92)</f>
        <v>523218952.19620085</v>
      </c>
      <c r="Q92" s="91">
        <f>SUMIFS(Inputs_Volumes!Q$34:Q$40,Inputs_Volumes!$D$34:$D$40,$D92)</f>
        <v>549281502.13265562</v>
      </c>
      <c r="R92" s="91">
        <f>SUMIFS(Inputs_Volumes!R$34:R$40,Inputs_Volumes!$D$34:$D$40,$D92)</f>
        <v>575636975.14487016</v>
      </c>
      <c r="S92" s="91">
        <f>SUMIFS(Inputs_Volumes!S$34:S$40,Inputs_Volumes!$D$34:$D$40,$D92)</f>
        <v>600578413.11949575</v>
      </c>
    </row>
    <row r="93" spans="3:19" s="6" customFormat="1" ht="11.25" customHeight="1" x14ac:dyDescent="0.2">
      <c r="D93" s="88" t="str">
        <v>HV Smart meter &lt;750MWh</v>
      </c>
      <c r="H93" s="95" t="s">
        <v>89</v>
      </c>
      <c r="I93" s="99" t="s">
        <v>128</v>
      </c>
      <c r="J93" s="99" t="s">
        <v>69</v>
      </c>
      <c r="O93" s="91">
        <f>SUMIFS(Inputs_Volumes!O$34:O$40,Inputs_Volumes!$D$34:$D$40,$D93)</f>
        <v>8432456.1999999993</v>
      </c>
      <c r="P93" s="91">
        <f>SUMIFS(Inputs_Volumes!P$34:P$40,Inputs_Volumes!$D$34:$D$40,$D93)</f>
        <v>8263720.0652003055</v>
      </c>
      <c r="Q93" s="91">
        <f>SUMIFS(Inputs_Volumes!Q$34:Q$40,Inputs_Volumes!$D$34:$D$40,$D93)</f>
        <v>8184871.1668565823</v>
      </c>
      <c r="R93" s="91">
        <f>SUMIFS(Inputs_Volumes!R$34:R$40,Inputs_Volumes!$D$34:$D$40,$D93)</f>
        <v>8109878.5635576947</v>
      </c>
      <c r="S93" s="91">
        <f>SUMIFS(Inputs_Volumes!S$34:S$40,Inputs_Volumes!$D$34:$D$40,$D93)</f>
        <v>8045117.4394581709</v>
      </c>
    </row>
    <row r="94" spans="3:19" s="6" customFormat="1" ht="11.25" customHeight="1" x14ac:dyDescent="0.2">
      <c r="D94" s="88" t="str">
        <v>LV &gt;750MWh</v>
      </c>
      <c r="H94" s="95" t="s">
        <v>89</v>
      </c>
      <c r="I94" s="99" t="s">
        <v>128</v>
      </c>
      <c r="J94" s="99" t="s">
        <v>69</v>
      </c>
      <c r="O94" s="91">
        <f>SUMIFS(Inputs_Volumes!O$34:O$40,Inputs_Volumes!$D$34:$D$40,$D94)</f>
        <v>235338545.95413524</v>
      </c>
      <c r="P94" s="91">
        <f>SUMIFS(Inputs_Volumes!P$34:P$40,Inputs_Volumes!$D$34:$D$40,$D94)</f>
        <v>230629346.68030077</v>
      </c>
      <c r="Q94" s="91">
        <f>SUMIFS(Inputs_Volumes!Q$34:Q$40,Inputs_Volumes!$D$34:$D$40,$D94)</f>
        <v>228428779.65140858</v>
      </c>
      <c r="R94" s="91">
        <f>SUMIFS(Inputs_Volumes!R$34:R$40,Inputs_Volumes!$D$34:$D$40,$D94)</f>
        <v>226335836.64653701</v>
      </c>
      <c r="S94" s="91">
        <f>SUMIFS(Inputs_Volumes!S$34:S$40,Inputs_Volumes!$D$34:$D$40,$D94)</f>
        <v>224528440.50732705</v>
      </c>
    </row>
    <row r="95" spans="3:19" s="6" customFormat="1" ht="11.25" customHeight="1" x14ac:dyDescent="0.2">
      <c r="D95" s="88" t="str">
        <v>HV &gt;750MWh</v>
      </c>
      <c r="H95" s="95" t="s">
        <v>89</v>
      </c>
      <c r="I95" s="99" t="s">
        <v>128</v>
      </c>
      <c r="J95" s="99" t="s">
        <v>69</v>
      </c>
      <c r="O95" s="91">
        <f>SUMIFS(Inputs_Volumes!O$34:O$40,Inputs_Volumes!$D$34:$D$40,$D95)</f>
        <v>315392312</v>
      </c>
      <c r="P95" s="91">
        <f>SUMIFS(Inputs_Volumes!P$34:P$40,Inputs_Volumes!$D$34:$D$40,$D95)</f>
        <v>309081211.36571276</v>
      </c>
      <c r="Q95" s="91">
        <f>SUMIFS(Inputs_Volumes!Q$34:Q$40,Inputs_Volumes!$D$34:$D$40,$D95)</f>
        <v>306132090.04714853</v>
      </c>
      <c r="R95" s="91">
        <f>SUMIFS(Inputs_Volumes!R$34:R$40,Inputs_Volumes!$D$34:$D$40,$D95)</f>
        <v>303327202.60079151</v>
      </c>
      <c r="S95" s="91">
        <f>SUMIFS(Inputs_Volumes!S$34:S$40,Inputs_Volumes!$D$34:$D$40,$D95)</f>
        <v>300904994.86285299</v>
      </c>
    </row>
    <row r="96" spans="3:19" s="6" customFormat="1" ht="11.25" customHeight="1" x14ac:dyDescent="0.2"/>
    <row r="97" spans="3:19" s="6" customFormat="1" ht="11.25" customHeight="1" x14ac:dyDescent="0.2"/>
    <row r="98" spans="3:19" s="13" customFormat="1" ht="14" x14ac:dyDescent="0.2">
      <c r="C98" s="132" t="s">
        <v>240</v>
      </c>
    </row>
    <row r="99" spans="3:19" s="6" customFormat="1" ht="11.25" customHeight="1" x14ac:dyDescent="0.2"/>
    <row r="100" spans="3:19" s="6" customFormat="1" ht="11.25" customHeight="1" x14ac:dyDescent="0.2">
      <c r="D100" s="83" t="s">
        <v>196</v>
      </c>
      <c r="H100" s="65" t="str">
        <f>Lookup!E$19</f>
        <v>Source</v>
      </c>
      <c r="I100" s="65" t="str">
        <f>Lookup!F$19</f>
        <v>Unit</v>
      </c>
      <c r="J100" s="65" t="str">
        <f>Lookup!G$19</f>
        <v>Basis</v>
      </c>
      <c r="L100" s="7"/>
      <c r="M100" s="7"/>
      <c r="N100" s="7"/>
      <c r="O100" s="65" t="str">
        <f>O$10</f>
        <v>FY20</v>
      </c>
      <c r="P100" s="65" t="str">
        <f>P$10</f>
        <v>FY21</v>
      </c>
      <c r="Q100" s="65" t="str">
        <f>Q$10</f>
        <v>FY22</v>
      </c>
      <c r="R100" s="65" t="str">
        <f>R$10</f>
        <v>FY23</v>
      </c>
      <c r="S100" s="65" t="str">
        <f>S$10</f>
        <v>FY24</v>
      </c>
    </row>
    <row r="101" spans="3:19" s="6" customFormat="1" ht="11.25" customHeight="1" x14ac:dyDescent="0.2">
      <c r="D101" s="3"/>
    </row>
    <row r="102" spans="3:19" s="6" customFormat="1" ht="11.25" customHeight="1" x14ac:dyDescent="0.2">
      <c r="D102" s="88" t="str">
        <f t="array" ref="D102:D108">Tariff_Assignment</f>
        <v>LV Residential Accumulation</v>
      </c>
      <c r="E102" s="97"/>
      <c r="F102" s="97"/>
      <c r="G102" s="97"/>
      <c r="H102" s="95" t="s">
        <v>89</v>
      </c>
      <c r="I102" s="99" t="s">
        <v>76</v>
      </c>
      <c r="J102" s="99" t="s">
        <v>69</v>
      </c>
      <c r="O102" s="78">
        <f t="shared" ref="O102:S108" si="1">O76*O89*Cents_to_Dollars*Dollars_to_Thousands</f>
        <v>14769.204563345686</v>
      </c>
      <c r="P102" s="78">
        <f t="shared" si="1"/>
        <v>13878.133586181033</v>
      </c>
      <c r="Q102" s="78">
        <f t="shared" si="1"/>
        <v>13217.978896312048</v>
      </c>
      <c r="R102" s="78">
        <f t="shared" si="1"/>
        <v>12523.057394979869</v>
      </c>
      <c r="S102" s="78">
        <f t="shared" si="1"/>
        <v>11865.099480046731</v>
      </c>
    </row>
    <row r="103" spans="3:19" s="6" customFormat="1" ht="11.25" customHeight="1" x14ac:dyDescent="0.2">
      <c r="D103" s="88" t="str">
        <v>LV Non-Residential Accumulation</v>
      </c>
      <c r="H103" s="95" t="s">
        <v>89</v>
      </c>
      <c r="I103" s="99" t="s">
        <v>76</v>
      </c>
      <c r="J103" s="99" t="s">
        <v>69</v>
      </c>
      <c r="O103" s="78">
        <f t="shared" si="1"/>
        <v>2003.3143648762561</v>
      </c>
      <c r="P103" s="78">
        <f t="shared" si="1"/>
        <v>1882.4483235791824</v>
      </c>
      <c r="Q103" s="78">
        <f t="shared" si="1"/>
        <v>1792.9040717149251</v>
      </c>
      <c r="R103" s="78">
        <f t="shared" si="1"/>
        <v>1698.6440037397558</v>
      </c>
      <c r="S103" s="78">
        <f t="shared" si="1"/>
        <v>1609.3977253219705</v>
      </c>
    </row>
    <row r="104" spans="3:19" s="6" customFormat="1" ht="11.25" customHeight="1" x14ac:dyDescent="0.2">
      <c r="D104" s="88" t="str">
        <v>LV Unmetered</v>
      </c>
      <c r="H104" s="95" t="s">
        <v>89</v>
      </c>
      <c r="I104" s="99" t="s">
        <v>76</v>
      </c>
      <c r="J104" s="99" t="s">
        <v>69</v>
      </c>
      <c r="O104" s="78">
        <f t="shared" si="1"/>
        <v>645.73644751709799</v>
      </c>
      <c r="P104" s="78">
        <f t="shared" si="1"/>
        <v>657.63549417384354</v>
      </c>
      <c r="Q104" s="78">
        <f t="shared" si="1"/>
        <v>673.90501554150592</v>
      </c>
      <c r="R104" s="78">
        <f t="shared" si="1"/>
        <v>690.84144618716311</v>
      </c>
      <c r="S104" s="78">
        <f t="shared" si="1"/>
        <v>709.04469867534067</v>
      </c>
    </row>
    <row r="105" spans="3:19" s="6" customFormat="1" ht="11.25" customHeight="1" x14ac:dyDescent="0.2">
      <c r="D105" s="88" t="str">
        <v>LV Smart meter</v>
      </c>
      <c r="H105" s="95" t="s">
        <v>89</v>
      </c>
      <c r="I105" s="99" t="s">
        <v>76</v>
      </c>
      <c r="J105" s="99" t="s">
        <v>69</v>
      </c>
      <c r="O105" s="78">
        <f t="shared" si="1"/>
        <v>0</v>
      </c>
      <c r="P105" s="78">
        <f t="shared" si="1"/>
        <v>0</v>
      </c>
      <c r="Q105" s="78">
        <f t="shared" si="1"/>
        <v>0</v>
      </c>
      <c r="R105" s="78">
        <f t="shared" si="1"/>
        <v>0</v>
      </c>
      <c r="S105" s="78">
        <f t="shared" si="1"/>
        <v>0</v>
      </c>
    </row>
    <row r="106" spans="3:19" s="6" customFormat="1" ht="11.25" customHeight="1" x14ac:dyDescent="0.2">
      <c r="D106" s="88" t="str">
        <v>HV Smart meter &lt;750MWh</v>
      </c>
      <c r="H106" s="95" t="s">
        <v>89</v>
      </c>
      <c r="I106" s="99" t="s">
        <v>76</v>
      </c>
      <c r="J106" s="99" t="s">
        <v>69</v>
      </c>
      <c r="O106" s="78">
        <f t="shared" si="1"/>
        <v>0</v>
      </c>
      <c r="P106" s="78">
        <f t="shared" si="1"/>
        <v>0</v>
      </c>
      <c r="Q106" s="78">
        <f t="shared" si="1"/>
        <v>0</v>
      </c>
      <c r="R106" s="78">
        <f t="shared" si="1"/>
        <v>0</v>
      </c>
      <c r="S106" s="78">
        <f t="shared" si="1"/>
        <v>0</v>
      </c>
    </row>
    <row r="107" spans="3:19" s="6" customFormat="1" ht="11.25" customHeight="1" x14ac:dyDescent="0.2">
      <c r="D107" s="88" t="str">
        <v>LV &gt;750MWh</v>
      </c>
      <c r="H107" s="95" t="s">
        <v>89</v>
      </c>
      <c r="I107" s="99" t="s">
        <v>76</v>
      </c>
      <c r="J107" s="99" t="s">
        <v>69</v>
      </c>
      <c r="O107" s="78">
        <f t="shared" si="1"/>
        <v>0</v>
      </c>
      <c r="P107" s="78">
        <f t="shared" si="1"/>
        <v>0</v>
      </c>
      <c r="Q107" s="78">
        <f t="shared" si="1"/>
        <v>0</v>
      </c>
      <c r="R107" s="78">
        <f t="shared" si="1"/>
        <v>0</v>
      </c>
      <c r="S107" s="78">
        <f t="shared" si="1"/>
        <v>0</v>
      </c>
    </row>
    <row r="108" spans="3:19" s="6" customFormat="1" ht="11.25" customHeight="1" x14ac:dyDescent="0.2">
      <c r="D108" s="88" t="str">
        <v>HV &gt;750MWh</v>
      </c>
      <c r="H108" s="95" t="s">
        <v>89</v>
      </c>
      <c r="I108" s="99" t="s">
        <v>76</v>
      </c>
      <c r="J108" s="99" t="s">
        <v>69</v>
      </c>
      <c r="O108" s="78">
        <f t="shared" si="1"/>
        <v>0</v>
      </c>
      <c r="P108" s="78">
        <f t="shared" si="1"/>
        <v>0</v>
      </c>
      <c r="Q108" s="78">
        <f t="shared" si="1"/>
        <v>0</v>
      </c>
      <c r="R108" s="78">
        <f t="shared" si="1"/>
        <v>0</v>
      </c>
      <c r="S108" s="78">
        <f t="shared" si="1"/>
        <v>0</v>
      </c>
    </row>
    <row r="109" spans="3:19" s="6" customFormat="1" ht="11.25" customHeight="1" x14ac:dyDescent="0.2"/>
    <row r="110" spans="3:19" s="6" customFormat="1" ht="11.25" customHeight="1" x14ac:dyDescent="0.2">
      <c r="D110" s="73" t="s">
        <v>88</v>
      </c>
      <c r="H110" s="67" t="s">
        <v>89</v>
      </c>
      <c r="I110" s="67" t="str">
        <f>Thousands</f>
        <v>$000's</v>
      </c>
      <c r="J110" s="67" t="str">
        <f>Nominal</f>
        <v>Nominal</v>
      </c>
      <c r="O110" s="80">
        <f>SUM(O102:O108)</f>
        <v>17418.255375739041</v>
      </c>
      <c r="P110" s="80">
        <f>SUM(P102:P108)</f>
        <v>16418.217403934061</v>
      </c>
      <c r="Q110" s="80">
        <f>SUM(Q102:Q108)</f>
        <v>15684.78798356848</v>
      </c>
      <c r="R110" s="80">
        <f>SUM(R102:R108)</f>
        <v>14912.542844906788</v>
      </c>
      <c r="S110" s="80">
        <f>SUM(S102:S108)</f>
        <v>14183.541904044043</v>
      </c>
    </row>
    <row r="111" spans="3:19" s="6" customFormat="1" ht="11.25" customHeight="1" x14ac:dyDescent="0.2"/>
    <row r="112" spans="3:19" s="6" customFormat="1" ht="11.25" hidden="1" customHeight="1" outlineLevel="1" x14ac:dyDescent="0.2">
      <c r="D112" s="96" t="s">
        <v>138</v>
      </c>
      <c r="E112" s="97"/>
      <c r="G112" s="97"/>
      <c r="H112" s="95" t="s">
        <v>89</v>
      </c>
      <c r="I112" s="99" t="s">
        <v>76</v>
      </c>
      <c r="J112" s="99" t="s">
        <v>69</v>
      </c>
      <c r="K112" s="74"/>
      <c r="O112" s="78">
        <f>SUMPRODUCT(O76:O82,O89:O95)*Cents_to_Dollars*Dollars_to_Thousands</f>
        <v>17418.255375739038</v>
      </c>
      <c r="P112" s="78">
        <f>SUMPRODUCT(P76:P82,P89:P95)*Cents_to_Dollars*Dollars_to_Thousands</f>
        <v>16418.217403934061</v>
      </c>
      <c r="Q112" s="78">
        <f>SUMPRODUCT(Q76:Q82,Q89:Q95)*Cents_to_Dollars*Dollars_to_Thousands</f>
        <v>15684.78798356848</v>
      </c>
      <c r="R112" s="78">
        <f>SUMPRODUCT(R76:R82,R89:R95)*Cents_to_Dollars*Dollars_to_Thousands</f>
        <v>14912.542844906788</v>
      </c>
      <c r="S112" s="78">
        <f>SUMPRODUCT(S76:S82,S89:S95)*Cents_to_Dollars*Dollars_to_Thousands</f>
        <v>14183.541904044041</v>
      </c>
    </row>
    <row r="113" spans="1:19" s="6" customFormat="1" ht="11.25" hidden="1" customHeight="1" outlineLevel="1" x14ac:dyDescent="0.2">
      <c r="A113" s="70">
        <f>IF(SUM($M113:$S113)=0,0,1)</f>
        <v>0</v>
      </c>
      <c r="D113" s="96" t="s">
        <v>92</v>
      </c>
      <c r="E113" s="97"/>
      <c r="F113" s="95"/>
      <c r="G113" s="97"/>
      <c r="H113" s="95"/>
      <c r="I113" s="99"/>
      <c r="J113" s="99"/>
      <c r="K113" s="74"/>
      <c r="O113" s="70">
        <f>IF(ROUND(O112-O110,2)=0,0,1)</f>
        <v>0</v>
      </c>
      <c r="P113" s="70">
        <f>IF(ROUND(P112-P110,2)=0,0,1)</f>
        <v>0</v>
      </c>
      <c r="Q113" s="70">
        <f>IF(ROUND(Q112-Q110,2)=0,0,1)</f>
        <v>0</v>
      </c>
      <c r="R113" s="70">
        <f>IF(ROUND(R112-R110,2)=0,0,1)</f>
        <v>0</v>
      </c>
      <c r="S113" s="70">
        <f>IF(ROUND(S112-S110,2)=0,0,1)</f>
        <v>0</v>
      </c>
    </row>
    <row r="114" spans="1:19" s="6" customFormat="1" ht="11.25" customHeight="1" collapsed="1" x14ac:dyDescent="0.2"/>
    <row r="115" spans="1:19" s="4" customFormat="1" ht="15.5" x14ac:dyDescent="0.2">
      <c r="B115" s="4" t="str">
        <f>Inputs_Prices!C43</f>
        <v>Demand</v>
      </c>
    </row>
    <row r="116" spans="1:19" s="6" customFormat="1" ht="11.25" customHeight="1" x14ac:dyDescent="0.2"/>
    <row r="117" spans="1:19" s="13" customFormat="1" ht="14" x14ac:dyDescent="0.2">
      <c r="C117" s="13" t="s">
        <v>236</v>
      </c>
    </row>
    <row r="118" spans="1:19" s="6" customFormat="1" ht="11.25" customHeight="1" x14ac:dyDescent="0.2"/>
    <row r="119" spans="1:19" s="6" customFormat="1" ht="11.25" customHeight="1" x14ac:dyDescent="0.2">
      <c r="D119" s="83" t="s">
        <v>196</v>
      </c>
      <c r="H119" s="65" t="str">
        <f>Lookup!E$19</f>
        <v>Source</v>
      </c>
      <c r="I119" s="65" t="str">
        <f>Lookup!F$19</f>
        <v>Unit</v>
      </c>
      <c r="J119" s="65" t="str">
        <f>Lookup!G$19</f>
        <v>Basis</v>
      </c>
      <c r="L119" s="7"/>
      <c r="M119" s="7"/>
      <c r="N119" s="7"/>
      <c r="O119" s="65" t="str">
        <f>O$10</f>
        <v>FY20</v>
      </c>
      <c r="P119" s="65" t="str">
        <f>P$10</f>
        <v>FY21</v>
      </c>
      <c r="Q119" s="65" t="str">
        <f>Q$10</f>
        <v>FY22</v>
      </c>
      <c r="R119" s="65" t="str">
        <f>R$10</f>
        <v>FY23</v>
      </c>
      <c r="S119" s="65" t="str">
        <f>S$10</f>
        <v>FY24</v>
      </c>
    </row>
    <row r="120" spans="1:19" s="6" customFormat="1" ht="11.25" customHeight="1" x14ac:dyDescent="0.2">
      <c r="D120" s="3"/>
    </row>
    <row r="121" spans="1:19" s="6" customFormat="1" ht="11.25" customHeight="1" x14ac:dyDescent="0.2">
      <c r="D121" s="88" t="str">
        <f t="array" ref="D121:D127">Tariff_Assignment</f>
        <v>LV Residential Accumulation</v>
      </c>
      <c r="E121" s="97"/>
      <c r="F121" s="97"/>
      <c r="G121" s="97"/>
      <c r="H121" s="95" t="s">
        <v>89</v>
      </c>
      <c r="I121" s="99" t="s">
        <v>123</v>
      </c>
      <c r="J121" s="99" t="s">
        <v>69</v>
      </c>
      <c r="O121" s="103">
        <f>Inputs_Other!$O98*O$22</f>
        <v>0</v>
      </c>
      <c r="P121" s="103">
        <f>Inputs_Other!$O98*P$22</f>
        <v>0</v>
      </c>
      <c r="Q121" s="103">
        <f>Inputs_Other!$O98*Q$22</f>
        <v>0</v>
      </c>
      <c r="R121" s="103">
        <f>Inputs_Other!$O98*R$22</f>
        <v>0</v>
      </c>
      <c r="S121" s="103">
        <f>Inputs_Other!$O98*S$22</f>
        <v>0</v>
      </c>
    </row>
    <row r="122" spans="1:19" s="6" customFormat="1" ht="11.25" customHeight="1" x14ac:dyDescent="0.2">
      <c r="D122" s="88" t="str">
        <v>LV Non-Residential Accumulation</v>
      </c>
      <c r="H122" s="95" t="s">
        <v>89</v>
      </c>
      <c r="I122" s="99" t="s">
        <v>123</v>
      </c>
      <c r="J122" s="99" t="s">
        <v>69</v>
      </c>
      <c r="O122" s="103">
        <f>Inputs_Other!$O99*O$22</f>
        <v>0</v>
      </c>
      <c r="P122" s="103">
        <f>Inputs_Other!$O99*P$22</f>
        <v>0</v>
      </c>
      <c r="Q122" s="103">
        <f>Inputs_Other!$O99*Q$22</f>
        <v>0</v>
      </c>
      <c r="R122" s="103">
        <f>Inputs_Other!$O99*R$22</f>
        <v>0</v>
      </c>
      <c r="S122" s="103">
        <f>Inputs_Other!$O99*S$22</f>
        <v>0</v>
      </c>
    </row>
    <row r="123" spans="1:19" s="6" customFormat="1" ht="11.25" customHeight="1" x14ac:dyDescent="0.2">
      <c r="D123" s="88" t="str">
        <v>LV Unmetered</v>
      </c>
      <c r="H123" s="95" t="s">
        <v>89</v>
      </c>
      <c r="I123" s="99" t="s">
        <v>123</v>
      </c>
      <c r="J123" s="99" t="s">
        <v>69</v>
      </c>
      <c r="O123" s="103">
        <f>Inputs_Other!$O100*O$22</f>
        <v>0</v>
      </c>
      <c r="P123" s="103">
        <f>Inputs_Other!$O100*P$22</f>
        <v>0</v>
      </c>
      <c r="Q123" s="103">
        <f>Inputs_Other!$O100*Q$22</f>
        <v>0</v>
      </c>
      <c r="R123" s="103">
        <f>Inputs_Other!$O100*R$22</f>
        <v>0</v>
      </c>
      <c r="S123" s="103">
        <f>Inputs_Other!$O100*S$22</f>
        <v>0</v>
      </c>
    </row>
    <row r="124" spans="1:19" s="6" customFormat="1" ht="11.25" customHeight="1" x14ac:dyDescent="0.2">
      <c r="D124" s="88" t="str">
        <v>LV Smart meter</v>
      </c>
      <c r="H124" s="95" t="s">
        <v>89</v>
      </c>
      <c r="I124" s="99" t="s">
        <v>123</v>
      </c>
      <c r="J124" s="99" t="s">
        <v>69</v>
      </c>
      <c r="O124" s="103">
        <f>Inputs_Other!$O101*O$22</f>
        <v>9.1605709188224811</v>
      </c>
      <c r="P124" s="103">
        <f>Inputs_Other!$O101*P$22</f>
        <v>9.3291703835860851</v>
      </c>
      <c r="Q124" s="103">
        <f>Inputs_Other!$O101*Q$22</f>
        <v>9.5553910719763611</v>
      </c>
      <c r="R124" s="103">
        <f>Inputs_Other!$O101*R$22</f>
        <v>9.7870973285095246</v>
      </c>
      <c r="S124" s="103">
        <f>Inputs_Other!$O101*S$22</f>
        <v>10.024422171337292</v>
      </c>
    </row>
    <row r="125" spans="1:19" s="6" customFormat="1" ht="11.25" customHeight="1" x14ac:dyDescent="0.2">
      <c r="D125" s="88" t="str">
        <v>HV Smart meter &lt;750MWh</v>
      </c>
      <c r="H125" s="95" t="s">
        <v>89</v>
      </c>
      <c r="I125" s="99" t="s">
        <v>123</v>
      </c>
      <c r="J125" s="99" t="s">
        <v>69</v>
      </c>
      <c r="O125" s="103">
        <f>Inputs_Other!$O102*O$22</f>
        <v>8.2190677966101688</v>
      </c>
      <c r="P125" s="103">
        <f>Inputs_Other!$O102*P$22</f>
        <v>8.3703389830508481</v>
      </c>
      <c r="Q125" s="103">
        <f>Inputs_Other!$O102*Q$22</f>
        <v>8.5733092118010124</v>
      </c>
      <c r="R125" s="103">
        <f>Inputs_Other!$O102*R$22</f>
        <v>8.7812012141904887</v>
      </c>
      <c r="S125" s="103">
        <f>Inputs_Other!$O102*S$22</f>
        <v>8.9941343370609594</v>
      </c>
    </row>
    <row r="126" spans="1:19" s="6" customFormat="1" ht="11.25" customHeight="1" x14ac:dyDescent="0.2">
      <c r="D126" s="88" t="str">
        <v>LV &gt;750MWh</v>
      </c>
      <c r="H126" s="95" t="s">
        <v>89</v>
      </c>
      <c r="I126" s="99" t="s">
        <v>123</v>
      </c>
      <c r="J126" s="99" t="s">
        <v>69</v>
      </c>
      <c r="O126" s="103">
        <f>Inputs_Other!$O103*O$22</f>
        <v>17.303300624442464</v>
      </c>
      <c r="P126" s="103">
        <f>Inputs_Other!$O103*P$22</f>
        <v>17.62176628010705</v>
      </c>
      <c r="Q126" s="103">
        <f>Inputs_Other!$O103*Q$22</f>
        <v>18.049072024844236</v>
      </c>
      <c r="R126" s="103">
        <f>Inputs_Other!$O103*R$22</f>
        <v>18.486739398295768</v>
      </c>
      <c r="S126" s="103">
        <f>Inputs_Other!$O103*S$22</f>
        <v>18.935019656970443</v>
      </c>
    </row>
    <row r="127" spans="1:19" s="6" customFormat="1" ht="11.25" customHeight="1" x14ac:dyDescent="0.2">
      <c r="D127" s="88" t="str">
        <v>HV &gt;750MWh</v>
      </c>
      <c r="H127" s="95" t="s">
        <v>89</v>
      </c>
      <c r="I127" s="99" t="s">
        <v>123</v>
      </c>
      <c r="J127" s="99" t="s">
        <v>69</v>
      </c>
      <c r="O127" s="103">
        <f>Inputs_Other!$O104*O$22</f>
        <v>8.2190677966101688</v>
      </c>
      <c r="P127" s="103">
        <f>Inputs_Other!$O104*P$22</f>
        <v>8.3703389830508481</v>
      </c>
      <c r="Q127" s="103">
        <f>Inputs_Other!$O104*Q$22</f>
        <v>8.5733092118010124</v>
      </c>
      <c r="R127" s="103">
        <f>Inputs_Other!$O104*R$22</f>
        <v>8.7812012141904887</v>
      </c>
      <c r="S127" s="103">
        <f>Inputs_Other!$O104*S$22</f>
        <v>8.9941343370609594</v>
      </c>
    </row>
    <row r="128" spans="1:19" s="6" customFormat="1" ht="11.25" customHeight="1" x14ac:dyDescent="0.2"/>
    <row r="129" spans="3:19" s="6" customFormat="1" ht="11.25" customHeight="1" x14ac:dyDescent="0.2"/>
    <row r="130" spans="3:19" s="13" customFormat="1" ht="14" x14ac:dyDescent="0.2">
      <c r="C130" s="13" t="s">
        <v>239</v>
      </c>
    </row>
    <row r="131" spans="3:19" s="6" customFormat="1" ht="11.25" customHeight="1" x14ac:dyDescent="0.2"/>
    <row r="132" spans="3:19" s="6" customFormat="1" ht="11.25" customHeight="1" x14ac:dyDescent="0.2">
      <c r="D132" s="83" t="s">
        <v>196</v>
      </c>
      <c r="H132" s="65" t="str">
        <f>Lookup!E$19</f>
        <v>Source</v>
      </c>
      <c r="I132" s="65" t="str">
        <f>Lookup!F$19</f>
        <v>Unit</v>
      </c>
      <c r="J132" s="65" t="str">
        <f>Lookup!G$19</f>
        <v>Basis</v>
      </c>
      <c r="L132" s="7"/>
      <c r="M132" s="7"/>
      <c r="N132" s="7"/>
      <c r="O132" s="65" t="str">
        <f>O$10</f>
        <v>FY20</v>
      </c>
      <c r="P132" s="65" t="str">
        <f>P$10</f>
        <v>FY21</v>
      </c>
      <c r="Q132" s="65" t="str">
        <f>Q$10</f>
        <v>FY22</v>
      </c>
      <c r="R132" s="65" t="str">
        <f>R$10</f>
        <v>FY23</v>
      </c>
      <c r="S132" s="65" t="str">
        <f>S$10</f>
        <v>FY24</v>
      </c>
    </row>
    <row r="133" spans="3:19" s="6" customFormat="1" ht="11.25" customHeight="1" x14ac:dyDescent="0.2">
      <c r="D133" s="3"/>
    </row>
    <row r="134" spans="3:19" s="6" customFormat="1" ht="11.25" customHeight="1" x14ac:dyDescent="0.2">
      <c r="D134" s="88" t="str">
        <f t="array" ref="D134:D140">Tariff_Assignment</f>
        <v>LV Residential Accumulation</v>
      </c>
      <c r="E134" s="97"/>
      <c r="F134" s="97"/>
      <c r="G134" s="97"/>
      <c r="H134" s="95" t="s">
        <v>89</v>
      </c>
      <c r="I134" s="99" t="s">
        <v>129</v>
      </c>
      <c r="J134" s="99" t="s">
        <v>69</v>
      </c>
      <c r="O134" s="91">
        <f>SUMIFS(Inputs_Volumes!O$47:O$52,Inputs_Volumes!$D$47:$D$52,$D134,Inputs_Volumes!$K$47:$K$52,Yes)</f>
        <v>0</v>
      </c>
      <c r="P134" s="91">
        <f>SUMIFS(Inputs_Volumes!P$47:P$52,Inputs_Volumes!$D$47:$D$52,$D134,Inputs_Volumes!$K$47:$K$52,Yes)</f>
        <v>0</v>
      </c>
      <c r="Q134" s="91">
        <f>SUMIFS(Inputs_Volumes!Q$47:Q$52,Inputs_Volumes!$D$47:$D$52,$D134,Inputs_Volumes!$K$47:$K$52,Yes)</f>
        <v>0</v>
      </c>
      <c r="R134" s="91">
        <f>SUMIFS(Inputs_Volumes!R$47:R$52,Inputs_Volumes!$D$47:$D$52,$D134,Inputs_Volumes!$K$47:$K$52,Yes)</f>
        <v>0</v>
      </c>
      <c r="S134" s="91">
        <f>SUMIFS(Inputs_Volumes!S$47:S$52,Inputs_Volumes!$D$47:$D$52,$D134,Inputs_Volumes!$K$47:$K$52,Yes)</f>
        <v>0</v>
      </c>
    </row>
    <row r="135" spans="3:19" s="6" customFormat="1" ht="11.25" customHeight="1" x14ac:dyDescent="0.2">
      <c r="D135" s="88" t="str">
        <v>LV Non-Residential Accumulation</v>
      </c>
      <c r="H135" s="95" t="s">
        <v>89</v>
      </c>
      <c r="I135" s="99" t="s">
        <v>129</v>
      </c>
      <c r="J135" s="99" t="s">
        <v>69</v>
      </c>
      <c r="O135" s="91">
        <f>SUMIFS(Inputs_Volumes!O$47:O$52,Inputs_Volumes!$D$47:$D$52,$D135,Inputs_Volumes!$K$47:$K$52,Yes)</f>
        <v>0</v>
      </c>
      <c r="P135" s="91">
        <f>SUMIFS(Inputs_Volumes!P$47:P$52,Inputs_Volumes!$D$47:$D$52,$D135,Inputs_Volumes!$K$47:$K$52,Yes)</f>
        <v>0</v>
      </c>
      <c r="Q135" s="91">
        <f>SUMIFS(Inputs_Volumes!Q$47:Q$52,Inputs_Volumes!$D$47:$D$52,$D135,Inputs_Volumes!$K$47:$K$52,Yes)</f>
        <v>0</v>
      </c>
      <c r="R135" s="91">
        <f>SUMIFS(Inputs_Volumes!R$47:R$52,Inputs_Volumes!$D$47:$D$52,$D135,Inputs_Volumes!$K$47:$K$52,Yes)</f>
        <v>0</v>
      </c>
      <c r="S135" s="91">
        <f>SUMIFS(Inputs_Volumes!S$47:S$52,Inputs_Volumes!$D$47:$D$52,$D135,Inputs_Volumes!$K$47:$K$52,Yes)</f>
        <v>0</v>
      </c>
    </row>
    <row r="136" spans="3:19" s="6" customFormat="1" ht="11.25" customHeight="1" x14ac:dyDescent="0.2">
      <c r="D136" s="88" t="str">
        <v>LV Unmetered</v>
      </c>
      <c r="H136" s="95" t="s">
        <v>89</v>
      </c>
      <c r="I136" s="99" t="s">
        <v>129</v>
      </c>
      <c r="J136" s="99" t="s">
        <v>69</v>
      </c>
      <c r="O136" s="91">
        <f>SUMIFS(Inputs_Volumes!O$47:O$52,Inputs_Volumes!$D$47:$D$52,$D136,Inputs_Volumes!$K$47:$K$52,Yes)</f>
        <v>0</v>
      </c>
      <c r="P136" s="91">
        <f>SUMIFS(Inputs_Volumes!P$47:P$52,Inputs_Volumes!$D$47:$D$52,$D136,Inputs_Volumes!$K$47:$K$52,Yes)</f>
        <v>0</v>
      </c>
      <c r="Q136" s="91">
        <f>SUMIFS(Inputs_Volumes!Q$47:Q$52,Inputs_Volumes!$D$47:$D$52,$D136,Inputs_Volumes!$K$47:$K$52,Yes)</f>
        <v>0</v>
      </c>
      <c r="R136" s="91">
        <f>SUMIFS(Inputs_Volumes!R$47:R$52,Inputs_Volumes!$D$47:$D$52,$D136,Inputs_Volumes!$K$47:$K$52,Yes)</f>
        <v>0</v>
      </c>
      <c r="S136" s="91">
        <f>SUMIFS(Inputs_Volumes!S$47:S$52,Inputs_Volumes!$D$47:$D$52,$D136,Inputs_Volumes!$K$47:$K$52,Yes)</f>
        <v>0</v>
      </c>
    </row>
    <row r="137" spans="3:19" s="6" customFormat="1" ht="11.25" customHeight="1" x14ac:dyDescent="0.2">
      <c r="D137" s="88" t="str">
        <v>LV Smart meter</v>
      </c>
      <c r="H137" s="95" t="s">
        <v>89</v>
      </c>
      <c r="I137" s="99" t="s">
        <v>129</v>
      </c>
      <c r="J137" s="99" t="s">
        <v>69</v>
      </c>
      <c r="O137" s="91">
        <f>SUMIFS(Inputs_Volumes!O$47:O$52,Inputs_Volumes!$D$47:$D$52,$D137,Inputs_Volumes!$K$47:$K$52,Yes)</f>
        <v>1192396.0202147996</v>
      </c>
      <c r="P137" s="91">
        <f>SUMIFS(Inputs_Volumes!P$47:P$52,Inputs_Volumes!$D$47:$D$52,$D137,Inputs_Volumes!$K$47:$K$52,Yes)</f>
        <v>1237571.1324846344</v>
      </c>
      <c r="Q137" s="91">
        <f>SUMIFS(Inputs_Volumes!Q$47:Q$52,Inputs_Volumes!$D$47:$D$52,$D137,Inputs_Volumes!$K$47:$K$52,Yes)</f>
        <v>1289955.4029275004</v>
      </c>
      <c r="R137" s="91">
        <f>SUMIFS(Inputs_Volumes!R$47:R$52,Inputs_Volumes!$D$47:$D$52,$D137,Inputs_Volumes!$K$47:$K$52,Yes)</f>
        <v>1344114.4975494184</v>
      </c>
      <c r="S137" s="91">
        <f>SUMIFS(Inputs_Volumes!S$47:S$52,Inputs_Volumes!$D$47:$D$52,$D137,Inputs_Volumes!$K$47:$K$52,Yes)</f>
        <v>1395943.5795902263</v>
      </c>
    </row>
    <row r="138" spans="3:19" s="6" customFormat="1" ht="11.25" customHeight="1" x14ac:dyDescent="0.2">
      <c r="D138" s="88" t="str">
        <v>HV Smart meter &lt;750MWh</v>
      </c>
      <c r="H138" s="95" t="s">
        <v>89</v>
      </c>
      <c r="I138" s="99" t="s">
        <v>129</v>
      </c>
      <c r="J138" s="99" t="s">
        <v>69</v>
      </c>
      <c r="O138" s="91">
        <f>SUMIFS(Inputs_Volumes!O$47:O$52,Inputs_Volumes!$D$47:$D$52,$D138,Inputs_Volumes!$K$47:$K$52,Yes)</f>
        <v>40208.76</v>
      </c>
      <c r="P138" s="91">
        <f>SUMIFS(Inputs_Volumes!P$47:P$52,Inputs_Volumes!$D$47:$D$52,$D138,Inputs_Volumes!$K$47:$K$52,Yes)</f>
        <v>39599.684723427039</v>
      </c>
      <c r="Q138" s="91">
        <f>SUMIFS(Inputs_Volumes!Q$47:Q$52,Inputs_Volumes!$D$47:$D$52,$D138,Inputs_Volumes!$K$47:$K$52,Yes)</f>
        <v>39318.162013930589</v>
      </c>
      <c r="R138" s="91">
        <f>SUMIFS(Inputs_Volumes!R$47:R$52,Inputs_Volumes!$D$47:$D$52,$D138,Inputs_Volumes!$K$47:$K$52,Yes)</f>
        <v>39053.587972112575</v>
      </c>
      <c r="S138" s="91">
        <f>SUMIFS(Inputs_Volumes!S$47:S$52,Inputs_Volumes!$D$47:$D$52,$D138,Inputs_Volumes!$K$47:$K$52,Yes)</f>
        <v>38836.868605031101</v>
      </c>
    </row>
    <row r="139" spans="3:19" s="6" customFormat="1" ht="11.25" customHeight="1" x14ac:dyDescent="0.2">
      <c r="D139" s="88" t="str">
        <v>LV &gt;750MWh</v>
      </c>
      <c r="H139" s="95" t="s">
        <v>89</v>
      </c>
      <c r="I139" s="99" t="s">
        <v>129</v>
      </c>
      <c r="J139" s="99" t="s">
        <v>69</v>
      </c>
      <c r="O139" s="91">
        <f>SUMIFS(Inputs_Volumes!O$47:O$52,Inputs_Volumes!$D$47:$D$52,$D139,Inputs_Volumes!$K$47:$K$52,Yes)</f>
        <v>644860.56830605969</v>
      </c>
      <c r="P139" s="91">
        <f>SUMIFS(Inputs_Volumes!P$47:P$52,Inputs_Volumes!$D$47:$D$52,$D139,Inputs_Volumes!$K$47:$K$52,Yes)</f>
        <v>638076.56328352704</v>
      </c>
      <c r="Q139" s="91">
        <f>SUMIFS(Inputs_Volumes!Q$47:Q$52,Inputs_Volumes!$D$47:$D$52,$D139,Inputs_Volumes!$K$47:$K$52,Yes)</f>
        <v>629193.09047971189</v>
      </c>
      <c r="R139" s="91">
        <f>SUMIFS(Inputs_Volumes!R$47:R$52,Inputs_Volumes!$D$47:$D$52,$D139,Inputs_Volumes!$K$47:$K$52,Yes)</f>
        <v>622908.50289972709</v>
      </c>
      <c r="S139" s="91">
        <f>SUMIFS(Inputs_Volumes!S$47:S$52,Inputs_Volumes!$D$47:$D$52,$D139,Inputs_Volumes!$K$47:$K$52,Yes)</f>
        <v>619323.66875845997</v>
      </c>
    </row>
    <row r="140" spans="3:19" s="6" customFormat="1" ht="11.25" customHeight="1" x14ac:dyDescent="0.2">
      <c r="D140" s="88" t="str">
        <v>HV &gt;750MWh</v>
      </c>
      <c r="H140" s="95" t="s">
        <v>89</v>
      </c>
      <c r="I140" s="99" t="s">
        <v>129</v>
      </c>
      <c r="J140" s="99" t="s">
        <v>69</v>
      </c>
      <c r="O140" s="91">
        <f>SUMIFS(Inputs_Volumes!O$47:O$52,Inputs_Volumes!$D$47:$D$52,$D140,Inputs_Volumes!$K$47:$K$52,Yes)</f>
        <v>750450.4800000001</v>
      </c>
      <c r="P140" s="91">
        <f>SUMIFS(Inputs_Volumes!P$47:P$52,Inputs_Volumes!$D$47:$D$52,$D140,Inputs_Volumes!$K$47:$K$52,Yes)</f>
        <v>742555.65734266897</v>
      </c>
      <c r="Q140" s="91">
        <f>SUMIFS(Inputs_Volumes!Q$47:Q$52,Inputs_Volumes!$D$47:$D$52,$D140,Inputs_Volumes!$K$47:$K$52,Yes)</f>
        <v>732217.59860975237</v>
      </c>
      <c r="R140" s="91">
        <f>SUMIFS(Inputs_Volumes!R$47:R$52,Inputs_Volumes!$D$47:$D$52,$D140,Inputs_Volumes!$K$47:$K$52,Yes)</f>
        <v>724903.96834950789</v>
      </c>
      <c r="S140" s="91">
        <f>SUMIFS(Inputs_Volumes!S$47:S$52,Inputs_Volumes!$D$47:$D$52,$D140,Inputs_Volumes!$K$47:$K$52,Yes)</f>
        <v>720732.15100750304</v>
      </c>
    </row>
    <row r="141" spans="3:19" s="6" customFormat="1" ht="11.25" customHeight="1" x14ac:dyDescent="0.2"/>
    <row r="142" spans="3:19" s="6" customFormat="1" ht="11.25" customHeight="1" x14ac:dyDescent="0.2"/>
    <row r="143" spans="3:19" s="13" customFormat="1" ht="14" x14ac:dyDescent="0.2">
      <c r="C143" s="132" t="s">
        <v>240</v>
      </c>
    </row>
    <row r="144" spans="3:19" s="6" customFormat="1" ht="11.25" customHeight="1" x14ac:dyDescent="0.2"/>
    <row r="145" spans="1:19" s="6" customFormat="1" ht="11.25" customHeight="1" x14ac:dyDescent="0.2">
      <c r="D145" s="83" t="s">
        <v>196</v>
      </c>
      <c r="H145" s="65" t="str">
        <f>Lookup!E$19</f>
        <v>Source</v>
      </c>
      <c r="I145" s="65" t="str">
        <f>Lookup!F$19</f>
        <v>Unit</v>
      </c>
      <c r="J145" s="65" t="str">
        <f>Lookup!G$19</f>
        <v>Basis</v>
      </c>
      <c r="L145" s="7"/>
      <c r="M145" s="7"/>
      <c r="N145" s="7"/>
      <c r="O145" s="65" t="str">
        <f>O$10</f>
        <v>FY20</v>
      </c>
      <c r="P145" s="65" t="str">
        <f>P$10</f>
        <v>FY21</v>
      </c>
      <c r="Q145" s="65" t="str">
        <f>Q$10</f>
        <v>FY22</v>
      </c>
      <c r="R145" s="65" t="str">
        <f>R$10</f>
        <v>FY23</v>
      </c>
      <c r="S145" s="65" t="str">
        <f>S$10</f>
        <v>FY24</v>
      </c>
    </row>
    <row r="146" spans="1:19" s="6" customFormat="1" ht="11.25" customHeight="1" x14ac:dyDescent="0.2">
      <c r="D146" s="3"/>
    </row>
    <row r="147" spans="1:19" s="6" customFormat="1" ht="11.25" customHeight="1" x14ac:dyDescent="0.2">
      <c r="D147" s="88" t="str">
        <f t="array" ref="D147:D153">Tariff_Assignment</f>
        <v>LV Residential Accumulation</v>
      </c>
      <c r="E147" s="97"/>
      <c r="F147" s="97"/>
      <c r="G147" s="97"/>
      <c r="H147" s="95" t="s">
        <v>89</v>
      </c>
      <c r="I147" s="99" t="s">
        <v>76</v>
      </c>
      <c r="J147" s="99" t="s">
        <v>69</v>
      </c>
      <c r="O147" s="78">
        <f t="shared" ref="O147:S153" si="2">O121*O134*Dollars_to_Thousands</f>
        <v>0</v>
      </c>
      <c r="P147" s="78">
        <f t="shared" si="2"/>
        <v>0</v>
      </c>
      <c r="Q147" s="78">
        <f t="shared" si="2"/>
        <v>0</v>
      </c>
      <c r="R147" s="78">
        <f t="shared" si="2"/>
        <v>0</v>
      </c>
      <c r="S147" s="78">
        <f t="shared" si="2"/>
        <v>0</v>
      </c>
    </row>
    <row r="148" spans="1:19" s="6" customFormat="1" ht="11.25" customHeight="1" x14ac:dyDescent="0.2">
      <c r="D148" s="88" t="str">
        <v>LV Non-Residential Accumulation</v>
      </c>
      <c r="H148" s="95" t="s">
        <v>89</v>
      </c>
      <c r="I148" s="99" t="s">
        <v>76</v>
      </c>
      <c r="J148" s="99" t="s">
        <v>69</v>
      </c>
      <c r="O148" s="78">
        <f t="shared" si="2"/>
        <v>0</v>
      </c>
      <c r="P148" s="78">
        <f t="shared" si="2"/>
        <v>0</v>
      </c>
      <c r="Q148" s="78">
        <f t="shared" si="2"/>
        <v>0</v>
      </c>
      <c r="R148" s="78">
        <f t="shared" si="2"/>
        <v>0</v>
      </c>
      <c r="S148" s="78">
        <f t="shared" si="2"/>
        <v>0</v>
      </c>
    </row>
    <row r="149" spans="1:19" s="6" customFormat="1" ht="11.25" customHeight="1" x14ac:dyDescent="0.2">
      <c r="D149" s="88" t="str">
        <v>LV Unmetered</v>
      </c>
      <c r="H149" s="95" t="s">
        <v>89</v>
      </c>
      <c r="I149" s="99" t="s">
        <v>76</v>
      </c>
      <c r="J149" s="99" t="s">
        <v>69</v>
      </c>
      <c r="O149" s="78">
        <f t="shared" si="2"/>
        <v>0</v>
      </c>
      <c r="P149" s="78">
        <f t="shared" si="2"/>
        <v>0</v>
      </c>
      <c r="Q149" s="78">
        <f t="shared" si="2"/>
        <v>0</v>
      </c>
      <c r="R149" s="78">
        <f t="shared" si="2"/>
        <v>0</v>
      </c>
      <c r="S149" s="78">
        <f t="shared" si="2"/>
        <v>0</v>
      </c>
    </row>
    <row r="150" spans="1:19" s="6" customFormat="1" ht="11.25" customHeight="1" x14ac:dyDescent="0.2">
      <c r="D150" s="88" t="str">
        <v>LV Smart meter</v>
      </c>
      <c r="H150" s="95" t="s">
        <v>89</v>
      </c>
      <c r="I150" s="99" t="s">
        <v>76</v>
      </c>
      <c r="J150" s="99" t="s">
        <v>69</v>
      </c>
      <c r="O150" s="78">
        <f t="shared" si="2"/>
        <v>10923.028306499356</v>
      </c>
      <c r="P150" s="78">
        <f t="shared" si="2"/>
        <v>11545.511956756744</v>
      </c>
      <c r="Q150" s="78">
        <f t="shared" si="2"/>
        <v>12326.028340381106</v>
      </c>
      <c r="R150" s="78">
        <f t="shared" si="2"/>
        <v>13154.979408176834</v>
      </c>
      <c r="S150" s="78">
        <f t="shared" si="2"/>
        <v>13993.527769180209</v>
      </c>
    </row>
    <row r="151" spans="1:19" s="6" customFormat="1" ht="11.25" customHeight="1" x14ac:dyDescent="0.2">
      <c r="D151" s="88" t="str">
        <v>HV Smart meter &lt;750MWh</v>
      </c>
      <c r="H151" s="95" t="s">
        <v>89</v>
      </c>
      <c r="I151" s="99" t="s">
        <v>76</v>
      </c>
      <c r="J151" s="99" t="s">
        <v>69</v>
      </c>
      <c r="O151" s="78">
        <f t="shared" si="2"/>
        <v>330.47852445762709</v>
      </c>
      <c r="P151" s="78">
        <f t="shared" si="2"/>
        <v>331.46278475702451</v>
      </c>
      <c r="Q151" s="78">
        <f t="shared" si="2"/>
        <v>337.08676058511577</v>
      </c>
      <c r="R151" s="78">
        <f t="shared" si="2"/>
        <v>342.93741411921002</v>
      </c>
      <c r="S151" s="78">
        <f t="shared" si="2"/>
        <v>349.304013464435</v>
      </c>
    </row>
    <row r="152" spans="1:19" s="6" customFormat="1" ht="11.25" customHeight="1" x14ac:dyDescent="0.2">
      <c r="D152" s="88" t="str">
        <v>LV &gt;750MWh</v>
      </c>
      <c r="H152" s="95" t="s">
        <v>89</v>
      </c>
      <c r="I152" s="99" t="s">
        <v>76</v>
      </c>
      <c r="J152" s="99" t="s">
        <v>69</v>
      </c>
      <c r="O152" s="78">
        <f t="shared" si="2"/>
        <v>11158.216274248565</v>
      </c>
      <c r="P152" s="78">
        <f t="shared" si="2"/>
        <v>11244.036066996248</v>
      </c>
      <c r="Q152" s="78">
        <f t="shared" si="2"/>
        <v>11356.351407602657</v>
      </c>
      <c r="R152" s="78">
        <f t="shared" si="2"/>
        <v>11515.547162089819</v>
      </c>
      <c r="S152" s="78">
        <f t="shared" si="2"/>
        <v>11726.905841968492</v>
      </c>
    </row>
    <row r="153" spans="1:19" s="6" customFormat="1" ht="11.25" customHeight="1" x14ac:dyDescent="0.2">
      <c r="D153" s="88" t="str">
        <v>HV &gt;750MWh</v>
      </c>
      <c r="H153" s="95" t="s">
        <v>89</v>
      </c>
      <c r="I153" s="99" t="s">
        <v>76</v>
      </c>
      <c r="J153" s="99" t="s">
        <v>69</v>
      </c>
      <c r="O153" s="78">
        <f t="shared" si="2"/>
        <v>6168.003373118645</v>
      </c>
      <c r="P153" s="78">
        <f t="shared" si="2"/>
        <v>6215.4425657402899</v>
      </c>
      <c r="Q153" s="78">
        <f t="shared" si="2"/>
        <v>6277.5278832038066</v>
      </c>
      <c r="R153" s="78">
        <f t="shared" si="2"/>
        <v>6365.5276070422033</v>
      </c>
      <c r="S153" s="78">
        <f t="shared" si="2"/>
        <v>6482.3617872003879</v>
      </c>
    </row>
    <row r="154" spans="1:19" s="6" customFormat="1" ht="11.25" customHeight="1" x14ac:dyDescent="0.2"/>
    <row r="155" spans="1:19" s="6" customFormat="1" ht="11.25" customHeight="1" x14ac:dyDescent="0.2">
      <c r="D155" s="73" t="s">
        <v>88</v>
      </c>
      <c r="H155" s="67" t="s">
        <v>89</v>
      </c>
      <c r="I155" s="67" t="str">
        <f>Thousands</f>
        <v>$000's</v>
      </c>
      <c r="J155" s="67" t="str">
        <f>Nominal</f>
        <v>Nominal</v>
      </c>
      <c r="O155" s="80">
        <f>SUM(O147:O153)</f>
        <v>28579.726478324195</v>
      </c>
      <c r="P155" s="80">
        <f>SUM(P147:P153)</f>
        <v>29336.453374250304</v>
      </c>
      <c r="Q155" s="80">
        <f>SUM(Q147:Q153)</f>
        <v>30296.994391772685</v>
      </c>
      <c r="R155" s="80">
        <f>SUM(R147:R153)</f>
        <v>31378.991591428065</v>
      </c>
      <c r="S155" s="80">
        <f>SUM(S147:S153)</f>
        <v>32552.099411813524</v>
      </c>
    </row>
    <row r="156" spans="1:19" s="6" customFormat="1" ht="11.25" customHeight="1" x14ac:dyDescent="0.2"/>
    <row r="157" spans="1:19" s="6" customFormat="1" ht="11.25" hidden="1" customHeight="1" outlineLevel="1" x14ac:dyDescent="0.2">
      <c r="D157" s="96" t="s">
        <v>138</v>
      </c>
      <c r="E157" s="97"/>
      <c r="G157" s="97"/>
      <c r="H157" s="95" t="s">
        <v>89</v>
      </c>
      <c r="I157" s="99" t="s">
        <v>76</v>
      </c>
      <c r="J157" s="99" t="s">
        <v>69</v>
      </c>
      <c r="K157" s="74"/>
      <c r="O157" s="78">
        <f>SUMPRODUCT(O121:O127,O134:O140)*Dollars_to_Thousands</f>
        <v>28579.726478324199</v>
      </c>
      <c r="P157" s="78">
        <f>SUMPRODUCT(P121:P127,P134:P140)*Dollars_to_Thousands</f>
        <v>29336.453374250304</v>
      </c>
      <c r="Q157" s="78">
        <f>SUMPRODUCT(Q121:Q127,Q134:Q140)*Dollars_to_Thousands</f>
        <v>30296.994391772689</v>
      </c>
      <c r="R157" s="78">
        <f>SUMPRODUCT(R121:R127,R134:R140)*Dollars_to_Thousands</f>
        <v>31378.991591428065</v>
      </c>
      <c r="S157" s="78">
        <f>SUMPRODUCT(S121:S127,S134:S140)*Dollars_to_Thousands</f>
        <v>32552.099411813524</v>
      </c>
    </row>
    <row r="158" spans="1:19" s="6" customFormat="1" ht="11.25" hidden="1" customHeight="1" outlineLevel="1" x14ac:dyDescent="0.2">
      <c r="A158" s="70">
        <f>IF(SUM($M158:$S158)=0,0,1)</f>
        <v>0</v>
      </c>
      <c r="D158" s="96" t="s">
        <v>92</v>
      </c>
      <c r="E158" s="97"/>
      <c r="F158" s="95"/>
      <c r="G158" s="97"/>
      <c r="H158" s="95"/>
      <c r="I158" s="99"/>
      <c r="J158" s="99"/>
      <c r="K158" s="74"/>
      <c r="O158" s="70">
        <f>IF(ROUND(O157-O155,2)=0,0,1)</f>
        <v>0</v>
      </c>
      <c r="P158" s="70">
        <f>IF(ROUND(P157-P155,2)=0,0,1)</f>
        <v>0</v>
      </c>
      <c r="Q158" s="70">
        <f>IF(ROUND(Q157-Q155,2)=0,0,1)</f>
        <v>0</v>
      </c>
      <c r="R158" s="70">
        <f>IF(ROUND(R157-R155,2)=0,0,1)</f>
        <v>0</v>
      </c>
      <c r="S158" s="70">
        <f>IF(ROUND(S157-S155,2)=0,0,1)</f>
        <v>0</v>
      </c>
    </row>
    <row r="159" spans="1:19" s="6" customFormat="1" ht="11.25" customHeight="1" collapsed="1" x14ac:dyDescent="0.2"/>
    <row r="160" spans="1:19" s="4" customFormat="1" ht="15.5" x14ac:dyDescent="0.2">
      <c r="B160" s="4" t="s">
        <v>33</v>
      </c>
    </row>
  </sheetData>
  <conditionalFormatting sqref="B2">
    <cfRule type="cellIs" dxfId="31" priority="1" operator="notEqual">
      <formula>"No Errors Found"</formula>
    </cfRule>
  </conditionalFormatting>
  <dataValidations disablePrompts="1" count="3">
    <dataValidation type="list" allowBlank="1" showInputMessage="1" showErrorMessage="1" sqref="I67:I68 I44:I50 I147:I153 I22 I76:I82 I89:I95 I57:I63 I121:I127 I134:I140 I102:I108 I157:I158 I112:I113 I31:I37">
      <formula1>LU_Units</formula1>
    </dataValidation>
    <dataValidation type="list" allowBlank="1" showInputMessage="1" showErrorMessage="1" sqref="J31:J37 J44:J50 J147:J153 J22 J76:J82 J89:J95 J57:J63 J121:J127 J134:J140 J102:J108 J157:J158 J112:J113 J67:J68">
      <formula1>LU_Basis</formula1>
    </dataValidation>
    <dataValidation type="list" allowBlank="1" showInputMessage="1" showErrorMessage="1" sqref="K157:K158 K112:K113 K67:K68">
      <formula1>LU_Timing</formula1>
    </dataValidation>
  </dataValidations>
  <hyperlinks>
    <hyperlink ref="B3:E3" location="TOC!A1" display="TOC!A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39"/>
  <sheetViews>
    <sheetView showGridLines="0" workbookViewId="0">
      <pane ySplit="11" topLeftCell="A12" activePane="bottomLeft" state="frozen"/>
      <selection pane="bottomLeft" activeCell="M114" sqref="M114"/>
    </sheetView>
  </sheetViews>
  <sheetFormatPr defaultColWidth="9.33203125" defaultRowHeight="10" outlineLevelRow="1" x14ac:dyDescent="0.2"/>
  <cols>
    <col min="1" max="1" width="3.33203125" style="7" customWidth="1"/>
    <col min="2" max="3" width="2.77734375" style="7" customWidth="1"/>
    <col min="4" max="4" width="34.77734375" style="7" customWidth="1"/>
    <col min="5" max="5" width="17.77734375" style="7" customWidth="1"/>
    <col min="6" max="7" width="3.6640625" style="7" customWidth="1"/>
    <col min="8" max="10" width="12.6640625" style="7" customWidth="1"/>
    <col min="11" max="12" width="3.6640625" style="7" customWidth="1"/>
    <col min="13" max="13" width="19" style="7" bestFit="1" customWidth="1"/>
    <col min="14" max="14" width="11.77734375" style="7" bestFit="1" customWidth="1"/>
    <col min="15" max="19" width="15.6640625" style="7" customWidth="1"/>
    <col min="20" max="20" width="4.33203125" style="7" customWidth="1"/>
    <col min="21" max="16384" width="9.33203125" style="7"/>
  </cols>
  <sheetData>
    <row r="1" spans="1:22" ht="19" x14ac:dyDescent="0.2">
      <c r="A1" s="70">
        <f>IF(SUM($A11:$A139)&gt;0,1,0)</f>
        <v>0</v>
      </c>
      <c r="B1" s="5" t="s">
        <v>181</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229</v>
      </c>
    </row>
    <row r="13" spans="1:22" s="6" customFormat="1" ht="4.5" customHeight="1" x14ac:dyDescent="0.2"/>
    <row r="14" spans="1:22" s="6" customFormat="1" ht="11.25" customHeight="1" x14ac:dyDescent="0.2"/>
    <row r="15" spans="1:22" s="6" customFormat="1" ht="11.25" customHeight="1" x14ac:dyDescent="0.2">
      <c r="D15" s="124" t="s">
        <v>231</v>
      </c>
    </row>
    <row r="16" spans="1:22" s="6" customFormat="1" ht="11.25" customHeight="1" x14ac:dyDescent="0.2"/>
    <row r="17" spans="2:19" s="6" customFormat="1" ht="11.25" customHeight="1" x14ac:dyDescent="0.2"/>
    <row r="18" spans="2:19" s="4" customFormat="1" ht="15.5" x14ac:dyDescent="0.2">
      <c r="B18" s="4" t="s">
        <v>226</v>
      </c>
    </row>
    <row r="19" spans="2:19" s="6" customFormat="1" ht="11.25" customHeight="1" x14ac:dyDescent="0.2"/>
    <row r="20" spans="2:19" s="6" customFormat="1" ht="11.25" customHeight="1" x14ac:dyDescent="0.2">
      <c r="D20" s="124" t="s">
        <v>230</v>
      </c>
    </row>
    <row r="21" spans="2:19" s="6" customFormat="1" ht="11.25" customHeight="1" x14ac:dyDescent="0.2"/>
    <row r="22" spans="2:19" s="13" customFormat="1" ht="14" x14ac:dyDescent="0.2">
      <c r="C22" s="13" t="str">
        <f>Inputs_Prices!C17</f>
        <v>System Access Charge</v>
      </c>
    </row>
    <row r="23" spans="2:19" s="6" customFormat="1" ht="11.25" customHeight="1" x14ac:dyDescent="0.2"/>
    <row r="24" spans="2:19" s="6" customFormat="1" ht="11.25" customHeight="1" x14ac:dyDescent="0.2">
      <c r="D24" s="83" t="s">
        <v>196</v>
      </c>
      <c r="H24" s="65" t="str">
        <f>Lookup!E$19</f>
        <v>Source</v>
      </c>
      <c r="I24" s="65" t="str">
        <f>Lookup!F$19</f>
        <v>Unit</v>
      </c>
      <c r="J24" s="65" t="str">
        <f>Lookup!G$19</f>
        <v>Basis</v>
      </c>
      <c r="L24" s="7"/>
      <c r="M24" s="7"/>
      <c r="N24" s="7"/>
      <c r="O24" s="65" t="str">
        <f>O$10</f>
        <v>FY20</v>
      </c>
      <c r="P24" s="65" t="str">
        <f>P$10</f>
        <v>FY21</v>
      </c>
      <c r="Q24" s="65" t="str">
        <f>Q$10</f>
        <v>FY22</v>
      </c>
      <c r="R24" s="65" t="str">
        <f>R$10</f>
        <v>FY23</v>
      </c>
      <c r="S24" s="65" t="str">
        <f>S$10</f>
        <v>FY24</v>
      </c>
    </row>
    <row r="25" spans="2:19" s="6" customFormat="1" ht="11.25" customHeight="1" x14ac:dyDescent="0.2">
      <c r="D25" s="3"/>
    </row>
    <row r="26" spans="2:19" s="6" customFormat="1" ht="11.25" customHeight="1" x14ac:dyDescent="0.2">
      <c r="D26" s="88" t="str">
        <f t="array" ref="D26:D32">Tariff_Assignment</f>
        <v>LV Residential Accumulation</v>
      </c>
      <c r="E26" s="97"/>
      <c r="F26" s="97"/>
      <c r="G26" s="97"/>
      <c r="H26" s="95" t="s">
        <v>89</v>
      </c>
      <c r="I26" s="99" t="s">
        <v>76</v>
      </c>
      <c r="J26" s="99" t="s">
        <v>69</v>
      </c>
      <c r="O26" s="78">
        <f>Output_Revenue!O54-Calc_LRMC_Tariff!O57</f>
        <v>14918.927965242834</v>
      </c>
      <c r="P26" s="78">
        <f>Output_Revenue!P54-Calc_LRMC_Tariff!P57</f>
        <v>20398.078182300003</v>
      </c>
      <c r="Q26" s="78">
        <f>Output_Revenue!Q54-Calc_LRMC_Tariff!Q57</f>
        <v>20180.013462855804</v>
      </c>
      <c r="R26" s="78">
        <f>Output_Revenue!R54-Calc_LRMC_Tariff!R57</f>
        <v>19882.442814149115</v>
      </c>
      <c r="S26" s="78">
        <f>Output_Revenue!S54-Calc_LRMC_Tariff!S57</f>
        <v>19584.425674627666</v>
      </c>
    </row>
    <row r="27" spans="2:19" s="6" customFormat="1" ht="11.25" customHeight="1" x14ac:dyDescent="0.2">
      <c r="D27" s="88" t="str">
        <v>LV Non-Residential Accumulation</v>
      </c>
      <c r="H27" s="95" t="s">
        <v>89</v>
      </c>
      <c r="I27" s="99" t="s">
        <v>76</v>
      </c>
      <c r="J27" s="99" t="s">
        <v>69</v>
      </c>
      <c r="O27" s="78">
        <f>Output_Revenue!O55-Calc_LRMC_Tariff!O58</f>
        <v>3982.7910462242021</v>
      </c>
      <c r="P27" s="78">
        <f>Output_Revenue!P55-Calc_LRMC_Tariff!P58</f>
        <v>4228.3980000000001</v>
      </c>
      <c r="Q27" s="78">
        <f>Output_Revenue!Q55-Calc_LRMC_Tariff!Q58</f>
        <v>4164.5924552429997</v>
      </c>
      <c r="R27" s="78">
        <f>Output_Revenue!R55-Calc_LRMC_Tariff!R58</f>
        <v>4112.3855679315066</v>
      </c>
      <c r="S27" s="78">
        <f>Output_Revenue!S55-Calc_LRMC_Tariff!S58</f>
        <v>4061.873605727445</v>
      </c>
    </row>
    <row r="28" spans="2:19" s="6" customFormat="1" ht="11.25" customHeight="1" x14ac:dyDescent="0.2">
      <c r="D28" s="88" t="str">
        <v>LV Unmetered</v>
      </c>
      <c r="H28" s="95" t="s">
        <v>89</v>
      </c>
      <c r="I28" s="99" t="s">
        <v>76</v>
      </c>
      <c r="J28" s="99" t="s">
        <v>69</v>
      </c>
      <c r="O28" s="78">
        <f>Output_Revenue!O56-Calc_LRMC_Tariff!O59</f>
        <v>0</v>
      </c>
      <c r="P28" s="78">
        <f>Output_Revenue!P56-Calc_LRMC_Tariff!P59</f>
        <v>0</v>
      </c>
      <c r="Q28" s="78">
        <f>Output_Revenue!Q56-Calc_LRMC_Tariff!Q59</f>
        <v>0</v>
      </c>
      <c r="R28" s="78">
        <f>Output_Revenue!R56-Calc_LRMC_Tariff!R59</f>
        <v>0</v>
      </c>
      <c r="S28" s="78">
        <f>Output_Revenue!S56-Calc_LRMC_Tariff!S59</f>
        <v>0</v>
      </c>
    </row>
    <row r="29" spans="2:19" s="6" customFormat="1" ht="11.25" customHeight="1" x14ac:dyDescent="0.2">
      <c r="D29" s="88" t="str">
        <v>LV Smart meter</v>
      </c>
      <c r="H29" s="95" t="s">
        <v>89</v>
      </c>
      <c r="I29" s="99" t="s">
        <v>76</v>
      </c>
      <c r="J29" s="99" t="s">
        <v>69</v>
      </c>
      <c r="O29" s="78">
        <f>Output_Revenue!O57-Calc_LRMC_Tariff!O60</f>
        <v>7306.4074004999993</v>
      </c>
      <c r="P29" s="78">
        <f>Output_Revenue!P57-Calc_LRMC_Tariff!P60</f>
        <v>10322.298000000001</v>
      </c>
      <c r="Q29" s="78">
        <f>Output_Revenue!Q57-Calc_LRMC_Tariff!Q60</f>
        <v>13083.111853317003</v>
      </c>
      <c r="R29" s="78">
        <f>Output_Revenue!R57-Calc_LRMC_Tariff!R60</f>
        <v>15996.092051685277</v>
      </c>
      <c r="S29" s="78">
        <f>Output_Revenue!S57-Calc_LRMC_Tariff!S60</f>
        <v>19036.537004660597</v>
      </c>
    </row>
    <row r="30" spans="2:19" s="6" customFormat="1" ht="11.25" customHeight="1" x14ac:dyDescent="0.2">
      <c r="D30" s="88" t="str">
        <v>HV Smart meter &lt;750MWh</v>
      </c>
      <c r="H30" s="95" t="s">
        <v>89</v>
      </c>
      <c r="I30" s="99" t="s">
        <v>76</v>
      </c>
      <c r="J30" s="99" t="s">
        <v>69</v>
      </c>
      <c r="O30" s="78">
        <f>Output_Revenue!O58-Calc_LRMC_Tariff!O61</f>
        <v>14.328899999999999</v>
      </c>
      <c r="P30" s="78">
        <f>Output_Revenue!P58-Calc_LRMC_Tariff!P61</f>
        <v>15.86835616438356</v>
      </c>
      <c r="Q30" s="78">
        <f>Output_Revenue!Q58-Calc_LRMC_Tariff!Q61</f>
        <v>16.44226700178082</v>
      </c>
      <c r="R30" s="78">
        <f>Output_Revenue!R58-Calc_LRMC_Tariff!R61</f>
        <v>17.088102807343773</v>
      </c>
      <c r="S30" s="78">
        <f>Output_Revenue!S58-Calc_LRMC_Tariff!S61</f>
        <v>17.774624318645216</v>
      </c>
    </row>
    <row r="31" spans="2:19" s="6" customFormat="1" ht="11.25" customHeight="1" x14ac:dyDescent="0.2">
      <c r="D31" s="88" t="str">
        <v>LV &gt;750MWh</v>
      </c>
      <c r="H31" s="95" t="s">
        <v>89</v>
      </c>
      <c r="I31" s="99" t="s">
        <v>76</v>
      </c>
      <c r="J31" s="99" t="s">
        <v>69</v>
      </c>
      <c r="O31" s="78">
        <f>Output_Revenue!O59-Calc_LRMC_Tariff!O62</f>
        <v>4329.78</v>
      </c>
      <c r="P31" s="78">
        <f>Output_Revenue!P59-Calc_LRMC_Tariff!P62</f>
        <v>4471.0447693150691</v>
      </c>
      <c r="Q31" s="78">
        <f>Output_Revenue!Q59-Calc_LRMC_Tariff!Q62</f>
        <v>4767.7574609188878</v>
      </c>
      <c r="R31" s="78">
        <f>Output_Revenue!R59-Calc_LRMC_Tariff!R62</f>
        <v>5011.1547706190222</v>
      </c>
      <c r="S31" s="78">
        <f>Output_Revenue!S59-Calc_LRMC_Tariff!S62</f>
        <v>5295.994626898856</v>
      </c>
    </row>
    <row r="32" spans="2:19" s="6" customFormat="1" ht="11.25" customHeight="1" x14ac:dyDescent="0.2">
      <c r="D32" s="88" t="str">
        <v>HV &gt;750MWh</v>
      </c>
      <c r="H32" s="95" t="s">
        <v>89</v>
      </c>
      <c r="I32" s="99" t="s">
        <v>76</v>
      </c>
      <c r="J32" s="99" t="s">
        <v>69</v>
      </c>
      <c r="O32" s="78">
        <f>Output_Revenue!O60-Calc_LRMC_Tariff!O63</f>
        <v>947.94</v>
      </c>
      <c r="P32" s="78">
        <f>Output_Revenue!P60-Calc_LRMC_Tariff!P63</f>
        <v>1178.770684931507</v>
      </c>
      <c r="Q32" s="78">
        <f>Output_Revenue!Q60-Calc_LRMC_Tariff!Q63</f>
        <v>1253.6384396634248</v>
      </c>
      <c r="R32" s="78">
        <f>Output_Revenue!R60-Calc_LRMC_Tariff!R63</f>
        <v>1336.3814239727426</v>
      </c>
      <c r="S32" s="78">
        <f>Output_Revenue!S60-Calc_LRMC_Tariff!S63</f>
        <v>1424.3936306844923</v>
      </c>
    </row>
    <row r="33" spans="1:19" s="6" customFormat="1" ht="11.25" customHeight="1" x14ac:dyDescent="0.2"/>
    <row r="34" spans="1:19" s="6" customFormat="1" ht="11.25" customHeight="1" x14ac:dyDescent="0.2">
      <c r="D34" s="73" t="s">
        <v>88</v>
      </c>
      <c r="H34" s="67" t="s">
        <v>89</v>
      </c>
      <c r="I34" s="67" t="str">
        <f>Thousands</f>
        <v>$000's</v>
      </c>
      <c r="J34" s="67" t="str">
        <f>Nominal</f>
        <v>Nominal</v>
      </c>
      <c r="O34" s="80">
        <f>SUM(O26:O32)</f>
        <v>31500.175311967036</v>
      </c>
      <c r="P34" s="80">
        <f>SUM(P26:P32)</f>
        <v>40614.457992710966</v>
      </c>
      <c r="Q34" s="80">
        <f>SUM(Q26:Q32)</f>
        <v>43465.555938999903</v>
      </c>
      <c r="R34" s="80">
        <f>SUM(R26:R32)</f>
        <v>46355.544731165006</v>
      </c>
      <c r="S34" s="80">
        <f>SUM(S26:S32)</f>
        <v>49420.999166917703</v>
      </c>
    </row>
    <row r="35" spans="1:19" s="6" customFormat="1" ht="11.25" customHeight="1" x14ac:dyDescent="0.2"/>
    <row r="36" spans="1:19" s="6" customFormat="1" ht="11.25" hidden="1" customHeight="1" outlineLevel="1" x14ac:dyDescent="0.2">
      <c r="D36" s="96" t="s">
        <v>138</v>
      </c>
      <c r="E36" s="97"/>
      <c r="G36" s="97"/>
      <c r="H36" s="95" t="s">
        <v>89</v>
      </c>
      <c r="I36" s="99" t="s">
        <v>76</v>
      </c>
      <c r="J36" s="99" t="s">
        <v>69</v>
      </c>
      <c r="K36" s="74"/>
      <c r="O36" s="78">
        <f>Output_Revenue!O62-Calc_LRMC_Tariff!O65</f>
        <v>31500.175311967036</v>
      </c>
      <c r="P36" s="78">
        <f>Output_Revenue!P62-Calc_LRMC_Tariff!P65</f>
        <v>40614.457992710966</v>
      </c>
      <c r="Q36" s="78">
        <f>Output_Revenue!Q62-Calc_LRMC_Tariff!Q65</f>
        <v>43465.555938999903</v>
      </c>
      <c r="R36" s="78">
        <f>Output_Revenue!R62-Calc_LRMC_Tariff!R65</f>
        <v>46355.544731165006</v>
      </c>
      <c r="S36" s="78">
        <f>Output_Revenue!S62-Calc_LRMC_Tariff!S65</f>
        <v>49420.999166917703</v>
      </c>
    </row>
    <row r="37" spans="1:19" s="6" customFormat="1" ht="11.25" hidden="1" customHeight="1" outlineLevel="1" x14ac:dyDescent="0.2">
      <c r="A37" s="70">
        <f>IF(SUM($M37:$S37)=0,0,1)</f>
        <v>0</v>
      </c>
      <c r="D37" s="96" t="s">
        <v>92</v>
      </c>
      <c r="E37" s="97"/>
      <c r="F37" s="95"/>
      <c r="G37" s="97"/>
      <c r="H37" s="95"/>
      <c r="I37" s="99"/>
      <c r="J37" s="99"/>
      <c r="K37" s="74"/>
      <c r="O37" s="70">
        <f>IF(ROUND(O36-O34,2)=0,0,1)</f>
        <v>0</v>
      </c>
      <c r="P37" s="70">
        <f>IF(ROUND(P36-P34,2)=0,0,1)</f>
        <v>0</v>
      </c>
      <c r="Q37" s="70">
        <f>IF(ROUND(Q36-Q34,2)=0,0,1)</f>
        <v>0</v>
      </c>
      <c r="R37" s="70">
        <f>IF(ROUND(R36-R34,2)=0,0,1)</f>
        <v>0</v>
      </c>
      <c r="S37" s="70">
        <f>IF(ROUND(S36-S34,2)=0,0,1)</f>
        <v>0</v>
      </c>
    </row>
    <row r="38" spans="1:19" s="6" customFormat="1" ht="11.25" customHeight="1" collapsed="1" x14ac:dyDescent="0.2"/>
    <row r="39" spans="1:19" s="13" customFormat="1" ht="14" x14ac:dyDescent="0.2">
      <c r="C39" s="13" t="str">
        <f>Inputs_Prices!C30</f>
        <v>Consumption</v>
      </c>
    </row>
    <row r="40" spans="1:19" s="6" customFormat="1" ht="11.25" customHeight="1" x14ac:dyDescent="0.2"/>
    <row r="41" spans="1:19" s="6" customFormat="1" ht="11.25" customHeight="1" x14ac:dyDescent="0.2">
      <c r="D41" s="83" t="s">
        <v>196</v>
      </c>
      <c r="H41" s="65" t="str">
        <f>Lookup!E$19</f>
        <v>Source</v>
      </c>
      <c r="I41" s="65" t="str">
        <f>Lookup!F$19</f>
        <v>Unit</v>
      </c>
      <c r="J41" s="65" t="str">
        <f>Lookup!G$19</f>
        <v>Basis</v>
      </c>
      <c r="L41" s="7"/>
      <c r="M41" s="7"/>
      <c r="N41" s="7"/>
      <c r="O41" s="65" t="str">
        <f>O$10</f>
        <v>FY20</v>
      </c>
      <c r="P41" s="65" t="str">
        <f>P$10</f>
        <v>FY21</v>
      </c>
      <c r="Q41" s="65" t="str">
        <f>Q$10</f>
        <v>FY22</v>
      </c>
      <c r="R41" s="65" t="str">
        <f>R$10</f>
        <v>FY23</v>
      </c>
      <c r="S41" s="65" t="str">
        <f>S$10</f>
        <v>FY24</v>
      </c>
    </row>
    <row r="42" spans="1:19" s="6" customFormat="1" ht="11.25" customHeight="1" x14ac:dyDescent="0.2">
      <c r="D42" s="3"/>
    </row>
    <row r="43" spans="1:19" s="6" customFormat="1" ht="11.25" customHeight="1" x14ac:dyDescent="0.2">
      <c r="D43" s="88" t="str">
        <f t="array" ref="D43:D49">Tariff_Assignment</f>
        <v>LV Residential Accumulation</v>
      </c>
      <c r="E43" s="97"/>
      <c r="F43" s="97"/>
      <c r="G43" s="97"/>
      <c r="H43" s="95" t="s">
        <v>89</v>
      </c>
      <c r="I43" s="99" t="s">
        <v>76</v>
      </c>
      <c r="J43" s="99" t="s">
        <v>69</v>
      </c>
      <c r="O43" s="78">
        <f>Output_Revenue!O71-Calc_LRMC_Tariff!O102</f>
        <v>35658.362103139894</v>
      </c>
      <c r="P43" s="78">
        <f>Output_Revenue!P71-Calc_LRMC_Tariff!P102</f>
        <v>24751.917885491155</v>
      </c>
      <c r="Q43" s="78">
        <f>Output_Revenue!Q71-Calc_LRMC_Tariff!Q102</f>
        <v>24002.640234884089</v>
      </c>
      <c r="R43" s="78">
        <f>Output_Revenue!R71-Calc_LRMC_Tariff!R102</f>
        <v>23258.201848655684</v>
      </c>
      <c r="S43" s="78">
        <f>Output_Revenue!S71-Calc_LRMC_Tariff!S102</f>
        <v>22449.534560285581</v>
      </c>
    </row>
    <row r="44" spans="1:19" s="6" customFormat="1" ht="11.25" customHeight="1" x14ac:dyDescent="0.2">
      <c r="D44" s="88" t="str">
        <v>LV Non-Residential Accumulation</v>
      </c>
      <c r="H44" s="95" t="s">
        <v>89</v>
      </c>
      <c r="I44" s="99" t="s">
        <v>76</v>
      </c>
      <c r="J44" s="99" t="s">
        <v>69</v>
      </c>
      <c r="O44" s="78">
        <f>Output_Revenue!O72-Calc_LRMC_Tariff!O103</f>
        <v>4815.166696237965</v>
      </c>
      <c r="P44" s="78">
        <f>Output_Revenue!P72-Calc_LRMC_Tariff!P103</f>
        <v>3546.2950675727043</v>
      </c>
      <c r="Q44" s="78">
        <f>Output_Revenue!Q72-Calc_LRMC_Tariff!Q103</f>
        <v>3437.7695211286159</v>
      </c>
      <c r="R44" s="78">
        <f>Output_Revenue!R72-Calc_LRMC_Tariff!R103</f>
        <v>3329.7540243711401</v>
      </c>
      <c r="S44" s="78">
        <f>Output_Revenue!S72-Calc_LRMC_Tariff!S103</f>
        <v>3212.8930992930195</v>
      </c>
    </row>
    <row r="45" spans="1:19" s="6" customFormat="1" ht="11.25" customHeight="1" x14ac:dyDescent="0.2">
      <c r="D45" s="88" t="str">
        <v>LV Unmetered</v>
      </c>
      <c r="H45" s="95" t="s">
        <v>89</v>
      </c>
      <c r="I45" s="99" t="s">
        <v>76</v>
      </c>
      <c r="J45" s="99" t="s">
        <v>69</v>
      </c>
      <c r="O45" s="78">
        <f>Output_Revenue!O73-Calc_LRMC_Tariff!O104</f>
        <v>501.74810895390215</v>
      </c>
      <c r="P45" s="78">
        <f>Output_Revenue!P73-Calc_LRMC_Tariff!P104</f>
        <v>446.94144787802077</v>
      </c>
      <c r="Q45" s="78">
        <f>Output_Revenue!Q73-Calc_LRMC_Tariff!Q104</f>
        <v>471.16945506932166</v>
      </c>
      <c r="R45" s="78">
        <f>Output_Revenue!R73-Calc_LRMC_Tariff!R104</f>
        <v>500.23637810719117</v>
      </c>
      <c r="S45" s="78">
        <f>Output_Revenue!S73-Calc_LRMC_Tariff!S104</f>
        <v>528.32109730481216</v>
      </c>
    </row>
    <row r="46" spans="1:19" s="6" customFormat="1" ht="11.25" customHeight="1" x14ac:dyDescent="0.2">
      <c r="D46" s="88" t="str">
        <v>LV Smart meter</v>
      </c>
      <c r="H46" s="95" t="s">
        <v>89</v>
      </c>
      <c r="I46" s="99" t="s">
        <v>76</v>
      </c>
      <c r="J46" s="99" t="s">
        <v>69</v>
      </c>
      <c r="O46" s="78">
        <f>Output_Revenue!O74-Calc_LRMC_Tariff!O105</f>
        <v>15042.370156604458</v>
      </c>
      <c r="P46" s="78">
        <f>Output_Revenue!P74-Calc_LRMC_Tariff!P105</f>
        <v>12034.035900512619</v>
      </c>
      <c r="Q46" s="78">
        <f>Output_Revenue!Q74-Calc_LRMC_Tariff!Q105</f>
        <v>13090.389423066608</v>
      </c>
      <c r="R46" s="78">
        <f>Output_Revenue!R74-Calc_LRMC_Tariff!R105</f>
        <v>14257.337389516502</v>
      </c>
      <c r="S46" s="78">
        <f>Output_Revenue!S74-Calc_LRMC_Tariff!S105</f>
        <v>15421.536357201448</v>
      </c>
    </row>
    <row r="47" spans="1:19" s="6" customFormat="1" ht="11.25" customHeight="1" x14ac:dyDescent="0.2">
      <c r="D47" s="88" t="str">
        <v>HV Smart meter &lt;750MWh</v>
      </c>
      <c r="H47" s="95" t="s">
        <v>89</v>
      </c>
      <c r="I47" s="99" t="s">
        <v>76</v>
      </c>
      <c r="J47" s="99" t="s">
        <v>69</v>
      </c>
      <c r="O47" s="78">
        <f>Output_Revenue!O75-Calc_LRMC_Tariff!O106</f>
        <v>252.97368599999999</v>
      </c>
      <c r="P47" s="78">
        <f>Output_Revenue!P75-Calc_LRMC_Tariff!P106</f>
        <v>190.06556149960701</v>
      </c>
      <c r="Q47" s="78">
        <f>Output_Revenue!Q75-Calc_LRMC_Tariff!Q106</f>
        <v>195.06054825401054</v>
      </c>
      <c r="R47" s="78">
        <f>Output_Revenue!R75-Calc_LRMC_Tariff!R106</f>
        <v>200.8649198386712</v>
      </c>
      <c r="S47" s="78">
        <f>Output_Revenue!S75-Calc_LRMC_Tariff!S106</f>
        <v>206.58096991220705</v>
      </c>
    </row>
    <row r="48" spans="1:19" s="6" customFormat="1" ht="11.25" customHeight="1" x14ac:dyDescent="0.2">
      <c r="D48" s="88" t="str">
        <v>LV &gt;750MWh</v>
      </c>
      <c r="H48" s="95" t="s">
        <v>89</v>
      </c>
      <c r="I48" s="99" t="s">
        <v>76</v>
      </c>
      <c r="J48" s="99" t="s">
        <v>69</v>
      </c>
      <c r="O48" s="78">
        <f>Output_Revenue!O76-Calc_LRMC_Tariff!O107</f>
        <v>6189.4037585937558</v>
      </c>
      <c r="P48" s="78">
        <f>Output_Revenue!P76-Calc_LRMC_Tariff!P107</f>
        <v>4612.5869336060159</v>
      </c>
      <c r="Q48" s="78">
        <f>Output_Revenue!Q76-Calc_LRMC_Tariff!Q107</f>
        <v>4733.8072665012223</v>
      </c>
      <c r="R48" s="78">
        <f>Output_Revenue!R76-Calc_LRMC_Tariff!R107</f>
        <v>4874.6700736187277</v>
      </c>
      <c r="S48" s="78">
        <f>Output_Revenue!S76-Calc_LRMC_Tariff!S107</f>
        <v>5013.3894590402888</v>
      </c>
    </row>
    <row r="49" spans="1:19" s="6" customFormat="1" ht="11.25" customHeight="1" x14ac:dyDescent="0.2">
      <c r="D49" s="88" t="str">
        <v>HV &gt;750MWh</v>
      </c>
      <c r="H49" s="95" t="s">
        <v>89</v>
      </c>
      <c r="I49" s="99" t="s">
        <v>76</v>
      </c>
      <c r="J49" s="99" t="s">
        <v>69</v>
      </c>
      <c r="O49" s="78">
        <f>Output_Revenue!O77-Calc_LRMC_Tariff!O108</f>
        <v>8294.8178055999997</v>
      </c>
      <c r="P49" s="78">
        <f>Output_Revenue!P77-Calc_LRMC_Tariff!P108</f>
        <v>7263.4084670942502</v>
      </c>
      <c r="Q49" s="78">
        <f>Output_Revenue!Q77-Calc_LRMC_Tariff!Q108</f>
        <v>7454.2932796752693</v>
      </c>
      <c r="R49" s="78">
        <f>Output_Revenue!R77-Calc_LRMC_Tariff!R108</f>
        <v>7676.1089593888846</v>
      </c>
      <c r="S49" s="78">
        <f>Output_Revenue!S77-Calc_LRMC_Tariff!S108</f>
        <v>7894.5494079103328</v>
      </c>
    </row>
    <row r="50" spans="1:19" s="6" customFormat="1" ht="11.25" customHeight="1" x14ac:dyDescent="0.2"/>
    <row r="51" spans="1:19" s="6" customFormat="1" ht="11.25" customHeight="1" x14ac:dyDescent="0.2">
      <c r="D51" s="73" t="s">
        <v>88</v>
      </c>
      <c r="H51" s="67" t="s">
        <v>89</v>
      </c>
      <c r="I51" s="67" t="str">
        <f>Thousands</f>
        <v>$000's</v>
      </c>
      <c r="J51" s="67" t="str">
        <f>Nominal</f>
        <v>Nominal</v>
      </c>
      <c r="O51" s="80">
        <f>SUM(O43:O49)</f>
        <v>70754.842315129965</v>
      </c>
      <c r="P51" s="80">
        <f>SUM(P43:P49)</f>
        <v>52845.251263654369</v>
      </c>
      <c r="Q51" s="80">
        <f>SUM(Q43:Q49)</f>
        <v>53385.129728579144</v>
      </c>
      <c r="R51" s="80">
        <f>SUM(R43:R49)</f>
        <v>54097.173593496802</v>
      </c>
      <c r="S51" s="80">
        <f>SUM(S43:S49)</f>
        <v>54726.804950947677</v>
      </c>
    </row>
    <row r="52" spans="1:19" s="6" customFormat="1" ht="11.25" customHeight="1" x14ac:dyDescent="0.2"/>
    <row r="53" spans="1:19" s="6" customFormat="1" ht="11.25" hidden="1" customHeight="1" outlineLevel="1" x14ac:dyDescent="0.2">
      <c r="D53" s="96" t="s">
        <v>138</v>
      </c>
      <c r="E53" s="97"/>
      <c r="G53" s="97"/>
      <c r="H53" s="95" t="s">
        <v>89</v>
      </c>
      <c r="I53" s="99" t="s">
        <v>76</v>
      </c>
      <c r="J53" s="99" t="s">
        <v>69</v>
      </c>
      <c r="K53" s="74"/>
      <c r="O53" s="78">
        <f>Output_Revenue!O79-Calc_LRMC_Tariff!O110</f>
        <v>70754.842315129979</v>
      </c>
      <c r="P53" s="78">
        <f>Output_Revenue!P79-Calc_LRMC_Tariff!P110</f>
        <v>52845.251263654369</v>
      </c>
      <c r="Q53" s="78">
        <f>Output_Revenue!Q79-Calc_LRMC_Tariff!Q110</f>
        <v>53385.129728579144</v>
      </c>
      <c r="R53" s="78">
        <f>Output_Revenue!R79-Calc_LRMC_Tariff!R110</f>
        <v>54097.173593496802</v>
      </c>
      <c r="S53" s="78">
        <f>Output_Revenue!S79-Calc_LRMC_Tariff!S110</f>
        <v>54726.804950947684</v>
      </c>
    </row>
    <row r="54" spans="1:19" s="6" customFormat="1" ht="11.25" hidden="1" customHeight="1" outlineLevel="1" x14ac:dyDescent="0.2">
      <c r="A54" s="70">
        <f>IF(SUM($M54:$S54)=0,0,1)</f>
        <v>0</v>
      </c>
      <c r="D54" s="96" t="s">
        <v>92</v>
      </c>
      <c r="E54" s="97"/>
      <c r="F54" s="95"/>
      <c r="G54" s="97"/>
      <c r="H54" s="95"/>
      <c r="I54" s="99"/>
      <c r="J54" s="99"/>
      <c r="K54" s="74"/>
      <c r="O54" s="70">
        <f>IF(ROUND(O53-O51,2)=0,0,1)</f>
        <v>0</v>
      </c>
      <c r="P54" s="70">
        <f>IF(ROUND(P53-P51,2)=0,0,1)</f>
        <v>0</v>
      </c>
      <c r="Q54" s="70">
        <f>IF(ROUND(Q53-Q51,2)=0,0,1)</f>
        <v>0</v>
      </c>
      <c r="R54" s="70">
        <f>IF(ROUND(R53-R51,2)=0,0,1)</f>
        <v>0</v>
      </c>
      <c r="S54" s="70">
        <f>IF(ROUND(S53-S51,2)=0,0,1)</f>
        <v>0</v>
      </c>
    </row>
    <row r="55" spans="1:19" s="6" customFormat="1" ht="11.25" customHeight="1" collapsed="1" x14ac:dyDescent="0.2"/>
    <row r="56" spans="1:19" s="13" customFormat="1" ht="14" x14ac:dyDescent="0.2">
      <c r="C56" s="13" t="str">
        <f>Inputs_Prices!C43</f>
        <v>Demand</v>
      </c>
    </row>
    <row r="57" spans="1:19" s="6" customFormat="1" ht="11.25" customHeight="1" x14ac:dyDescent="0.2"/>
    <row r="58" spans="1:19" s="6" customFormat="1" ht="11.25" customHeight="1" x14ac:dyDescent="0.2">
      <c r="D58" s="83" t="s">
        <v>196</v>
      </c>
      <c r="H58" s="65" t="str">
        <f>Lookup!E$19</f>
        <v>Source</v>
      </c>
      <c r="I58" s="65" t="str">
        <f>Lookup!F$19</f>
        <v>Unit</v>
      </c>
      <c r="J58" s="65" t="str">
        <f>Lookup!G$19</f>
        <v>Basis</v>
      </c>
      <c r="L58" s="7"/>
      <c r="M58" s="7"/>
      <c r="N58" s="7"/>
      <c r="O58" s="65" t="str">
        <f>O$10</f>
        <v>FY20</v>
      </c>
      <c r="P58" s="65" t="str">
        <f>P$10</f>
        <v>FY21</v>
      </c>
      <c r="Q58" s="65" t="str">
        <f>Q$10</f>
        <v>FY22</v>
      </c>
      <c r="R58" s="65" t="str">
        <f>R$10</f>
        <v>FY23</v>
      </c>
      <c r="S58" s="65" t="str">
        <f>S$10</f>
        <v>FY24</v>
      </c>
    </row>
    <row r="59" spans="1:19" s="6" customFormat="1" ht="11.25" customHeight="1" x14ac:dyDescent="0.2">
      <c r="D59" s="3"/>
    </row>
    <row r="60" spans="1:19" s="6" customFormat="1" ht="11.25" customHeight="1" x14ac:dyDescent="0.2">
      <c r="D60" s="88" t="str">
        <f t="array" ref="D60:D66">Tariff_Assignment</f>
        <v>LV Residential Accumulation</v>
      </c>
      <c r="E60" s="97"/>
      <c r="F60" s="97"/>
      <c r="G60" s="97"/>
      <c r="H60" s="95" t="s">
        <v>89</v>
      </c>
      <c r="I60" s="99" t="s">
        <v>76</v>
      </c>
      <c r="J60" s="99" t="s">
        <v>69</v>
      </c>
      <c r="O60" s="78">
        <f>Output_Revenue!O88-Calc_LRMC_Tariff!O147</f>
        <v>0</v>
      </c>
      <c r="P60" s="78">
        <f>Output_Revenue!P88-Calc_LRMC_Tariff!P147</f>
        <v>0</v>
      </c>
      <c r="Q60" s="78">
        <f>Output_Revenue!Q88-Calc_LRMC_Tariff!Q147</f>
        <v>0</v>
      </c>
      <c r="R60" s="78">
        <f>Output_Revenue!R88-Calc_LRMC_Tariff!R147</f>
        <v>0</v>
      </c>
      <c r="S60" s="78">
        <f>Output_Revenue!S88-Calc_LRMC_Tariff!S147</f>
        <v>0</v>
      </c>
    </row>
    <row r="61" spans="1:19" s="6" customFormat="1" ht="11.25" customHeight="1" x14ac:dyDescent="0.2">
      <c r="D61" s="88" t="str">
        <v>LV Non-Residential Accumulation</v>
      </c>
      <c r="H61" s="95" t="s">
        <v>89</v>
      </c>
      <c r="I61" s="99" t="s">
        <v>76</v>
      </c>
      <c r="J61" s="99" t="s">
        <v>69</v>
      </c>
      <c r="O61" s="78">
        <f>Output_Revenue!O89-Calc_LRMC_Tariff!O148</f>
        <v>0</v>
      </c>
      <c r="P61" s="78">
        <f>Output_Revenue!P89-Calc_LRMC_Tariff!P148</f>
        <v>0</v>
      </c>
      <c r="Q61" s="78">
        <f>Output_Revenue!Q89-Calc_LRMC_Tariff!Q148</f>
        <v>0</v>
      </c>
      <c r="R61" s="78">
        <f>Output_Revenue!R89-Calc_LRMC_Tariff!R148</f>
        <v>0</v>
      </c>
      <c r="S61" s="78">
        <f>Output_Revenue!S89-Calc_LRMC_Tariff!S148</f>
        <v>0</v>
      </c>
    </row>
    <row r="62" spans="1:19" s="6" customFormat="1" ht="11.25" customHeight="1" x14ac:dyDescent="0.2">
      <c r="D62" s="88" t="str">
        <v>LV Unmetered</v>
      </c>
      <c r="H62" s="95" t="s">
        <v>89</v>
      </c>
      <c r="I62" s="99" t="s">
        <v>76</v>
      </c>
      <c r="J62" s="99" t="s">
        <v>69</v>
      </c>
      <c r="O62" s="78">
        <f>Output_Revenue!O90-Calc_LRMC_Tariff!O149</f>
        <v>0</v>
      </c>
      <c r="P62" s="78">
        <f>Output_Revenue!P90-Calc_LRMC_Tariff!P149</f>
        <v>0</v>
      </c>
      <c r="Q62" s="78">
        <f>Output_Revenue!Q90-Calc_LRMC_Tariff!Q149</f>
        <v>0</v>
      </c>
      <c r="R62" s="78">
        <f>Output_Revenue!R90-Calc_LRMC_Tariff!R149</f>
        <v>0</v>
      </c>
      <c r="S62" s="78">
        <f>Output_Revenue!S90-Calc_LRMC_Tariff!S149</f>
        <v>0</v>
      </c>
    </row>
    <row r="63" spans="1:19" s="6" customFormat="1" ht="11.25" customHeight="1" x14ac:dyDescent="0.2">
      <c r="D63" s="88" t="str">
        <v>LV Smart meter</v>
      </c>
      <c r="H63" s="95" t="s">
        <v>89</v>
      </c>
      <c r="I63" s="99" t="s">
        <v>76</v>
      </c>
      <c r="J63" s="99" t="s">
        <v>69</v>
      </c>
      <c r="O63" s="78">
        <f>Output_Revenue!O91-Calc_LRMC_Tariff!O150</f>
        <v>13533.014068106186</v>
      </c>
      <c r="P63" s="78">
        <f>Output_Revenue!P91-Calc_LRMC_Tariff!P150</f>
        <v>10111.98286172436</v>
      </c>
      <c r="Q63" s="78">
        <f>Output_Revenue!Q91-Calc_LRMC_Tariff!Q150</f>
        <v>11064.633009359533</v>
      </c>
      <c r="R63" s="78">
        <f>Output_Revenue!R91-Calc_LRMC_Tariff!R150</f>
        <v>12175.080833605862</v>
      </c>
      <c r="S63" s="78">
        <f>Output_Revenue!S91-Calc_LRMC_Tariff!S150</f>
        <v>13279.666263965895</v>
      </c>
    </row>
    <row r="64" spans="1:19" s="6" customFormat="1" ht="11.25" customHeight="1" x14ac:dyDescent="0.2">
      <c r="D64" s="88" t="str">
        <v>HV Smart meter &lt;750MWh</v>
      </c>
      <c r="H64" s="95" t="s">
        <v>89</v>
      </c>
      <c r="I64" s="99" t="s">
        <v>76</v>
      </c>
      <c r="J64" s="99" t="s">
        <v>69</v>
      </c>
      <c r="O64" s="78">
        <f>Output_Revenue!O92-Calc_LRMC_Tariff!O151</f>
        <v>51.504695542372929</v>
      </c>
      <c r="P64" s="78">
        <f>Output_Revenue!P92-Calc_LRMC_Tariff!P151</f>
        <v>0</v>
      </c>
      <c r="Q64" s="78">
        <f>Output_Revenue!Q92-Calc_LRMC_Tariff!Q151</f>
        <v>3.9223728143818448</v>
      </c>
      <c r="R64" s="78">
        <f>Output_Revenue!R92-Calc_LRMC_Tariff!R151</f>
        <v>9.0814158011817767</v>
      </c>
      <c r="S64" s="78">
        <f>Output_Revenue!S92-Calc_LRMC_Tariff!S151</f>
        <v>13.621366484795658</v>
      </c>
    </row>
    <row r="65" spans="1:19" s="6" customFormat="1" ht="11.25" customHeight="1" x14ac:dyDescent="0.2">
      <c r="D65" s="88" t="str">
        <v>LV &gt;750MWh</v>
      </c>
      <c r="H65" s="95" t="s">
        <v>89</v>
      </c>
      <c r="I65" s="99" t="s">
        <v>76</v>
      </c>
      <c r="J65" s="99" t="s">
        <v>69</v>
      </c>
      <c r="O65" s="78">
        <f>Output_Revenue!O93-Calc_LRMC_Tariff!O152</f>
        <v>-4064.750022881909</v>
      </c>
      <c r="P65" s="78">
        <f>Output_Revenue!P93-Calc_LRMC_Tariff!P152</f>
        <v>-3396.9704917354329</v>
      </c>
      <c r="Q65" s="78">
        <f>Output_Revenue!Q93-Calc_LRMC_Tariff!Q152</f>
        <v>-3338.681166944596</v>
      </c>
      <c r="R65" s="78">
        <f>Output_Revenue!R93-Calc_LRMC_Tariff!R152</f>
        <v>-3266.1795652555484</v>
      </c>
      <c r="S65" s="78">
        <f>Output_Revenue!S93-Calc_LRMC_Tariff!S152</f>
        <v>-3223.7085743357584</v>
      </c>
    </row>
    <row r="66" spans="1:19" s="6" customFormat="1" ht="11.25" customHeight="1" x14ac:dyDescent="0.2">
      <c r="D66" s="88" t="str">
        <v>HV &gt;750MWh</v>
      </c>
      <c r="H66" s="95" t="s">
        <v>89</v>
      </c>
      <c r="I66" s="99" t="s">
        <v>76</v>
      </c>
      <c r="J66" s="99" t="s">
        <v>69</v>
      </c>
      <c r="O66" s="78">
        <f>Output_Revenue!O94-Calc_LRMC_Tariff!O153</f>
        <v>38.222096481355948</v>
      </c>
      <c r="P66" s="78">
        <f>Output_Revenue!P94-Calc_LRMC_Tariff!P153</f>
        <v>0</v>
      </c>
      <c r="Q66" s="78">
        <f>Output_Revenue!Q94-Calc_LRMC_Tariff!Q153</f>
        <v>73.045896753293164</v>
      </c>
      <c r="R66" s="78">
        <f>Output_Revenue!R94-Calc_LRMC_Tariff!R153</f>
        <v>168.56720968146328</v>
      </c>
      <c r="S66" s="78">
        <f>Output_Revenue!S94-Calc_LRMC_Tariff!S153</f>
        <v>252.78445762685624</v>
      </c>
    </row>
    <row r="67" spans="1:19" s="6" customFormat="1" ht="11.25" customHeight="1" x14ac:dyDescent="0.2"/>
    <row r="68" spans="1:19" s="6" customFormat="1" ht="11.25" customHeight="1" x14ac:dyDescent="0.2">
      <c r="D68" s="73" t="s">
        <v>88</v>
      </c>
      <c r="H68" s="67" t="s">
        <v>89</v>
      </c>
      <c r="I68" s="67" t="str">
        <f>Thousands</f>
        <v>$000's</v>
      </c>
      <c r="J68" s="67" t="str">
        <f>Nominal</f>
        <v>Nominal</v>
      </c>
      <c r="O68" s="80">
        <f>SUM(O60:O66)</f>
        <v>9557.9908372480058</v>
      </c>
      <c r="P68" s="80">
        <f>SUM(P60:P66)</f>
        <v>6715.0123699889273</v>
      </c>
      <c r="Q68" s="80">
        <f>SUM(Q60:Q66)</f>
        <v>7802.920111982613</v>
      </c>
      <c r="R68" s="80">
        <f>SUM(R60:R66)</f>
        <v>9086.5498938329583</v>
      </c>
      <c r="S68" s="80">
        <f>SUM(S60:S66)</f>
        <v>10322.36351374179</v>
      </c>
    </row>
    <row r="69" spans="1:19" s="6" customFormat="1" ht="11.25" customHeight="1" x14ac:dyDescent="0.2"/>
    <row r="70" spans="1:19" s="6" customFormat="1" ht="11.25" hidden="1" customHeight="1" outlineLevel="1" x14ac:dyDescent="0.2">
      <c r="D70" s="96" t="s">
        <v>138</v>
      </c>
      <c r="E70" s="97"/>
      <c r="G70" s="97"/>
      <c r="H70" s="95" t="s">
        <v>89</v>
      </c>
      <c r="I70" s="99" t="s">
        <v>76</v>
      </c>
      <c r="J70" s="99" t="s">
        <v>69</v>
      </c>
      <c r="K70" s="74"/>
      <c r="O70" s="78">
        <f>Output_Revenue!O96-Calc_LRMC_Tariff!O155</f>
        <v>9557.9908372480022</v>
      </c>
      <c r="P70" s="78">
        <f>Output_Revenue!P96-Calc_LRMC_Tariff!P155</f>
        <v>6715.01236998893</v>
      </c>
      <c r="Q70" s="78">
        <f>Output_Revenue!Q96-Calc_LRMC_Tariff!Q155</f>
        <v>7802.9201119826103</v>
      </c>
      <c r="R70" s="78">
        <f>Output_Revenue!R96-Calc_LRMC_Tariff!R155</f>
        <v>9086.5498938329547</v>
      </c>
      <c r="S70" s="78">
        <f>Output_Revenue!S96-Calc_LRMC_Tariff!S155</f>
        <v>10322.363513741784</v>
      </c>
    </row>
    <row r="71" spans="1:19" s="6" customFormat="1" ht="11.25" hidden="1" customHeight="1" outlineLevel="1" x14ac:dyDescent="0.2">
      <c r="A71" s="70">
        <f>IF(SUM($M71:$S71)=0,0,1)</f>
        <v>0</v>
      </c>
      <c r="D71" s="96" t="s">
        <v>92</v>
      </c>
      <c r="E71" s="97"/>
      <c r="F71" s="95"/>
      <c r="G71" s="97"/>
      <c r="H71" s="95"/>
      <c r="I71" s="99"/>
      <c r="J71" s="99"/>
      <c r="K71" s="74"/>
      <c r="O71" s="70">
        <f>IF(ROUND(O70-O68,2)=0,0,1)</f>
        <v>0</v>
      </c>
      <c r="P71" s="70">
        <f>IF(ROUND(P70-P68,2)=0,0,1)</f>
        <v>0</v>
      </c>
      <c r="Q71" s="70">
        <f>IF(ROUND(Q70-Q68,2)=0,0,1)</f>
        <v>0</v>
      </c>
      <c r="R71" s="70">
        <f>IF(ROUND(R70-R68,2)=0,0,1)</f>
        <v>0</v>
      </c>
      <c r="S71" s="70">
        <f>IF(ROUND(S70-S68,2)=0,0,1)</f>
        <v>0</v>
      </c>
    </row>
    <row r="72" spans="1:19" s="6" customFormat="1" ht="11.25" customHeight="1" collapsed="1" x14ac:dyDescent="0.2"/>
    <row r="73" spans="1:19" s="13" customFormat="1" ht="14" x14ac:dyDescent="0.2">
      <c r="C73" s="13" t="s">
        <v>88</v>
      </c>
    </row>
    <row r="74" spans="1:19" s="6" customFormat="1" ht="11.25" customHeight="1" x14ac:dyDescent="0.2"/>
    <row r="75" spans="1:19" s="6" customFormat="1" ht="11.25" customHeight="1" x14ac:dyDescent="0.2">
      <c r="D75" s="83" t="s">
        <v>196</v>
      </c>
      <c r="H75" s="65" t="str">
        <f>Lookup!E$19</f>
        <v>Source</v>
      </c>
      <c r="I75" s="65" t="str">
        <f>Lookup!F$19</f>
        <v>Unit</v>
      </c>
      <c r="J75" s="65" t="str">
        <f>Lookup!G$19</f>
        <v>Basis</v>
      </c>
      <c r="L75" s="7"/>
      <c r="M75" s="7"/>
      <c r="N75" s="7"/>
      <c r="O75" s="65" t="str">
        <f>O$10</f>
        <v>FY20</v>
      </c>
      <c r="P75" s="65" t="str">
        <f>P$10</f>
        <v>FY21</v>
      </c>
      <c r="Q75" s="65" t="str">
        <f>Q$10</f>
        <v>FY22</v>
      </c>
      <c r="R75" s="65" t="str">
        <f>R$10</f>
        <v>FY23</v>
      </c>
      <c r="S75" s="65" t="str">
        <f>S$10</f>
        <v>FY24</v>
      </c>
    </row>
    <row r="76" spans="1:19" s="6" customFormat="1" ht="11.25" customHeight="1" x14ac:dyDescent="0.2">
      <c r="D76" s="3"/>
    </row>
    <row r="77" spans="1:19" s="6" customFormat="1" ht="11.25" customHeight="1" x14ac:dyDescent="0.2">
      <c r="D77" s="88" t="str">
        <f t="array" ref="D77:D83">Tariff_Assignment</f>
        <v>LV Residential Accumulation</v>
      </c>
      <c r="E77" s="97"/>
      <c r="F77" s="97"/>
      <c r="G77" s="97"/>
      <c r="H77" s="95" t="s">
        <v>89</v>
      </c>
      <c r="I77" s="99" t="s">
        <v>76</v>
      </c>
      <c r="J77" s="99" t="s">
        <v>69</v>
      </c>
      <c r="O77" s="78">
        <f t="shared" ref="O77:S83" si="0">O26+O43+O60</f>
        <v>50577.290068382732</v>
      </c>
      <c r="P77" s="78">
        <f t="shared" si="0"/>
        <v>45149.996067791159</v>
      </c>
      <c r="Q77" s="78">
        <f t="shared" si="0"/>
        <v>44182.653697739894</v>
      </c>
      <c r="R77" s="78">
        <f t="shared" si="0"/>
        <v>43140.6446628048</v>
      </c>
      <c r="S77" s="78">
        <f t="shared" si="0"/>
        <v>42033.960234913247</v>
      </c>
    </row>
    <row r="78" spans="1:19" s="6" customFormat="1" ht="11.25" customHeight="1" x14ac:dyDescent="0.2">
      <c r="D78" s="88" t="str">
        <v>LV Non-Residential Accumulation</v>
      </c>
      <c r="H78" s="95" t="s">
        <v>89</v>
      </c>
      <c r="I78" s="99" t="s">
        <v>76</v>
      </c>
      <c r="J78" s="99" t="s">
        <v>69</v>
      </c>
      <c r="O78" s="78">
        <f t="shared" si="0"/>
        <v>8797.9577424621675</v>
      </c>
      <c r="P78" s="78">
        <f t="shared" si="0"/>
        <v>7774.6930675727044</v>
      </c>
      <c r="Q78" s="78">
        <f t="shared" si="0"/>
        <v>7602.361976371616</v>
      </c>
      <c r="R78" s="78">
        <f t="shared" si="0"/>
        <v>7442.1395923026466</v>
      </c>
      <c r="S78" s="78">
        <f t="shared" si="0"/>
        <v>7274.7667050204645</v>
      </c>
    </row>
    <row r="79" spans="1:19" s="6" customFormat="1" ht="11.25" customHeight="1" x14ac:dyDescent="0.2">
      <c r="D79" s="88" t="str">
        <v>LV Unmetered</v>
      </c>
      <c r="H79" s="95" t="s">
        <v>89</v>
      </c>
      <c r="I79" s="99" t="s">
        <v>76</v>
      </c>
      <c r="J79" s="99" t="s">
        <v>69</v>
      </c>
      <c r="O79" s="78">
        <f t="shared" si="0"/>
        <v>501.74810895390215</v>
      </c>
      <c r="P79" s="78">
        <f t="shared" si="0"/>
        <v>446.94144787802077</v>
      </c>
      <c r="Q79" s="78">
        <f t="shared" si="0"/>
        <v>471.16945506932166</v>
      </c>
      <c r="R79" s="78">
        <f t="shared" si="0"/>
        <v>500.23637810719117</v>
      </c>
      <c r="S79" s="78">
        <f t="shared" si="0"/>
        <v>528.32109730481216</v>
      </c>
    </row>
    <row r="80" spans="1:19" s="6" customFormat="1" ht="11.25" customHeight="1" x14ac:dyDescent="0.2">
      <c r="D80" s="88" t="str">
        <v>LV Smart meter</v>
      </c>
      <c r="H80" s="95" t="s">
        <v>89</v>
      </c>
      <c r="I80" s="99" t="s">
        <v>76</v>
      </c>
      <c r="J80" s="99" t="s">
        <v>69</v>
      </c>
      <c r="O80" s="78">
        <f t="shared" si="0"/>
        <v>35881.791625210644</v>
      </c>
      <c r="P80" s="78">
        <f t="shared" si="0"/>
        <v>32468.31676223698</v>
      </c>
      <c r="Q80" s="78">
        <f t="shared" si="0"/>
        <v>37238.134285743145</v>
      </c>
      <c r="R80" s="78">
        <f t="shared" si="0"/>
        <v>42428.510274807639</v>
      </c>
      <c r="S80" s="78">
        <f t="shared" si="0"/>
        <v>47737.73962582794</v>
      </c>
    </row>
    <row r="81" spans="1:19" s="6" customFormat="1" ht="11.25" customHeight="1" x14ac:dyDescent="0.2">
      <c r="D81" s="88" t="str">
        <v>HV Smart meter &lt;750MWh</v>
      </c>
      <c r="H81" s="95" t="s">
        <v>89</v>
      </c>
      <c r="I81" s="99" t="s">
        <v>76</v>
      </c>
      <c r="J81" s="99" t="s">
        <v>69</v>
      </c>
      <c r="O81" s="78">
        <f t="shared" si="0"/>
        <v>318.80728154237289</v>
      </c>
      <c r="P81" s="78">
        <f t="shared" si="0"/>
        <v>205.93391766399057</v>
      </c>
      <c r="Q81" s="78">
        <f t="shared" si="0"/>
        <v>215.42518807017319</v>
      </c>
      <c r="R81" s="78">
        <f t="shared" si="0"/>
        <v>227.03443844719675</v>
      </c>
      <c r="S81" s="78">
        <f t="shared" si="0"/>
        <v>237.97696071564792</v>
      </c>
    </row>
    <row r="82" spans="1:19" s="6" customFormat="1" ht="11.25" customHeight="1" x14ac:dyDescent="0.2">
      <c r="D82" s="88" t="str">
        <v>LV &gt;750MWh</v>
      </c>
      <c r="H82" s="95" t="s">
        <v>89</v>
      </c>
      <c r="I82" s="99" t="s">
        <v>76</v>
      </c>
      <c r="J82" s="99" t="s">
        <v>69</v>
      </c>
      <c r="O82" s="78">
        <f t="shared" si="0"/>
        <v>6454.4337357118466</v>
      </c>
      <c r="P82" s="78">
        <f t="shared" si="0"/>
        <v>5686.6612111856512</v>
      </c>
      <c r="Q82" s="78">
        <f t="shared" si="0"/>
        <v>6162.883560475515</v>
      </c>
      <c r="R82" s="78">
        <f t="shared" si="0"/>
        <v>6619.6452789822015</v>
      </c>
      <c r="S82" s="78">
        <f t="shared" si="0"/>
        <v>7085.6755116033873</v>
      </c>
    </row>
    <row r="83" spans="1:19" s="6" customFormat="1" ht="11.25" customHeight="1" x14ac:dyDescent="0.2">
      <c r="D83" s="88" t="str">
        <v>HV &gt;750MWh</v>
      </c>
      <c r="H83" s="95" t="s">
        <v>89</v>
      </c>
      <c r="I83" s="99" t="s">
        <v>76</v>
      </c>
      <c r="J83" s="99" t="s">
        <v>69</v>
      </c>
      <c r="O83" s="78">
        <f t="shared" si="0"/>
        <v>9280.9799020813552</v>
      </c>
      <c r="P83" s="78">
        <f t="shared" si="0"/>
        <v>8442.1791520257575</v>
      </c>
      <c r="Q83" s="78">
        <f t="shared" si="0"/>
        <v>8780.9776160919864</v>
      </c>
      <c r="R83" s="78">
        <f t="shared" si="0"/>
        <v>9181.0575930430896</v>
      </c>
      <c r="S83" s="78">
        <f t="shared" si="0"/>
        <v>9571.7274962216816</v>
      </c>
    </row>
    <row r="84" spans="1:19" s="6" customFormat="1" ht="11.25" customHeight="1" x14ac:dyDescent="0.2"/>
    <row r="85" spans="1:19" s="6" customFormat="1" ht="11.25" customHeight="1" x14ac:dyDescent="0.2">
      <c r="D85" s="73" t="s">
        <v>88</v>
      </c>
      <c r="H85" s="67" t="s">
        <v>89</v>
      </c>
      <c r="I85" s="67" t="str">
        <f>Thousands</f>
        <v>$000's</v>
      </c>
      <c r="J85" s="67" t="str">
        <f>Nominal</f>
        <v>Nominal</v>
      </c>
      <c r="O85" s="80">
        <f>SUM(O77:O83)</f>
        <v>111813.00846434501</v>
      </c>
      <c r="P85" s="80">
        <f>SUM(P77:P83)</f>
        <v>100174.72162635427</v>
      </c>
      <c r="Q85" s="80">
        <f>SUM(Q77:Q83)</f>
        <v>104653.60577956165</v>
      </c>
      <c r="R85" s="80">
        <f>SUM(R77:R83)</f>
        <v>109539.26821849478</v>
      </c>
      <c r="S85" s="80">
        <f>SUM(S77:S83)</f>
        <v>114470.16763160718</v>
      </c>
    </row>
    <row r="86" spans="1:19" s="6" customFormat="1" ht="11.25" customHeight="1" x14ac:dyDescent="0.2"/>
    <row r="87" spans="1:19" s="6" customFormat="1" ht="11.25" hidden="1" customHeight="1" outlineLevel="1" x14ac:dyDescent="0.2">
      <c r="D87" s="96" t="s">
        <v>138</v>
      </c>
      <c r="E87" s="97"/>
      <c r="G87" s="97"/>
      <c r="H87" s="95" t="s">
        <v>89</v>
      </c>
      <c r="I87" s="99" t="s">
        <v>76</v>
      </c>
      <c r="J87" s="99" t="s">
        <v>69</v>
      </c>
      <c r="K87" s="74"/>
      <c r="O87" s="78">
        <f>O34+O51+O68</f>
        <v>111813.00846434501</v>
      </c>
      <c r="P87" s="78">
        <f>P34+P51+P68</f>
        <v>100174.72162635427</v>
      </c>
      <c r="Q87" s="78">
        <f>Q34+Q51+Q68</f>
        <v>104653.60577956167</v>
      </c>
      <c r="R87" s="78">
        <f>R34+R51+R68</f>
        <v>109539.26821849476</v>
      </c>
      <c r="S87" s="78">
        <f>S34+S51+S68</f>
        <v>114470.16763160717</v>
      </c>
    </row>
    <row r="88" spans="1:19" s="6" customFormat="1" ht="11.25" hidden="1" customHeight="1" outlineLevel="1" x14ac:dyDescent="0.2">
      <c r="A88" s="70">
        <f>IF(SUM($M88:$S88)=0,0,1)</f>
        <v>0</v>
      </c>
      <c r="D88" s="96" t="s">
        <v>92</v>
      </c>
      <c r="E88" s="97"/>
      <c r="F88" s="95"/>
      <c r="G88" s="97"/>
      <c r="H88" s="95"/>
      <c r="I88" s="99"/>
      <c r="J88" s="99"/>
      <c r="K88" s="74"/>
      <c r="O88" s="70">
        <f>IF(ROUND(O87-O85,2)=0,0,1)</f>
        <v>0</v>
      </c>
      <c r="P88" s="70">
        <f>IF(ROUND(P87-P85,2)=0,0,1)</f>
        <v>0</v>
      </c>
      <c r="Q88" s="70">
        <f>IF(ROUND(Q87-Q85,2)=0,0,1)</f>
        <v>0</v>
      </c>
      <c r="R88" s="70">
        <f>IF(ROUND(R87-R85,2)=0,0,1)</f>
        <v>0</v>
      </c>
      <c r="S88" s="70">
        <f>IF(ROUND(S87-S85,2)=0,0,1)</f>
        <v>0</v>
      </c>
    </row>
    <row r="89" spans="1:19" s="6" customFormat="1" ht="11.25" customHeight="1" collapsed="1" x14ac:dyDescent="0.2"/>
    <row r="90" spans="1:19" s="4" customFormat="1" ht="15.5" x14ac:dyDescent="0.2">
      <c r="B90" s="4" t="s">
        <v>233</v>
      </c>
    </row>
    <row r="91" spans="1:19" s="6" customFormat="1" ht="11.25" customHeight="1" x14ac:dyDescent="0.2"/>
    <row r="92" spans="1:19" s="6" customFormat="1" ht="11.25" customHeight="1" x14ac:dyDescent="0.2">
      <c r="D92" s="124" t="s">
        <v>232</v>
      </c>
    </row>
    <row r="93" spans="1:19" s="6" customFormat="1" ht="11.25" customHeight="1" x14ac:dyDescent="0.2"/>
    <row r="94" spans="1:19" s="6" customFormat="1" ht="11.25" customHeight="1" x14ac:dyDescent="0.2"/>
    <row r="95" spans="1:19" s="13" customFormat="1" ht="14" x14ac:dyDescent="0.2">
      <c r="C95" s="13" t="s">
        <v>228</v>
      </c>
    </row>
    <row r="96" spans="1:19" s="6" customFormat="1" ht="11.25" customHeight="1" x14ac:dyDescent="0.2"/>
    <row r="97" spans="1:19" s="6" customFormat="1" ht="11.25" customHeight="1" x14ac:dyDescent="0.2">
      <c r="D97" s="83" t="s">
        <v>196</v>
      </c>
      <c r="H97" s="65" t="str">
        <f>Lookup!E$19</f>
        <v>Source</v>
      </c>
      <c r="I97" s="65" t="str">
        <f>Lookup!F$19</f>
        <v>Unit</v>
      </c>
      <c r="L97" s="7"/>
      <c r="M97" s="7"/>
      <c r="N97" s="65"/>
      <c r="O97" s="65" t="str">
        <f>O$10</f>
        <v>FY20</v>
      </c>
      <c r="P97" s="65" t="str">
        <f>P$10</f>
        <v>FY21</v>
      </c>
      <c r="Q97" s="65" t="str">
        <f>Q$10</f>
        <v>FY22</v>
      </c>
      <c r="R97" s="65" t="str">
        <f>R$10</f>
        <v>FY23</v>
      </c>
      <c r="S97" s="65" t="str">
        <f>S$10</f>
        <v>FY24</v>
      </c>
    </row>
    <row r="98" spans="1:19" s="6" customFormat="1" ht="11.25" customHeight="1" x14ac:dyDescent="0.2">
      <c r="D98" s="3"/>
    </row>
    <row r="99" spans="1:19" s="6" customFormat="1" ht="11.25" customHeight="1" x14ac:dyDescent="0.2">
      <c r="D99" s="88" t="str">
        <f t="array" ref="D99:D105">Tariff_Assignment</f>
        <v>LV Residential Accumulation</v>
      </c>
      <c r="E99" s="97"/>
      <c r="F99" s="97"/>
      <c r="G99" s="97"/>
      <c r="H99" s="95" t="s">
        <v>89</v>
      </c>
      <c r="I99" s="99" t="s">
        <v>72</v>
      </c>
      <c r="N99" s="85"/>
      <c r="O99" s="263">
        <f t="shared" ref="O99:S105" si="1">O77/O$85</f>
        <v>0.45233815602511801</v>
      </c>
      <c r="P99" s="85">
        <f t="shared" si="1"/>
        <v>0.45071246852272723</v>
      </c>
      <c r="Q99" s="85">
        <f t="shared" si="1"/>
        <v>0.42217994658305941</v>
      </c>
      <c r="R99" s="85">
        <f t="shared" si="1"/>
        <v>0.39383725457023699</v>
      </c>
      <c r="S99" s="85">
        <f t="shared" si="1"/>
        <v>0.36720449619842216</v>
      </c>
    </row>
    <row r="100" spans="1:19" s="6" customFormat="1" ht="11.25" customHeight="1" x14ac:dyDescent="0.2">
      <c r="D100" s="88" t="str">
        <v>LV Non-Residential Accumulation</v>
      </c>
      <c r="H100" s="95" t="s">
        <v>89</v>
      </c>
      <c r="I100" s="99" t="s">
        <v>72</v>
      </c>
      <c r="N100" s="85"/>
      <c r="O100" s="263">
        <f t="shared" si="1"/>
        <v>7.8684563301663291E-2</v>
      </c>
      <c r="P100" s="85">
        <f t="shared" si="1"/>
        <v>7.7611326903126776E-2</v>
      </c>
      <c r="Q100" s="85">
        <f t="shared" si="1"/>
        <v>7.2643096429806153E-2</v>
      </c>
      <c r="R100" s="85">
        <f t="shared" si="1"/>
        <v>6.7940380772473566E-2</v>
      </c>
      <c r="S100" s="85">
        <f t="shared" si="1"/>
        <v>6.3551638435897395E-2</v>
      </c>
    </row>
    <row r="101" spans="1:19" s="6" customFormat="1" ht="11.25" customHeight="1" x14ac:dyDescent="0.2">
      <c r="D101" s="88" t="str">
        <v>LV Unmetered</v>
      </c>
      <c r="H101" s="95" t="s">
        <v>89</v>
      </c>
      <c r="I101" s="99" t="s">
        <v>72</v>
      </c>
      <c r="N101" s="85"/>
      <c r="O101" s="263">
        <f t="shared" si="1"/>
        <v>4.4873858224993551E-3</v>
      </c>
      <c r="P101" s="85">
        <f t="shared" si="1"/>
        <v>4.4616190653874307E-3</v>
      </c>
      <c r="Q101" s="85">
        <f t="shared" si="1"/>
        <v>4.5021808045656352E-3</v>
      </c>
      <c r="R101" s="85">
        <f t="shared" si="1"/>
        <v>4.5667310567511213E-3</v>
      </c>
      <c r="S101" s="85">
        <f t="shared" si="1"/>
        <v>4.6153605628068773E-3</v>
      </c>
    </row>
    <row r="102" spans="1:19" s="6" customFormat="1" ht="11.25" customHeight="1" x14ac:dyDescent="0.2">
      <c r="D102" s="88" t="str">
        <v>LV Smart meter</v>
      </c>
      <c r="H102" s="95" t="s">
        <v>89</v>
      </c>
      <c r="I102" s="99" t="s">
        <v>72</v>
      </c>
      <c r="N102" s="85"/>
      <c r="O102" s="263">
        <f t="shared" si="1"/>
        <v>0.32090891854191234</v>
      </c>
      <c r="P102" s="85">
        <f t="shared" si="1"/>
        <v>0.32411686536391748</v>
      </c>
      <c r="Q102" s="85">
        <f t="shared" si="1"/>
        <v>0.35582275458506535</v>
      </c>
      <c r="R102" s="85">
        <f t="shared" si="1"/>
        <v>0.38733607559050631</v>
      </c>
      <c r="S102" s="85">
        <f t="shared" si="1"/>
        <v>0.41703214569807906</v>
      </c>
    </row>
    <row r="103" spans="1:19" s="6" customFormat="1" ht="11.25" customHeight="1" x14ac:dyDescent="0.2">
      <c r="D103" s="88" t="str">
        <v>HV Smart meter &lt;750MWh</v>
      </c>
      <c r="H103" s="95" t="s">
        <v>89</v>
      </c>
      <c r="I103" s="99" t="s">
        <v>72</v>
      </c>
      <c r="N103" s="85"/>
      <c r="O103" s="263">
        <f t="shared" si="1"/>
        <v>2.8512539455016481E-3</v>
      </c>
      <c r="P103" s="85">
        <f t="shared" si="1"/>
        <v>2.0557473414511878E-3</v>
      </c>
      <c r="Q103" s="85">
        <f t="shared" si="1"/>
        <v>2.0584592997582572E-3</v>
      </c>
      <c r="R103" s="85">
        <f t="shared" si="1"/>
        <v>2.0726305930247571E-3</v>
      </c>
      <c r="S103" s="85">
        <f t="shared" si="1"/>
        <v>2.0789430612307268E-3</v>
      </c>
    </row>
    <row r="104" spans="1:19" s="6" customFormat="1" ht="11.25" customHeight="1" x14ac:dyDescent="0.2">
      <c r="D104" s="88" t="str">
        <v>LV &gt;750MWh</v>
      </c>
      <c r="H104" s="95" t="s">
        <v>89</v>
      </c>
      <c r="I104" s="99" t="s">
        <v>72</v>
      </c>
      <c r="N104" s="85"/>
      <c r="O104" s="263">
        <f t="shared" si="1"/>
        <v>5.7725248827107979E-2</v>
      </c>
      <c r="P104" s="85">
        <f t="shared" si="1"/>
        <v>5.6767427139918177E-2</v>
      </c>
      <c r="Q104" s="85">
        <f t="shared" si="1"/>
        <v>5.8888401546878154E-2</v>
      </c>
      <c r="R104" s="85">
        <f t="shared" si="1"/>
        <v>6.0431709894009776E-2</v>
      </c>
      <c r="S104" s="85">
        <f t="shared" si="1"/>
        <v>6.1899756575938748E-2</v>
      </c>
    </row>
    <row r="105" spans="1:19" s="6" customFormat="1" ht="11.25" customHeight="1" x14ac:dyDescent="0.2">
      <c r="D105" s="88" t="str">
        <v>HV &gt;750MWh</v>
      </c>
      <c r="H105" s="95" t="s">
        <v>89</v>
      </c>
      <c r="I105" s="99" t="s">
        <v>72</v>
      </c>
      <c r="N105" s="85"/>
      <c r="O105" s="263">
        <f t="shared" si="1"/>
        <v>8.3004473536197526E-2</v>
      </c>
      <c r="P105" s="85">
        <f t="shared" si="1"/>
        <v>8.4274545663471687E-2</v>
      </c>
      <c r="Q105" s="85">
        <f t="shared" si="1"/>
        <v>8.3905160750867028E-2</v>
      </c>
      <c r="R105" s="85">
        <f t="shared" si="1"/>
        <v>8.3815217522997351E-2</v>
      </c>
      <c r="S105" s="85">
        <f t="shared" si="1"/>
        <v>8.3617659467625019E-2</v>
      </c>
    </row>
    <row r="106" spans="1:19" s="6" customFormat="1" ht="11.25" customHeight="1" x14ac:dyDescent="0.2"/>
    <row r="107" spans="1:19" s="6" customFormat="1" ht="11.25" customHeight="1" x14ac:dyDescent="0.2">
      <c r="D107" s="73" t="s">
        <v>88</v>
      </c>
      <c r="H107" s="67" t="s">
        <v>89</v>
      </c>
      <c r="I107" s="67" t="s">
        <v>72</v>
      </c>
      <c r="N107" s="86"/>
      <c r="O107" s="86">
        <f>SUM(O99:O105)</f>
        <v>1.0000000000000002</v>
      </c>
      <c r="P107" s="86">
        <f>SUM(P99:P105)</f>
        <v>1</v>
      </c>
      <c r="Q107" s="86">
        <f>SUM(Q99:Q105)</f>
        <v>1</v>
      </c>
      <c r="R107" s="86">
        <f>SUM(R99:R105)</f>
        <v>0.99999999999999989</v>
      </c>
      <c r="S107" s="86">
        <f>SUM(S99:S105)</f>
        <v>0.99999999999999989</v>
      </c>
    </row>
    <row r="108" spans="1:19" s="6" customFormat="1" ht="11.25" customHeight="1" x14ac:dyDescent="0.2"/>
    <row r="109" spans="1:19" s="6" customFormat="1" ht="11.25" hidden="1" customHeight="1" outlineLevel="1" x14ac:dyDescent="0.2">
      <c r="D109" s="96" t="s">
        <v>138</v>
      </c>
      <c r="E109" s="97"/>
      <c r="G109" s="97"/>
      <c r="H109" s="95" t="s">
        <v>89</v>
      </c>
      <c r="I109" s="99" t="s">
        <v>72</v>
      </c>
      <c r="O109" s="131">
        <v>1</v>
      </c>
      <c r="P109" s="131">
        <v>1</v>
      </c>
      <c r="Q109" s="131">
        <v>1</v>
      </c>
      <c r="R109" s="131">
        <v>1</v>
      </c>
      <c r="S109" s="131">
        <v>1</v>
      </c>
    </row>
    <row r="110" spans="1:19" s="6" customFormat="1" ht="11.25" hidden="1" customHeight="1" outlineLevel="1" x14ac:dyDescent="0.2">
      <c r="A110" s="70">
        <f>IF(SUM($M110:$S110)=0,0,1)</f>
        <v>0</v>
      </c>
      <c r="D110" s="96" t="s">
        <v>92</v>
      </c>
      <c r="E110" s="97"/>
      <c r="F110" s="95"/>
      <c r="G110" s="97"/>
      <c r="H110" s="95"/>
      <c r="I110" s="99"/>
      <c r="O110" s="70">
        <f>IF(ROUND(O109-O107,2)=0,0,1)</f>
        <v>0</v>
      </c>
      <c r="P110" s="70">
        <f>IF(ROUND(P109-P107,2)=0,0,1)</f>
        <v>0</v>
      </c>
      <c r="Q110" s="70">
        <f>IF(ROUND(Q109-Q107,2)=0,0,1)</f>
        <v>0</v>
      </c>
      <c r="R110" s="70">
        <f>IF(ROUND(R109-R107,2)=0,0,1)</f>
        <v>0</v>
      </c>
      <c r="S110" s="70">
        <f>IF(ROUND(S109-S107,2)=0,0,1)</f>
        <v>0</v>
      </c>
    </row>
    <row r="111" spans="1:19" s="6" customFormat="1" ht="11.25" customHeight="1" collapsed="1" x14ac:dyDescent="0.2"/>
    <row r="112" spans="1:19" s="13" customFormat="1" ht="14" x14ac:dyDescent="0.2">
      <c r="C112" s="13" t="s">
        <v>228</v>
      </c>
    </row>
    <row r="113" spans="4:19" s="6" customFormat="1" ht="11.25" customHeight="1" x14ac:dyDescent="0.2"/>
    <row r="114" spans="4:19" s="6" customFormat="1" ht="11.25" customHeight="1" x14ac:dyDescent="0.2">
      <c r="D114" s="83" t="s">
        <v>196</v>
      </c>
      <c r="E114" s="65" t="s">
        <v>197</v>
      </c>
      <c r="H114" s="65" t="str">
        <f>Lookup!E$19</f>
        <v>Source</v>
      </c>
      <c r="I114" s="65" t="str">
        <f>Lookup!F$19</f>
        <v>Unit</v>
      </c>
      <c r="L114" s="7"/>
      <c r="M114" s="65" t="s">
        <v>467</v>
      </c>
      <c r="N114" s="7"/>
      <c r="O114" s="65" t="str">
        <f>O$10</f>
        <v>FY20</v>
      </c>
      <c r="P114" s="65" t="str">
        <f>P$10</f>
        <v>FY21</v>
      </c>
      <c r="Q114" s="65" t="str">
        <f>Q$10</f>
        <v>FY22</v>
      </c>
      <c r="R114" s="65" t="str">
        <f>R$10</f>
        <v>FY23</v>
      </c>
      <c r="S114" s="65" t="str">
        <f>S$10</f>
        <v>FY24</v>
      </c>
    </row>
    <row r="115" spans="4:19" s="6" customFormat="1" ht="11.25" customHeight="1" x14ac:dyDescent="0.2">
      <c r="D115" s="3"/>
      <c r="E115" s="133"/>
    </row>
    <row r="116" spans="4:19" s="6" customFormat="1" ht="11.25" customHeight="1" x14ac:dyDescent="0.2">
      <c r="D116" s="100" t="str">
        <f>$D$99</f>
        <v>LV Residential Accumulation</v>
      </c>
      <c r="E116" s="134" t="s">
        <v>178</v>
      </c>
      <c r="F116" s="97"/>
      <c r="G116" s="97"/>
      <c r="H116" s="95" t="s">
        <v>89</v>
      </c>
      <c r="I116" s="99" t="s">
        <v>72</v>
      </c>
      <c r="M116" s="87">
        <v>1</v>
      </c>
      <c r="O116" s="85">
        <f t="shared" ref="O116:S125" si="2">CHOOSE($M116,SUMIF($D$26:$D$32,$D116,O$26:O$32),SUMIF($D$43:$D$49,$D116,O$43:O$49),SUMIF($D$60:$D$66,$D116,O$60:O$66))/O$85</f>
        <v>0.13342748013081313</v>
      </c>
      <c r="P116" s="85">
        <f t="shared" si="2"/>
        <v>0.20362500490276997</v>
      </c>
      <c r="Q116" s="85">
        <f t="shared" si="2"/>
        <v>0.19282673838646527</v>
      </c>
      <c r="R116" s="85">
        <f t="shared" si="2"/>
        <v>0.18150972831487414</v>
      </c>
      <c r="S116" s="85">
        <f t="shared" si="2"/>
        <v>0.17108759495884646</v>
      </c>
    </row>
    <row r="117" spans="4:19" s="6" customFormat="1" ht="11.25" customHeight="1" x14ac:dyDescent="0.2">
      <c r="D117" s="100" t="str">
        <f>$D$99</f>
        <v>LV Residential Accumulation</v>
      </c>
      <c r="E117" s="134" t="str">
        <f>$C$39</f>
        <v>Consumption</v>
      </c>
      <c r="H117" s="95" t="s">
        <v>89</v>
      </c>
      <c r="I117" s="99" t="s">
        <v>72</v>
      </c>
      <c r="M117" s="87">
        <v>2</v>
      </c>
      <c r="O117" s="85">
        <f t="shared" si="2"/>
        <v>0.31891067589430483</v>
      </c>
      <c r="P117" s="85">
        <f t="shared" si="2"/>
        <v>0.24708746361995726</v>
      </c>
      <c r="Q117" s="85">
        <f t="shared" si="2"/>
        <v>0.22935320819659413</v>
      </c>
      <c r="R117" s="85">
        <f t="shared" si="2"/>
        <v>0.21232752625536286</v>
      </c>
      <c r="S117" s="85">
        <f t="shared" si="2"/>
        <v>0.1961169012395757</v>
      </c>
    </row>
    <row r="118" spans="4:19" s="6" customFormat="1" ht="11.25" customHeight="1" x14ac:dyDescent="0.2">
      <c r="D118" s="100" t="str">
        <f>$D$100</f>
        <v>LV Non-Residential Accumulation</v>
      </c>
      <c r="E118" s="134" t="s">
        <v>178</v>
      </c>
      <c r="H118" s="95" t="s">
        <v>89</v>
      </c>
      <c r="I118" s="99" t="s">
        <v>72</v>
      </c>
      <c r="M118" s="87">
        <v>1</v>
      </c>
      <c r="O118" s="85">
        <f t="shared" si="2"/>
        <v>3.5620104502368674E-2</v>
      </c>
      <c r="P118" s="85">
        <f t="shared" si="2"/>
        <v>4.2210229600354393E-2</v>
      </c>
      <c r="Q118" s="85">
        <f t="shared" si="2"/>
        <v>3.9794065615045678E-2</v>
      </c>
      <c r="R118" s="85">
        <f t="shared" si="2"/>
        <v>3.7542569297876367E-2</v>
      </c>
      <c r="S118" s="85">
        <f t="shared" si="2"/>
        <v>3.5484123853120768E-2</v>
      </c>
    </row>
    <row r="119" spans="4:19" s="6" customFormat="1" ht="11.25" customHeight="1" x14ac:dyDescent="0.2">
      <c r="D119" s="100" t="str">
        <f>$D$100</f>
        <v>LV Non-Residential Accumulation</v>
      </c>
      <c r="E119" s="134" t="str">
        <f>$C$39</f>
        <v>Consumption</v>
      </c>
      <c r="H119" s="95" t="s">
        <v>89</v>
      </c>
      <c r="I119" s="99" t="s">
        <v>72</v>
      </c>
      <c r="M119" s="87">
        <v>2</v>
      </c>
      <c r="O119" s="85">
        <f t="shared" si="2"/>
        <v>4.306445879929461E-2</v>
      </c>
      <c r="P119" s="85">
        <f t="shared" si="2"/>
        <v>3.5401097302772383E-2</v>
      </c>
      <c r="Q119" s="85">
        <f t="shared" si="2"/>
        <v>3.2849030814760476E-2</v>
      </c>
      <c r="R119" s="85">
        <f t="shared" si="2"/>
        <v>3.0397811474597192E-2</v>
      </c>
      <c r="S119" s="85">
        <f t="shared" si="2"/>
        <v>2.8067514582776627E-2</v>
      </c>
    </row>
    <row r="120" spans="4:19" s="6" customFormat="1" ht="11.25" customHeight="1" x14ac:dyDescent="0.2">
      <c r="D120" s="100" t="str">
        <f>$D$101</f>
        <v>LV Unmetered</v>
      </c>
      <c r="E120" s="134" t="str">
        <f>$C$39</f>
        <v>Consumption</v>
      </c>
      <c r="H120" s="95" t="s">
        <v>89</v>
      </c>
      <c r="I120" s="99" t="s">
        <v>72</v>
      </c>
      <c r="M120" s="87">
        <v>2</v>
      </c>
      <c r="O120" s="85">
        <f t="shared" si="2"/>
        <v>4.4873858224993551E-3</v>
      </c>
      <c r="P120" s="85">
        <f t="shared" si="2"/>
        <v>4.4616190653874307E-3</v>
      </c>
      <c r="Q120" s="85">
        <f t="shared" si="2"/>
        <v>4.5021808045656352E-3</v>
      </c>
      <c r="R120" s="85">
        <f t="shared" si="2"/>
        <v>4.5667310567511213E-3</v>
      </c>
      <c r="S120" s="85">
        <f t="shared" si="2"/>
        <v>4.6153605628068773E-3</v>
      </c>
    </row>
    <row r="121" spans="4:19" s="6" customFormat="1" ht="11.25" customHeight="1" x14ac:dyDescent="0.2">
      <c r="D121" s="100" t="str">
        <f>$D$102</f>
        <v>LV Smart meter</v>
      </c>
      <c r="E121" s="134" t="s">
        <v>178</v>
      </c>
      <c r="H121" s="95" t="s">
        <v>89</v>
      </c>
      <c r="I121" s="99" t="s">
        <v>72</v>
      </c>
      <c r="M121" s="87">
        <v>1</v>
      </c>
      <c r="O121" s="85">
        <f t="shared" si="2"/>
        <v>6.5344878032057158E-2</v>
      </c>
      <c r="P121" s="85">
        <f t="shared" si="2"/>
        <v>0.10304294169642474</v>
      </c>
      <c r="Q121" s="85">
        <f t="shared" si="2"/>
        <v>0.12501348382467364</v>
      </c>
      <c r="R121" s="85">
        <f t="shared" si="2"/>
        <v>0.14603066381435323</v>
      </c>
      <c r="S121" s="85">
        <f t="shared" si="2"/>
        <v>0.16630129402732072</v>
      </c>
    </row>
    <row r="122" spans="4:19" s="6" customFormat="1" ht="11.25" customHeight="1" x14ac:dyDescent="0.2">
      <c r="D122" s="100" t="str">
        <f>$D$102</f>
        <v>LV Smart meter</v>
      </c>
      <c r="E122" s="134" t="str">
        <f>$C$39</f>
        <v>Consumption</v>
      </c>
      <c r="H122" s="95" t="s">
        <v>89</v>
      </c>
      <c r="I122" s="99" t="s">
        <v>72</v>
      </c>
      <c r="M122" s="87">
        <v>2</v>
      </c>
      <c r="O122" s="85">
        <f t="shared" si="2"/>
        <v>0.13453148576537208</v>
      </c>
      <c r="P122" s="85">
        <f t="shared" si="2"/>
        <v>0.12013046510275172</v>
      </c>
      <c r="Q122" s="85">
        <f t="shared" si="2"/>
        <v>0.12508302342338498</v>
      </c>
      <c r="R122" s="85">
        <f t="shared" si="2"/>
        <v>0.13015731820553894</v>
      </c>
      <c r="S122" s="85">
        <f t="shared" si="2"/>
        <v>0.13472100789466562</v>
      </c>
    </row>
    <row r="123" spans="4:19" s="6" customFormat="1" ht="11.25" customHeight="1" x14ac:dyDescent="0.2">
      <c r="D123" s="100" t="str">
        <f>$D$102</f>
        <v>LV Smart meter</v>
      </c>
      <c r="E123" s="134" t="str">
        <f>$C$56</f>
        <v>Demand</v>
      </c>
      <c r="H123" s="95" t="s">
        <v>89</v>
      </c>
      <c r="I123" s="99" t="s">
        <v>72</v>
      </c>
      <c r="M123" s="87">
        <v>3</v>
      </c>
      <c r="O123" s="85">
        <f t="shared" si="2"/>
        <v>0.12103255474448306</v>
      </c>
      <c r="P123" s="85">
        <f t="shared" si="2"/>
        <v>0.10094345856474105</v>
      </c>
      <c r="Q123" s="85">
        <f t="shared" si="2"/>
        <v>0.10572624733700674</v>
      </c>
      <c r="R123" s="85">
        <f t="shared" si="2"/>
        <v>0.11114809357061418</v>
      </c>
      <c r="S123" s="85">
        <f t="shared" si="2"/>
        <v>0.11600984377609272</v>
      </c>
    </row>
    <row r="124" spans="4:19" s="6" customFormat="1" ht="11.25" customHeight="1" x14ac:dyDescent="0.2">
      <c r="D124" s="100" t="str">
        <f>$D$103</f>
        <v>HV Smart meter &lt;750MWh</v>
      </c>
      <c r="E124" s="134" t="s">
        <v>178</v>
      </c>
      <c r="H124" s="95" t="s">
        <v>89</v>
      </c>
      <c r="I124" s="99" t="s">
        <v>72</v>
      </c>
      <c r="M124" s="87">
        <v>1</v>
      </c>
      <c r="O124" s="85">
        <f t="shared" si="2"/>
        <v>1.2815056313031061E-4</v>
      </c>
      <c r="P124" s="85">
        <f t="shared" si="2"/>
        <v>1.5840679072282908E-4</v>
      </c>
      <c r="Q124" s="85">
        <f t="shared" si="2"/>
        <v>1.5711132816975443E-4</v>
      </c>
      <c r="R124" s="85">
        <f t="shared" si="2"/>
        <v>1.5599978971247676E-4</v>
      </c>
      <c r="S124" s="85">
        <f t="shared" si="2"/>
        <v>1.5527735030360291E-4</v>
      </c>
    </row>
    <row r="125" spans="4:19" s="6" customFormat="1" ht="11.25" customHeight="1" x14ac:dyDescent="0.2">
      <c r="D125" s="100" t="str">
        <f>$D$103</f>
        <v>HV Smart meter &lt;750MWh</v>
      </c>
      <c r="E125" s="134" t="str">
        <f>$C$39</f>
        <v>Consumption</v>
      </c>
      <c r="H125" s="95" t="s">
        <v>89</v>
      </c>
      <c r="I125" s="99" t="s">
        <v>72</v>
      </c>
      <c r="M125" s="87">
        <v>2</v>
      </c>
      <c r="O125" s="85">
        <f t="shared" si="2"/>
        <v>2.2624709725136173E-3</v>
      </c>
      <c r="P125" s="85">
        <f t="shared" si="2"/>
        <v>1.8973405507283585E-3</v>
      </c>
      <c r="Q125" s="85">
        <f t="shared" si="2"/>
        <v>1.8638683951786488E-3</v>
      </c>
      <c r="R125" s="85">
        <f t="shared" si="2"/>
        <v>1.8337252302800839E-3</v>
      </c>
      <c r="S125" s="85">
        <f t="shared" si="2"/>
        <v>1.8046708080050587E-3</v>
      </c>
    </row>
    <row r="126" spans="4:19" s="6" customFormat="1" ht="11.25" customHeight="1" x14ac:dyDescent="0.2">
      <c r="D126" s="100" t="str">
        <f>$D$103</f>
        <v>HV Smart meter &lt;750MWh</v>
      </c>
      <c r="E126" s="134" t="str">
        <f>$C$56</f>
        <v>Demand</v>
      </c>
      <c r="H126" s="95" t="s">
        <v>89</v>
      </c>
      <c r="I126" s="99" t="s">
        <v>72</v>
      </c>
      <c r="M126" s="87">
        <v>3</v>
      </c>
      <c r="O126" s="85">
        <f t="shared" ref="O126:S132" si="3">CHOOSE($M126,SUMIF($D$26:$D$32,$D126,O$26:O$32),SUMIF($D$43:$D$49,$D126,O$43:O$49),SUMIF($D$60:$D$66,$D126,O$60:O$66))/O$85</f>
        <v>4.606324098577204E-4</v>
      </c>
      <c r="P126" s="85">
        <f t="shared" si="3"/>
        <v>0</v>
      </c>
      <c r="Q126" s="85">
        <f t="shared" si="3"/>
        <v>3.7479576409854246E-5</v>
      </c>
      <c r="R126" s="85">
        <f t="shared" si="3"/>
        <v>8.2905573032196475E-5</v>
      </c>
      <c r="S126" s="85">
        <f t="shared" si="3"/>
        <v>1.1899490292206548E-4</v>
      </c>
    </row>
    <row r="127" spans="4:19" s="6" customFormat="1" ht="11.25" customHeight="1" x14ac:dyDescent="0.2">
      <c r="D127" s="100" t="str">
        <f>$D$104</f>
        <v>LV &gt;750MWh</v>
      </c>
      <c r="E127" s="134" t="s">
        <v>178</v>
      </c>
      <c r="H127" s="95" t="s">
        <v>89</v>
      </c>
      <c r="I127" s="99" t="s">
        <v>72</v>
      </c>
      <c r="M127" s="87">
        <v>1</v>
      </c>
      <c r="O127" s="85">
        <f t="shared" si="3"/>
        <v>3.872340132392272E-2</v>
      </c>
      <c r="P127" s="85">
        <f t="shared" si="3"/>
        <v>4.4632465124203685E-2</v>
      </c>
      <c r="Q127" s="85">
        <f t="shared" si="3"/>
        <v>4.5557507793486919E-2</v>
      </c>
      <c r="R127" s="85">
        <f t="shared" si="3"/>
        <v>4.5747564796794316E-2</v>
      </c>
      <c r="S127" s="85">
        <f t="shared" si="3"/>
        <v>4.6265282356732926E-2</v>
      </c>
    </row>
    <row r="128" spans="4:19" s="6" customFormat="1" ht="11.25" customHeight="1" x14ac:dyDescent="0.2">
      <c r="D128" s="100" t="str">
        <f>$D$104</f>
        <v>LV &gt;750MWh</v>
      </c>
      <c r="E128" s="134" t="str">
        <f>$C$39</f>
        <v>Consumption</v>
      </c>
      <c r="H128" s="95" t="s">
        <v>89</v>
      </c>
      <c r="I128" s="99" t="s">
        <v>72</v>
      </c>
      <c r="M128" s="87">
        <v>2</v>
      </c>
      <c r="O128" s="85">
        <f t="shared" si="3"/>
        <v>5.5354952376292031E-2</v>
      </c>
      <c r="P128" s="85">
        <f t="shared" si="3"/>
        <v>4.6045418032811612E-2</v>
      </c>
      <c r="Q128" s="85">
        <f t="shared" si="3"/>
        <v>4.5233102397564139E-2</v>
      </c>
      <c r="R128" s="85">
        <f t="shared" si="3"/>
        <v>4.4501576036598725E-2</v>
      </c>
      <c r="S128" s="85">
        <f t="shared" si="3"/>
        <v>4.3796471716321707E-2</v>
      </c>
    </row>
    <row r="129" spans="1:19" s="6" customFormat="1" ht="11.25" customHeight="1" x14ac:dyDescent="0.2">
      <c r="D129" s="100" t="str">
        <f>$D$104</f>
        <v>LV &gt;750MWh</v>
      </c>
      <c r="E129" s="134" t="str">
        <f>$C$56</f>
        <v>Demand</v>
      </c>
      <c r="H129" s="95" t="s">
        <v>89</v>
      </c>
      <c r="I129" s="99" t="s">
        <v>72</v>
      </c>
      <c r="M129" s="87">
        <v>3</v>
      </c>
      <c r="O129" s="85">
        <f t="shared" si="3"/>
        <v>-3.6353104873106772E-2</v>
      </c>
      <c r="P129" s="85">
        <f t="shared" si="3"/>
        <v>-3.3910456017097107E-2</v>
      </c>
      <c r="Q129" s="85">
        <f t="shared" si="3"/>
        <v>-3.1902208644172911E-2</v>
      </c>
      <c r="R129" s="85">
        <f t="shared" si="3"/>
        <v>-2.9817430939383268E-2</v>
      </c>
      <c r="S129" s="85">
        <f t="shared" si="3"/>
        <v>-2.8161997497115895E-2</v>
      </c>
    </row>
    <row r="130" spans="1:19" s="6" customFormat="1" ht="11.25" customHeight="1" x14ac:dyDescent="0.2">
      <c r="D130" s="100" t="str">
        <f>$D$105</f>
        <v>HV &gt;750MWh</v>
      </c>
      <c r="E130" s="134" t="s">
        <v>178</v>
      </c>
      <c r="H130" s="95" t="s">
        <v>89</v>
      </c>
      <c r="I130" s="99" t="s">
        <v>72</v>
      </c>
      <c r="M130" s="87">
        <v>1</v>
      </c>
      <c r="O130" s="85">
        <f t="shared" si="3"/>
        <v>8.4779044318647381E-3</v>
      </c>
      <c r="P130" s="85">
        <f t="shared" si="3"/>
        <v>1.1767147098529022E-2</v>
      </c>
      <c r="Q130" s="85">
        <f t="shared" si="3"/>
        <v>1.197893211920515E-2</v>
      </c>
      <c r="R130" s="85">
        <f t="shared" si="3"/>
        <v>1.2200021469078117E-2</v>
      </c>
      <c r="S130" s="85">
        <f t="shared" si="3"/>
        <v>1.2443361097089831E-2</v>
      </c>
    </row>
    <row r="131" spans="1:19" s="6" customFormat="1" ht="11.25" customHeight="1" x14ac:dyDescent="0.2">
      <c r="D131" s="100" t="str">
        <f>$D$105</f>
        <v>HV &gt;750MWh</v>
      </c>
      <c r="E131" s="134" t="str">
        <f>$C$39</f>
        <v>Consumption</v>
      </c>
      <c r="H131" s="95" t="s">
        <v>89</v>
      </c>
      <c r="I131" s="99" t="s">
        <v>72</v>
      </c>
      <c r="M131" s="87">
        <v>2</v>
      </c>
      <c r="O131" s="85">
        <f t="shared" si="3"/>
        <v>7.4184729661800092E-2</v>
      </c>
      <c r="P131" s="85">
        <f t="shared" si="3"/>
        <v>7.2507398564942663E-2</v>
      </c>
      <c r="Q131" s="85">
        <f t="shared" si="3"/>
        <v>7.1228250800805734E-2</v>
      </c>
      <c r="R131" s="85">
        <f t="shared" si="3"/>
        <v>7.0076321343297401E-2</v>
      </c>
      <c r="S131" s="85">
        <f t="shared" si="3"/>
        <v>6.8965998488941777E-2</v>
      </c>
    </row>
    <row r="132" spans="1:19" s="6" customFormat="1" ht="11.25" customHeight="1" x14ac:dyDescent="0.2">
      <c r="D132" s="100" t="str">
        <f>$D$105</f>
        <v>HV &gt;750MWh</v>
      </c>
      <c r="E132" s="134" t="str">
        <f>$C$56</f>
        <v>Demand</v>
      </c>
      <c r="H132" s="95" t="s">
        <v>89</v>
      </c>
      <c r="I132" s="99" t="s">
        <v>72</v>
      </c>
      <c r="M132" s="87">
        <v>3</v>
      </c>
      <c r="O132" s="85">
        <f t="shared" si="3"/>
        <v>3.4183944253270165E-4</v>
      </c>
      <c r="P132" s="85">
        <f t="shared" si="3"/>
        <v>0</v>
      </c>
      <c r="Q132" s="85">
        <f t="shared" si="3"/>
        <v>6.9797783085615071E-4</v>
      </c>
      <c r="R132" s="85">
        <f t="shared" si="3"/>
        <v>1.5388747106218311E-3</v>
      </c>
      <c r="S132" s="85">
        <f t="shared" si="3"/>
        <v>2.2082998815934128E-3</v>
      </c>
    </row>
    <row r="133" spans="1:19" s="6" customFormat="1" ht="11.25" customHeight="1" x14ac:dyDescent="0.2">
      <c r="E133" s="133"/>
    </row>
    <row r="134" spans="1:19" s="6" customFormat="1" ht="11.25" customHeight="1" x14ac:dyDescent="0.2">
      <c r="D134" s="73" t="s">
        <v>88</v>
      </c>
      <c r="E134" s="67" t="s">
        <v>36</v>
      </c>
      <c r="H134" s="67" t="s">
        <v>89</v>
      </c>
      <c r="I134" s="67" t="s">
        <v>72</v>
      </c>
      <c r="O134" s="86">
        <f>SUM(O116:O132)</f>
        <v>1</v>
      </c>
      <c r="P134" s="86">
        <f>SUM(P116:P132)</f>
        <v>1</v>
      </c>
      <c r="Q134" s="86">
        <f>SUM(Q116:Q132)</f>
        <v>1</v>
      </c>
      <c r="R134" s="86">
        <f>SUM(R116:R132)</f>
        <v>1</v>
      </c>
      <c r="S134" s="86">
        <f>SUM(S116:S132)</f>
        <v>1</v>
      </c>
    </row>
    <row r="135" spans="1:19" s="6" customFormat="1" ht="11.25" customHeight="1" x14ac:dyDescent="0.2"/>
    <row r="136" spans="1:19" s="6" customFormat="1" ht="11.25" hidden="1" customHeight="1" outlineLevel="1" x14ac:dyDescent="0.2">
      <c r="D136" s="96" t="s">
        <v>138</v>
      </c>
      <c r="E136" s="97"/>
      <c r="G136" s="97"/>
      <c r="H136" s="95" t="s">
        <v>89</v>
      </c>
      <c r="I136" s="99" t="s">
        <v>72</v>
      </c>
      <c r="O136" s="131">
        <v>1</v>
      </c>
      <c r="P136" s="131">
        <v>1</v>
      </c>
      <c r="Q136" s="131">
        <v>1</v>
      </c>
      <c r="R136" s="131">
        <v>1</v>
      </c>
      <c r="S136" s="131">
        <v>1</v>
      </c>
    </row>
    <row r="137" spans="1:19" s="6" customFormat="1" ht="11.25" hidden="1" customHeight="1" outlineLevel="1" x14ac:dyDescent="0.2">
      <c r="A137" s="70">
        <f>IF(SUM($M137:$S137)=0,0,1)</f>
        <v>0</v>
      </c>
      <c r="D137" s="96" t="s">
        <v>92</v>
      </c>
      <c r="E137" s="97"/>
      <c r="F137" s="95"/>
      <c r="G137" s="97"/>
      <c r="H137" s="95"/>
      <c r="I137" s="99"/>
      <c r="O137" s="70">
        <f>IF(ROUND(O136-O134,2)=0,0,1)</f>
        <v>0</v>
      </c>
      <c r="P137" s="70">
        <f>IF(ROUND(P136-P134,2)=0,0,1)</f>
        <v>0</v>
      </c>
      <c r="Q137" s="70">
        <f>IF(ROUND(Q136-Q134,2)=0,0,1)</f>
        <v>0</v>
      </c>
      <c r="R137" s="70">
        <f>IF(ROUND(R136-R134,2)=0,0,1)</f>
        <v>0</v>
      </c>
      <c r="S137" s="70">
        <f>IF(ROUND(S136-S134,2)=0,0,1)</f>
        <v>0</v>
      </c>
    </row>
    <row r="138" spans="1:19" s="6" customFormat="1" ht="11.25" customHeight="1" collapsed="1" x14ac:dyDescent="0.2"/>
    <row r="139" spans="1:19" s="4" customFormat="1" ht="15.5" x14ac:dyDescent="0.2">
      <c r="B139" s="4" t="s">
        <v>33</v>
      </c>
    </row>
  </sheetData>
  <conditionalFormatting sqref="B2">
    <cfRule type="cellIs" dxfId="30" priority="1" operator="notEqual">
      <formula>"No Errors Found"</formula>
    </cfRule>
  </conditionalFormatting>
  <dataValidations disablePrompts="1" count="3">
    <dataValidation type="list" allowBlank="1" showInputMessage="1" showErrorMessage="1" sqref="K36:K37 K53:K54 K70:K71 K87:K88">
      <formula1>LU_Timing</formula1>
    </dataValidation>
    <dataValidation type="list" allowBlank="1" showInputMessage="1" showErrorMessage="1" sqref="J26:J32 J43:J49 J60:J66 J77:J83 J36:J37 J53:J54 J70:J71 J87:J88">
      <formula1>LU_Basis</formula1>
    </dataValidation>
    <dataValidation type="list" allowBlank="1" showInputMessage="1" showErrorMessage="1" sqref="I26:I32 I43:I49 I60:I66 I77:I83 I99:I105 I116:I132 I36:I37 I53:I54 I70:I71 I87:I88 I109:I110 I136:I137">
      <formula1>LU_Units</formula1>
    </dataValidation>
  </dataValidations>
  <hyperlinks>
    <hyperlink ref="B3:E3" location="TOC!A1" display="TOC!A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58"/>
  <sheetViews>
    <sheetView showGridLines="0" workbookViewId="0">
      <pane ySplit="11" topLeftCell="A12" activePane="bottomLeft" state="frozen"/>
      <selection pane="bottomLeft"/>
    </sheetView>
  </sheetViews>
  <sheetFormatPr defaultColWidth="9.33203125" defaultRowHeight="10" outlineLevelRow="1" x14ac:dyDescent="0.2"/>
  <cols>
    <col min="1" max="1" width="3.33203125" style="7" customWidth="1"/>
    <col min="2" max="3" width="2.77734375" style="7" customWidth="1"/>
    <col min="4" max="4" width="26.77734375" style="7" customWidth="1"/>
    <col min="5" max="5" width="17.77734375" style="7" customWidth="1"/>
    <col min="6" max="7" width="3.6640625" style="7" customWidth="1"/>
    <col min="8" max="10" width="12.6640625" style="7" customWidth="1"/>
    <col min="11" max="11" width="3.6640625" style="7" customWidth="1"/>
    <col min="12" max="12" width="3.44140625" style="7" customWidth="1"/>
    <col min="13" max="14" width="10.6640625" style="7" customWidth="1"/>
    <col min="15" max="19" width="15.6640625" style="7" customWidth="1"/>
    <col min="20" max="20" width="12.44140625" style="7" customWidth="1"/>
    <col min="21" max="21" width="13.77734375" style="7" customWidth="1"/>
    <col min="22" max="22" width="12.44140625" style="7" customWidth="1"/>
    <col min="23" max="23" width="13.44140625" style="7" customWidth="1"/>
    <col min="24" max="24" width="10.77734375" style="7" customWidth="1"/>
    <col min="25" max="27" width="9.33203125" style="7"/>
    <col min="28" max="28" width="12.44140625" style="7" customWidth="1"/>
    <col min="29" max="29" width="11.33203125" style="7" customWidth="1"/>
    <col min="30" max="16384" width="9.33203125" style="7"/>
  </cols>
  <sheetData>
    <row r="1" spans="1:22" ht="19" x14ac:dyDescent="0.2">
      <c r="A1" s="70">
        <f>IF(SUM($A11:$A158)&gt;0,1,0)</f>
        <v>0</v>
      </c>
      <c r="B1" s="5" t="s">
        <v>277</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92" t="s">
        <v>196</v>
      </c>
      <c r="E10" s="61" t="s">
        <v>101</v>
      </c>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247</v>
      </c>
    </row>
    <row r="13" spans="1:22" s="6" customFormat="1" ht="11.25" customHeight="1" x14ac:dyDescent="0.2"/>
    <row r="14" spans="1:22" s="6" customFormat="1" ht="11.25" customHeight="1" x14ac:dyDescent="0.2">
      <c r="D14" s="124" t="s">
        <v>248</v>
      </c>
    </row>
    <row r="15" spans="1:22" s="6" customFormat="1" ht="11.25" customHeight="1" x14ac:dyDescent="0.2">
      <c r="D15" s="124" t="s">
        <v>249</v>
      </c>
    </row>
    <row r="16" spans="1:22" s="6" customFormat="1" ht="11.25" customHeight="1" x14ac:dyDescent="0.2">
      <c r="D16" s="124" t="s">
        <v>250</v>
      </c>
    </row>
    <row r="17" spans="2:19" s="6" customFormat="1" ht="11.25" customHeight="1" x14ac:dyDescent="0.2"/>
    <row r="18" spans="2:19" s="6" customFormat="1" ht="11.25" customHeight="1" x14ac:dyDescent="0.2"/>
    <row r="19" spans="2:19" s="13" customFormat="1" ht="14" x14ac:dyDescent="0.2">
      <c r="B19" s="13" t="s">
        <v>261</v>
      </c>
    </row>
    <row r="20" spans="2:19" s="6" customFormat="1" ht="11.25" customHeight="1" x14ac:dyDescent="0.2"/>
    <row r="21" spans="2:19" s="6" customFormat="1" ht="11.25" customHeight="1" x14ac:dyDescent="0.2">
      <c r="D21" s="83" t="s">
        <v>164</v>
      </c>
      <c r="H21" s="65" t="str">
        <f>H$10</f>
        <v>Source</v>
      </c>
      <c r="I21" s="65" t="str">
        <f>I$10</f>
        <v>Unit</v>
      </c>
      <c r="J21" s="65" t="str">
        <f>Lookup!G$19</f>
        <v>Basis</v>
      </c>
      <c r="O21" s="65" t="str">
        <f>O$10</f>
        <v>FY20</v>
      </c>
      <c r="P21" s="65" t="str">
        <f>P$10</f>
        <v>FY21</v>
      </c>
      <c r="Q21" s="65" t="str">
        <f>Q$10</f>
        <v>FY22</v>
      </c>
      <c r="R21" s="65" t="str">
        <f>R$10</f>
        <v>FY23</v>
      </c>
      <c r="S21" s="65" t="str">
        <f>S$10</f>
        <v>FY24</v>
      </c>
    </row>
    <row r="22" spans="2:19" s="6" customFormat="1" ht="11.25" customHeight="1" x14ac:dyDescent="0.2">
      <c r="D22" s="3"/>
    </row>
    <row r="23" spans="2:19" s="6" customFormat="1" ht="11.25" customHeight="1" x14ac:dyDescent="0.2">
      <c r="D23" s="15" t="s">
        <v>246</v>
      </c>
      <c r="H23" s="95" t="s">
        <v>89</v>
      </c>
      <c r="I23" s="99" t="s">
        <v>76</v>
      </c>
      <c r="J23" s="99" t="s">
        <v>69</v>
      </c>
      <c r="O23" s="78">
        <f>Output_AER_Compliance!O52</f>
        <v>158114.73795573306</v>
      </c>
      <c r="P23" s="78">
        <f>Output_AER_Compliance!P52</f>
        <v>145929.65289929821</v>
      </c>
      <c r="Q23" s="78">
        <f>Output_AER_Compliance!Q52</f>
        <v>150635.64015439228</v>
      </c>
      <c r="R23" s="78">
        <f>Output_AER_Compliance!R52</f>
        <v>155831.23174868998</v>
      </c>
      <c r="S23" s="78">
        <f>Output_AER_Compliance!S52</f>
        <v>161206.21984994531</v>
      </c>
    </row>
    <row r="24" spans="2:19" s="6" customFormat="1" ht="11.25" customHeight="1" x14ac:dyDescent="0.2"/>
    <row r="25" spans="2:19" s="6" customFormat="1" ht="11.25" customHeight="1" x14ac:dyDescent="0.2"/>
    <row r="26" spans="2:19" s="13" customFormat="1" ht="14" x14ac:dyDescent="0.2">
      <c r="B26" s="13" t="s">
        <v>245</v>
      </c>
    </row>
    <row r="27" spans="2:19" s="6" customFormat="1" ht="11.25" customHeight="1" x14ac:dyDescent="0.2"/>
    <row r="28" spans="2:19" s="6" customFormat="1" ht="11.25" customHeight="1" x14ac:dyDescent="0.2">
      <c r="D28" s="83" t="str">
        <f>D$10</f>
        <v>Tariff</v>
      </c>
      <c r="H28" s="65" t="str">
        <f>H$10</f>
        <v>Source</v>
      </c>
      <c r="I28" s="65" t="str">
        <f>I$10</f>
        <v>Unit</v>
      </c>
      <c r="J28" s="65" t="str">
        <f>Lookup!G$19</f>
        <v>Basis</v>
      </c>
      <c r="O28" s="65" t="str">
        <f>O$10</f>
        <v>FY20</v>
      </c>
      <c r="P28" s="65" t="str">
        <f>P$10</f>
        <v>FY21</v>
      </c>
      <c r="Q28" s="65" t="str">
        <f>Q$10</f>
        <v>FY22</v>
      </c>
      <c r="R28" s="65" t="str">
        <f>R$10</f>
        <v>FY23</v>
      </c>
      <c r="S28" s="65" t="str">
        <f>S$10</f>
        <v>FY24</v>
      </c>
    </row>
    <row r="29" spans="2:19" s="6" customFormat="1" ht="11.25" customHeight="1" x14ac:dyDescent="0.2">
      <c r="D29" s="3"/>
    </row>
    <row r="30" spans="2:19" s="6" customFormat="1" ht="11.25" customHeight="1" x14ac:dyDescent="0.2">
      <c r="D30" s="100" t="s">
        <v>102</v>
      </c>
      <c r="H30" s="95" t="s">
        <v>89</v>
      </c>
      <c r="I30" s="99" t="s">
        <v>76</v>
      </c>
      <c r="J30" s="99" t="s">
        <v>69</v>
      </c>
      <c r="O30" s="78">
        <f t="shared" ref="O30:S36" si="0">O$23*O145</f>
        <v>52941.526135042754</v>
      </c>
      <c r="P30" s="78">
        <f t="shared" si="0"/>
        <v>46435.349117427912</v>
      </c>
      <c r="Q30" s="78">
        <f t="shared" si="0"/>
        <v>45542.790342787644</v>
      </c>
      <c r="R30" s="78">
        <f t="shared" si="0"/>
        <v>44676.151623991005</v>
      </c>
      <c r="S30" s="78">
        <f t="shared" si="0"/>
        <v>43711.379932310061</v>
      </c>
    </row>
    <row r="31" spans="2:19" s="6" customFormat="1" ht="11.25" customHeight="1" x14ac:dyDescent="0.2">
      <c r="D31" s="100" t="s">
        <v>105</v>
      </c>
      <c r="H31" s="95" t="s">
        <v>89</v>
      </c>
      <c r="I31" s="99" t="s">
        <v>76</v>
      </c>
      <c r="J31" s="99" t="s">
        <v>69</v>
      </c>
      <c r="O31" s="78">
        <f t="shared" si="0"/>
        <v>9863.0964810404203</v>
      </c>
      <c r="P31" s="78">
        <f t="shared" si="0"/>
        <v>8687.1926966000319</v>
      </c>
      <c r="Q31" s="78">
        <f t="shared" si="0"/>
        <v>8545.876512197814</v>
      </c>
      <c r="R31" s="78">
        <f t="shared" si="0"/>
        <v>8427.0276162703412</v>
      </c>
      <c r="S31" s="78">
        <f t="shared" si="0"/>
        <v>8292.0708149382172</v>
      </c>
    </row>
    <row r="32" spans="2:19" s="6" customFormat="1" ht="11.25" customHeight="1" x14ac:dyDescent="0.2">
      <c r="D32" s="100" t="s">
        <v>107</v>
      </c>
      <c r="H32" s="95" t="s">
        <v>89</v>
      </c>
      <c r="I32" s="99" t="s">
        <v>76</v>
      </c>
      <c r="J32" s="99" t="s">
        <v>69</v>
      </c>
      <c r="O32" s="78">
        <f t="shared" si="0"/>
        <v>109.63720651616593</v>
      </c>
      <c r="P32" s="78">
        <f t="shared" si="0"/>
        <v>100.39797123766216</v>
      </c>
      <c r="Q32" s="78">
        <f t="shared" si="0"/>
        <v>103.07036496741236</v>
      </c>
      <c r="R32" s="78">
        <f t="shared" si="0"/>
        <v>105.86324752434248</v>
      </c>
      <c r="S32" s="78">
        <f t="shared" si="0"/>
        <v>108.56273681796334</v>
      </c>
    </row>
    <row r="33" spans="1:19" s="6" customFormat="1" ht="11.25" customHeight="1" x14ac:dyDescent="0.2">
      <c r="D33" s="100" t="s">
        <v>109</v>
      </c>
      <c r="H33" s="95" t="s">
        <v>89</v>
      </c>
      <c r="I33" s="99" t="s">
        <v>76</v>
      </c>
      <c r="J33" s="99" t="s">
        <v>69</v>
      </c>
      <c r="O33" s="78">
        <f t="shared" si="0"/>
        <v>57085.57150288581</v>
      </c>
      <c r="P33" s="78">
        <f t="shared" si="0"/>
        <v>55442.732284645404</v>
      </c>
      <c r="Q33" s="78">
        <f t="shared" si="0"/>
        <v>60209.569246815714</v>
      </c>
      <c r="R33" s="78">
        <f t="shared" si="0"/>
        <v>65210.574403731902</v>
      </c>
      <c r="S33" s="78">
        <f t="shared" si="0"/>
        <v>70421.921891998703</v>
      </c>
    </row>
    <row r="34" spans="1:19" s="6" customFormat="1" ht="11.25" customHeight="1" x14ac:dyDescent="0.2">
      <c r="D34" s="100" t="s">
        <v>111</v>
      </c>
      <c r="H34" s="95" t="s">
        <v>89</v>
      </c>
      <c r="I34" s="99" t="s">
        <v>76</v>
      </c>
      <c r="J34" s="99" t="s">
        <v>69</v>
      </c>
      <c r="O34" s="78">
        <f t="shared" si="0"/>
        <v>782.34226080000076</v>
      </c>
      <c r="P34" s="78">
        <f t="shared" si="0"/>
        <v>721.85341455980461</v>
      </c>
      <c r="Q34" s="78">
        <f t="shared" si="0"/>
        <v>747.0046401629171</v>
      </c>
      <c r="R34" s="78">
        <f t="shared" si="0"/>
        <v>773.65608326431061</v>
      </c>
      <c r="S34" s="78">
        <f t="shared" si="0"/>
        <v>800.92869314147197</v>
      </c>
    </row>
    <row r="35" spans="1:19" s="6" customFormat="1" ht="11.25" customHeight="1" x14ac:dyDescent="0.2">
      <c r="D35" s="100" t="s">
        <v>114</v>
      </c>
      <c r="H35" s="95" t="s">
        <v>89</v>
      </c>
      <c r="I35" s="99" t="s">
        <v>76</v>
      </c>
      <c r="J35" s="99" t="s">
        <v>69</v>
      </c>
      <c r="O35" s="78">
        <f t="shared" si="0"/>
        <v>18458.26300430694</v>
      </c>
      <c r="P35" s="78">
        <f t="shared" si="0"/>
        <v>17050.529384933459</v>
      </c>
      <c r="Q35" s="78">
        <f t="shared" si="0"/>
        <v>17510.142274096121</v>
      </c>
      <c r="R35" s="78">
        <f t="shared" si="0"/>
        <v>18080.766875619363</v>
      </c>
      <c r="S35" s="78">
        <f t="shared" si="0"/>
        <v>18667.780807880674</v>
      </c>
    </row>
    <row r="36" spans="1:19" s="6" customFormat="1" ht="11.25" customHeight="1" x14ac:dyDescent="0.2">
      <c r="D36" s="100" t="s">
        <v>116</v>
      </c>
      <c r="H36" s="95" t="s">
        <v>89</v>
      </c>
      <c r="I36" s="99" t="s">
        <v>76</v>
      </c>
      <c r="J36" s="99" t="s">
        <v>69</v>
      </c>
      <c r="O36" s="78">
        <f t="shared" si="0"/>
        <v>18874.301365140946</v>
      </c>
      <c r="P36" s="78">
        <f t="shared" si="0"/>
        <v>17491.598029893932</v>
      </c>
      <c r="Q36" s="78">
        <f t="shared" si="0"/>
        <v>17977.186773364676</v>
      </c>
      <c r="R36" s="78">
        <f t="shared" si="0"/>
        <v>18557.19189828874</v>
      </c>
      <c r="S36" s="78">
        <f t="shared" si="0"/>
        <v>19203.574972858201</v>
      </c>
    </row>
    <row r="37" spans="1:19" s="6" customFormat="1" ht="11.25" customHeight="1" x14ac:dyDescent="0.2"/>
    <row r="38" spans="1:19" s="6" customFormat="1" ht="11.25" customHeight="1" x14ac:dyDescent="0.2">
      <c r="D38" s="73" t="s">
        <v>163</v>
      </c>
      <c r="H38" s="67" t="s">
        <v>89</v>
      </c>
      <c r="I38" s="67" t="str">
        <f>I30</f>
        <v>$000's</v>
      </c>
      <c r="J38" s="67" t="str">
        <f>Nominal</f>
        <v>Nominal</v>
      </c>
      <c r="O38" s="80">
        <f>SUM(O30:O36)</f>
        <v>158114.73795573303</v>
      </c>
      <c r="P38" s="80">
        <f>SUM(P30:P36)</f>
        <v>145929.65289929821</v>
      </c>
      <c r="Q38" s="80">
        <f>SUM(Q30:Q36)</f>
        <v>150635.64015439228</v>
      </c>
      <c r="R38" s="80">
        <f>SUM(R30:R36)</f>
        <v>155831.23174869001</v>
      </c>
      <c r="S38" s="80">
        <f>SUM(S30:S36)</f>
        <v>161206.21984994528</v>
      </c>
    </row>
    <row r="39" spans="1:19" s="6" customFormat="1" ht="11.25" customHeight="1" x14ac:dyDescent="0.2"/>
    <row r="40" spans="1:19" s="6" customFormat="1" ht="11.25" hidden="1" customHeight="1" outlineLevel="1" x14ac:dyDescent="0.2">
      <c r="D40" s="15" t="s">
        <v>138</v>
      </c>
      <c r="H40" s="74" t="s">
        <v>89</v>
      </c>
      <c r="I40" s="74" t="s">
        <v>76</v>
      </c>
      <c r="J40" s="74" t="s">
        <v>69</v>
      </c>
      <c r="O40" s="78">
        <f>O23</f>
        <v>158114.73795573306</v>
      </c>
      <c r="P40" s="78">
        <f>P23</f>
        <v>145929.65289929821</v>
      </c>
      <c r="Q40" s="78">
        <f>Q23</f>
        <v>150635.64015439228</v>
      </c>
      <c r="R40" s="78">
        <f>R23</f>
        <v>155831.23174868998</v>
      </c>
      <c r="S40" s="78">
        <f>S23</f>
        <v>161206.21984994531</v>
      </c>
    </row>
    <row r="41" spans="1:19" s="6" customFormat="1" ht="11.25" hidden="1" customHeight="1" outlineLevel="1" x14ac:dyDescent="0.2">
      <c r="A41" s="70">
        <f>IF(SUM($M41:$S41)=0,0,1)</f>
        <v>0</v>
      </c>
      <c r="D41" s="96" t="s">
        <v>92</v>
      </c>
      <c r="E41" s="97"/>
      <c r="F41" s="95"/>
      <c r="G41" s="97"/>
      <c r="H41" s="95"/>
      <c r="I41" s="99"/>
      <c r="J41" s="99"/>
      <c r="K41" s="74"/>
      <c r="O41" s="70">
        <f>IF(ROUND(O40-O38,2)=0,0,1)</f>
        <v>0</v>
      </c>
      <c r="P41" s="70">
        <f>IF(ROUND(P40-P38,2)=0,0,1)</f>
        <v>0</v>
      </c>
      <c r="Q41" s="70">
        <f>IF(ROUND(Q40-Q38,2)=0,0,1)</f>
        <v>0</v>
      </c>
      <c r="R41" s="70">
        <f>IF(ROUND(R40-R38,2)=0,0,1)</f>
        <v>0</v>
      </c>
      <c r="S41" s="70">
        <f>IF(ROUND(S40-S38,2)=0,0,1)</f>
        <v>0</v>
      </c>
    </row>
    <row r="42" spans="1:19" s="6" customFormat="1" ht="11.25" customHeight="1" collapsed="1" x14ac:dyDescent="0.2"/>
    <row r="43" spans="1:19" s="6" customFormat="1" ht="11.25" customHeight="1" x14ac:dyDescent="0.2"/>
    <row r="44" spans="1:19" s="4" customFormat="1" ht="15.5" x14ac:dyDescent="0.2">
      <c r="B44" s="4" t="s">
        <v>241</v>
      </c>
    </row>
    <row r="45" spans="1:19" s="6" customFormat="1" ht="11.25" customHeight="1" x14ac:dyDescent="0.2"/>
    <row r="46" spans="1:19" s="6" customFormat="1" ht="11.25" customHeight="1" x14ac:dyDescent="0.2">
      <c r="D46" s="124" t="s">
        <v>252</v>
      </c>
    </row>
    <row r="47" spans="1:19" s="6" customFormat="1" ht="11.25" customHeight="1" x14ac:dyDescent="0.2"/>
    <row r="48" spans="1:19" s="13" customFormat="1" ht="14" x14ac:dyDescent="0.2">
      <c r="C48" s="13" t="s">
        <v>147</v>
      </c>
    </row>
    <row r="49" spans="1:19" s="6" customFormat="1" ht="11.25" customHeight="1" x14ac:dyDescent="0.2"/>
    <row r="50" spans="1:19" s="6" customFormat="1" ht="11.25" customHeight="1" x14ac:dyDescent="0.2">
      <c r="D50" s="83" t="str">
        <f>D$10</f>
        <v>Tariff</v>
      </c>
      <c r="H50" s="65" t="str">
        <f>H$10</f>
        <v>Source</v>
      </c>
      <c r="I50" s="65" t="str">
        <f>I$10</f>
        <v>Unit</v>
      </c>
      <c r="O50" s="65" t="str">
        <f>O$10</f>
        <v>FY20</v>
      </c>
      <c r="P50" s="65" t="str">
        <f>P$10</f>
        <v>FY21</v>
      </c>
      <c r="Q50" s="65" t="str">
        <f>Q$10</f>
        <v>FY22</v>
      </c>
      <c r="R50" s="65" t="str">
        <f>R$10</f>
        <v>FY23</v>
      </c>
      <c r="S50" s="65" t="str">
        <f>S$10</f>
        <v>FY24</v>
      </c>
    </row>
    <row r="51" spans="1:19" s="6" customFormat="1" ht="11.25" customHeight="1" x14ac:dyDescent="0.2">
      <c r="D51" s="3"/>
    </row>
    <row r="52" spans="1:19" s="6" customFormat="1" ht="11.25" customHeight="1" x14ac:dyDescent="0.2">
      <c r="D52" s="100" t="s">
        <v>102</v>
      </c>
      <c r="H52" s="95" t="s">
        <v>89</v>
      </c>
      <c r="I52" s="99" t="s">
        <v>130</v>
      </c>
      <c r="O52" s="91">
        <f>SUMIFS(Inputs_Other!O$144:O$152,Inputs_Other!$D$144:$D$152,$D52)</f>
        <v>61879.044516869653</v>
      </c>
      <c r="P52" s="91">
        <f>SUMIFS(Inputs_Other!P$144:P$152,Inputs_Other!$D$144:$D$152,$D52)</f>
        <v>59013.983404043487</v>
      </c>
      <c r="Q52" s="91">
        <f>SUMIFS(Inputs_Other!Q$144:Q$152,Inputs_Other!$D$144:$D$152,$D52)</f>
        <v>56183</v>
      </c>
      <c r="R52" s="91">
        <f>SUMIFS(Inputs_Other!R$144:R$152,Inputs_Other!$D$144:$D$152,$D52)</f>
        <v>53308</v>
      </c>
      <c r="S52" s="91">
        <f>SUMIFS(Inputs_Other!S$144:S$152,Inputs_Other!$D$144:$D$152,$D52)</f>
        <v>50429.746439445102</v>
      </c>
    </row>
    <row r="53" spans="1:19" s="6" customFormat="1" ht="11.25" customHeight="1" x14ac:dyDescent="0.2">
      <c r="D53" s="100" t="s">
        <v>105</v>
      </c>
      <c r="H53" s="95" t="s">
        <v>89</v>
      </c>
      <c r="I53" s="99" t="s">
        <v>130</v>
      </c>
      <c r="O53" s="91">
        <f>SUMIFS(Inputs_Other!O$144:O$152,Inputs_Other!$D$144:$D$152,$D53)</f>
        <v>7815.2276533176264</v>
      </c>
      <c r="P53" s="91">
        <f>SUMIFS(Inputs_Other!P$144:P$152,Inputs_Other!$D$144:$D$152,$D53)</f>
        <v>7458.3929311566217</v>
      </c>
      <c r="Q53" s="91">
        <f>SUMIFS(Inputs_Other!Q$144:Q$152,Inputs_Other!$D$144:$D$152,$D53)</f>
        <v>7066.0830261954934</v>
      </c>
      <c r="R53" s="91">
        <f>SUMIFS(Inputs_Other!R$144:R$152,Inputs_Other!$D$144:$D$152,$D53)</f>
        <v>6721.4801173349642</v>
      </c>
      <c r="S53" s="91">
        <f>SUMIFS(Inputs_Other!S$144:S$152,Inputs_Other!$D$144:$D$152,$D53)</f>
        <v>6373.5873631225959</v>
      </c>
    </row>
    <row r="54" spans="1:19" s="6" customFormat="1" ht="11.25" customHeight="1" x14ac:dyDescent="0.2">
      <c r="D54" s="100" t="s">
        <v>107</v>
      </c>
      <c r="H54" s="95" t="s">
        <v>89</v>
      </c>
      <c r="I54" s="99" t="s">
        <v>130</v>
      </c>
      <c r="O54" s="91">
        <f>SUMIFS(Inputs_Other!O$144:O$152,Inputs_Other!$D$144:$D$152,$D54)</f>
        <v>0</v>
      </c>
      <c r="P54" s="91">
        <f>SUMIFS(Inputs_Other!P$144:P$152,Inputs_Other!$D$144:$D$152,$D54)</f>
        <v>0</v>
      </c>
      <c r="Q54" s="91">
        <f>SUMIFS(Inputs_Other!Q$144:Q$152,Inputs_Other!$D$144:$D$152,$D54)</f>
        <v>0</v>
      </c>
      <c r="R54" s="91">
        <f>SUMIFS(Inputs_Other!R$144:R$152,Inputs_Other!$D$144:$D$152,$D54)</f>
        <v>0</v>
      </c>
      <c r="S54" s="91">
        <f>SUMIFS(Inputs_Other!S$144:S$152,Inputs_Other!$D$144:$D$152,$D54)</f>
        <v>0</v>
      </c>
    </row>
    <row r="55" spans="1:19" s="6" customFormat="1" ht="11.25" customHeight="1" x14ac:dyDescent="0.2">
      <c r="D55" s="100" t="s">
        <v>109</v>
      </c>
      <c r="H55" s="95" t="s">
        <v>89</v>
      </c>
      <c r="I55" s="99" t="s">
        <v>130</v>
      </c>
      <c r="O55" s="91">
        <f>SUMIFS(Inputs_Other!O$144:O$152,Inputs_Other!$D$144:$D$152,$D55)</f>
        <v>16792</v>
      </c>
      <c r="P55" s="91">
        <f>SUMIFS(Inputs_Other!P$144:P$152,Inputs_Other!$D$144:$D$152,$D55)</f>
        <v>20786</v>
      </c>
      <c r="Q55" s="91">
        <f>SUMIFS(Inputs_Other!Q$144:Q$152,Inputs_Other!$D$144:$D$152,$D55)</f>
        <v>25077</v>
      </c>
      <c r="R55" s="91">
        <f>SUMIFS(Inputs_Other!R$144:R$152,Inputs_Other!$D$144:$D$152,$D55)</f>
        <v>28974</v>
      </c>
      <c r="S55" s="91">
        <f>SUMIFS(Inputs_Other!S$144:S$152,Inputs_Other!$D$144:$D$152,$D55)</f>
        <v>32883</v>
      </c>
    </row>
    <row r="56" spans="1:19" s="6" customFormat="1" ht="11.25" customHeight="1" x14ac:dyDescent="0.2">
      <c r="D56" s="100" t="s">
        <v>111</v>
      </c>
      <c r="H56" s="95" t="s">
        <v>89</v>
      </c>
      <c r="I56" s="99" t="s">
        <v>130</v>
      </c>
      <c r="O56" s="91">
        <f>SUMIFS(Inputs_Other!O$144:O$152,Inputs_Other!$D$144:$D$152,$D56)</f>
        <v>36</v>
      </c>
      <c r="P56" s="91">
        <f>SUMIFS(Inputs_Other!P$144:P$152,Inputs_Other!$D$144:$D$152,$D56)</f>
        <v>36</v>
      </c>
      <c r="Q56" s="91">
        <f>SUMIFS(Inputs_Other!Q$144:Q$152,Inputs_Other!$D$144:$D$152,$D56)</f>
        <v>36</v>
      </c>
      <c r="R56" s="91">
        <f>SUMIFS(Inputs_Other!R$144:R$152,Inputs_Other!$D$144:$D$152,$D56)</f>
        <v>36</v>
      </c>
      <c r="S56" s="91">
        <f>SUMIFS(Inputs_Other!S$144:S$152,Inputs_Other!$D$144:$D$152,$D56)</f>
        <v>36</v>
      </c>
    </row>
    <row r="57" spans="1:19" s="6" customFormat="1" ht="11.25" customHeight="1" x14ac:dyDescent="0.2">
      <c r="D57" s="100" t="s">
        <v>114</v>
      </c>
      <c r="H57" s="95" t="s">
        <v>89</v>
      </c>
      <c r="I57" s="99" t="s">
        <v>130</v>
      </c>
      <c r="O57" s="91">
        <f>SUMIFS(Inputs_Other!O$144:O$152,Inputs_Other!$D$144:$D$152,$D57)</f>
        <v>156</v>
      </c>
      <c r="P57" s="91">
        <f>SUMIFS(Inputs_Other!P$144:P$152,Inputs_Other!$D$144:$D$152,$D57)</f>
        <v>159</v>
      </c>
      <c r="Q57" s="91">
        <f>SUMIFS(Inputs_Other!Q$144:Q$152,Inputs_Other!$D$144:$D$152,$D57)</f>
        <v>164</v>
      </c>
      <c r="R57" s="91">
        <f>SUMIFS(Inputs_Other!R$144:R$152,Inputs_Other!$D$144:$D$152,$D57)</f>
        <v>166</v>
      </c>
      <c r="S57" s="91">
        <f>SUMIFS(Inputs_Other!S$144:S$152,Inputs_Other!$D$144:$D$152,$D57)</f>
        <v>169</v>
      </c>
    </row>
    <row r="58" spans="1:19" s="6" customFormat="1" ht="11.25" customHeight="1" x14ac:dyDescent="0.2">
      <c r="D58" s="100" t="s">
        <v>116</v>
      </c>
      <c r="H58" s="95" t="s">
        <v>89</v>
      </c>
      <c r="I58" s="99" t="s">
        <v>130</v>
      </c>
      <c r="O58" s="91">
        <f>SUMIFS(Inputs_Other!O$144:O$152,Inputs_Other!$D$144:$D$152,$D58)</f>
        <v>40</v>
      </c>
      <c r="P58" s="91">
        <f>SUMIFS(Inputs_Other!P$144:P$152,Inputs_Other!$D$144:$D$152,$D58)</f>
        <v>41</v>
      </c>
      <c r="Q58" s="91">
        <f>SUMIFS(Inputs_Other!Q$144:Q$152,Inputs_Other!$D$144:$D$152,$D58)</f>
        <v>42</v>
      </c>
      <c r="R58" s="91">
        <f>SUMIFS(Inputs_Other!R$144:R$152,Inputs_Other!$D$144:$D$152,$D58)</f>
        <v>43</v>
      </c>
      <c r="S58" s="91">
        <f>SUMIFS(Inputs_Other!S$144:S$152,Inputs_Other!$D$144:$D$152,$D58)</f>
        <v>44</v>
      </c>
    </row>
    <row r="59" spans="1:19" s="6" customFormat="1" ht="11.25" customHeight="1" x14ac:dyDescent="0.2"/>
    <row r="60" spans="1:19" s="6" customFormat="1" ht="11.25" customHeight="1" x14ac:dyDescent="0.2">
      <c r="D60" s="73" t="str">
        <f>"Total - "&amp;C48</f>
        <v>Total - NMI Count</v>
      </c>
      <c r="H60" s="67" t="s">
        <v>89</v>
      </c>
      <c r="I60" s="67" t="str">
        <f>I52</f>
        <v>NMI</v>
      </c>
      <c r="O60" s="77">
        <f>SUM(O52:O58)</f>
        <v>86718.27217018728</v>
      </c>
      <c r="P60" s="77">
        <f>SUM(P52:P58)</f>
        <v>87494.376335200111</v>
      </c>
      <c r="Q60" s="77">
        <f>SUM(Q52:Q58)</f>
        <v>88568.083026195498</v>
      </c>
      <c r="R60" s="77">
        <f>SUM(R52:R58)</f>
        <v>89248.480117334955</v>
      </c>
      <c r="S60" s="77">
        <f>SUM(S52:S58)</f>
        <v>89935.333802567708</v>
      </c>
    </row>
    <row r="61" spans="1:19" s="6" customFormat="1" ht="11.25" customHeight="1" x14ac:dyDescent="0.2"/>
    <row r="62" spans="1:19" s="6" customFormat="1" ht="11.25" hidden="1" customHeight="1" outlineLevel="1" x14ac:dyDescent="0.2">
      <c r="D62" s="96" t="s">
        <v>138</v>
      </c>
      <c r="E62" s="97"/>
      <c r="G62" s="97"/>
      <c r="H62" s="95" t="s">
        <v>89</v>
      </c>
      <c r="I62" s="99" t="s">
        <v>130</v>
      </c>
      <c r="K62" s="74"/>
      <c r="O62" s="91">
        <f>Inputs_Other!O154</f>
        <v>86718.27217018728</v>
      </c>
      <c r="P62" s="91">
        <f>Inputs_Other!P154</f>
        <v>87494.376335200111</v>
      </c>
      <c r="Q62" s="91">
        <f>Inputs_Other!Q154</f>
        <v>88568.083026195498</v>
      </c>
      <c r="R62" s="91">
        <f>Inputs_Other!R154</f>
        <v>89248.480117334955</v>
      </c>
      <c r="S62" s="91">
        <f>Inputs_Other!S154</f>
        <v>89935.333802567708</v>
      </c>
    </row>
    <row r="63" spans="1:19" s="6" customFormat="1" ht="11.25" hidden="1" customHeight="1" outlineLevel="1" x14ac:dyDescent="0.2">
      <c r="A63" s="70">
        <f>IF(SUM($M63:$S63)=0,0,1)</f>
        <v>0</v>
      </c>
      <c r="D63" s="96" t="s">
        <v>92</v>
      </c>
      <c r="E63" s="97"/>
      <c r="F63" s="95"/>
      <c r="G63" s="97"/>
      <c r="H63" s="95"/>
      <c r="I63" s="99"/>
      <c r="J63" s="99"/>
      <c r="K63" s="74"/>
      <c r="O63" s="70">
        <f>IF(ROUND(O62-O60,2)=0,0,1)</f>
        <v>0</v>
      </c>
      <c r="P63" s="70">
        <f>IF(ROUND(P62-P60,2)=0,0,1)</f>
        <v>0</v>
      </c>
      <c r="Q63" s="70">
        <f>IF(ROUND(Q62-Q60,2)=0,0,1)</f>
        <v>0</v>
      </c>
      <c r="R63" s="70">
        <f>IF(ROUND(R62-R60,2)=0,0,1)</f>
        <v>0</v>
      </c>
      <c r="S63" s="70">
        <f>IF(ROUND(S62-S60,2)=0,0,1)</f>
        <v>0</v>
      </c>
    </row>
    <row r="64" spans="1:19" s="6" customFormat="1" ht="11.25" customHeight="1" collapsed="1" x14ac:dyDescent="0.2"/>
    <row r="65" spans="1:19" s="13" customFormat="1" ht="14" x14ac:dyDescent="0.2">
      <c r="C65" s="13" t="s">
        <v>146</v>
      </c>
    </row>
    <row r="66" spans="1:19" s="6" customFormat="1" ht="11.25" customHeight="1" x14ac:dyDescent="0.2"/>
    <row r="67" spans="1:19" s="6" customFormat="1" ht="11.25" customHeight="1" x14ac:dyDescent="0.2">
      <c r="D67" s="83" t="str">
        <f>D$10</f>
        <v>Tariff</v>
      </c>
      <c r="H67" s="65" t="str">
        <f>H$10</f>
        <v>Source</v>
      </c>
      <c r="I67" s="65" t="str">
        <f>I$10</f>
        <v>Unit</v>
      </c>
      <c r="O67" s="65" t="str">
        <f>O$10</f>
        <v>FY20</v>
      </c>
      <c r="P67" s="65" t="str">
        <f>P$10</f>
        <v>FY21</v>
      </c>
      <c r="Q67" s="65" t="str">
        <f>Q$10</f>
        <v>FY22</v>
      </c>
      <c r="R67" s="65" t="str">
        <f>R$10</f>
        <v>FY23</v>
      </c>
      <c r="S67" s="65" t="str">
        <f>S$10</f>
        <v>FY24</v>
      </c>
    </row>
    <row r="68" spans="1:19" s="6" customFormat="1" ht="11.25" customHeight="1" x14ac:dyDescent="0.2">
      <c r="D68" s="3"/>
    </row>
    <row r="69" spans="1:19" s="6" customFormat="1" ht="11.25" customHeight="1" x14ac:dyDescent="0.2">
      <c r="D69" s="100" t="s">
        <v>102</v>
      </c>
      <c r="H69" s="95" t="s">
        <v>89</v>
      </c>
      <c r="I69" s="99" t="s">
        <v>129</v>
      </c>
      <c r="O69" s="91">
        <f>SUMIFS(Inputs_Other!O$161:O$169,Inputs_Other!$D$161:$D$169,$D69)</f>
        <v>156829.00634912256</v>
      </c>
      <c r="P69" s="91">
        <f>SUMIFS(Inputs_Other!P$161:P$169,Inputs_Other!$D$161:$D$169,$D69)</f>
        <v>147404.20377180085</v>
      </c>
      <c r="Q69" s="91">
        <f>SUMIFS(Inputs_Other!Q$161:Q$169,Inputs_Other!$D$161:$D$169,$D69)</f>
        <v>138052.28370271591</v>
      </c>
      <c r="R69" s="91">
        <f>SUMIFS(Inputs_Other!R$161:R$169,Inputs_Other!$D$161:$D$169,$D69)</f>
        <v>129138.73273432734</v>
      </c>
      <c r="S69" s="91">
        <f>SUMIFS(Inputs_Other!S$161:S$169,Inputs_Other!$D$161:$D$169,$D69)</f>
        <v>120480.79090019679</v>
      </c>
    </row>
    <row r="70" spans="1:19" s="6" customFormat="1" ht="11.25" customHeight="1" x14ac:dyDescent="0.2">
      <c r="D70" s="100" t="s">
        <v>105</v>
      </c>
      <c r="H70" s="95" t="s">
        <v>89</v>
      </c>
      <c r="I70" s="99" t="s">
        <v>129</v>
      </c>
      <c r="O70" s="91">
        <f>SUMIFS(Inputs_Other!O$161:O$169,Inputs_Other!$D$161:$D$169,$D70)</f>
        <v>26948.251161104614</v>
      </c>
      <c r="P70" s="91">
        <f>SUMIFS(Inputs_Other!P$161:P$169,Inputs_Other!$D$161:$D$169,$D70)</f>
        <v>25328.767923213694</v>
      </c>
      <c r="Q70" s="91">
        <f>SUMIFS(Inputs_Other!Q$161:Q$169,Inputs_Other!$D$161:$D$169,$D70)</f>
        <v>23721.808236819645</v>
      </c>
      <c r="R70" s="91">
        <f>SUMIFS(Inputs_Other!R$161:R$169,Inputs_Other!$D$161:$D$169,$D70)</f>
        <v>22190.174415849604</v>
      </c>
      <c r="S70" s="91">
        <f>SUMIFS(Inputs_Other!S$161:S$169,Inputs_Other!$D$161:$D$169,$D70)</f>
        <v>20702.462438863706</v>
      </c>
    </row>
    <row r="71" spans="1:19" s="6" customFormat="1" ht="11.25" customHeight="1" x14ac:dyDescent="0.2">
      <c r="D71" s="100" t="s">
        <v>107</v>
      </c>
      <c r="H71" s="95" t="s">
        <v>89</v>
      </c>
      <c r="I71" s="99" t="s">
        <v>129</v>
      </c>
      <c r="O71" s="91">
        <f>SUMIFS(Inputs_Other!O$161:O$169,Inputs_Other!$D$161:$D$169,$D71)</f>
        <v>395.66547917626218</v>
      </c>
      <c r="P71" s="91">
        <f>SUMIFS(Inputs_Other!P$161:P$169,Inputs_Other!$D$161:$D$169,$D71)</f>
        <v>392.69228884292704</v>
      </c>
      <c r="Q71" s="91">
        <f>SUMIFS(Inputs_Other!Q$161:Q$169,Inputs_Other!$D$161:$D$169,$D71)</f>
        <v>389.75793719919591</v>
      </c>
      <c r="R71" s="91">
        <f>SUMIFS(Inputs_Other!R$161:R$169,Inputs_Other!$D$161:$D$169,$D71)</f>
        <v>386.86191423878608</v>
      </c>
      <c r="S71" s="91">
        <f>SUMIFS(Inputs_Other!S$161:S$169,Inputs_Other!$D$161:$D$169,$D71)</f>
        <v>384.00371666057737</v>
      </c>
    </row>
    <row r="72" spans="1:19" s="6" customFormat="1" ht="11.25" customHeight="1" x14ac:dyDescent="0.2">
      <c r="D72" s="100" t="s">
        <v>109</v>
      </c>
      <c r="H72" s="95" t="s">
        <v>89</v>
      </c>
      <c r="I72" s="99" t="s">
        <v>129</v>
      </c>
      <c r="O72" s="91">
        <f>SUMIFS(Inputs_Other!O$161:O$169,Inputs_Other!$D$161:$D$169,$D72)</f>
        <v>206013.91371103283</v>
      </c>
      <c r="P72" s="91">
        <f>SUMIFS(Inputs_Other!P$161:P$169,Inputs_Other!$D$161:$D$169,$D72)</f>
        <v>216856.30867006775</v>
      </c>
      <c r="Q72" s="91">
        <f>SUMIFS(Inputs_Other!Q$161:Q$169,Inputs_Other!$D$161:$D$169,$D72)</f>
        <v>227680.93929531166</v>
      </c>
      <c r="R72" s="91">
        <f>SUMIFS(Inputs_Other!R$161:R$169,Inputs_Other!$D$161:$D$169,$D72)</f>
        <v>238302.60484534665</v>
      </c>
      <c r="S72" s="91">
        <f>SUMIFS(Inputs_Other!S$161:S$169,Inputs_Other!$D$161:$D$169,$D72)</f>
        <v>249093.57053380611</v>
      </c>
    </row>
    <row r="73" spans="1:19" s="6" customFormat="1" ht="11.25" customHeight="1" x14ac:dyDescent="0.2">
      <c r="D73" s="100" t="s">
        <v>111</v>
      </c>
      <c r="H73" s="95" t="s">
        <v>89</v>
      </c>
      <c r="I73" s="99" t="s">
        <v>129</v>
      </c>
      <c r="O73" s="91">
        <f>SUMIFS(Inputs_Other!O$161:O$169,Inputs_Other!$D$161:$D$169,$D73)</f>
        <v>2823.3647621588234</v>
      </c>
      <c r="P73" s="91">
        <f>SUMIFS(Inputs_Other!P$161:P$169,Inputs_Other!$D$161:$D$169,$D73)</f>
        <v>2823.4262712495488</v>
      </c>
      <c r="Q73" s="91">
        <f>SUMIFS(Inputs_Other!Q$161:Q$169,Inputs_Other!$D$161:$D$169,$D73)</f>
        <v>2824.7788558833472</v>
      </c>
      <c r="R73" s="91">
        <f>SUMIFS(Inputs_Other!R$161:R$169,Inputs_Other!$D$161:$D$169,$D73)</f>
        <v>2827.2141685932265</v>
      </c>
      <c r="S73" s="91">
        <f>SUMIFS(Inputs_Other!S$161:S$169,Inputs_Other!$D$161:$D$169,$D73)</f>
        <v>2833.0125415144644</v>
      </c>
    </row>
    <row r="74" spans="1:19" s="6" customFormat="1" ht="11.25" customHeight="1" x14ac:dyDescent="0.2">
      <c r="D74" s="100" t="s">
        <v>114</v>
      </c>
      <c r="H74" s="95" t="s">
        <v>89</v>
      </c>
      <c r="I74" s="99" t="s">
        <v>129</v>
      </c>
      <c r="O74" s="91">
        <f>SUMIFS(Inputs_Other!O$161:O$169,Inputs_Other!$D$161:$D$169,$D74)</f>
        <v>66354.428798429057</v>
      </c>
      <c r="P74" s="91">
        <f>SUMIFS(Inputs_Other!P$161:P$169,Inputs_Other!$D$161:$D$169,$D74)</f>
        <v>66414.101627958429</v>
      </c>
      <c r="Q74" s="91">
        <f>SUMIFS(Inputs_Other!Q$161:Q$169,Inputs_Other!$D$161:$D$169,$D74)</f>
        <v>65914.952854085655</v>
      </c>
      <c r="R74" s="91">
        <f>SUMIFS(Inputs_Other!R$161:R$169,Inputs_Other!$D$161:$D$169,$D74)</f>
        <v>65754.762962144145</v>
      </c>
      <c r="S74" s="91">
        <f>SUMIFS(Inputs_Other!S$161:S$169,Inputs_Other!$D$161:$D$169,$D74)</f>
        <v>65687.755831468734</v>
      </c>
    </row>
    <row r="75" spans="1:19" s="6" customFormat="1" ht="11.25" customHeight="1" x14ac:dyDescent="0.2">
      <c r="D75" s="100" t="s">
        <v>116</v>
      </c>
      <c r="H75" s="95" t="s">
        <v>89</v>
      </c>
      <c r="I75" s="99" t="s">
        <v>129</v>
      </c>
      <c r="O75" s="91">
        <f>SUMIFS(Inputs_Other!O$161:O$169,Inputs_Other!$D$161:$D$169,$D75)</f>
        <v>68114.737059216612</v>
      </c>
      <c r="P75" s="91">
        <f>SUMIFS(Inputs_Other!P$161:P$169,Inputs_Other!$D$161:$D$169,$D75)</f>
        <v>68415.88112990465</v>
      </c>
      <c r="Q75" s="91">
        <f>SUMIFS(Inputs_Other!Q$161:Q$169,Inputs_Other!$D$161:$D$169,$D75)</f>
        <v>67980.269941283332</v>
      </c>
      <c r="R75" s="91">
        <f>SUMIFS(Inputs_Other!R$161:R$169,Inputs_Other!$D$161:$D$169,$D75)</f>
        <v>67814.571615306806</v>
      </c>
      <c r="S75" s="91">
        <f>SUMIFS(Inputs_Other!S$161:S$169,Inputs_Other!$D$161:$D$169,$D75)</f>
        <v>67926.107786989902</v>
      </c>
    </row>
    <row r="76" spans="1:19" s="6" customFormat="1" ht="11.25" customHeight="1" x14ac:dyDescent="0.2"/>
    <row r="77" spans="1:19" s="6" customFormat="1" ht="11.25" customHeight="1" x14ac:dyDescent="0.2">
      <c r="D77" s="73" t="str">
        <f>"Total - "&amp;C65</f>
        <v>Total - Coincident Demand</v>
      </c>
      <c r="H77" s="67" t="s">
        <v>89</v>
      </c>
      <c r="I77" s="67" t="str">
        <f>I69</f>
        <v>kVA</v>
      </c>
      <c r="O77" s="77">
        <f>SUM(O69:O75)</f>
        <v>527479.36732024082</v>
      </c>
      <c r="P77" s="77">
        <f>SUM(P69:P75)</f>
        <v>527635.38168303785</v>
      </c>
      <c r="Q77" s="77">
        <f>SUM(Q69:Q75)</f>
        <v>526564.79082329874</v>
      </c>
      <c r="R77" s="77">
        <f>SUM(R69:R75)</f>
        <v>526414.92265580653</v>
      </c>
      <c r="S77" s="77">
        <f>SUM(S69:S75)</f>
        <v>527107.70374950033</v>
      </c>
    </row>
    <row r="78" spans="1:19" s="6" customFormat="1" ht="11.25" customHeight="1" x14ac:dyDescent="0.2"/>
    <row r="79" spans="1:19" s="6" customFormat="1" ht="11.25" hidden="1" customHeight="1" outlineLevel="1" x14ac:dyDescent="0.2">
      <c r="D79" s="96" t="s">
        <v>138</v>
      </c>
      <c r="E79" s="97"/>
      <c r="G79" s="97"/>
      <c r="H79" s="95" t="s">
        <v>89</v>
      </c>
      <c r="I79" s="99" t="s">
        <v>129</v>
      </c>
      <c r="K79" s="74"/>
      <c r="O79" s="91">
        <f>Inputs_Other!O171</f>
        <v>527479.36732024071</v>
      </c>
      <c r="P79" s="91">
        <f>Inputs_Other!P171</f>
        <v>527635.38168303785</v>
      </c>
      <c r="Q79" s="91">
        <f>Inputs_Other!Q171</f>
        <v>526564.79082329874</v>
      </c>
      <c r="R79" s="91">
        <f>Inputs_Other!R171</f>
        <v>526414.92265580653</v>
      </c>
      <c r="S79" s="91">
        <f>Inputs_Other!S171</f>
        <v>527107.70374950022</v>
      </c>
    </row>
    <row r="80" spans="1:19" s="6" customFormat="1" ht="11.25" hidden="1" customHeight="1" outlineLevel="1" x14ac:dyDescent="0.2">
      <c r="A80" s="70">
        <f>IF(SUM($M80:$S80)=0,0,1)</f>
        <v>0</v>
      </c>
      <c r="D80" s="96" t="s">
        <v>92</v>
      </c>
      <c r="E80" s="97"/>
      <c r="F80" s="95"/>
      <c r="G80" s="97"/>
      <c r="H80" s="95"/>
      <c r="I80" s="99"/>
      <c r="J80" s="99"/>
      <c r="K80" s="74"/>
      <c r="O80" s="70">
        <f>IF(ROUND(O79-O77,2)=0,0,1)</f>
        <v>0</v>
      </c>
      <c r="P80" s="70">
        <f>IF(ROUND(P79-P77,2)=0,0,1)</f>
        <v>0</v>
      </c>
      <c r="Q80" s="70">
        <f>IF(ROUND(Q79-Q77,2)=0,0,1)</f>
        <v>0</v>
      </c>
      <c r="R80" s="70">
        <f>IF(ROUND(R79-R77,2)=0,0,1)</f>
        <v>0</v>
      </c>
      <c r="S80" s="70">
        <f>IF(ROUND(S79-S77,2)=0,0,1)</f>
        <v>0</v>
      </c>
    </row>
    <row r="81" spans="2:19" s="6" customFormat="1" ht="11.25" customHeight="1" collapsed="1" x14ac:dyDescent="0.2"/>
    <row r="82" spans="2:19" s="4" customFormat="1" ht="15.5" x14ac:dyDescent="0.2">
      <c r="B82" s="4" t="s">
        <v>251</v>
      </c>
    </row>
    <row r="83" spans="2:19" s="6" customFormat="1" ht="11.25" customHeight="1" x14ac:dyDescent="0.2"/>
    <row r="84" spans="2:19" s="6" customFormat="1" ht="11.25" customHeight="1" x14ac:dyDescent="0.2">
      <c r="D84" s="124" t="s">
        <v>255</v>
      </c>
    </row>
    <row r="85" spans="2:19" s="6" customFormat="1" ht="11.25" customHeight="1" x14ac:dyDescent="0.2">
      <c r="D85" s="124" t="s">
        <v>468</v>
      </c>
    </row>
    <row r="86" spans="2:19" s="6" customFormat="1" ht="11.25" customHeight="1" x14ac:dyDescent="0.2">
      <c r="D86" s="124" t="s">
        <v>256</v>
      </c>
    </row>
    <row r="87" spans="2:19" s="6" customFormat="1" ht="11.25" customHeight="1" x14ac:dyDescent="0.2">
      <c r="D87" s="124" t="s">
        <v>257</v>
      </c>
    </row>
    <row r="88" spans="2:19" s="6" customFormat="1" ht="11.25" customHeight="1" x14ac:dyDescent="0.2"/>
    <row r="89" spans="2:19" s="6" customFormat="1" ht="11.25" customHeight="1" x14ac:dyDescent="0.2"/>
    <row r="90" spans="2:19" s="13" customFormat="1" ht="14" x14ac:dyDescent="0.2">
      <c r="C90" s="13" t="str">
        <f>Inputs_Other!$D$178&amp;", "&amp;Inputs_Other!$D$179&amp;", "&amp;Inputs_Other!$D$180&amp;", and "&amp;Inputs_Other!$D$181</f>
        <v>Transmission, Zone Substations, HV Distribution, and Distribution Substations</v>
      </c>
    </row>
    <row r="91" spans="2:19" s="6" customFormat="1" ht="11.25" customHeight="1" x14ac:dyDescent="0.2"/>
    <row r="92" spans="2:19" s="6" customFormat="1" ht="11.25" customHeight="1" x14ac:dyDescent="0.2">
      <c r="D92" s="83" t="str">
        <f>D$10</f>
        <v>Tariff</v>
      </c>
      <c r="H92" s="65" t="str">
        <f>H$10</f>
        <v>Source</v>
      </c>
      <c r="I92" s="65" t="str">
        <f>I$10</f>
        <v>Unit</v>
      </c>
      <c r="M92" s="65" t="s">
        <v>254</v>
      </c>
      <c r="O92" s="65" t="str">
        <f>O$10</f>
        <v>FY20</v>
      </c>
      <c r="P92" s="65" t="str">
        <f>P$10</f>
        <v>FY21</v>
      </c>
      <c r="Q92" s="65" t="str">
        <f>Q$10</f>
        <v>FY22</v>
      </c>
      <c r="R92" s="65" t="str">
        <f>R$10</f>
        <v>FY23</v>
      </c>
      <c r="S92" s="65" t="str">
        <f>S$10</f>
        <v>FY24</v>
      </c>
    </row>
    <row r="93" spans="2:19" s="6" customFormat="1" ht="11.25" customHeight="1" x14ac:dyDescent="0.2">
      <c r="D93" s="3"/>
    </row>
    <row r="94" spans="2:19" s="6" customFormat="1" ht="11.25" customHeight="1" x14ac:dyDescent="0.2">
      <c r="D94" s="100" t="s">
        <v>102</v>
      </c>
      <c r="H94" s="95" t="s">
        <v>89</v>
      </c>
      <c r="I94" s="95" t="str">
        <f t="shared" ref="I94:I100" si="1">Percent</f>
        <v>Percent</v>
      </c>
      <c r="M94" s="85">
        <f>SUM(Inputs_Other!M178:M181)</f>
        <v>0.8244063596444352</v>
      </c>
      <c r="O94" s="85">
        <f t="shared" ref="O94:S100" si="2">IFERROR(O69/O$77*$M$94,0)</f>
        <v>0.24511068720615892</v>
      </c>
      <c r="P94" s="85">
        <f t="shared" si="2"/>
        <v>0.2303123847384389</v>
      </c>
      <c r="Q94" s="85">
        <f t="shared" si="2"/>
        <v>0.21613898732197773</v>
      </c>
      <c r="R94" s="85">
        <f t="shared" si="2"/>
        <v>0.20224121308242732</v>
      </c>
      <c r="S94" s="85">
        <f t="shared" si="2"/>
        <v>0.18843422231657675</v>
      </c>
    </row>
    <row r="95" spans="2:19" s="6" customFormat="1" ht="11.25" customHeight="1" x14ac:dyDescent="0.2">
      <c r="D95" s="100" t="s">
        <v>105</v>
      </c>
      <c r="H95" s="95" t="s">
        <v>89</v>
      </c>
      <c r="I95" s="95" t="str">
        <f t="shared" si="1"/>
        <v>Percent</v>
      </c>
      <c r="O95" s="85">
        <f t="shared" si="2"/>
        <v>4.2117874204968313E-2</v>
      </c>
      <c r="P95" s="85">
        <f t="shared" si="2"/>
        <v>3.9575051413817314E-2</v>
      </c>
      <c r="Q95" s="85">
        <f t="shared" si="2"/>
        <v>3.7139607344659091E-2</v>
      </c>
      <c r="R95" s="85">
        <f t="shared" si="2"/>
        <v>3.4751524173654368E-2</v>
      </c>
      <c r="S95" s="85">
        <f t="shared" si="2"/>
        <v>3.2379040513910273E-2</v>
      </c>
    </row>
    <row r="96" spans="2:19" s="6" customFormat="1" ht="11.25" customHeight="1" x14ac:dyDescent="0.2">
      <c r="D96" s="100" t="s">
        <v>107</v>
      </c>
      <c r="H96" s="95" t="s">
        <v>89</v>
      </c>
      <c r="I96" s="95" t="str">
        <f t="shared" si="1"/>
        <v>Percent</v>
      </c>
      <c r="O96" s="85">
        <f t="shared" si="2"/>
        <v>6.1839222068877427E-4</v>
      </c>
      <c r="P96" s="85">
        <f t="shared" si="2"/>
        <v>6.1356389572053954E-4</v>
      </c>
      <c r="Q96" s="85">
        <f t="shared" si="2"/>
        <v>6.1021725673401439E-4</v>
      </c>
      <c r="R96" s="85">
        <f t="shared" si="2"/>
        <v>6.0585558781966152E-4</v>
      </c>
      <c r="S96" s="85">
        <f t="shared" si="2"/>
        <v>6.0058903311442982E-4</v>
      </c>
    </row>
    <row r="97" spans="1:21" s="6" customFormat="1" ht="11.25" customHeight="1" x14ac:dyDescent="0.2">
      <c r="D97" s="100" t="s">
        <v>109</v>
      </c>
      <c r="H97" s="95" t="s">
        <v>89</v>
      </c>
      <c r="I97" s="95" t="str">
        <f t="shared" si="1"/>
        <v>Percent</v>
      </c>
      <c r="O97" s="85">
        <f t="shared" si="2"/>
        <v>0.3219826047442409</v>
      </c>
      <c r="P97" s="85">
        <f t="shared" si="2"/>
        <v>0.33882814951938955</v>
      </c>
      <c r="Q97" s="85">
        <f t="shared" si="2"/>
        <v>0.35646442298467546</v>
      </c>
      <c r="R97" s="85">
        <f t="shared" si="2"/>
        <v>0.37320025420858305</v>
      </c>
      <c r="S97" s="85">
        <f t="shared" si="2"/>
        <v>0.38958702791450922</v>
      </c>
    </row>
    <row r="98" spans="1:21" s="6" customFormat="1" ht="11.25" customHeight="1" x14ac:dyDescent="0.2">
      <c r="D98" s="100" t="s">
        <v>111</v>
      </c>
      <c r="H98" s="95" t="s">
        <v>89</v>
      </c>
      <c r="I98" s="95" t="str">
        <f t="shared" si="1"/>
        <v>Percent</v>
      </c>
      <c r="O98" s="85">
        <f t="shared" si="2"/>
        <v>4.412684191506225E-3</v>
      </c>
      <c r="P98" s="85">
        <f t="shared" si="2"/>
        <v>4.411475528006901E-3</v>
      </c>
      <c r="Q98" s="85">
        <f t="shared" si="2"/>
        <v>4.4225624158012403E-3</v>
      </c>
      <c r="R98" s="85">
        <f t="shared" si="2"/>
        <v>4.4276353886515364E-3</v>
      </c>
      <c r="S98" s="85">
        <f t="shared" si="2"/>
        <v>4.4308848828491119E-3</v>
      </c>
    </row>
    <row r="99" spans="1:21" s="6" customFormat="1" ht="11.25" customHeight="1" x14ac:dyDescent="0.2">
      <c r="D99" s="100" t="s">
        <v>114</v>
      </c>
      <c r="H99" s="95" t="s">
        <v>89</v>
      </c>
      <c r="I99" s="95" t="str">
        <f t="shared" si="1"/>
        <v>Percent</v>
      </c>
      <c r="O99" s="85">
        <f t="shared" si="2"/>
        <v>0.10370645087012044</v>
      </c>
      <c r="P99" s="85">
        <f t="shared" si="2"/>
        <v>0.10376902242134252</v>
      </c>
      <c r="Q99" s="85">
        <f t="shared" si="2"/>
        <v>0.10319851854053538</v>
      </c>
      <c r="R99" s="85">
        <f t="shared" si="2"/>
        <v>0.10297702901243173</v>
      </c>
      <c r="S99" s="85">
        <f t="shared" si="2"/>
        <v>0.10273688521913392</v>
      </c>
    </row>
    <row r="100" spans="1:21" s="6" customFormat="1" ht="11.25" customHeight="1" x14ac:dyDescent="0.2">
      <c r="D100" s="100" t="s">
        <v>116</v>
      </c>
      <c r="H100" s="95" t="s">
        <v>89</v>
      </c>
      <c r="I100" s="95" t="str">
        <f t="shared" si="1"/>
        <v>Percent</v>
      </c>
      <c r="O100" s="85">
        <f t="shared" si="2"/>
        <v>0.1064576662067515</v>
      </c>
      <c r="P100" s="85">
        <f t="shared" si="2"/>
        <v>0.10689671212771951</v>
      </c>
      <c r="Q100" s="85">
        <f t="shared" si="2"/>
        <v>0.10643204378005229</v>
      </c>
      <c r="R100" s="85">
        <f t="shared" si="2"/>
        <v>0.1062028481908676</v>
      </c>
      <c r="S100" s="85">
        <f t="shared" si="2"/>
        <v>0.10623770976434141</v>
      </c>
    </row>
    <row r="101" spans="1:21" s="6" customFormat="1" ht="11.25" customHeight="1" x14ac:dyDescent="0.2"/>
    <row r="102" spans="1:21" s="6" customFormat="1" ht="11.25" customHeight="1" x14ac:dyDescent="0.2">
      <c r="D102" s="73" t="s">
        <v>88</v>
      </c>
      <c r="H102" s="67" t="s">
        <v>89</v>
      </c>
      <c r="I102" s="67" t="str">
        <f>I94</f>
        <v>Percent</v>
      </c>
      <c r="O102" s="86">
        <f>SUM(O94:O100)</f>
        <v>0.82440635964443498</v>
      </c>
      <c r="P102" s="86">
        <f>SUM(P94:P100)</f>
        <v>0.82440635964443532</v>
      </c>
      <c r="Q102" s="86">
        <f>SUM(Q94:Q100)</f>
        <v>0.8244063596444352</v>
      </c>
      <c r="R102" s="86">
        <f>SUM(R94:R100)</f>
        <v>0.82440635964443532</v>
      </c>
      <c r="S102" s="86">
        <f>SUM(S94:S100)</f>
        <v>0.8244063596444352</v>
      </c>
    </row>
    <row r="103" spans="1:21" s="6" customFormat="1" ht="11.25" customHeight="1" x14ac:dyDescent="0.2"/>
    <row r="104" spans="1:21" s="6" customFormat="1" ht="11.25" hidden="1" customHeight="1" outlineLevel="1" x14ac:dyDescent="0.2">
      <c r="D104" s="96" t="s">
        <v>138</v>
      </c>
      <c r="E104" s="97"/>
      <c r="G104" s="97"/>
      <c r="H104" s="95" t="s">
        <v>89</v>
      </c>
      <c r="I104" s="95" t="str">
        <f>Percent</f>
        <v>Percent</v>
      </c>
      <c r="K104" s="74"/>
      <c r="O104" s="85">
        <f>$M94</f>
        <v>0.8244063596444352</v>
      </c>
      <c r="P104" s="85">
        <f>$M94</f>
        <v>0.8244063596444352</v>
      </c>
      <c r="Q104" s="85">
        <f>$M94</f>
        <v>0.8244063596444352</v>
      </c>
      <c r="R104" s="85">
        <f>$M94</f>
        <v>0.8244063596444352</v>
      </c>
      <c r="S104" s="85">
        <f>$M94</f>
        <v>0.8244063596444352</v>
      </c>
    </row>
    <row r="105" spans="1:21" s="6" customFormat="1" ht="11.25" hidden="1" customHeight="1" outlineLevel="1" x14ac:dyDescent="0.2">
      <c r="A105" s="70">
        <f>IF(SUM($M105:$S105)=0,0,1)</f>
        <v>0</v>
      </c>
      <c r="D105" s="96" t="s">
        <v>92</v>
      </c>
      <c r="E105" s="97"/>
      <c r="F105" s="95"/>
      <c r="G105" s="97"/>
      <c r="H105" s="95"/>
      <c r="I105" s="99"/>
      <c r="J105" s="99"/>
      <c r="K105" s="74"/>
      <c r="O105" s="70">
        <f>IF(ROUND(O104-O102,2)=0,0,1)</f>
        <v>0</v>
      </c>
      <c r="P105" s="70">
        <f>IF(ROUND(P104-P102,2)=0,0,1)</f>
        <v>0</v>
      </c>
      <c r="Q105" s="70">
        <f>IF(ROUND(Q104-Q102,2)=0,0,1)</f>
        <v>0</v>
      </c>
      <c r="R105" s="70">
        <f>IF(ROUND(R104-R102,2)=0,0,1)</f>
        <v>0</v>
      </c>
      <c r="S105" s="70">
        <f>IF(ROUND(S104-S102,2)=0,0,1)</f>
        <v>0</v>
      </c>
    </row>
    <row r="106" spans="1:21" s="6" customFormat="1" ht="11.25" customHeight="1" collapsed="1" x14ac:dyDescent="0.2"/>
    <row r="107" spans="1:21" s="13" customFormat="1" ht="14" x14ac:dyDescent="0.2">
      <c r="C107" s="13" t="str">
        <f>Inputs_Other!$D$182</f>
        <v>LV Distribution</v>
      </c>
    </row>
    <row r="108" spans="1:21" s="6" customFormat="1" ht="11.25" customHeight="1" x14ac:dyDescent="0.2"/>
    <row r="109" spans="1:21" s="6" customFormat="1" ht="39" x14ac:dyDescent="0.2">
      <c r="D109" s="83" t="str">
        <f>D$10</f>
        <v>Tariff</v>
      </c>
      <c r="H109" s="65" t="str">
        <f>H$10</f>
        <v>Source</v>
      </c>
      <c r="I109" s="65" t="str">
        <f>I$10</f>
        <v>Unit</v>
      </c>
      <c r="M109" s="65" t="s">
        <v>254</v>
      </c>
      <c r="O109" s="65" t="str">
        <f>O$10</f>
        <v>FY20</v>
      </c>
      <c r="P109" s="65" t="str">
        <f>P$10</f>
        <v>FY21</v>
      </c>
      <c r="Q109" s="65" t="str">
        <f>Q$10</f>
        <v>FY22</v>
      </c>
      <c r="R109" s="65" t="str">
        <f>R$10</f>
        <v>FY23</v>
      </c>
      <c r="S109" s="65" t="str">
        <f>S$10</f>
        <v>FY24</v>
      </c>
      <c r="U109" s="144" t="s">
        <v>243</v>
      </c>
    </row>
    <row r="110" spans="1:21" s="6" customFormat="1" ht="11.25" customHeight="1" x14ac:dyDescent="0.2">
      <c r="D110" s="3"/>
      <c r="U110" s="140"/>
    </row>
    <row r="111" spans="1:21" s="6" customFormat="1" ht="11.25" customHeight="1" x14ac:dyDescent="0.2">
      <c r="D111" s="100" t="s">
        <v>102</v>
      </c>
      <c r="H111" s="95" t="s">
        <v>89</v>
      </c>
      <c r="I111" s="95" t="str">
        <f t="shared" ref="I111:I117" si="3">Percent</f>
        <v>Percent</v>
      </c>
      <c r="M111" s="85">
        <f>Inputs_Other!M182</f>
        <v>7.5593640355564748E-2</v>
      </c>
      <c r="O111" s="85">
        <f t="shared" ref="O111:S117" si="4">IFERROR(O52*$U111/SUMPRODUCT(O$52:O$58,$U$111:$U$117)*$M$111,0)</f>
        <v>5.9987332850395238E-2</v>
      </c>
      <c r="P111" s="85">
        <f t="shared" si="4"/>
        <v>5.9954516596583365E-2</v>
      </c>
      <c r="Q111" s="85">
        <f t="shared" si="4"/>
        <v>5.9980899291382971E-2</v>
      </c>
      <c r="R111" s="85">
        <f t="shared" si="4"/>
        <v>5.9922796813695965E-2</v>
      </c>
      <c r="S111" s="85">
        <f t="shared" si="4"/>
        <v>5.9860763058973518E-2</v>
      </c>
      <c r="U111" s="142">
        <f>Inputs_Other!M194</f>
        <v>1</v>
      </c>
    </row>
    <row r="112" spans="1:21" s="6" customFormat="1" ht="11.25" customHeight="1" x14ac:dyDescent="0.2">
      <c r="D112" s="100" t="s">
        <v>105</v>
      </c>
      <c r="H112" s="95" t="s">
        <v>89</v>
      </c>
      <c r="I112" s="95" t="str">
        <f t="shared" si="3"/>
        <v>Percent</v>
      </c>
      <c r="O112" s="85">
        <f t="shared" si="4"/>
        <v>1.5152614789110652E-2</v>
      </c>
      <c r="P112" s="85">
        <f t="shared" si="4"/>
        <v>1.5154521589004655E-2</v>
      </c>
      <c r="Q112" s="85">
        <f t="shared" si="4"/>
        <v>1.5087482490389707E-2</v>
      </c>
      <c r="R112" s="85">
        <f t="shared" si="4"/>
        <v>1.5111048523987409E-2</v>
      </c>
      <c r="S112" s="85">
        <f t="shared" si="4"/>
        <v>1.5131061721187888E-2</v>
      </c>
      <c r="U112" s="142">
        <f>Inputs_Other!M195</f>
        <v>2</v>
      </c>
    </row>
    <row r="113" spans="1:21" s="6" customFormat="1" ht="11.25" customHeight="1" x14ac:dyDescent="0.2">
      <c r="D113" s="100" t="s">
        <v>107</v>
      </c>
      <c r="H113" s="95" t="s">
        <v>89</v>
      </c>
      <c r="I113" s="95" t="str">
        <f t="shared" si="3"/>
        <v>Percent</v>
      </c>
      <c r="O113" s="85">
        <f t="shared" si="4"/>
        <v>0</v>
      </c>
      <c r="P113" s="85">
        <f t="shared" si="4"/>
        <v>0</v>
      </c>
      <c r="Q113" s="85">
        <f t="shared" si="4"/>
        <v>0</v>
      </c>
      <c r="R113" s="85">
        <f t="shared" si="4"/>
        <v>0</v>
      </c>
      <c r="S113" s="85">
        <f t="shared" si="4"/>
        <v>0</v>
      </c>
      <c r="U113" s="142">
        <f>Inputs_Other!M196</f>
        <v>0</v>
      </c>
    </row>
    <row r="114" spans="1:21" s="6" customFormat="1" ht="11.25" customHeight="1" x14ac:dyDescent="0.2">
      <c r="D114" s="100" t="s">
        <v>109</v>
      </c>
      <c r="H114" s="95" t="s">
        <v>89</v>
      </c>
      <c r="I114" s="95" t="str">
        <f t="shared" si="3"/>
        <v>Percent</v>
      </c>
      <c r="O114" s="85">
        <f t="shared" si="4"/>
        <v>0</v>
      </c>
      <c r="P114" s="85">
        <f t="shared" si="4"/>
        <v>0</v>
      </c>
      <c r="Q114" s="85">
        <f t="shared" si="4"/>
        <v>0</v>
      </c>
      <c r="R114" s="85">
        <f t="shared" si="4"/>
        <v>0</v>
      </c>
      <c r="S114" s="85">
        <f t="shared" si="4"/>
        <v>0</v>
      </c>
      <c r="U114" s="142">
        <f>Inputs_Other!M197</f>
        <v>0</v>
      </c>
    </row>
    <row r="115" spans="1:21" s="6" customFormat="1" ht="11.25" customHeight="1" x14ac:dyDescent="0.2">
      <c r="D115" s="100" t="s">
        <v>111</v>
      </c>
      <c r="H115" s="95" t="s">
        <v>89</v>
      </c>
      <c r="I115" s="95" t="str">
        <f t="shared" si="3"/>
        <v>Percent</v>
      </c>
      <c r="O115" s="85">
        <f t="shared" si="4"/>
        <v>0</v>
      </c>
      <c r="P115" s="85">
        <f t="shared" si="4"/>
        <v>0</v>
      </c>
      <c r="Q115" s="85">
        <f t="shared" si="4"/>
        <v>0</v>
      </c>
      <c r="R115" s="85">
        <f t="shared" si="4"/>
        <v>0</v>
      </c>
      <c r="S115" s="85">
        <f t="shared" si="4"/>
        <v>0</v>
      </c>
      <c r="U115" s="142">
        <f>Inputs_Other!M198</f>
        <v>0</v>
      </c>
    </row>
    <row r="116" spans="1:21" s="6" customFormat="1" ht="11.25" customHeight="1" x14ac:dyDescent="0.2">
      <c r="D116" s="100" t="s">
        <v>114</v>
      </c>
      <c r="H116" s="95" t="s">
        <v>89</v>
      </c>
      <c r="I116" s="95" t="str">
        <f t="shared" si="3"/>
        <v>Percent</v>
      </c>
      <c r="O116" s="85">
        <f t="shared" si="4"/>
        <v>4.5369271605884824E-4</v>
      </c>
      <c r="P116" s="85">
        <f t="shared" si="4"/>
        <v>4.8460216997673098E-4</v>
      </c>
      <c r="Q116" s="85">
        <f t="shared" si="4"/>
        <v>5.2525857379207984E-4</v>
      </c>
      <c r="R116" s="85">
        <f t="shared" si="4"/>
        <v>5.5979501788137973E-4</v>
      </c>
      <c r="S116" s="85">
        <f t="shared" si="4"/>
        <v>6.0181557540334759E-4</v>
      </c>
      <c r="U116" s="142">
        <f>Inputs_Other!M199</f>
        <v>3</v>
      </c>
    </row>
    <row r="117" spans="1:21" s="6" customFormat="1" ht="11.25" customHeight="1" x14ac:dyDescent="0.2">
      <c r="D117" s="100" t="s">
        <v>116</v>
      </c>
      <c r="H117" s="95" t="s">
        <v>89</v>
      </c>
      <c r="I117" s="95" t="str">
        <f t="shared" si="3"/>
        <v>Percent</v>
      </c>
      <c r="O117" s="85">
        <f t="shared" si="4"/>
        <v>0</v>
      </c>
      <c r="P117" s="85">
        <f t="shared" si="4"/>
        <v>0</v>
      </c>
      <c r="Q117" s="85">
        <f t="shared" si="4"/>
        <v>0</v>
      </c>
      <c r="R117" s="85">
        <f t="shared" si="4"/>
        <v>0</v>
      </c>
      <c r="S117" s="85">
        <f t="shared" si="4"/>
        <v>0</v>
      </c>
      <c r="U117" s="142">
        <f>Inputs_Other!M200</f>
        <v>0</v>
      </c>
    </row>
    <row r="118" spans="1:21" s="6" customFormat="1" ht="11.25" customHeight="1" x14ac:dyDescent="0.2">
      <c r="U118" s="140"/>
    </row>
    <row r="119" spans="1:21" s="6" customFormat="1" ht="11.25" customHeight="1" x14ac:dyDescent="0.2">
      <c r="D119" s="73" t="str">
        <f>"Total - "&amp;C107</f>
        <v>Total - LV Distribution</v>
      </c>
      <c r="H119" s="67" t="s">
        <v>89</v>
      </c>
      <c r="I119" s="67" t="str">
        <f>I111</f>
        <v>Percent</v>
      </c>
      <c r="O119" s="86">
        <f>SUM(O111:O117)</f>
        <v>7.5593640355564734E-2</v>
      </c>
      <c r="P119" s="86">
        <f>SUM(P111:P117)</f>
        <v>7.5593640355564748E-2</v>
      </c>
      <c r="Q119" s="86">
        <f>SUM(Q111:Q117)</f>
        <v>7.5593640355564762E-2</v>
      </c>
      <c r="R119" s="86">
        <f>SUM(R111:R117)</f>
        <v>7.5593640355564748E-2</v>
      </c>
      <c r="S119" s="86">
        <f>SUM(S111:S117)</f>
        <v>7.5593640355564748E-2</v>
      </c>
    </row>
    <row r="120" spans="1:21" s="6" customFormat="1" ht="11.25" customHeight="1" x14ac:dyDescent="0.2"/>
    <row r="121" spans="1:21" s="6" customFormat="1" ht="11.25" hidden="1" customHeight="1" outlineLevel="1" x14ac:dyDescent="0.2">
      <c r="D121" s="96" t="s">
        <v>138</v>
      </c>
      <c r="E121" s="97"/>
      <c r="G121" s="97"/>
      <c r="H121" s="95" t="s">
        <v>89</v>
      </c>
      <c r="I121" s="95" t="str">
        <f>Percent</f>
        <v>Percent</v>
      </c>
      <c r="K121" s="74"/>
      <c r="O121" s="85">
        <f>$M111</f>
        <v>7.5593640355564748E-2</v>
      </c>
      <c r="P121" s="85">
        <f>$M111</f>
        <v>7.5593640355564748E-2</v>
      </c>
      <c r="Q121" s="85">
        <f>$M111</f>
        <v>7.5593640355564748E-2</v>
      </c>
      <c r="R121" s="85">
        <f>$M111</f>
        <v>7.5593640355564748E-2</v>
      </c>
      <c r="S121" s="85">
        <f>$M111</f>
        <v>7.5593640355564748E-2</v>
      </c>
    </row>
    <row r="122" spans="1:21" s="6" customFormat="1" ht="11.25" hidden="1" customHeight="1" outlineLevel="1" x14ac:dyDescent="0.2">
      <c r="A122" s="70">
        <f>IF(SUM($M122:$S122)=0,0,1)</f>
        <v>0</v>
      </c>
      <c r="D122" s="96" t="s">
        <v>92</v>
      </c>
      <c r="E122" s="97"/>
      <c r="F122" s="95"/>
      <c r="G122" s="97"/>
      <c r="H122" s="95"/>
      <c r="I122" s="99"/>
      <c r="J122" s="99"/>
      <c r="K122" s="74"/>
      <c r="O122" s="70">
        <f>IF(ROUND(O121-O119,2)=0,0,1)</f>
        <v>0</v>
      </c>
      <c r="P122" s="70">
        <f>IF(ROUND(P121-P119,2)=0,0,1)</f>
        <v>0</v>
      </c>
      <c r="Q122" s="70">
        <f>IF(ROUND(Q121-Q119,2)=0,0,1)</f>
        <v>0</v>
      </c>
      <c r="R122" s="70">
        <f>IF(ROUND(R121-R119,2)=0,0,1)</f>
        <v>0</v>
      </c>
      <c r="S122" s="70">
        <f>IF(ROUND(S121-S119,2)=0,0,1)</f>
        <v>0</v>
      </c>
    </row>
    <row r="123" spans="1:21" s="6" customFormat="1" ht="11.25" customHeight="1" collapsed="1" x14ac:dyDescent="0.2"/>
    <row r="124" spans="1:21" s="13" customFormat="1" ht="14" x14ac:dyDescent="0.2">
      <c r="C124" s="13" t="str">
        <f>Inputs_Other!$D$183</f>
        <v>Common Services</v>
      </c>
    </row>
    <row r="125" spans="1:21" s="6" customFormat="1" ht="11.25" customHeight="1" x14ac:dyDescent="0.2"/>
    <row r="126" spans="1:21" s="6" customFormat="1" ht="11.25" customHeight="1" x14ac:dyDescent="0.2">
      <c r="D126" s="83" t="str">
        <f>D$10</f>
        <v>Tariff</v>
      </c>
      <c r="H126" s="65" t="str">
        <f>H$10</f>
        <v>Source</v>
      </c>
      <c r="I126" s="65" t="str">
        <f>I$10</f>
        <v>Unit</v>
      </c>
      <c r="M126" s="65" t="s">
        <v>254</v>
      </c>
      <c r="O126" s="65" t="str">
        <f>O$10</f>
        <v>FY20</v>
      </c>
      <c r="P126" s="65" t="str">
        <f>P$10</f>
        <v>FY21</v>
      </c>
      <c r="Q126" s="65" t="str">
        <f>Q$10</f>
        <v>FY22</v>
      </c>
      <c r="R126" s="65" t="str">
        <f>R$10</f>
        <v>FY23</v>
      </c>
      <c r="S126" s="65" t="str">
        <f>S$10</f>
        <v>FY24</v>
      </c>
    </row>
    <row r="127" spans="1:21" s="6" customFormat="1" ht="11.25" customHeight="1" x14ac:dyDescent="0.2">
      <c r="D127" s="3"/>
    </row>
    <row r="128" spans="1:21" s="6" customFormat="1" ht="11.25" customHeight="1" x14ac:dyDescent="0.2">
      <c r="D128" s="100" t="s">
        <v>102</v>
      </c>
      <c r="H128" s="95" t="s">
        <v>89</v>
      </c>
      <c r="I128" s="95" t="str">
        <f t="shared" ref="I128:I134" si="5">Percent</f>
        <v>Percent</v>
      </c>
      <c r="M128" s="85">
        <f>Inputs_Other!M183</f>
        <v>0.10000000000000009</v>
      </c>
      <c r="O128" s="85">
        <f t="shared" ref="O128:S134" si="6">IFERROR(O69/O$77*$M$128,0)</f>
        <v>2.973178024874467E-2</v>
      </c>
      <c r="P128" s="85">
        <f t="shared" si="6"/>
        <v>2.7936754980610819E-2</v>
      </c>
      <c r="Q128" s="85">
        <f t="shared" si="6"/>
        <v>2.6217530322691619E-2</v>
      </c>
      <c r="R128" s="85">
        <f t="shared" si="6"/>
        <v>2.4531738591833972E-2</v>
      </c>
      <c r="S128" s="85">
        <f t="shared" si="6"/>
        <v>2.2856958842220509E-2</v>
      </c>
    </row>
    <row r="129" spans="1:19" s="6" customFormat="1" ht="11.25" customHeight="1" x14ac:dyDescent="0.2">
      <c r="D129" s="100" t="s">
        <v>105</v>
      </c>
      <c r="H129" s="95" t="s">
        <v>89</v>
      </c>
      <c r="I129" s="95" t="str">
        <f t="shared" si="5"/>
        <v>Percent</v>
      </c>
      <c r="O129" s="85">
        <f t="shared" si="6"/>
        <v>5.108873034789992E-3</v>
      </c>
      <c r="P129" s="85">
        <f t="shared" si="6"/>
        <v>4.8004301459884406E-3</v>
      </c>
      <c r="Q129" s="85">
        <f t="shared" si="6"/>
        <v>4.5050122321566464E-3</v>
      </c>
      <c r="R129" s="85">
        <f t="shared" si="6"/>
        <v>4.2153391670392568E-3</v>
      </c>
      <c r="S129" s="85">
        <f t="shared" si="6"/>
        <v>3.9275583133389844E-3</v>
      </c>
    </row>
    <row r="130" spans="1:19" s="6" customFormat="1" ht="11.25" customHeight="1" x14ac:dyDescent="0.2">
      <c r="D130" s="100" t="s">
        <v>107</v>
      </c>
      <c r="H130" s="95" t="s">
        <v>89</v>
      </c>
      <c r="I130" s="95" t="str">
        <f t="shared" si="5"/>
        <v>Percent</v>
      </c>
      <c r="O130" s="85">
        <f t="shared" si="6"/>
        <v>7.5010607748766773E-5</v>
      </c>
      <c r="P130" s="85">
        <f t="shared" si="6"/>
        <v>7.4424934808262392E-5</v>
      </c>
      <c r="Q130" s="85">
        <f t="shared" si="6"/>
        <v>7.401898949411312E-5</v>
      </c>
      <c r="R130" s="85">
        <f t="shared" si="6"/>
        <v>7.3489921654773063E-5</v>
      </c>
      <c r="S130" s="85">
        <f t="shared" si="6"/>
        <v>7.2851091708397696E-5</v>
      </c>
    </row>
    <row r="131" spans="1:19" s="6" customFormat="1" ht="11.25" customHeight="1" x14ac:dyDescent="0.2">
      <c r="D131" s="100" t="s">
        <v>109</v>
      </c>
      <c r="H131" s="95" t="s">
        <v>89</v>
      </c>
      <c r="I131" s="95" t="str">
        <f t="shared" si="5"/>
        <v>Percent</v>
      </c>
      <c r="O131" s="85">
        <f t="shared" si="6"/>
        <v>3.9056298023114673E-2</v>
      </c>
      <c r="P131" s="85">
        <f t="shared" si="6"/>
        <v>4.1099652562787817E-2</v>
      </c>
      <c r="Q131" s="85">
        <f t="shared" si="6"/>
        <v>4.3238922021224847E-2</v>
      </c>
      <c r="R131" s="85">
        <f t="shared" si="6"/>
        <v>4.5268968372532192E-2</v>
      </c>
      <c r="S131" s="85">
        <f t="shared" si="6"/>
        <v>4.7256674254979994E-2</v>
      </c>
    </row>
    <row r="132" spans="1:19" s="6" customFormat="1" ht="11.25" customHeight="1" x14ac:dyDescent="0.2">
      <c r="D132" s="100" t="s">
        <v>111</v>
      </c>
      <c r="H132" s="95" t="s">
        <v>89</v>
      </c>
      <c r="I132" s="95" t="str">
        <f t="shared" si="5"/>
        <v>Percent</v>
      </c>
      <c r="O132" s="85">
        <f t="shared" si="6"/>
        <v>5.3525596204879002E-4</v>
      </c>
      <c r="P132" s="85">
        <f t="shared" si="6"/>
        <v>5.3510935188680071E-4</v>
      </c>
      <c r="Q132" s="85">
        <f t="shared" si="6"/>
        <v>5.3645418476741091E-4</v>
      </c>
      <c r="R132" s="85">
        <f t="shared" si="6"/>
        <v>5.3706953335017581E-4</v>
      </c>
      <c r="S132" s="85">
        <f t="shared" si="6"/>
        <v>5.3746369505933307E-4</v>
      </c>
    </row>
    <row r="133" spans="1:19" s="6" customFormat="1" ht="11.25" customHeight="1" x14ac:dyDescent="0.2">
      <c r="D133" s="100" t="s">
        <v>114</v>
      </c>
      <c r="H133" s="95" t="s">
        <v>89</v>
      </c>
      <c r="I133" s="95" t="str">
        <f t="shared" si="5"/>
        <v>Percent</v>
      </c>
      <c r="O133" s="85">
        <f t="shared" si="6"/>
        <v>1.2579530671603372E-2</v>
      </c>
      <c r="P133" s="85">
        <f t="shared" si="6"/>
        <v>1.2587120563467993E-2</v>
      </c>
      <c r="Q133" s="85">
        <f t="shared" si="6"/>
        <v>1.251791878280085E-2</v>
      </c>
      <c r="R133" s="85">
        <f t="shared" si="6"/>
        <v>1.2491052235070774E-2</v>
      </c>
      <c r="S133" s="85">
        <f t="shared" si="6"/>
        <v>1.2461922936092367E-2</v>
      </c>
    </row>
    <row r="134" spans="1:19" s="6" customFormat="1" ht="11.25" customHeight="1" x14ac:dyDescent="0.2">
      <c r="D134" s="100" t="s">
        <v>116</v>
      </c>
      <c r="H134" s="95" t="s">
        <v>89</v>
      </c>
      <c r="I134" s="95" t="str">
        <f t="shared" si="5"/>
        <v>Percent</v>
      </c>
      <c r="O134" s="85">
        <f t="shared" si="6"/>
        <v>1.291325145194981E-2</v>
      </c>
      <c r="P134" s="85">
        <f t="shared" si="6"/>
        <v>1.2966507460449958E-2</v>
      </c>
      <c r="Q134" s="85">
        <f t="shared" si="6"/>
        <v>1.2910143466864607E-2</v>
      </c>
      <c r="R134" s="85">
        <f t="shared" si="6"/>
        <v>1.2882342178518949E-2</v>
      </c>
      <c r="S134" s="85">
        <f t="shared" si="6"/>
        <v>1.2886570866600498E-2</v>
      </c>
    </row>
    <row r="135" spans="1:19" s="6" customFormat="1" ht="11.25" customHeight="1" x14ac:dyDescent="0.2"/>
    <row r="136" spans="1:19" s="6" customFormat="1" ht="11.25" customHeight="1" x14ac:dyDescent="0.2">
      <c r="D136" s="73" t="str">
        <f>"Total - "&amp;C124</f>
        <v>Total - Common Services</v>
      </c>
      <c r="H136" s="67" t="s">
        <v>89</v>
      </c>
      <c r="I136" s="67" t="str">
        <f>I128</f>
        <v>Percent</v>
      </c>
      <c r="O136" s="86">
        <f>SUM(O128:O134)</f>
        <v>0.10000000000000007</v>
      </c>
      <c r="P136" s="86">
        <f>SUM(P128:P134)</f>
        <v>0.10000000000000009</v>
      </c>
      <c r="Q136" s="86">
        <f>SUM(Q128:Q134)</f>
        <v>0.1000000000000001</v>
      </c>
      <c r="R136" s="86">
        <f>SUM(R128:R134)</f>
        <v>0.10000000000000009</v>
      </c>
      <c r="S136" s="86">
        <f>SUM(S128:S134)</f>
        <v>0.10000000000000009</v>
      </c>
    </row>
    <row r="137" spans="1:19" s="6" customFormat="1" ht="11.25" customHeight="1" x14ac:dyDescent="0.2"/>
    <row r="138" spans="1:19" s="6" customFormat="1" ht="11.25" hidden="1" customHeight="1" outlineLevel="1" x14ac:dyDescent="0.2">
      <c r="D138" s="96" t="s">
        <v>138</v>
      </c>
      <c r="E138" s="97"/>
      <c r="G138" s="97"/>
      <c r="H138" s="95" t="s">
        <v>89</v>
      </c>
      <c r="I138" s="95" t="str">
        <f>Percent</f>
        <v>Percent</v>
      </c>
      <c r="K138" s="74"/>
      <c r="O138" s="85">
        <f>$M128</f>
        <v>0.10000000000000009</v>
      </c>
      <c r="P138" s="85">
        <f>$M128</f>
        <v>0.10000000000000009</v>
      </c>
      <c r="Q138" s="85">
        <f>$M128</f>
        <v>0.10000000000000009</v>
      </c>
      <c r="R138" s="85">
        <f>$M128</f>
        <v>0.10000000000000009</v>
      </c>
      <c r="S138" s="85">
        <f>$M128</f>
        <v>0.10000000000000009</v>
      </c>
    </row>
    <row r="139" spans="1:19" s="6" customFormat="1" ht="11.25" hidden="1" customHeight="1" outlineLevel="1" x14ac:dyDescent="0.2">
      <c r="A139" s="70">
        <f>IF(SUM($M139:$S139)=0,0,1)</f>
        <v>0</v>
      </c>
      <c r="D139" s="96" t="s">
        <v>92</v>
      </c>
      <c r="E139" s="97"/>
      <c r="F139" s="95"/>
      <c r="G139" s="97"/>
      <c r="H139" s="95"/>
      <c r="I139" s="99"/>
      <c r="J139" s="99"/>
      <c r="K139" s="74"/>
      <c r="O139" s="70">
        <f>IF(ROUND(O138-O136,2)=0,0,1)</f>
        <v>0</v>
      </c>
      <c r="P139" s="70">
        <f>IF(ROUND(P138-P136,2)=0,0,1)</f>
        <v>0</v>
      </c>
      <c r="Q139" s="70">
        <f>IF(ROUND(Q138-Q136,2)=0,0,1)</f>
        <v>0</v>
      </c>
      <c r="R139" s="70">
        <f>IF(ROUND(R138-R136,2)=0,0,1)</f>
        <v>0</v>
      </c>
      <c r="S139" s="70">
        <f>IF(ROUND(S138-S136,2)=0,0,1)</f>
        <v>0</v>
      </c>
    </row>
    <row r="140" spans="1:19" s="6" customFormat="1" ht="11.25" customHeight="1" collapsed="1" x14ac:dyDescent="0.2"/>
    <row r="141" spans="1:19" s="13" customFormat="1" ht="14" x14ac:dyDescent="0.2">
      <c r="C141" s="13" t="s">
        <v>244</v>
      </c>
    </row>
    <row r="142" spans="1:19" s="6" customFormat="1" ht="11.25" customHeight="1" x14ac:dyDescent="0.2"/>
    <row r="143" spans="1:19" s="6" customFormat="1" ht="11.25" customHeight="1" x14ac:dyDescent="0.2">
      <c r="D143" s="83" t="str">
        <f>D$10</f>
        <v>Tariff</v>
      </c>
      <c r="H143" s="65" t="str">
        <f>H$10</f>
        <v>Source</v>
      </c>
      <c r="I143" s="65" t="str">
        <f>I$10</f>
        <v>Unit</v>
      </c>
      <c r="M143" s="65" t="s">
        <v>254</v>
      </c>
      <c r="O143" s="65" t="str">
        <f>O$10</f>
        <v>FY20</v>
      </c>
      <c r="P143" s="65" t="str">
        <f>P$10</f>
        <v>FY21</v>
      </c>
      <c r="Q143" s="65" t="str">
        <f>Q$10</f>
        <v>FY22</v>
      </c>
      <c r="R143" s="65" t="str">
        <f>R$10</f>
        <v>FY23</v>
      </c>
      <c r="S143" s="65" t="str">
        <f>S$10</f>
        <v>FY24</v>
      </c>
    </row>
    <row r="144" spans="1:19" s="6" customFormat="1" ht="11.25" customHeight="1" x14ac:dyDescent="0.2">
      <c r="D144" s="3"/>
    </row>
    <row r="145" spans="1:19" s="6" customFormat="1" ht="11.25" customHeight="1" x14ac:dyDescent="0.2">
      <c r="D145" s="100" t="s">
        <v>102</v>
      </c>
      <c r="H145" s="95" t="s">
        <v>89</v>
      </c>
      <c r="I145" s="95" t="str">
        <f t="shared" ref="I145:I151" si="7">Percent</f>
        <v>Percent</v>
      </c>
      <c r="M145" s="85">
        <f>M94+M111+M128</f>
        <v>1</v>
      </c>
      <c r="O145" s="85">
        <f t="shared" ref="O145:S151" si="8">O94+O111+O128</f>
        <v>0.33482980030529885</v>
      </c>
      <c r="P145" s="85">
        <f t="shared" si="8"/>
        <v>0.31820365631563308</v>
      </c>
      <c r="Q145" s="85">
        <f t="shared" si="8"/>
        <v>0.30233741693605232</v>
      </c>
      <c r="R145" s="85">
        <f t="shared" si="8"/>
        <v>0.28669574848795726</v>
      </c>
      <c r="S145" s="85">
        <f t="shared" si="8"/>
        <v>0.27115194421777078</v>
      </c>
    </row>
    <row r="146" spans="1:19" s="6" customFormat="1" ht="11.25" customHeight="1" x14ac:dyDescent="0.2">
      <c r="D146" s="100" t="s">
        <v>105</v>
      </c>
      <c r="H146" s="95" t="s">
        <v>89</v>
      </c>
      <c r="I146" s="95" t="str">
        <f t="shared" si="7"/>
        <v>Percent</v>
      </c>
      <c r="O146" s="85">
        <f t="shared" si="8"/>
        <v>6.2379362028868957E-2</v>
      </c>
      <c r="P146" s="85">
        <f t="shared" si="8"/>
        <v>5.9530003148810406E-2</v>
      </c>
      <c r="Q146" s="85">
        <f t="shared" si="8"/>
        <v>5.6732102067205442E-2</v>
      </c>
      <c r="R146" s="85">
        <f t="shared" si="8"/>
        <v>5.4077911864681034E-2</v>
      </c>
      <c r="S146" s="85">
        <f t="shared" si="8"/>
        <v>5.1437660548437146E-2</v>
      </c>
    </row>
    <row r="147" spans="1:19" s="6" customFormat="1" ht="11.25" customHeight="1" x14ac:dyDescent="0.2">
      <c r="D147" s="100" t="s">
        <v>107</v>
      </c>
      <c r="H147" s="95" t="s">
        <v>89</v>
      </c>
      <c r="I147" s="95" t="str">
        <f t="shared" si="7"/>
        <v>Percent</v>
      </c>
      <c r="O147" s="85">
        <f t="shared" si="8"/>
        <v>6.9340282843754109E-4</v>
      </c>
      <c r="P147" s="85">
        <f t="shared" si="8"/>
        <v>6.8798883052880193E-4</v>
      </c>
      <c r="Q147" s="85">
        <f t="shared" si="8"/>
        <v>6.8423624622812747E-4</v>
      </c>
      <c r="R147" s="85">
        <f t="shared" si="8"/>
        <v>6.7934550947443457E-4</v>
      </c>
      <c r="S147" s="85">
        <f t="shared" si="8"/>
        <v>6.7344012482282751E-4</v>
      </c>
    </row>
    <row r="148" spans="1:19" s="6" customFormat="1" ht="11.25" customHeight="1" x14ac:dyDescent="0.2">
      <c r="D148" s="100" t="s">
        <v>109</v>
      </c>
      <c r="H148" s="95" t="s">
        <v>89</v>
      </c>
      <c r="I148" s="95" t="str">
        <f t="shared" si="7"/>
        <v>Percent</v>
      </c>
      <c r="O148" s="85">
        <f t="shared" si="8"/>
        <v>0.36103890276735556</v>
      </c>
      <c r="P148" s="85">
        <f t="shared" si="8"/>
        <v>0.37992780208217736</v>
      </c>
      <c r="Q148" s="85">
        <f t="shared" si="8"/>
        <v>0.39970334500590032</v>
      </c>
      <c r="R148" s="85">
        <f t="shared" si="8"/>
        <v>0.41846922258111524</v>
      </c>
      <c r="S148" s="85">
        <f t="shared" si="8"/>
        <v>0.4368437021694892</v>
      </c>
    </row>
    <row r="149" spans="1:19" s="6" customFormat="1" ht="11.25" customHeight="1" x14ac:dyDescent="0.2">
      <c r="D149" s="100" t="s">
        <v>111</v>
      </c>
      <c r="H149" s="95" t="s">
        <v>89</v>
      </c>
      <c r="I149" s="95" t="str">
        <f t="shared" si="7"/>
        <v>Percent</v>
      </c>
      <c r="O149" s="85">
        <f t="shared" si="8"/>
        <v>4.9479401535550147E-3</v>
      </c>
      <c r="P149" s="85">
        <f t="shared" si="8"/>
        <v>4.9465848798937017E-3</v>
      </c>
      <c r="Q149" s="85">
        <f t="shared" si="8"/>
        <v>4.9590166005686514E-3</v>
      </c>
      <c r="R149" s="85">
        <f t="shared" si="8"/>
        <v>4.9647049220017123E-3</v>
      </c>
      <c r="S149" s="85">
        <f t="shared" si="8"/>
        <v>4.9683485779084451E-3</v>
      </c>
    </row>
    <row r="150" spans="1:19" s="6" customFormat="1" ht="11.25" customHeight="1" x14ac:dyDescent="0.2">
      <c r="D150" s="100" t="s">
        <v>114</v>
      </c>
      <c r="H150" s="95" t="s">
        <v>89</v>
      </c>
      <c r="I150" s="95" t="str">
        <f t="shared" si="7"/>
        <v>Percent</v>
      </c>
      <c r="O150" s="85">
        <f t="shared" si="8"/>
        <v>0.11673967425778266</v>
      </c>
      <c r="P150" s="85">
        <f t="shared" si="8"/>
        <v>0.11684074515478723</v>
      </c>
      <c r="Q150" s="85">
        <f t="shared" si="8"/>
        <v>0.11624169589712832</v>
      </c>
      <c r="R150" s="85">
        <f t="shared" si="8"/>
        <v>0.11602787626538388</v>
      </c>
      <c r="S150" s="85">
        <f t="shared" si="8"/>
        <v>0.11580062373062963</v>
      </c>
    </row>
    <row r="151" spans="1:19" s="6" customFormat="1" ht="11.25" customHeight="1" x14ac:dyDescent="0.2">
      <c r="D151" s="100" t="s">
        <v>116</v>
      </c>
      <c r="H151" s="95" t="s">
        <v>89</v>
      </c>
      <c r="I151" s="95" t="str">
        <f t="shared" si="7"/>
        <v>Percent</v>
      </c>
      <c r="O151" s="85">
        <f t="shared" si="8"/>
        <v>0.11937091765870131</v>
      </c>
      <c r="P151" s="85">
        <f t="shared" si="8"/>
        <v>0.11986321958816946</v>
      </c>
      <c r="Q151" s="85">
        <f t="shared" si="8"/>
        <v>0.11934218724691689</v>
      </c>
      <c r="R151" s="85">
        <f t="shared" si="8"/>
        <v>0.11908519036938656</v>
      </c>
      <c r="S151" s="85">
        <f t="shared" si="8"/>
        <v>0.11912428063094191</v>
      </c>
    </row>
    <row r="152" spans="1:19" s="6" customFormat="1" ht="11.25" customHeight="1" x14ac:dyDescent="0.2"/>
    <row r="153" spans="1:19" s="6" customFormat="1" ht="11.25" customHeight="1" x14ac:dyDescent="0.2">
      <c r="D153" s="73" t="str">
        <f>"Total - "&amp;C141</f>
        <v>Total - Combined</v>
      </c>
      <c r="H153" s="67" t="s">
        <v>89</v>
      </c>
      <c r="I153" s="67" t="str">
        <f>I145</f>
        <v>Percent</v>
      </c>
      <c r="O153" s="86">
        <f>SUM(O145:O151)</f>
        <v>0.99999999999999989</v>
      </c>
      <c r="P153" s="86">
        <f>SUM(P145:P151)</f>
        <v>1</v>
      </c>
      <c r="Q153" s="86">
        <f>SUM(Q145:Q151)</f>
        <v>1</v>
      </c>
      <c r="R153" s="86">
        <f>SUM(R145:R151)</f>
        <v>1.0000000000000002</v>
      </c>
      <c r="S153" s="86">
        <f>SUM(S145:S151)</f>
        <v>0.99999999999999989</v>
      </c>
    </row>
    <row r="154" spans="1:19" s="6" customFormat="1" ht="11.25" customHeight="1" x14ac:dyDescent="0.2"/>
    <row r="155" spans="1:19" s="6" customFormat="1" ht="11.25" hidden="1" customHeight="1" outlineLevel="1" x14ac:dyDescent="0.2">
      <c r="D155" s="96" t="s">
        <v>138</v>
      </c>
      <c r="E155" s="97"/>
      <c r="G155" s="97"/>
      <c r="H155" s="95" t="s">
        <v>89</v>
      </c>
      <c r="I155" s="95" t="str">
        <f>Percent</f>
        <v>Percent</v>
      </c>
      <c r="K155" s="74"/>
      <c r="O155" s="85">
        <f>Inputs_Other!$M$185</f>
        <v>1</v>
      </c>
      <c r="P155" s="85">
        <f>Inputs_Other!$M$185</f>
        <v>1</v>
      </c>
      <c r="Q155" s="85">
        <f>Inputs_Other!$M$185</f>
        <v>1</v>
      </c>
      <c r="R155" s="85">
        <f>Inputs_Other!$M$185</f>
        <v>1</v>
      </c>
      <c r="S155" s="85">
        <f>Inputs_Other!$M$185</f>
        <v>1</v>
      </c>
    </row>
    <row r="156" spans="1:19" s="6" customFormat="1" ht="11.25" hidden="1" customHeight="1" outlineLevel="1" x14ac:dyDescent="0.2">
      <c r="A156" s="70">
        <f>IF(SUM($M156:$S156)=0,0,1)</f>
        <v>0</v>
      </c>
      <c r="D156" s="96" t="s">
        <v>92</v>
      </c>
      <c r="E156" s="97"/>
      <c r="F156" s="95"/>
      <c r="G156" s="97"/>
      <c r="H156" s="95"/>
      <c r="I156" s="99"/>
      <c r="J156" s="99"/>
      <c r="K156" s="74"/>
      <c r="O156" s="70">
        <f>IF(ROUND(O155-O153,2)=0,0,1)</f>
        <v>0</v>
      </c>
      <c r="P156" s="70">
        <f>IF(ROUND(P155-P153,2)=0,0,1)</f>
        <v>0</v>
      </c>
      <c r="Q156" s="70">
        <f>IF(ROUND(Q155-Q153,2)=0,0,1)</f>
        <v>0</v>
      </c>
      <c r="R156" s="70">
        <f>IF(ROUND(R155-R153,2)=0,0,1)</f>
        <v>0</v>
      </c>
      <c r="S156" s="70">
        <f>IF(ROUND(S155-S153,2)=0,0,1)</f>
        <v>0</v>
      </c>
    </row>
    <row r="157" spans="1:19" s="6" customFormat="1" ht="11.25" customHeight="1" collapsed="1" x14ac:dyDescent="0.2"/>
    <row r="158" spans="1:19" s="4" customFormat="1" ht="15.5" x14ac:dyDescent="0.2">
      <c r="B158" s="4" t="s">
        <v>33</v>
      </c>
    </row>
  </sheetData>
  <conditionalFormatting sqref="B2">
    <cfRule type="cellIs" dxfId="29" priority="1" operator="notEqual">
      <formula>"No Errors Found"</formula>
    </cfRule>
  </conditionalFormatting>
  <dataValidations count="4">
    <dataValidation type="list" allowBlank="1" showInputMessage="1" showErrorMessage="1" sqref="D52:D58 D69:D75 D94:D100 D111:D117 D128:D134 D145:D151 D30:D36">
      <formula1>LU_Tariff_Type</formula1>
    </dataValidation>
    <dataValidation type="list" allowBlank="1" showInputMessage="1" showErrorMessage="1" sqref="K41 K62:K63 K79:K80 K104:K105 K121:K122 K138:K139 K155:K156">
      <formula1>LU_Timing</formula1>
    </dataValidation>
    <dataValidation type="list" allowBlank="1" showInputMessage="1" showErrorMessage="1" sqref="I52:I58 I69:I75 I30:I36 I40:I41 I23 I62:I63 I79:I80 I105 I122 I139 I156">
      <formula1>LU_Units</formula1>
    </dataValidation>
    <dataValidation type="list" allowBlank="1" showInputMessage="1" showErrorMessage="1" sqref="J40:J41 J30:J36 J23 J63 J80 J105 J122 J139 J156">
      <formula1>LU_Basis</formula1>
    </dataValidation>
  </dataValidations>
  <hyperlinks>
    <hyperlink ref="B3:E3" location="TOC!A1" display="TOC!A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101"/>
  <sheetViews>
    <sheetView showGridLines="0" workbookViewId="0">
      <pane ySplit="11" topLeftCell="A21" activePane="bottomLeft" state="frozen"/>
      <selection pane="bottomLeft" activeCell="P44" sqref="O44:P44"/>
    </sheetView>
  </sheetViews>
  <sheetFormatPr defaultColWidth="9.33203125" defaultRowHeight="10" outlineLevelRow="1" x14ac:dyDescent="0.2"/>
  <cols>
    <col min="1" max="1" width="2.33203125" style="7" bestFit="1" customWidth="1"/>
    <col min="2" max="3" width="2.77734375" style="7" customWidth="1"/>
    <col min="4" max="4" width="44.44140625" style="7" customWidth="1"/>
    <col min="5" max="5" width="5" style="7" customWidth="1"/>
    <col min="6" max="6" width="14.44140625" style="7" bestFit="1" customWidth="1"/>
    <col min="7" max="7" width="2.44140625" style="7" customWidth="1"/>
    <col min="8" max="8" width="12.33203125" style="7" bestFit="1" customWidth="1"/>
    <col min="9" max="9" width="10.77734375" style="7" customWidth="1"/>
    <col min="10" max="10" width="12.77734375" style="7" customWidth="1"/>
    <col min="11" max="12" width="3.44140625" style="7" customWidth="1"/>
    <col min="13" max="13" width="16" style="7" customWidth="1"/>
    <col min="14" max="14" width="11.77734375" style="7" customWidth="1"/>
    <col min="15" max="19" width="12.77734375" style="7" customWidth="1"/>
    <col min="20" max="20" width="4.33203125" style="7" customWidth="1"/>
    <col min="21" max="24" width="10.77734375" style="7" customWidth="1"/>
    <col min="25" max="16384" width="9.33203125" style="7"/>
  </cols>
  <sheetData>
    <row r="1" spans="1:22" ht="19" x14ac:dyDescent="0.2">
      <c r="A1" s="70">
        <f>IF(SUM($A11:$A101)&gt;0,1,0)</f>
        <v>0</v>
      </c>
      <c r="B1" s="5" t="s">
        <v>266</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c r="N5" s="62"/>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c r="N6" s="62"/>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c r="N7" s="63"/>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c r="N8" s="64"/>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c r="N9" s="64"/>
      <c r="O9" s="64" t="e">
        <f>Lookup!#REF!</f>
        <v>#REF!</v>
      </c>
      <c r="P9" s="64" t="e">
        <f>Lookup!#REF!</f>
        <v>#REF!</v>
      </c>
      <c r="Q9" s="64" t="e">
        <f>Lookup!#REF!</f>
        <v>#REF!</v>
      </c>
      <c r="R9" s="64" t="e">
        <f>Lookup!#REF!</f>
        <v>#REF!</v>
      </c>
      <c r="S9" s="64" t="e">
        <f>Lookup!#REF!</f>
        <v>#REF!</v>
      </c>
    </row>
    <row r="10" spans="1:22" ht="13" collapsed="1" x14ac:dyDescent="0.2">
      <c r="B10" s="10" t="str">
        <f>Lookup!B19</f>
        <v>FY</v>
      </c>
      <c r="D10" s="61" t="s">
        <v>196</v>
      </c>
      <c r="E10" s="61"/>
      <c r="F10" s="61" t="s">
        <v>101</v>
      </c>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222</v>
      </c>
    </row>
    <row r="13" spans="1:22" s="6" customFormat="1" ht="11.25" customHeight="1" x14ac:dyDescent="0.2"/>
    <row r="14" spans="1:22" s="6" customFormat="1" ht="11.25" customHeight="1" x14ac:dyDescent="0.2">
      <c r="D14" s="124" t="s">
        <v>469</v>
      </c>
    </row>
    <row r="15" spans="1:22" s="6" customFormat="1" ht="11.25" customHeight="1" x14ac:dyDescent="0.2"/>
    <row r="16" spans="1:22" s="6" customFormat="1" ht="11.25" customHeight="1" x14ac:dyDescent="0.2"/>
    <row r="17" spans="1:19" s="4" customFormat="1" ht="15.5" x14ac:dyDescent="0.2">
      <c r="B17" s="4" t="s">
        <v>210</v>
      </c>
    </row>
    <row r="18" spans="1:19" s="6" customFormat="1" ht="11.25" customHeight="1" x14ac:dyDescent="0.2"/>
    <row r="19" spans="1:19" s="13" customFormat="1" ht="14" x14ac:dyDescent="0.2">
      <c r="C19" s="13" t="s">
        <v>223</v>
      </c>
    </row>
    <row r="20" spans="1:19" s="6" customFormat="1" ht="11.25" customHeight="1" x14ac:dyDescent="0.2"/>
    <row r="21" spans="1:19" s="6" customFormat="1" ht="11.25" customHeight="1" x14ac:dyDescent="0.2">
      <c r="D21" s="83" t="s">
        <v>211</v>
      </c>
      <c r="E21" s="7"/>
      <c r="F21" s="7"/>
      <c r="H21" s="65" t="str">
        <f>Lookup!E$19</f>
        <v>Source</v>
      </c>
      <c r="I21" s="65" t="str">
        <f>Lookup!F$19</f>
        <v>Unit</v>
      </c>
      <c r="J21" s="65" t="str">
        <f>Lookup!G$19</f>
        <v>Basis</v>
      </c>
      <c r="K21" s="7"/>
      <c r="L21" s="7"/>
      <c r="O21" s="65" t="str">
        <f>O$10</f>
        <v>FY20</v>
      </c>
      <c r="P21" s="65" t="str">
        <f>P$10</f>
        <v>FY21</v>
      </c>
      <c r="Q21" s="65" t="str">
        <f>Q$10</f>
        <v>FY22</v>
      </c>
      <c r="R21" s="65" t="str">
        <f>R$10</f>
        <v>FY23</v>
      </c>
      <c r="S21" s="65" t="str">
        <f>S$10</f>
        <v>FY24</v>
      </c>
    </row>
    <row r="22" spans="1:19" x14ac:dyDescent="0.2">
      <c r="M22" s="6"/>
      <c r="N22" s="6"/>
    </row>
    <row r="23" spans="1:19" ht="12.5" x14ac:dyDescent="0.2">
      <c r="D23" s="12" t="str">
        <f>C50</f>
        <v>System Access Charge</v>
      </c>
      <c r="H23" s="95" t="s">
        <v>89</v>
      </c>
      <c r="I23" s="99" t="s">
        <v>76</v>
      </c>
      <c r="J23" s="99" t="s">
        <v>69</v>
      </c>
      <c r="M23" s="6"/>
      <c r="N23" s="6"/>
      <c r="O23" s="78">
        <f>O62</f>
        <v>31500.175311967036</v>
      </c>
      <c r="P23" s="78">
        <f>P62</f>
        <v>40614.457992710966</v>
      </c>
      <c r="Q23" s="78">
        <f>Q62</f>
        <v>43465.555938999903</v>
      </c>
      <c r="R23" s="78">
        <f>R62</f>
        <v>46355.544731165006</v>
      </c>
      <c r="S23" s="78">
        <f>S62</f>
        <v>49420.999166917703</v>
      </c>
    </row>
    <row r="24" spans="1:19" ht="12.5" x14ac:dyDescent="0.2">
      <c r="D24" s="12" t="str">
        <f>C67</f>
        <v>Consumption</v>
      </c>
      <c r="H24" s="102" t="str">
        <f t="shared" ref="H24:J25" si="0">H23</f>
        <v>Calculated</v>
      </c>
      <c r="I24" s="102" t="str">
        <f t="shared" si="0"/>
        <v>$000's</v>
      </c>
      <c r="J24" s="102" t="str">
        <f t="shared" si="0"/>
        <v>Nominal</v>
      </c>
      <c r="M24" s="6"/>
      <c r="N24" s="6"/>
      <c r="O24" s="78">
        <f>O79</f>
        <v>88173.097690869021</v>
      </c>
      <c r="P24" s="78">
        <f>P79</f>
        <v>69263.46866758843</v>
      </c>
      <c r="Q24" s="78">
        <f>Q79</f>
        <v>69069.917712147624</v>
      </c>
      <c r="R24" s="78">
        <f>R79</f>
        <v>69009.716438403586</v>
      </c>
      <c r="S24" s="78">
        <f>S79</f>
        <v>68910.346854991731</v>
      </c>
    </row>
    <row r="25" spans="1:19" ht="12.5" x14ac:dyDescent="0.2">
      <c r="D25" s="12" t="str">
        <f>C84</f>
        <v>Demand</v>
      </c>
      <c r="H25" s="102" t="str">
        <f t="shared" si="0"/>
        <v>Calculated</v>
      </c>
      <c r="I25" s="102" t="str">
        <f t="shared" si="0"/>
        <v>$000's</v>
      </c>
      <c r="J25" s="102" t="str">
        <f t="shared" si="0"/>
        <v>Nominal</v>
      </c>
      <c r="M25" s="6"/>
      <c r="N25" s="6"/>
      <c r="O25" s="78">
        <f>O96</f>
        <v>38137.717315572198</v>
      </c>
      <c r="P25" s="78">
        <f>P96</f>
        <v>36051.465744239234</v>
      </c>
      <c r="Q25" s="78">
        <f>Q96</f>
        <v>38099.914503755295</v>
      </c>
      <c r="R25" s="78">
        <f>R96</f>
        <v>40465.541485261019</v>
      </c>
      <c r="S25" s="78">
        <f>S96</f>
        <v>42874.462925555308</v>
      </c>
    </row>
    <row r="26" spans="1:19" x14ac:dyDescent="0.2">
      <c r="M26" s="6"/>
      <c r="N26" s="6"/>
    </row>
    <row r="27" spans="1:19" s="6" customFormat="1" ht="11.25" customHeight="1" x14ac:dyDescent="0.2">
      <c r="D27" s="73" t="s">
        <v>163</v>
      </c>
      <c r="E27" s="7"/>
      <c r="F27" s="7"/>
      <c r="H27" s="67" t="s">
        <v>89</v>
      </c>
      <c r="I27" s="67" t="str">
        <f>I$23</f>
        <v>$000's</v>
      </c>
      <c r="J27" s="67" t="str">
        <f>J$23</f>
        <v>Nominal</v>
      </c>
      <c r="K27" s="7"/>
      <c r="O27" s="80">
        <f>SUM(O23:O25)</f>
        <v>157810.99031840824</v>
      </c>
      <c r="P27" s="80">
        <f>SUM(P23:P25)</f>
        <v>145929.39240453864</v>
      </c>
      <c r="Q27" s="80">
        <f>SUM(Q23:Q25)</f>
        <v>150635.38815490284</v>
      </c>
      <c r="R27" s="80">
        <f>SUM(R23:R25)</f>
        <v>155830.8026548296</v>
      </c>
      <c r="S27" s="80">
        <f>SUM(S23:S25)</f>
        <v>161205.80894746474</v>
      </c>
    </row>
    <row r="28" spans="1:19" s="6" customFormat="1" ht="11.25" customHeight="1" x14ac:dyDescent="0.2"/>
    <row r="29" spans="1:19" s="6" customFormat="1" ht="11.25" hidden="1" customHeight="1" outlineLevel="1" x14ac:dyDescent="0.2">
      <c r="A29" s="70">
        <f>IF(SUM($O29:$S29)=0,0,1)</f>
        <v>0</v>
      </c>
      <c r="D29" s="96" t="s">
        <v>209</v>
      </c>
      <c r="E29" s="95"/>
      <c r="F29" s="95"/>
      <c r="G29" s="97"/>
      <c r="H29" s="95"/>
      <c r="I29" s="95"/>
      <c r="J29" s="95"/>
      <c r="K29" s="69"/>
      <c r="O29" s="70">
        <f>IF(ROUND(O27-O62-O79-O96,5)=0,0,1)</f>
        <v>0</v>
      </c>
      <c r="P29" s="70">
        <f>IF(ROUND(P27-P62-P79-P96,5)=0,0,1)</f>
        <v>0</v>
      </c>
      <c r="Q29" s="70">
        <f>IF(ROUND(Q27-Q62-Q79-Q96,5)=0,0,1)</f>
        <v>0</v>
      </c>
      <c r="R29" s="70">
        <f>IF(ROUND(R27-R62-R79-R96,5)=0,0,1)</f>
        <v>0</v>
      </c>
      <c r="S29" s="70">
        <f>IF(ROUND(S27-S62-S79-S96,5)=0,0,1)</f>
        <v>0</v>
      </c>
    </row>
    <row r="30" spans="1:19" collapsed="1" x14ac:dyDescent="0.2">
      <c r="M30" s="6"/>
      <c r="N30" s="6"/>
    </row>
    <row r="31" spans="1:19" s="13" customFormat="1" ht="14" x14ac:dyDescent="0.2">
      <c r="C31" s="13" t="s">
        <v>259</v>
      </c>
    </row>
    <row r="32" spans="1:19" s="6" customFormat="1" ht="11.25" customHeight="1" x14ac:dyDescent="0.2"/>
    <row r="33" spans="1:19" s="6" customFormat="1" ht="11.25" customHeight="1" x14ac:dyDescent="0.2">
      <c r="D33" s="83" t="str">
        <f>D$10</f>
        <v>Tariff</v>
      </c>
      <c r="F33" s="65" t="str">
        <f>F$10</f>
        <v>Tariff Class</v>
      </c>
      <c r="H33" s="65" t="str">
        <f>Lookup!E$19</f>
        <v>Source</v>
      </c>
      <c r="I33" s="65" t="str">
        <f>Lookup!F$19</f>
        <v>Unit</v>
      </c>
      <c r="J33" s="65" t="str">
        <f>Lookup!G$19</f>
        <v>Basis</v>
      </c>
      <c r="L33" s="7"/>
      <c r="O33" s="65" t="str">
        <f>O$10</f>
        <v>FY20</v>
      </c>
      <c r="P33" s="65" t="str">
        <f>P$10</f>
        <v>FY21</v>
      </c>
      <c r="Q33" s="65" t="str">
        <f>Q$10</f>
        <v>FY22</v>
      </c>
      <c r="R33" s="65" t="str">
        <f>R$10</f>
        <v>FY23</v>
      </c>
      <c r="S33" s="65" t="str">
        <f>S$10</f>
        <v>FY24</v>
      </c>
    </row>
    <row r="34" spans="1:19" s="6" customFormat="1" ht="11.25" customHeight="1" x14ac:dyDescent="0.2">
      <c r="D34" s="3"/>
    </row>
    <row r="35" spans="1:19" s="6" customFormat="1" ht="11.25" customHeight="1" x14ac:dyDescent="0.2">
      <c r="D35" s="15" t="str">
        <f t="shared" ref="D35:D41" si="1">D71</f>
        <v>LV Residential Accumulation</v>
      </c>
      <c r="F35" s="74" t="str">
        <f t="shared" ref="F35:F41" si="2">F71</f>
        <v>LV &lt;750MWh</v>
      </c>
      <c r="H35" s="74" t="str">
        <f t="shared" ref="H35:J41" si="3">H71</f>
        <v>Calculated</v>
      </c>
      <c r="I35" s="74" t="str">
        <f t="shared" si="3"/>
        <v>$000's</v>
      </c>
      <c r="J35" s="74" t="str">
        <f t="shared" si="3"/>
        <v>Nominal</v>
      </c>
      <c r="O35" s="78">
        <f t="shared" ref="O35:S41" si="4">O54+O71+O88</f>
        <v>65346.494631728419</v>
      </c>
      <c r="P35" s="78">
        <f t="shared" si="4"/>
        <v>59028.129653972195</v>
      </c>
      <c r="Q35" s="78">
        <f t="shared" si="4"/>
        <v>57400.632594051945</v>
      </c>
      <c r="R35" s="78">
        <f t="shared" si="4"/>
        <v>55663.702057784671</v>
      </c>
      <c r="S35" s="78">
        <f t="shared" si="4"/>
        <v>53899.059714959978</v>
      </c>
    </row>
    <row r="36" spans="1:19" s="6" customFormat="1" ht="11.25" customHeight="1" x14ac:dyDescent="0.2">
      <c r="D36" s="15" t="str">
        <f t="shared" si="1"/>
        <v>LV Non-Residential Accumulation</v>
      </c>
      <c r="F36" s="74" t="str">
        <f t="shared" si="2"/>
        <v>LV &lt;750MWh</v>
      </c>
      <c r="H36" s="74" t="str">
        <f t="shared" si="3"/>
        <v>Calculated</v>
      </c>
      <c r="I36" s="74" t="str">
        <f t="shared" si="3"/>
        <v>$000's</v>
      </c>
      <c r="J36" s="74" t="str">
        <f t="shared" si="3"/>
        <v>Nominal</v>
      </c>
      <c r="O36" s="78">
        <f t="shared" si="4"/>
        <v>10801.272107338424</v>
      </c>
      <c r="P36" s="78">
        <f t="shared" si="4"/>
        <v>9657.1413911518866</v>
      </c>
      <c r="Q36" s="78">
        <f t="shared" si="4"/>
        <v>9395.2660480865416</v>
      </c>
      <c r="R36" s="78">
        <f t="shared" si="4"/>
        <v>9140.7835960424018</v>
      </c>
      <c r="S36" s="78">
        <f t="shared" si="4"/>
        <v>8884.1644303424346</v>
      </c>
    </row>
    <row r="37" spans="1:19" s="6" customFormat="1" ht="11.25" customHeight="1" x14ac:dyDescent="0.2">
      <c r="D37" s="15" t="str">
        <f t="shared" si="1"/>
        <v>LV Unmetered</v>
      </c>
      <c r="F37" s="74" t="str">
        <f t="shared" si="2"/>
        <v>LV &lt;750MWh</v>
      </c>
      <c r="H37" s="74" t="str">
        <f t="shared" si="3"/>
        <v>Calculated</v>
      </c>
      <c r="I37" s="74" t="str">
        <f t="shared" si="3"/>
        <v>$000's</v>
      </c>
      <c r="J37" s="74" t="str">
        <f t="shared" si="3"/>
        <v>Nominal</v>
      </c>
      <c r="O37" s="78">
        <f t="shared" si="4"/>
        <v>1147.4845564710001</v>
      </c>
      <c r="P37" s="78">
        <f t="shared" si="4"/>
        <v>1104.5769420518643</v>
      </c>
      <c r="Q37" s="78">
        <f t="shared" si="4"/>
        <v>1145.0744706108276</v>
      </c>
      <c r="R37" s="78">
        <f t="shared" si="4"/>
        <v>1191.0778242943543</v>
      </c>
      <c r="S37" s="78">
        <f t="shared" si="4"/>
        <v>1237.3657959801528</v>
      </c>
    </row>
    <row r="38" spans="1:19" s="6" customFormat="1" ht="11.25" customHeight="1" x14ac:dyDescent="0.2">
      <c r="D38" s="15" t="str">
        <f t="shared" si="1"/>
        <v>LV Smart Meter</v>
      </c>
      <c r="F38" s="74" t="str">
        <f t="shared" si="2"/>
        <v>LV &lt;750MWh</v>
      </c>
      <c r="H38" s="74" t="str">
        <f t="shared" si="3"/>
        <v>Calculated</v>
      </c>
      <c r="I38" s="74" t="str">
        <f t="shared" si="3"/>
        <v>$000's</v>
      </c>
      <c r="J38" s="74" t="str">
        <f t="shared" si="3"/>
        <v>Nominal</v>
      </c>
      <c r="O38" s="78">
        <f t="shared" si="4"/>
        <v>46804.819931710001</v>
      </c>
      <c r="P38" s="78">
        <f t="shared" si="4"/>
        <v>44013.828718993725</v>
      </c>
      <c r="Q38" s="78">
        <f t="shared" si="4"/>
        <v>49564.162626124249</v>
      </c>
      <c r="R38" s="78">
        <f t="shared" si="4"/>
        <v>55583.489682984473</v>
      </c>
      <c r="S38" s="78">
        <f t="shared" si="4"/>
        <v>61731.267395008152</v>
      </c>
    </row>
    <row r="39" spans="1:19" s="6" customFormat="1" ht="11.25" customHeight="1" x14ac:dyDescent="0.2">
      <c r="D39" s="15" t="str">
        <f t="shared" si="1"/>
        <v>HV Smart meter &lt;750MWh</v>
      </c>
      <c r="F39" s="74" t="str">
        <f t="shared" si="2"/>
        <v>HV</v>
      </c>
      <c r="H39" s="74" t="str">
        <f t="shared" si="3"/>
        <v>Calculated</v>
      </c>
      <c r="I39" s="74" t="str">
        <f t="shared" si="3"/>
        <v>$000's</v>
      </c>
      <c r="J39" s="74" t="str">
        <f t="shared" si="3"/>
        <v>Nominal</v>
      </c>
      <c r="O39" s="78">
        <f t="shared" si="4"/>
        <v>649.28580599999998</v>
      </c>
      <c r="P39" s="78">
        <f t="shared" si="4"/>
        <v>537.39670242101511</v>
      </c>
      <c r="Q39" s="78">
        <f t="shared" si="4"/>
        <v>552.51194865528896</v>
      </c>
      <c r="R39" s="78">
        <f t="shared" si="4"/>
        <v>569.97185256640682</v>
      </c>
      <c r="S39" s="78">
        <f t="shared" si="4"/>
        <v>587.28097418008292</v>
      </c>
    </row>
    <row r="40" spans="1:19" s="6" customFormat="1" ht="11.25" customHeight="1" x14ac:dyDescent="0.2">
      <c r="D40" s="15" t="str">
        <f t="shared" si="1"/>
        <v>LV &gt;750MWh</v>
      </c>
      <c r="F40" s="74" t="str">
        <f t="shared" si="2"/>
        <v>LV &gt;750MWh</v>
      </c>
      <c r="H40" s="74" t="str">
        <f t="shared" si="3"/>
        <v>Calculated</v>
      </c>
      <c r="I40" s="74" t="str">
        <f t="shared" si="3"/>
        <v>$000's</v>
      </c>
      <c r="J40" s="74" t="str">
        <f t="shared" si="3"/>
        <v>Nominal</v>
      </c>
      <c r="O40" s="78">
        <f t="shared" si="4"/>
        <v>17612.650009960413</v>
      </c>
      <c r="P40" s="78">
        <f t="shared" si="4"/>
        <v>16930.697278181899</v>
      </c>
      <c r="Q40" s="78">
        <f t="shared" si="4"/>
        <v>17519.23496807817</v>
      </c>
      <c r="R40" s="78">
        <f t="shared" si="4"/>
        <v>18135.19244107202</v>
      </c>
      <c r="S40" s="78">
        <f t="shared" si="4"/>
        <v>18812.581353571877</v>
      </c>
    </row>
    <row r="41" spans="1:19" s="6" customFormat="1" ht="11.25" customHeight="1" x14ac:dyDescent="0.2">
      <c r="D41" s="15" t="str">
        <f t="shared" si="1"/>
        <v>HV &gt;750MWh</v>
      </c>
      <c r="F41" s="74" t="str">
        <f t="shared" si="2"/>
        <v>HV</v>
      </c>
      <c r="H41" s="74" t="str">
        <f t="shared" si="3"/>
        <v>Calculated</v>
      </c>
      <c r="I41" s="74" t="str">
        <f t="shared" si="3"/>
        <v>$000's</v>
      </c>
      <c r="J41" s="74" t="str">
        <f t="shared" si="3"/>
        <v>Nominal</v>
      </c>
      <c r="O41" s="78">
        <f t="shared" si="4"/>
        <v>15448.9832752</v>
      </c>
      <c r="P41" s="78">
        <f t="shared" si="4"/>
        <v>14657.621717766047</v>
      </c>
      <c r="Q41" s="78">
        <f t="shared" si="4"/>
        <v>15058.505499295794</v>
      </c>
      <c r="R41" s="78">
        <f t="shared" si="4"/>
        <v>15546.585200085294</v>
      </c>
      <c r="S41" s="78">
        <f t="shared" si="4"/>
        <v>16054.089283422069</v>
      </c>
    </row>
    <row r="42" spans="1:19" s="6" customFormat="1" ht="11.25" customHeight="1" x14ac:dyDescent="0.2"/>
    <row r="43" spans="1:19" s="6" customFormat="1" ht="11.25" customHeight="1" x14ac:dyDescent="0.2">
      <c r="D43" s="73" t="str">
        <f>"Total - "&amp;C31</f>
        <v>Total - Revenue by Tariff</v>
      </c>
      <c r="F43" s="67" t="s">
        <v>35</v>
      </c>
      <c r="H43" s="67" t="s">
        <v>89</v>
      </c>
      <c r="I43" s="67" t="str">
        <f>Thousands</f>
        <v>$000's</v>
      </c>
      <c r="J43" s="67" t="str">
        <f>Nominal</f>
        <v>Nominal</v>
      </c>
      <c r="O43" s="80">
        <f>SUM(O35:O41)</f>
        <v>157810.99031840824</v>
      </c>
      <c r="P43" s="80">
        <f>SUM(P35:P41)</f>
        <v>145929.39240453864</v>
      </c>
      <c r="Q43" s="80">
        <f>SUM(Q35:Q41)</f>
        <v>150635.38815490282</v>
      </c>
      <c r="R43" s="80">
        <f>SUM(R35:R41)</f>
        <v>155830.80265482963</v>
      </c>
      <c r="S43" s="80">
        <f>SUM(S35:S41)</f>
        <v>161205.80894746474</v>
      </c>
    </row>
    <row r="44" spans="1:19" s="6" customFormat="1" ht="11.25" customHeight="1" x14ac:dyDescent="0.2"/>
    <row r="45" spans="1:19" s="6" customFormat="1" ht="11.25" hidden="1" customHeight="1" outlineLevel="1" x14ac:dyDescent="0.2">
      <c r="D45" s="15" t="str">
        <f>D81</f>
        <v>Check - Target Value</v>
      </c>
      <c r="F45" s="74" t="str">
        <f>F98</f>
        <v>N/A</v>
      </c>
      <c r="H45" s="74" t="str">
        <f>H81</f>
        <v>Calculated</v>
      </c>
      <c r="I45" s="74" t="str">
        <f>I81</f>
        <v>$000's</v>
      </c>
      <c r="J45" s="74" t="str">
        <f>J81</f>
        <v>Nominal</v>
      </c>
      <c r="K45" s="74"/>
      <c r="O45" s="78">
        <f>O$27</f>
        <v>157810.99031840824</v>
      </c>
      <c r="P45" s="78">
        <f>P$27</f>
        <v>145929.39240453864</v>
      </c>
      <c r="Q45" s="78">
        <f>Q$27</f>
        <v>150635.38815490284</v>
      </c>
      <c r="R45" s="78">
        <f>R$27</f>
        <v>155830.8026548296</v>
      </c>
      <c r="S45" s="78">
        <f>S$27</f>
        <v>161205.80894746474</v>
      </c>
    </row>
    <row r="46" spans="1:19" s="6" customFormat="1" ht="11.25" hidden="1" customHeight="1" outlineLevel="1" x14ac:dyDescent="0.2">
      <c r="A46" s="70">
        <f>IF(SUM($O46:$S46)=0,0,1)</f>
        <v>0</v>
      </c>
      <c r="D46" s="15" t="str">
        <f>D82</f>
        <v>Check</v>
      </c>
      <c r="F46" s="74"/>
      <c r="H46" s="74"/>
      <c r="I46" s="74"/>
      <c r="J46" s="74"/>
      <c r="K46" s="74"/>
      <c r="O46" s="70">
        <f>IF(ROUND(O45-O43,2)=0,0,1)</f>
        <v>0</v>
      </c>
      <c r="P46" s="70">
        <f>IF(ROUND(P45-P43,2)=0,0,1)</f>
        <v>0</v>
      </c>
      <c r="Q46" s="70">
        <f>IF(ROUND(Q45-Q43,2)=0,0,1)</f>
        <v>0</v>
      </c>
      <c r="R46" s="70">
        <f>IF(ROUND(R45-R43,2)=0,0,1)</f>
        <v>0</v>
      </c>
      <c r="S46" s="70">
        <f>IF(ROUND(S45-S43,2)=0,0,1)</f>
        <v>0</v>
      </c>
    </row>
    <row r="47" spans="1:19" s="6" customFormat="1" ht="11.25" customHeight="1" collapsed="1" x14ac:dyDescent="0.2"/>
    <row r="48" spans="1:19" s="4" customFormat="1" ht="15.5" x14ac:dyDescent="0.2">
      <c r="B48" s="4" t="s">
        <v>216</v>
      </c>
    </row>
    <row r="49" spans="3:19" s="6" customFormat="1" ht="11.25" customHeight="1" x14ac:dyDescent="0.2"/>
    <row r="50" spans="3:19" s="13" customFormat="1" ht="14" x14ac:dyDescent="0.2">
      <c r="C50" s="13" t="str">
        <f>Inputs_Prices!C17</f>
        <v>System Access Charge</v>
      </c>
    </row>
    <row r="51" spans="3:19" s="6" customFormat="1" ht="11.25" customHeight="1" x14ac:dyDescent="0.2"/>
    <row r="52" spans="3:19" s="6" customFormat="1" ht="11.25" customHeight="1" x14ac:dyDescent="0.2">
      <c r="D52" s="83" t="str">
        <f>D$10</f>
        <v>Tariff</v>
      </c>
      <c r="F52" s="65" t="str">
        <f>F$10</f>
        <v>Tariff Class</v>
      </c>
      <c r="H52" s="65" t="str">
        <f>Lookup!E$19</f>
        <v>Source</v>
      </c>
      <c r="I52" s="65" t="str">
        <f>Lookup!F$19</f>
        <v>Unit</v>
      </c>
      <c r="J52" s="65" t="str">
        <f>Lookup!G$19</f>
        <v>Basis</v>
      </c>
      <c r="L52" s="7"/>
      <c r="O52" s="65" t="str">
        <f>O$10</f>
        <v>FY20</v>
      </c>
      <c r="P52" s="65" t="str">
        <f>P$10</f>
        <v>FY21</v>
      </c>
      <c r="Q52" s="65" t="str">
        <f>Q$10</f>
        <v>FY22</v>
      </c>
      <c r="R52" s="65" t="str">
        <f>R$10</f>
        <v>FY23</v>
      </c>
      <c r="S52" s="65" t="str">
        <f>S$10</f>
        <v>FY24</v>
      </c>
    </row>
    <row r="53" spans="3:19" s="6" customFormat="1" ht="11.25" customHeight="1" x14ac:dyDescent="0.2">
      <c r="D53" s="3"/>
    </row>
    <row r="54" spans="3:19" s="6" customFormat="1" ht="11.25" customHeight="1" x14ac:dyDescent="0.2">
      <c r="D54" s="100" t="s">
        <v>102</v>
      </c>
      <c r="E54" s="97"/>
      <c r="F54" s="99" t="s">
        <v>104</v>
      </c>
      <c r="G54" s="97"/>
      <c r="H54" s="95" t="s">
        <v>89</v>
      </c>
      <c r="I54" s="99" t="s">
        <v>76</v>
      </c>
      <c r="J54" s="99" t="s">
        <v>69</v>
      </c>
      <c r="O54" s="78">
        <f>SUMIF(Calc_Revenue!$D$33:$D$39,$D54,Calc_Revenue!O$33:O$39)</f>
        <v>14918.927965242834</v>
      </c>
      <c r="P54" s="78">
        <f>SUMIF(Calc_Revenue!$D$33:$D$39,$D54,Calc_Revenue!P$33:P$39)</f>
        <v>20398.078182300003</v>
      </c>
      <c r="Q54" s="78">
        <f>SUMIF(Calc_Revenue!$D$33:$D$39,$D54,Calc_Revenue!Q$33:Q$39)</f>
        <v>20180.013462855804</v>
      </c>
      <c r="R54" s="78">
        <f>SUMIF(Calc_Revenue!$D$33:$D$39,$D54,Calc_Revenue!R$33:R$39)</f>
        <v>19882.442814149115</v>
      </c>
      <c r="S54" s="78">
        <f>SUMIF(Calc_Revenue!$D$33:$D$39,$D54,Calc_Revenue!S$33:S$39)</f>
        <v>19584.425674627666</v>
      </c>
    </row>
    <row r="55" spans="3:19" s="6" customFormat="1" ht="11.25" customHeight="1" x14ac:dyDescent="0.2">
      <c r="D55" s="100" t="s">
        <v>105</v>
      </c>
      <c r="E55" s="97"/>
      <c r="F55" s="99" t="s">
        <v>104</v>
      </c>
      <c r="G55" s="97"/>
      <c r="H55" s="95" t="s">
        <v>89</v>
      </c>
      <c r="I55" s="99" t="s">
        <v>76</v>
      </c>
      <c r="J55" s="99" t="s">
        <v>69</v>
      </c>
      <c r="O55" s="78">
        <f>SUMIF(Calc_Revenue!$D$33:$D$39,$D55,Calc_Revenue!O$33:O$39)</f>
        <v>3982.7910462242021</v>
      </c>
      <c r="P55" s="78">
        <f>SUMIF(Calc_Revenue!$D$33:$D$39,$D55,Calc_Revenue!P$33:P$39)</f>
        <v>4228.3980000000001</v>
      </c>
      <c r="Q55" s="78">
        <f>SUMIF(Calc_Revenue!$D$33:$D$39,$D55,Calc_Revenue!Q$33:Q$39)</f>
        <v>4164.5924552429997</v>
      </c>
      <c r="R55" s="78">
        <f>SUMIF(Calc_Revenue!$D$33:$D$39,$D55,Calc_Revenue!R$33:R$39)</f>
        <v>4112.3855679315066</v>
      </c>
      <c r="S55" s="78">
        <f>SUMIF(Calc_Revenue!$D$33:$D$39,$D55,Calc_Revenue!S$33:S$39)</f>
        <v>4061.873605727445</v>
      </c>
    </row>
    <row r="56" spans="3:19" s="6" customFormat="1" ht="11.25" customHeight="1" x14ac:dyDescent="0.2">
      <c r="D56" s="100" t="s">
        <v>107</v>
      </c>
      <c r="E56" s="97"/>
      <c r="F56" s="99" t="s">
        <v>104</v>
      </c>
      <c r="G56" s="97"/>
      <c r="H56" s="95" t="s">
        <v>89</v>
      </c>
      <c r="I56" s="99" t="s">
        <v>76</v>
      </c>
      <c r="J56" s="99" t="s">
        <v>69</v>
      </c>
      <c r="O56" s="78">
        <f>SUMIF(Calc_Revenue!$D$33:$D$39,$D56,Calc_Revenue!O$33:O$39)</f>
        <v>0</v>
      </c>
      <c r="P56" s="78">
        <f>SUMIF(Calc_Revenue!$D$33:$D$39,$D56,Calc_Revenue!P$33:P$39)</f>
        <v>0</v>
      </c>
      <c r="Q56" s="78">
        <f>SUMIF(Calc_Revenue!$D$33:$D$39,$D56,Calc_Revenue!Q$33:Q$39)</f>
        <v>0</v>
      </c>
      <c r="R56" s="78">
        <f>SUMIF(Calc_Revenue!$D$33:$D$39,$D56,Calc_Revenue!R$33:R$39)</f>
        <v>0</v>
      </c>
      <c r="S56" s="78">
        <f>SUMIF(Calc_Revenue!$D$33:$D$39,$D56,Calc_Revenue!S$33:S$39)</f>
        <v>0</v>
      </c>
    </row>
    <row r="57" spans="3:19" s="6" customFormat="1" ht="11.25" customHeight="1" x14ac:dyDescent="0.2">
      <c r="D57" s="100" t="s">
        <v>109</v>
      </c>
      <c r="E57" s="97"/>
      <c r="F57" s="99" t="s">
        <v>104</v>
      </c>
      <c r="G57" s="97"/>
      <c r="H57" s="95" t="s">
        <v>89</v>
      </c>
      <c r="I57" s="99" t="s">
        <v>76</v>
      </c>
      <c r="J57" s="99" t="s">
        <v>69</v>
      </c>
      <c r="O57" s="78">
        <f>SUMIF(Calc_Revenue!$D$33:$D$39,$D57,Calc_Revenue!O$33:O$39)</f>
        <v>7306.4074004999993</v>
      </c>
      <c r="P57" s="78">
        <f>SUMIF(Calc_Revenue!$D$33:$D$39,$D57,Calc_Revenue!P$33:P$39)</f>
        <v>10322.298000000001</v>
      </c>
      <c r="Q57" s="78">
        <f>SUMIF(Calc_Revenue!$D$33:$D$39,$D57,Calc_Revenue!Q$33:Q$39)</f>
        <v>13083.111853317003</v>
      </c>
      <c r="R57" s="78">
        <f>SUMIF(Calc_Revenue!$D$33:$D$39,$D57,Calc_Revenue!R$33:R$39)</f>
        <v>15996.092051685277</v>
      </c>
      <c r="S57" s="78">
        <f>SUMIF(Calc_Revenue!$D$33:$D$39,$D57,Calc_Revenue!S$33:S$39)</f>
        <v>19036.537004660597</v>
      </c>
    </row>
    <row r="58" spans="3:19" s="6" customFormat="1" ht="11.25" customHeight="1" x14ac:dyDescent="0.2">
      <c r="D58" s="100" t="s">
        <v>111</v>
      </c>
      <c r="E58" s="97"/>
      <c r="F58" s="99" t="s">
        <v>113</v>
      </c>
      <c r="G58" s="97"/>
      <c r="H58" s="95" t="s">
        <v>89</v>
      </c>
      <c r="I58" s="99" t="s">
        <v>76</v>
      </c>
      <c r="J58" s="99" t="s">
        <v>69</v>
      </c>
      <c r="O58" s="78">
        <f>SUMIF(Calc_Revenue!$D$33:$D$39,$D58,Calc_Revenue!O$33:O$39)</f>
        <v>14.328899999999999</v>
      </c>
      <c r="P58" s="78">
        <f>SUMIF(Calc_Revenue!$D$33:$D$39,$D58,Calc_Revenue!P$33:P$39)</f>
        <v>15.86835616438356</v>
      </c>
      <c r="Q58" s="78">
        <f>SUMIF(Calc_Revenue!$D$33:$D$39,$D58,Calc_Revenue!Q$33:Q$39)</f>
        <v>16.44226700178082</v>
      </c>
      <c r="R58" s="78">
        <f>SUMIF(Calc_Revenue!$D$33:$D$39,$D58,Calc_Revenue!R$33:R$39)</f>
        <v>17.088102807343773</v>
      </c>
      <c r="S58" s="78">
        <f>SUMIF(Calc_Revenue!$D$33:$D$39,$D58,Calc_Revenue!S$33:S$39)</f>
        <v>17.774624318645216</v>
      </c>
    </row>
    <row r="59" spans="3:19" s="6" customFormat="1" ht="11.25" customHeight="1" x14ac:dyDescent="0.2">
      <c r="D59" s="100" t="s">
        <v>114</v>
      </c>
      <c r="E59" s="97"/>
      <c r="F59" s="99" t="s">
        <v>114</v>
      </c>
      <c r="G59" s="97"/>
      <c r="H59" s="95" t="s">
        <v>89</v>
      </c>
      <c r="I59" s="99" t="s">
        <v>76</v>
      </c>
      <c r="J59" s="99" t="s">
        <v>69</v>
      </c>
      <c r="O59" s="78">
        <f>SUMIF(Calc_Revenue!$D$33:$D$39,$D59,Calc_Revenue!O$33:O$39)</f>
        <v>4329.78</v>
      </c>
      <c r="P59" s="78">
        <f>SUMIF(Calc_Revenue!$D$33:$D$39,$D59,Calc_Revenue!P$33:P$39)</f>
        <v>4471.0447693150691</v>
      </c>
      <c r="Q59" s="78">
        <f>SUMIF(Calc_Revenue!$D$33:$D$39,$D59,Calc_Revenue!Q$33:Q$39)</f>
        <v>4767.7574609188878</v>
      </c>
      <c r="R59" s="78">
        <f>SUMIF(Calc_Revenue!$D$33:$D$39,$D59,Calc_Revenue!R$33:R$39)</f>
        <v>5011.1547706190222</v>
      </c>
      <c r="S59" s="78">
        <f>SUMIF(Calc_Revenue!$D$33:$D$39,$D59,Calc_Revenue!S$33:S$39)</f>
        <v>5295.994626898856</v>
      </c>
    </row>
    <row r="60" spans="3:19" s="6" customFormat="1" ht="11.25" customHeight="1" x14ac:dyDescent="0.2">
      <c r="D60" s="100" t="s">
        <v>116</v>
      </c>
      <c r="E60" s="97"/>
      <c r="F60" s="99" t="s">
        <v>113</v>
      </c>
      <c r="G60" s="97"/>
      <c r="H60" s="95" t="s">
        <v>89</v>
      </c>
      <c r="I60" s="99" t="s">
        <v>76</v>
      </c>
      <c r="J60" s="99" t="s">
        <v>69</v>
      </c>
      <c r="O60" s="78">
        <f>SUMIF(Calc_Revenue!$D$33:$D$39,$D60,Calc_Revenue!O$33:O$39)</f>
        <v>947.94</v>
      </c>
      <c r="P60" s="78">
        <f>SUMIF(Calc_Revenue!$D$33:$D$39,$D60,Calc_Revenue!P$33:P$39)</f>
        <v>1178.770684931507</v>
      </c>
      <c r="Q60" s="78">
        <f>SUMIF(Calc_Revenue!$D$33:$D$39,$D60,Calc_Revenue!Q$33:Q$39)</f>
        <v>1253.6384396634248</v>
      </c>
      <c r="R60" s="78">
        <f>SUMIF(Calc_Revenue!$D$33:$D$39,$D60,Calc_Revenue!R$33:R$39)</f>
        <v>1336.3814239727426</v>
      </c>
      <c r="S60" s="78">
        <f>SUMIF(Calc_Revenue!$D$33:$D$39,$D60,Calc_Revenue!S$33:S$39)</f>
        <v>1424.3936306844923</v>
      </c>
    </row>
    <row r="61" spans="3:19" s="6" customFormat="1" ht="11.25" customHeight="1" x14ac:dyDescent="0.2"/>
    <row r="62" spans="3:19" s="6" customFormat="1" ht="11.25" customHeight="1" x14ac:dyDescent="0.2">
      <c r="D62" s="73" t="str">
        <f>"Total - "&amp;C50</f>
        <v>Total - System Access Charge</v>
      </c>
      <c r="F62" s="67" t="s">
        <v>35</v>
      </c>
      <c r="H62" s="67" t="s">
        <v>89</v>
      </c>
      <c r="I62" s="67" t="str">
        <f>Thousands</f>
        <v>$000's</v>
      </c>
      <c r="J62" s="67" t="str">
        <f>Nominal</f>
        <v>Nominal</v>
      </c>
      <c r="O62" s="80">
        <f>SUM(O54:O60)</f>
        <v>31500.175311967036</v>
      </c>
      <c r="P62" s="80">
        <f>SUM(P54:P60)</f>
        <v>40614.457992710966</v>
      </c>
      <c r="Q62" s="80">
        <f>SUM(Q54:Q60)</f>
        <v>43465.555938999903</v>
      </c>
      <c r="R62" s="80">
        <f>SUM(R54:R60)</f>
        <v>46355.544731165006</v>
      </c>
      <c r="S62" s="80">
        <f>SUM(S54:S60)</f>
        <v>49420.999166917703</v>
      </c>
    </row>
    <row r="63" spans="3:19" s="6" customFormat="1" ht="11.25" customHeight="1" x14ac:dyDescent="0.2"/>
    <row r="64" spans="3:19" s="6" customFormat="1" ht="11.25" hidden="1" customHeight="1" outlineLevel="1" x14ac:dyDescent="0.2">
      <c r="D64" s="96" t="s">
        <v>138</v>
      </c>
      <c r="E64" s="97"/>
      <c r="F64" s="95" t="str">
        <f>NA</f>
        <v>N/A</v>
      </c>
      <c r="G64" s="97"/>
      <c r="H64" s="95" t="s">
        <v>89</v>
      </c>
      <c r="I64" s="99" t="s">
        <v>76</v>
      </c>
      <c r="J64" s="99" t="s">
        <v>69</v>
      </c>
      <c r="K64" s="93"/>
      <c r="O64" s="78">
        <f>Calc_Revenue!O$41</f>
        <v>31500.175311967036</v>
      </c>
      <c r="P64" s="78">
        <f>Calc_Revenue!P$41</f>
        <v>40614.457992710966</v>
      </c>
      <c r="Q64" s="78">
        <f>Calc_Revenue!Q$41</f>
        <v>43465.555938999903</v>
      </c>
      <c r="R64" s="78">
        <f>Calc_Revenue!R$41</f>
        <v>46355.544731165006</v>
      </c>
      <c r="S64" s="78">
        <f>Calc_Revenue!S$41</f>
        <v>49420.999166917703</v>
      </c>
    </row>
    <row r="65" spans="1:19" s="6" customFormat="1" ht="11.25" hidden="1" customHeight="1" outlineLevel="1" x14ac:dyDescent="0.2">
      <c r="A65" s="70">
        <f>IF(SUM($O65:$S65)=0,0,1)</f>
        <v>0</v>
      </c>
      <c r="D65" s="96" t="s">
        <v>92</v>
      </c>
      <c r="E65" s="97"/>
      <c r="F65" s="95"/>
      <c r="G65" s="97"/>
      <c r="H65" s="95"/>
      <c r="I65" s="99"/>
      <c r="J65" s="99"/>
      <c r="K65" s="93"/>
      <c r="O65" s="70">
        <f>IF(ROUND(O64-O62,2)=0,0,1)</f>
        <v>0</v>
      </c>
      <c r="P65" s="70">
        <f>IF(ROUND(P64-P62,2)=0,0,1)</f>
        <v>0</v>
      </c>
      <c r="Q65" s="70">
        <f>IF(ROUND(Q64-Q62,2)=0,0,1)</f>
        <v>0</v>
      </c>
      <c r="R65" s="70">
        <f>IF(ROUND(R64-R62,2)=0,0,1)</f>
        <v>0</v>
      </c>
      <c r="S65" s="70">
        <f>IF(ROUND(S64-S62,2)=0,0,1)</f>
        <v>0</v>
      </c>
    </row>
    <row r="66" spans="1:19" s="6" customFormat="1" ht="11.25" customHeight="1" collapsed="1" x14ac:dyDescent="0.2"/>
    <row r="67" spans="1:19" s="13" customFormat="1" ht="14" x14ac:dyDescent="0.2">
      <c r="C67" s="13" t="str">
        <f>Inputs_Prices!C30</f>
        <v>Consumption</v>
      </c>
    </row>
    <row r="68" spans="1:19" s="6" customFormat="1" ht="11.25" customHeight="1" x14ac:dyDescent="0.2"/>
    <row r="69" spans="1:19" s="6" customFormat="1" ht="11.25" customHeight="1" x14ac:dyDescent="0.2">
      <c r="D69" s="83" t="str">
        <f>D$10</f>
        <v>Tariff</v>
      </c>
      <c r="F69" s="65" t="str">
        <f>F$10</f>
        <v>Tariff Class</v>
      </c>
      <c r="H69" s="65" t="str">
        <f>Lookup!E$19</f>
        <v>Source</v>
      </c>
      <c r="I69" s="65" t="str">
        <f>Lookup!F$19</f>
        <v>Unit</v>
      </c>
      <c r="J69" s="65" t="str">
        <f>Lookup!G$19</f>
        <v>Basis</v>
      </c>
      <c r="L69" s="7"/>
      <c r="O69" s="65" t="str">
        <f>O$10</f>
        <v>FY20</v>
      </c>
      <c r="P69" s="65" t="str">
        <f>P$10</f>
        <v>FY21</v>
      </c>
      <c r="Q69" s="65" t="str">
        <f>Q$10</f>
        <v>FY22</v>
      </c>
      <c r="R69" s="65" t="str">
        <f>R$10</f>
        <v>FY23</v>
      </c>
      <c r="S69" s="65" t="str">
        <f>S$10</f>
        <v>FY24</v>
      </c>
    </row>
    <row r="70" spans="1:19" s="6" customFormat="1" ht="11.25" customHeight="1" x14ac:dyDescent="0.2">
      <c r="D70" s="3"/>
    </row>
    <row r="71" spans="1:19" s="6" customFormat="1" ht="11.25" customHeight="1" x14ac:dyDescent="0.2">
      <c r="D71" s="15" t="str">
        <f t="shared" ref="D71:D77" si="5">D54</f>
        <v>LV Residential Accumulation</v>
      </c>
      <c r="F71" s="74" t="str">
        <f t="shared" ref="F71:F77" si="6">F54</f>
        <v>LV &lt;750MWh</v>
      </c>
      <c r="H71" s="74" t="str">
        <f t="shared" ref="H71:J77" si="7">H54</f>
        <v>Calculated</v>
      </c>
      <c r="I71" s="74" t="str">
        <f t="shared" si="7"/>
        <v>$000's</v>
      </c>
      <c r="J71" s="74" t="str">
        <f t="shared" si="7"/>
        <v>Nominal</v>
      </c>
      <c r="O71" s="78">
        <f>SUMIF(Calc_Revenue!$D$49:$D$55,$D71,Calc_Revenue!O$49:O$55)</f>
        <v>50427.566666485582</v>
      </c>
      <c r="P71" s="78">
        <f>SUMIF(Calc_Revenue!$D$49:$D$55,$D71,Calc_Revenue!P$49:P$55)</f>
        <v>38630.051471672188</v>
      </c>
      <c r="Q71" s="78">
        <f>SUMIF(Calc_Revenue!$D$49:$D$55,$D71,Calc_Revenue!Q$49:Q$55)</f>
        <v>37220.619131196137</v>
      </c>
      <c r="R71" s="78">
        <f>SUMIF(Calc_Revenue!$D$49:$D$55,$D71,Calc_Revenue!R$49:R$55)</f>
        <v>35781.259243635555</v>
      </c>
      <c r="S71" s="78">
        <f>SUMIF(Calc_Revenue!$D$49:$D$55,$D71,Calc_Revenue!S$49:S$55)</f>
        <v>34314.634040332312</v>
      </c>
    </row>
    <row r="72" spans="1:19" s="6" customFormat="1" ht="11.25" customHeight="1" x14ac:dyDescent="0.2">
      <c r="D72" s="15" t="str">
        <f t="shared" si="5"/>
        <v>LV Non-Residential Accumulation</v>
      </c>
      <c r="F72" s="74" t="str">
        <f t="shared" si="6"/>
        <v>LV &lt;750MWh</v>
      </c>
      <c r="H72" s="74" t="str">
        <f t="shared" si="7"/>
        <v>Calculated</v>
      </c>
      <c r="I72" s="74" t="str">
        <f t="shared" si="7"/>
        <v>$000's</v>
      </c>
      <c r="J72" s="74" t="str">
        <f t="shared" si="7"/>
        <v>Nominal</v>
      </c>
      <c r="O72" s="78">
        <f>SUMIF(Calc_Revenue!$D$49:$D$55,$D72,Calc_Revenue!O$49:O$55)</f>
        <v>6818.4810611142211</v>
      </c>
      <c r="P72" s="78">
        <f>SUMIF(Calc_Revenue!$D$49:$D$55,$D72,Calc_Revenue!P$49:P$55)</f>
        <v>5428.7433911518865</v>
      </c>
      <c r="Q72" s="78">
        <f>SUMIF(Calc_Revenue!$D$49:$D$55,$D72,Calc_Revenue!Q$49:Q$55)</f>
        <v>5230.673592843541</v>
      </c>
      <c r="R72" s="78">
        <f>SUMIF(Calc_Revenue!$D$49:$D$55,$D72,Calc_Revenue!R$49:R$55)</f>
        <v>5028.3980281108961</v>
      </c>
      <c r="S72" s="78">
        <f>SUMIF(Calc_Revenue!$D$49:$D$55,$D72,Calc_Revenue!S$49:S$55)</f>
        <v>4822.29082461499</v>
      </c>
    </row>
    <row r="73" spans="1:19" s="6" customFormat="1" ht="11.25" customHeight="1" x14ac:dyDescent="0.2">
      <c r="D73" s="15" t="str">
        <f t="shared" si="5"/>
        <v>LV Unmetered</v>
      </c>
      <c r="F73" s="74" t="str">
        <f t="shared" si="6"/>
        <v>LV &lt;750MWh</v>
      </c>
      <c r="H73" s="74" t="str">
        <f t="shared" si="7"/>
        <v>Calculated</v>
      </c>
      <c r="I73" s="74" t="str">
        <f t="shared" si="7"/>
        <v>$000's</v>
      </c>
      <c r="J73" s="74" t="str">
        <f t="shared" si="7"/>
        <v>Nominal</v>
      </c>
      <c r="O73" s="78">
        <f>SUMIF(Calc_Revenue!$D$49:$D$55,$D73,Calc_Revenue!O$49:O$55)</f>
        <v>1147.4845564710001</v>
      </c>
      <c r="P73" s="78">
        <f>SUMIF(Calc_Revenue!$D$49:$D$55,$D73,Calc_Revenue!P$49:P$55)</f>
        <v>1104.5769420518643</v>
      </c>
      <c r="Q73" s="78">
        <f>SUMIF(Calc_Revenue!$D$49:$D$55,$D73,Calc_Revenue!Q$49:Q$55)</f>
        <v>1145.0744706108276</v>
      </c>
      <c r="R73" s="78">
        <f>SUMIF(Calc_Revenue!$D$49:$D$55,$D73,Calc_Revenue!R$49:R$55)</f>
        <v>1191.0778242943543</v>
      </c>
      <c r="S73" s="78">
        <f>SUMIF(Calc_Revenue!$D$49:$D$55,$D73,Calc_Revenue!S$49:S$55)</f>
        <v>1237.3657959801528</v>
      </c>
    </row>
    <row r="74" spans="1:19" s="6" customFormat="1" ht="11.25" customHeight="1" x14ac:dyDescent="0.2">
      <c r="D74" s="15" t="str">
        <f t="shared" si="5"/>
        <v>LV Smart Meter</v>
      </c>
      <c r="F74" s="74" t="str">
        <f t="shared" si="6"/>
        <v>LV &lt;750MWh</v>
      </c>
      <c r="H74" s="74" t="str">
        <f t="shared" si="7"/>
        <v>Calculated</v>
      </c>
      <c r="I74" s="74" t="str">
        <f t="shared" si="7"/>
        <v>$000's</v>
      </c>
      <c r="J74" s="74" t="str">
        <f t="shared" si="7"/>
        <v>Nominal</v>
      </c>
      <c r="O74" s="78">
        <f>SUMIF(Calc_Revenue!$D$49:$D$55,$D74,Calc_Revenue!O$49:O$55)</f>
        <v>15042.370156604458</v>
      </c>
      <c r="P74" s="78">
        <f>SUMIF(Calc_Revenue!$D$49:$D$55,$D74,Calc_Revenue!P$49:P$55)</f>
        <v>12034.035900512619</v>
      </c>
      <c r="Q74" s="78">
        <f>SUMIF(Calc_Revenue!$D$49:$D$55,$D74,Calc_Revenue!Q$49:Q$55)</f>
        <v>13090.389423066608</v>
      </c>
      <c r="R74" s="78">
        <f>SUMIF(Calc_Revenue!$D$49:$D$55,$D74,Calc_Revenue!R$49:R$55)</f>
        <v>14257.337389516502</v>
      </c>
      <c r="S74" s="78">
        <f>SUMIF(Calc_Revenue!$D$49:$D$55,$D74,Calc_Revenue!S$49:S$55)</f>
        <v>15421.536357201448</v>
      </c>
    </row>
    <row r="75" spans="1:19" s="6" customFormat="1" ht="11.25" customHeight="1" x14ac:dyDescent="0.2">
      <c r="D75" s="15" t="str">
        <f t="shared" si="5"/>
        <v>HV Smart meter &lt;750MWh</v>
      </c>
      <c r="F75" s="74" t="str">
        <f t="shared" si="6"/>
        <v>HV</v>
      </c>
      <c r="H75" s="74" t="str">
        <f t="shared" si="7"/>
        <v>Calculated</v>
      </c>
      <c r="I75" s="74" t="str">
        <f t="shared" si="7"/>
        <v>$000's</v>
      </c>
      <c r="J75" s="74" t="str">
        <f t="shared" si="7"/>
        <v>Nominal</v>
      </c>
      <c r="O75" s="78">
        <f>SUMIF(Calc_Revenue!$D$49:$D$55,$D75,Calc_Revenue!O$49:O$55)</f>
        <v>252.97368599999999</v>
      </c>
      <c r="P75" s="78">
        <f>SUMIF(Calc_Revenue!$D$49:$D$55,$D75,Calc_Revenue!P$49:P$55)</f>
        <v>190.06556149960701</v>
      </c>
      <c r="Q75" s="78">
        <f>SUMIF(Calc_Revenue!$D$49:$D$55,$D75,Calc_Revenue!Q$49:Q$55)</f>
        <v>195.06054825401054</v>
      </c>
      <c r="R75" s="78">
        <f>SUMIF(Calc_Revenue!$D$49:$D$55,$D75,Calc_Revenue!R$49:R$55)</f>
        <v>200.8649198386712</v>
      </c>
      <c r="S75" s="78">
        <f>SUMIF(Calc_Revenue!$D$49:$D$55,$D75,Calc_Revenue!S$49:S$55)</f>
        <v>206.58096991220705</v>
      </c>
    </row>
    <row r="76" spans="1:19" s="6" customFormat="1" ht="11.25" customHeight="1" x14ac:dyDescent="0.2">
      <c r="D76" s="15" t="str">
        <f t="shared" si="5"/>
        <v>LV &gt;750MWh</v>
      </c>
      <c r="F76" s="74" t="str">
        <f t="shared" si="6"/>
        <v>LV &gt;750MWh</v>
      </c>
      <c r="H76" s="74" t="str">
        <f t="shared" si="7"/>
        <v>Calculated</v>
      </c>
      <c r="I76" s="74" t="str">
        <f t="shared" si="7"/>
        <v>$000's</v>
      </c>
      <c r="J76" s="74" t="str">
        <f t="shared" si="7"/>
        <v>Nominal</v>
      </c>
      <c r="O76" s="78">
        <f>SUMIF(Calc_Revenue!$D$49:$D$55,$D76,Calc_Revenue!O$49:O$55)</f>
        <v>6189.4037585937558</v>
      </c>
      <c r="P76" s="78">
        <f>SUMIF(Calc_Revenue!$D$49:$D$55,$D76,Calc_Revenue!P$49:P$55)</f>
        <v>4612.5869336060159</v>
      </c>
      <c r="Q76" s="78">
        <f>SUMIF(Calc_Revenue!$D$49:$D$55,$D76,Calc_Revenue!Q$49:Q$55)</f>
        <v>4733.8072665012223</v>
      </c>
      <c r="R76" s="78">
        <f>SUMIF(Calc_Revenue!$D$49:$D$55,$D76,Calc_Revenue!R$49:R$55)</f>
        <v>4874.6700736187277</v>
      </c>
      <c r="S76" s="78">
        <f>SUMIF(Calc_Revenue!$D$49:$D$55,$D76,Calc_Revenue!S$49:S$55)</f>
        <v>5013.3894590402888</v>
      </c>
    </row>
    <row r="77" spans="1:19" s="6" customFormat="1" ht="11.25" customHeight="1" x14ac:dyDescent="0.2">
      <c r="D77" s="15" t="str">
        <f t="shared" si="5"/>
        <v>HV &gt;750MWh</v>
      </c>
      <c r="F77" s="74" t="str">
        <f t="shared" si="6"/>
        <v>HV</v>
      </c>
      <c r="H77" s="74" t="str">
        <f t="shared" si="7"/>
        <v>Calculated</v>
      </c>
      <c r="I77" s="74" t="str">
        <f t="shared" si="7"/>
        <v>$000's</v>
      </c>
      <c r="J77" s="74" t="str">
        <f t="shared" si="7"/>
        <v>Nominal</v>
      </c>
      <c r="O77" s="78">
        <f>SUMIF(Calc_Revenue!$D$49:$D$55,$D77,Calc_Revenue!O$49:O$55)</f>
        <v>8294.8178055999997</v>
      </c>
      <c r="P77" s="78">
        <f>SUMIF(Calc_Revenue!$D$49:$D$55,$D77,Calc_Revenue!P$49:P$55)</f>
        <v>7263.4084670942502</v>
      </c>
      <c r="Q77" s="78">
        <f>SUMIF(Calc_Revenue!$D$49:$D$55,$D77,Calc_Revenue!Q$49:Q$55)</f>
        <v>7454.2932796752693</v>
      </c>
      <c r="R77" s="78">
        <f>SUMIF(Calc_Revenue!$D$49:$D$55,$D77,Calc_Revenue!R$49:R$55)</f>
        <v>7676.1089593888846</v>
      </c>
      <c r="S77" s="78">
        <f>SUMIF(Calc_Revenue!$D$49:$D$55,$D77,Calc_Revenue!S$49:S$55)</f>
        <v>7894.5494079103328</v>
      </c>
    </row>
    <row r="78" spans="1:19" s="6" customFormat="1" ht="11.25" customHeight="1" x14ac:dyDescent="0.2"/>
    <row r="79" spans="1:19" s="6" customFormat="1" ht="11.25" customHeight="1" x14ac:dyDescent="0.2">
      <c r="D79" s="73" t="str">
        <f>"Total - "&amp;C67</f>
        <v>Total - Consumption</v>
      </c>
      <c r="F79" s="67" t="s">
        <v>35</v>
      </c>
      <c r="H79" s="67" t="s">
        <v>89</v>
      </c>
      <c r="I79" s="67" t="str">
        <f>Thousands</f>
        <v>$000's</v>
      </c>
      <c r="J79" s="67" t="str">
        <f>Nominal</f>
        <v>Nominal</v>
      </c>
      <c r="O79" s="80">
        <f>SUM(O71:O77)</f>
        <v>88173.097690869021</v>
      </c>
      <c r="P79" s="80">
        <f>SUM(P71:P77)</f>
        <v>69263.46866758843</v>
      </c>
      <c r="Q79" s="80">
        <f>SUM(Q71:Q77)</f>
        <v>69069.917712147624</v>
      </c>
      <c r="R79" s="80">
        <f>SUM(R71:R77)</f>
        <v>69009.716438403586</v>
      </c>
      <c r="S79" s="80">
        <f>SUM(S71:S77)</f>
        <v>68910.346854991731</v>
      </c>
    </row>
    <row r="80" spans="1:19" s="6" customFormat="1" ht="11.25" customHeight="1" x14ac:dyDescent="0.2"/>
    <row r="81" spans="1:19" s="6" customFormat="1" ht="11.25" hidden="1" customHeight="1" outlineLevel="1" x14ac:dyDescent="0.2">
      <c r="D81" s="15" t="str">
        <f>D64</f>
        <v>Check - Target Value</v>
      </c>
      <c r="F81" s="74" t="str">
        <f>F64</f>
        <v>N/A</v>
      </c>
      <c r="H81" s="74" t="str">
        <f>H64</f>
        <v>Calculated</v>
      </c>
      <c r="I81" s="74" t="str">
        <f>I64</f>
        <v>$000's</v>
      </c>
      <c r="J81" s="74" t="str">
        <f>J64</f>
        <v>Nominal</v>
      </c>
      <c r="K81" s="74"/>
      <c r="O81" s="78">
        <f>Calc_Revenue!O$57</f>
        <v>88173.097690869021</v>
      </c>
      <c r="P81" s="78">
        <f>Calc_Revenue!P$57</f>
        <v>69263.46866758843</v>
      </c>
      <c r="Q81" s="78">
        <f>Calc_Revenue!Q$57</f>
        <v>69069.917712147624</v>
      </c>
      <c r="R81" s="78">
        <f>Calc_Revenue!R$57</f>
        <v>69009.716438403586</v>
      </c>
      <c r="S81" s="78">
        <f>Calc_Revenue!S$57</f>
        <v>68910.346854991731</v>
      </c>
    </row>
    <row r="82" spans="1:19" s="6" customFormat="1" ht="11.25" hidden="1" customHeight="1" outlineLevel="1" x14ac:dyDescent="0.2">
      <c r="A82" s="70">
        <f>IF(SUM($O82:$S82)=0,0,1)</f>
        <v>0</v>
      </c>
      <c r="D82" s="15" t="str">
        <f>D65</f>
        <v>Check</v>
      </c>
      <c r="F82" s="74"/>
      <c r="H82" s="74"/>
      <c r="I82" s="74"/>
      <c r="J82" s="74"/>
      <c r="K82" s="74"/>
      <c r="O82" s="70">
        <f>IF(ROUND(O81-O79,2)=0,0,1)</f>
        <v>0</v>
      </c>
      <c r="P82" s="70">
        <f>IF(ROUND(P81-P79,2)=0,0,1)</f>
        <v>0</v>
      </c>
      <c r="Q82" s="70">
        <f>IF(ROUND(Q81-Q79,2)=0,0,1)</f>
        <v>0</v>
      </c>
      <c r="R82" s="70">
        <f>IF(ROUND(R81-R79,2)=0,0,1)</f>
        <v>0</v>
      </c>
      <c r="S82" s="70">
        <f>IF(ROUND(S81-S79,2)=0,0,1)</f>
        <v>0</v>
      </c>
    </row>
    <row r="83" spans="1:19" s="6" customFormat="1" ht="11.25" customHeight="1" collapsed="1" x14ac:dyDescent="0.2"/>
    <row r="84" spans="1:19" s="13" customFormat="1" ht="14" x14ac:dyDescent="0.2">
      <c r="C84" s="13" t="str">
        <f>Inputs_Prices!C43</f>
        <v>Demand</v>
      </c>
    </row>
    <row r="85" spans="1:19" s="6" customFormat="1" ht="11.25" customHeight="1" x14ac:dyDescent="0.2"/>
    <row r="86" spans="1:19" s="6" customFormat="1" ht="11.25" customHeight="1" x14ac:dyDescent="0.2">
      <c r="D86" s="83" t="str">
        <f>D$10</f>
        <v>Tariff</v>
      </c>
      <c r="F86" s="65" t="str">
        <f>F$10</f>
        <v>Tariff Class</v>
      </c>
      <c r="H86" s="65" t="str">
        <f>Lookup!E$19</f>
        <v>Source</v>
      </c>
      <c r="I86" s="65" t="str">
        <f>Lookup!F$19</f>
        <v>Unit</v>
      </c>
      <c r="J86" s="65" t="str">
        <f>Lookup!G$19</f>
        <v>Basis</v>
      </c>
      <c r="L86" s="7"/>
      <c r="O86" s="65" t="str">
        <f>O$10</f>
        <v>FY20</v>
      </c>
      <c r="P86" s="65" t="str">
        <f>P$10</f>
        <v>FY21</v>
      </c>
      <c r="Q86" s="65" t="str">
        <f>Q$10</f>
        <v>FY22</v>
      </c>
      <c r="R86" s="65" t="str">
        <f>R$10</f>
        <v>FY23</v>
      </c>
      <c r="S86" s="65" t="str">
        <f>S$10</f>
        <v>FY24</v>
      </c>
    </row>
    <row r="87" spans="1:19" s="6" customFormat="1" ht="11.25" customHeight="1" x14ac:dyDescent="0.2">
      <c r="D87" s="3"/>
    </row>
    <row r="88" spans="1:19" s="6" customFormat="1" ht="11.25" customHeight="1" x14ac:dyDescent="0.2">
      <c r="D88" s="15" t="str">
        <f t="shared" ref="D88:D94" si="8">D54</f>
        <v>LV Residential Accumulation</v>
      </c>
      <c r="F88" s="74" t="str">
        <f t="shared" ref="F88:F94" si="9">F54</f>
        <v>LV &lt;750MWh</v>
      </c>
      <c r="H88" s="74" t="str">
        <f t="shared" ref="H88:J94" si="10">H54</f>
        <v>Calculated</v>
      </c>
      <c r="I88" s="74" t="str">
        <f t="shared" si="10"/>
        <v>$000's</v>
      </c>
      <c r="J88" s="74" t="str">
        <f t="shared" si="10"/>
        <v>Nominal</v>
      </c>
      <c r="O88" s="78">
        <f>SUMIF(Calc_Revenue!$D$65:$D$68,$D88,Calc_Revenue!O$65:O$68)</f>
        <v>0</v>
      </c>
      <c r="P88" s="78">
        <f>SUMIF(Calc_Revenue!$D$65:$D$68,$D88,Calc_Revenue!P$65:P$68)</f>
        <v>0</v>
      </c>
      <c r="Q88" s="78">
        <f>SUMIF(Calc_Revenue!$D$65:$D$68,$D88,Calc_Revenue!Q$65:Q$68)</f>
        <v>0</v>
      </c>
      <c r="R88" s="78">
        <f>SUMIF(Calc_Revenue!$D$65:$D$68,$D88,Calc_Revenue!R$65:R$68)</f>
        <v>0</v>
      </c>
      <c r="S88" s="78">
        <f>SUMIF(Calc_Revenue!$D$65:$D$68,$D88,Calc_Revenue!S$65:S$68)</f>
        <v>0</v>
      </c>
    </row>
    <row r="89" spans="1:19" s="6" customFormat="1" ht="11.25" customHeight="1" x14ac:dyDescent="0.2">
      <c r="D89" s="15" t="str">
        <f t="shared" si="8"/>
        <v>LV Non-Residential Accumulation</v>
      </c>
      <c r="F89" s="74" t="str">
        <f t="shared" si="9"/>
        <v>LV &lt;750MWh</v>
      </c>
      <c r="H89" s="74" t="str">
        <f t="shared" si="10"/>
        <v>Calculated</v>
      </c>
      <c r="I89" s="74" t="str">
        <f t="shared" si="10"/>
        <v>$000's</v>
      </c>
      <c r="J89" s="74" t="str">
        <f t="shared" si="10"/>
        <v>Nominal</v>
      </c>
      <c r="O89" s="78">
        <f>SUMIF(Calc_Revenue!$D$65:$D$68,$D89,Calc_Revenue!O$65:O$68)</f>
        <v>0</v>
      </c>
      <c r="P89" s="78">
        <f>SUMIF(Calc_Revenue!$D$65:$D$68,$D89,Calc_Revenue!P$65:P$68)</f>
        <v>0</v>
      </c>
      <c r="Q89" s="78">
        <f>SUMIF(Calc_Revenue!$D$65:$D$68,$D89,Calc_Revenue!Q$65:Q$68)</f>
        <v>0</v>
      </c>
      <c r="R89" s="78">
        <f>SUMIF(Calc_Revenue!$D$65:$D$68,$D89,Calc_Revenue!R$65:R$68)</f>
        <v>0</v>
      </c>
      <c r="S89" s="78">
        <f>SUMIF(Calc_Revenue!$D$65:$D$68,$D89,Calc_Revenue!S$65:S$68)</f>
        <v>0</v>
      </c>
    </row>
    <row r="90" spans="1:19" s="6" customFormat="1" ht="11.25" customHeight="1" x14ac:dyDescent="0.2">
      <c r="D90" s="15" t="str">
        <f t="shared" si="8"/>
        <v>LV Unmetered</v>
      </c>
      <c r="F90" s="74" t="str">
        <f t="shared" si="9"/>
        <v>LV &lt;750MWh</v>
      </c>
      <c r="H90" s="74" t="str">
        <f t="shared" si="10"/>
        <v>Calculated</v>
      </c>
      <c r="I90" s="74" t="str">
        <f t="shared" si="10"/>
        <v>$000's</v>
      </c>
      <c r="J90" s="74" t="str">
        <f t="shared" si="10"/>
        <v>Nominal</v>
      </c>
      <c r="O90" s="78">
        <f>SUMIF(Calc_Revenue!$D$65:$D$68,$D90,Calc_Revenue!O$65:O$68)</f>
        <v>0</v>
      </c>
      <c r="P90" s="78">
        <f>SUMIF(Calc_Revenue!$D$65:$D$68,$D90,Calc_Revenue!P$65:P$68)</f>
        <v>0</v>
      </c>
      <c r="Q90" s="78">
        <f>SUMIF(Calc_Revenue!$D$65:$D$68,$D90,Calc_Revenue!Q$65:Q$68)</f>
        <v>0</v>
      </c>
      <c r="R90" s="78">
        <f>SUMIF(Calc_Revenue!$D$65:$D$68,$D90,Calc_Revenue!R$65:R$68)</f>
        <v>0</v>
      </c>
      <c r="S90" s="78">
        <f>SUMIF(Calc_Revenue!$D$65:$D$68,$D90,Calc_Revenue!S$65:S$68)</f>
        <v>0</v>
      </c>
    </row>
    <row r="91" spans="1:19" s="6" customFormat="1" ht="11.25" customHeight="1" x14ac:dyDescent="0.2">
      <c r="D91" s="15" t="str">
        <f t="shared" si="8"/>
        <v>LV Smart Meter</v>
      </c>
      <c r="F91" s="74" t="str">
        <f t="shared" si="9"/>
        <v>LV &lt;750MWh</v>
      </c>
      <c r="H91" s="74" t="str">
        <f t="shared" si="10"/>
        <v>Calculated</v>
      </c>
      <c r="I91" s="74" t="str">
        <f t="shared" si="10"/>
        <v>$000's</v>
      </c>
      <c r="J91" s="74" t="str">
        <f t="shared" si="10"/>
        <v>Nominal</v>
      </c>
      <c r="O91" s="78">
        <f>SUMIF(Calc_Revenue!$D$65:$D$68,$D91,Calc_Revenue!O$65:O$68)</f>
        <v>24456.042374605542</v>
      </c>
      <c r="P91" s="78">
        <f>SUMIF(Calc_Revenue!$D$65:$D$68,$D91,Calc_Revenue!P$65:P$68)</f>
        <v>21657.494818481104</v>
      </c>
      <c r="Q91" s="78">
        <f>SUMIF(Calc_Revenue!$D$65:$D$68,$D91,Calc_Revenue!Q$65:Q$68)</f>
        <v>23390.66134974064</v>
      </c>
      <c r="R91" s="78">
        <f>SUMIF(Calc_Revenue!$D$65:$D$68,$D91,Calc_Revenue!R$65:R$68)</f>
        <v>25330.060241782696</v>
      </c>
      <c r="S91" s="78">
        <f>SUMIF(Calc_Revenue!$D$65:$D$68,$D91,Calc_Revenue!S$65:S$68)</f>
        <v>27273.194033146105</v>
      </c>
    </row>
    <row r="92" spans="1:19" s="6" customFormat="1" ht="11.25" customHeight="1" x14ac:dyDescent="0.2">
      <c r="D92" s="15" t="str">
        <f t="shared" si="8"/>
        <v>HV Smart meter &lt;750MWh</v>
      </c>
      <c r="F92" s="74" t="str">
        <f t="shared" si="9"/>
        <v>HV</v>
      </c>
      <c r="H92" s="74" t="str">
        <f t="shared" si="10"/>
        <v>Calculated</v>
      </c>
      <c r="I92" s="74" t="str">
        <f t="shared" si="10"/>
        <v>$000's</v>
      </c>
      <c r="J92" s="74" t="str">
        <f t="shared" si="10"/>
        <v>Nominal</v>
      </c>
      <c r="O92" s="78">
        <f>SUMIF(Calc_Revenue!$D$65:$D$68,$D92,Calc_Revenue!O$65:O$68)</f>
        <v>381.98322000000002</v>
      </c>
      <c r="P92" s="78">
        <f>SUMIF(Calc_Revenue!$D$65:$D$68,$D92,Calc_Revenue!P$65:P$68)</f>
        <v>331.46278475702451</v>
      </c>
      <c r="Q92" s="78">
        <f>SUMIF(Calc_Revenue!$D$65:$D$68,$D92,Calc_Revenue!Q$65:Q$68)</f>
        <v>341.00913339949761</v>
      </c>
      <c r="R92" s="78">
        <f>SUMIF(Calc_Revenue!$D$65:$D$68,$D92,Calc_Revenue!R$65:R$68)</f>
        <v>352.01882992039179</v>
      </c>
      <c r="S92" s="78">
        <f>SUMIF(Calc_Revenue!$D$65:$D$68,$D92,Calc_Revenue!S$65:S$68)</f>
        <v>362.92537994923066</v>
      </c>
    </row>
    <row r="93" spans="1:19" s="6" customFormat="1" ht="11.25" customHeight="1" x14ac:dyDescent="0.2">
      <c r="D93" s="15" t="str">
        <f t="shared" si="8"/>
        <v>LV &gt;750MWh</v>
      </c>
      <c r="F93" s="74" t="str">
        <f t="shared" si="9"/>
        <v>LV &gt;750MWh</v>
      </c>
      <c r="H93" s="74" t="str">
        <f t="shared" si="10"/>
        <v>Calculated</v>
      </c>
      <c r="I93" s="74" t="str">
        <f t="shared" si="10"/>
        <v>$000's</v>
      </c>
      <c r="J93" s="74" t="str">
        <f t="shared" si="10"/>
        <v>Nominal</v>
      </c>
      <c r="O93" s="78">
        <f>SUMIF(Calc_Revenue!$D$65:$D$68,$D93,Calc_Revenue!O$65:O$68)</f>
        <v>7093.4662513666563</v>
      </c>
      <c r="P93" s="78">
        <f>SUMIF(Calc_Revenue!$D$65:$D$68,$D93,Calc_Revenue!P$65:P$68)</f>
        <v>7847.0655752608154</v>
      </c>
      <c r="Q93" s="78">
        <f>SUMIF(Calc_Revenue!$D$65:$D$68,$D93,Calc_Revenue!Q$65:Q$68)</f>
        <v>8017.6702406580607</v>
      </c>
      <c r="R93" s="78">
        <f>SUMIF(Calc_Revenue!$D$65:$D$68,$D93,Calc_Revenue!R$65:R$68)</f>
        <v>8249.3675968342704</v>
      </c>
      <c r="S93" s="78">
        <f>SUMIF(Calc_Revenue!$D$65:$D$68,$D93,Calc_Revenue!S$65:S$68)</f>
        <v>8503.1972676327332</v>
      </c>
    </row>
    <row r="94" spans="1:19" s="6" customFormat="1" ht="11.25" customHeight="1" x14ac:dyDescent="0.2">
      <c r="D94" s="15" t="str">
        <f t="shared" si="8"/>
        <v>HV &gt;750MWh</v>
      </c>
      <c r="F94" s="74" t="str">
        <f t="shared" si="9"/>
        <v>HV</v>
      </c>
      <c r="H94" s="74" t="str">
        <f t="shared" si="10"/>
        <v>Calculated</v>
      </c>
      <c r="I94" s="74" t="str">
        <f t="shared" si="10"/>
        <v>$000's</v>
      </c>
      <c r="J94" s="74" t="str">
        <f t="shared" si="10"/>
        <v>Nominal</v>
      </c>
      <c r="O94" s="78">
        <f>SUMIF(Calc_Revenue!$D$65:$D$68,$D94,Calc_Revenue!O$65:O$68)</f>
        <v>6206.2254696000009</v>
      </c>
      <c r="P94" s="78">
        <f>SUMIF(Calc_Revenue!$D$65:$D$68,$D94,Calc_Revenue!P$65:P$68)</f>
        <v>6215.4425657402899</v>
      </c>
      <c r="Q94" s="78">
        <f>SUMIF(Calc_Revenue!$D$65:$D$68,$D94,Calc_Revenue!Q$65:Q$68)</f>
        <v>6350.5737799570998</v>
      </c>
      <c r="R94" s="78">
        <f>SUMIF(Calc_Revenue!$D$65:$D$68,$D94,Calc_Revenue!R$65:R$68)</f>
        <v>6534.0948167236666</v>
      </c>
      <c r="S94" s="78">
        <f>SUMIF(Calc_Revenue!$D$65:$D$68,$D94,Calc_Revenue!S$65:S$68)</f>
        <v>6735.1462448272441</v>
      </c>
    </row>
    <row r="95" spans="1:19" s="6" customFormat="1" ht="11.25" customHeight="1" x14ac:dyDescent="0.2"/>
    <row r="96" spans="1:19" s="6" customFormat="1" ht="11.25" customHeight="1" x14ac:dyDescent="0.2">
      <c r="D96" s="73" t="str">
        <f>"Total - "&amp;C84</f>
        <v>Total - Demand</v>
      </c>
      <c r="F96" s="67" t="s">
        <v>35</v>
      </c>
      <c r="H96" s="67" t="s">
        <v>89</v>
      </c>
      <c r="I96" s="67" t="str">
        <f>Thousands</f>
        <v>$000's</v>
      </c>
      <c r="J96" s="67" t="str">
        <f>Nominal</f>
        <v>Nominal</v>
      </c>
      <c r="O96" s="80">
        <f>SUM(O88:O94)</f>
        <v>38137.717315572198</v>
      </c>
      <c r="P96" s="80">
        <f>SUM(P88:P94)</f>
        <v>36051.465744239234</v>
      </c>
      <c r="Q96" s="80">
        <f>SUM(Q88:Q94)</f>
        <v>38099.914503755295</v>
      </c>
      <c r="R96" s="80">
        <f>SUM(R88:R94)</f>
        <v>40465.541485261019</v>
      </c>
      <c r="S96" s="80">
        <f>SUM(S88:S94)</f>
        <v>42874.462925555308</v>
      </c>
    </row>
    <row r="97" spans="1:19" s="6" customFormat="1" ht="11.25" customHeight="1" x14ac:dyDescent="0.2"/>
    <row r="98" spans="1:19" s="6" customFormat="1" ht="11.25" hidden="1" customHeight="1" outlineLevel="1" x14ac:dyDescent="0.2">
      <c r="D98" s="15" t="str">
        <f>D64</f>
        <v>Check - Target Value</v>
      </c>
      <c r="F98" s="74" t="str">
        <f>F64</f>
        <v>N/A</v>
      </c>
      <c r="H98" s="74" t="str">
        <f>H64</f>
        <v>Calculated</v>
      </c>
      <c r="I98" s="74" t="str">
        <f>I64</f>
        <v>$000's</v>
      </c>
      <c r="J98" s="74" t="str">
        <f>J64</f>
        <v>Nominal</v>
      </c>
      <c r="K98" s="74"/>
      <c r="O98" s="78">
        <f>Calc_Revenue!O$70</f>
        <v>38137.717315572198</v>
      </c>
      <c r="P98" s="78">
        <f>Calc_Revenue!P$70</f>
        <v>36051.465744239234</v>
      </c>
      <c r="Q98" s="78">
        <f>Calc_Revenue!Q$70</f>
        <v>38099.914503755295</v>
      </c>
      <c r="R98" s="78">
        <f>Calc_Revenue!R$70</f>
        <v>40465.541485261019</v>
      </c>
      <c r="S98" s="78">
        <f>Calc_Revenue!S$70</f>
        <v>42874.462925555308</v>
      </c>
    </row>
    <row r="99" spans="1:19" s="6" customFormat="1" ht="11.25" hidden="1" customHeight="1" outlineLevel="1" x14ac:dyDescent="0.2">
      <c r="A99" s="70">
        <f>IF(SUM($O99:$S99)=0,0,1)</f>
        <v>0</v>
      </c>
      <c r="D99" s="15" t="str">
        <f>D65</f>
        <v>Check</v>
      </c>
      <c r="F99" s="74"/>
      <c r="H99" s="74"/>
      <c r="I99" s="74"/>
      <c r="J99" s="74"/>
      <c r="K99" s="74"/>
      <c r="O99" s="70">
        <f>IF(ROUND(O98-O96,2)=0,0,1)</f>
        <v>0</v>
      </c>
      <c r="P99" s="70">
        <f>IF(ROUND(P98-P96,2)=0,0,1)</f>
        <v>0</v>
      </c>
      <c r="Q99" s="70">
        <f>IF(ROUND(Q98-Q96,2)=0,0,1)</f>
        <v>0</v>
      </c>
      <c r="R99" s="70">
        <f>IF(ROUND(R98-R96,2)=0,0,1)</f>
        <v>0</v>
      </c>
      <c r="S99" s="70">
        <f>IF(ROUND(S98-S96,2)=0,0,1)</f>
        <v>0</v>
      </c>
    </row>
    <row r="100" spans="1:19" s="6" customFormat="1" ht="11.25" customHeight="1" collapsed="1" x14ac:dyDescent="0.2"/>
    <row r="101" spans="1:19" s="4" customFormat="1" ht="15.5" x14ac:dyDescent="0.2">
      <c r="B101" s="4" t="s">
        <v>33</v>
      </c>
    </row>
  </sheetData>
  <conditionalFormatting sqref="B2">
    <cfRule type="cellIs" dxfId="28" priority="1" operator="notEqual">
      <formula>"No Errors Found"</formula>
    </cfRule>
  </conditionalFormatting>
  <dataValidations count="5">
    <dataValidation type="list" allowBlank="1" showInputMessage="1" showErrorMessage="1" sqref="F54:F60 F71:F77 F88:F94 F35:F41">
      <formula1>LU_Tariff_Classes</formula1>
    </dataValidation>
    <dataValidation type="list" allowBlank="1" showInputMessage="1" showErrorMessage="1" sqref="J64:J65 J54:J60 J88:J94 J71:J77 J81:J82 J98:J99 J23 J35:J41 J45:J46 J29">
      <formula1>LU_Basis</formula1>
    </dataValidation>
    <dataValidation type="list" allowBlank="1" showInputMessage="1" showErrorMessage="1" sqref="I64:I65 I54:I60 I88:I94 I71:I77 I81:I82 I98:I99 I23 I35:I41 I45:I46 I29">
      <formula1>LU_Units</formula1>
    </dataValidation>
    <dataValidation type="list" allowBlank="1" showInputMessage="1" showErrorMessage="1" sqref="K98:K99 K64:K65 K81:K82 K45:K46 K29">
      <formula1>LU_Timing</formula1>
    </dataValidation>
    <dataValidation type="list" allowBlank="1" showInputMessage="1" showErrorMessage="1" sqref="D54:D60 D71:D77 D88:D94 D35:D41">
      <formula1>LU_Tariff_Type</formula1>
    </dataValidation>
  </dataValidations>
  <hyperlinks>
    <hyperlink ref="B3:E3" location="TOC!A1" display="TOC!A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10"/>
  <sheetViews>
    <sheetView showGridLines="0" workbookViewId="0">
      <pane ySplit="11" topLeftCell="A176" activePane="bottomLeft" state="frozen"/>
      <selection pane="bottomLeft" activeCell="O192" sqref="O192:P194"/>
    </sheetView>
  </sheetViews>
  <sheetFormatPr defaultColWidth="9.33203125" defaultRowHeight="10" outlineLevelRow="1" x14ac:dyDescent="0.2"/>
  <cols>
    <col min="1" max="1" width="3.33203125" style="7" customWidth="1"/>
    <col min="2" max="3" width="2.77734375" style="7" customWidth="1"/>
    <col min="4" max="4" width="44.44140625" style="7" customWidth="1"/>
    <col min="5" max="5" width="5" style="7" customWidth="1"/>
    <col min="6" max="6" width="14.44140625" style="7" bestFit="1" customWidth="1"/>
    <col min="7" max="7" width="2.44140625" style="7" customWidth="1"/>
    <col min="8" max="8" width="12.33203125" style="7" bestFit="1" customWidth="1"/>
    <col min="9" max="9" width="10.77734375" style="7" customWidth="1"/>
    <col min="10" max="10" width="12.77734375" style="7" customWidth="1"/>
    <col min="11" max="12" width="3.44140625" style="7" customWidth="1"/>
    <col min="13" max="19" width="12.77734375" style="7" customWidth="1"/>
    <col min="20" max="20" width="4.33203125" style="7" customWidth="1"/>
    <col min="21" max="24" width="10.77734375" style="7" customWidth="1"/>
    <col min="25" max="16384" width="9.33203125" style="7"/>
  </cols>
  <sheetData>
    <row r="1" spans="1:22" ht="19" x14ac:dyDescent="0.2">
      <c r="A1" s="70">
        <f>IF(SUM($A11:$A210)&gt;0,1,0)</f>
        <v>0</v>
      </c>
      <c r="B1" s="5" t="s">
        <v>265</v>
      </c>
    </row>
    <row r="2" spans="1:22" x14ac:dyDescent="0.2">
      <c r="B2" s="18" t="str">
        <f>Title_Msg</f>
        <v>No Errors Found</v>
      </c>
    </row>
    <row r="3" spans="1:22" x14ac:dyDescent="0.2">
      <c r="B3" s="57" t="str">
        <f>TOC!B1</f>
        <v>Table of Contents</v>
      </c>
      <c r="C3" s="51"/>
      <c r="D3" s="51"/>
      <c r="E3" s="51"/>
    </row>
    <row r="4" spans="1:22" ht="13" x14ac:dyDescent="0.2">
      <c r="B4" s="48" t="str">
        <f>Model_Name</f>
        <v>Pricing Model - Power and Water Corporation</v>
      </c>
    </row>
    <row r="5" spans="1:22" ht="12.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3" collapsed="1" x14ac:dyDescent="0.2">
      <c r="B10" s="10" t="str">
        <f>Lookup!B19</f>
        <v>FY</v>
      </c>
      <c r="D10" s="61" t="s">
        <v>101</v>
      </c>
      <c r="E10" s="61"/>
      <c r="F10" s="61"/>
      <c r="H10" s="61" t="str">
        <f>Lookup!E19</f>
        <v>Source</v>
      </c>
      <c r="I10" s="61" t="str">
        <f>Lookup!F19</f>
        <v>Unit</v>
      </c>
      <c r="J10" s="61" t="str">
        <f>Lookup!G19</f>
        <v>Basis</v>
      </c>
      <c r="K10" s="61"/>
      <c r="L10" s="61"/>
      <c r="M10" s="61" t="str">
        <f>Lookup!M19</f>
        <v>FY18</v>
      </c>
      <c r="N10" s="61" t="str">
        <f>Lookup!N19</f>
        <v>FY19</v>
      </c>
      <c r="O10" s="61" t="str">
        <f>Lookup!O19</f>
        <v>FY20</v>
      </c>
      <c r="P10" s="61" t="str">
        <f>Lookup!P19</f>
        <v>FY21</v>
      </c>
      <c r="Q10" s="61" t="str">
        <f>Lookup!Q19</f>
        <v>FY22</v>
      </c>
      <c r="R10" s="61" t="str">
        <f>Lookup!R19</f>
        <v>FY23</v>
      </c>
      <c r="S10" s="61" t="str">
        <f>Lookup!S19</f>
        <v>FY24</v>
      </c>
      <c r="U10" s="71"/>
      <c r="V10" s="71"/>
    </row>
    <row r="12" spans="1:22" s="4" customFormat="1" ht="15.5" x14ac:dyDescent="0.2">
      <c r="B12" s="4" t="s">
        <v>201</v>
      </c>
    </row>
    <row r="13" spans="1:22" s="6" customFormat="1" ht="11.25" customHeight="1" x14ac:dyDescent="0.2"/>
    <row r="14" spans="1:22" s="6" customFormat="1" ht="11.25" customHeight="1" x14ac:dyDescent="0.2">
      <c r="D14" s="124" t="s">
        <v>331</v>
      </c>
    </row>
    <row r="15" spans="1:22" s="6" customFormat="1" ht="11.25" customHeight="1" x14ac:dyDescent="0.25">
      <c r="D15" s="124" t="s">
        <v>338</v>
      </c>
    </row>
    <row r="16" spans="1:22" s="6" customFormat="1" ht="11.25" customHeight="1" x14ac:dyDescent="0.25">
      <c r="D16" s="124" t="s">
        <v>327</v>
      </c>
    </row>
    <row r="17" spans="2:9" s="6" customFormat="1" ht="11.25" customHeight="1" x14ac:dyDescent="0.25">
      <c r="D17" s="124" t="s">
        <v>328</v>
      </c>
    </row>
    <row r="18" spans="2:9" s="6" customFormat="1" ht="11.25" customHeight="1" x14ac:dyDescent="0.25">
      <c r="D18" s="124" t="s">
        <v>329</v>
      </c>
    </row>
    <row r="19" spans="2:9" s="6" customFormat="1" ht="11.25" customHeight="1" x14ac:dyDescent="0.2"/>
    <row r="20" spans="2:9" s="6" customFormat="1" ht="11.25" customHeight="1" x14ac:dyDescent="0.2">
      <c r="D20" s="124" t="s">
        <v>470</v>
      </c>
      <c r="H20" s="125" t="s">
        <v>478</v>
      </c>
      <c r="I20" s="126" t="str">
        <f>"Note: years prior to "&amp;H20&amp;" are ignored from the checks"</f>
        <v>Note: years prior to FY21 are ignored from the checks</v>
      </c>
    </row>
    <row r="21" spans="2:9" s="6" customFormat="1" ht="11.25" customHeight="1" x14ac:dyDescent="0.2"/>
    <row r="22" spans="2:9" s="6" customFormat="1" ht="11.25" customHeight="1" x14ac:dyDescent="0.25">
      <c r="D22" s="160" t="s">
        <v>210</v>
      </c>
    </row>
    <row r="23" spans="2:9" s="6" customFormat="1" ht="11.25" customHeight="1" x14ac:dyDescent="0.2">
      <c r="D23" s="159" t="s">
        <v>337</v>
      </c>
      <c r="H23" s="161" t="str">
        <f>INDEX($O$63:$S$63,MATCH($H$20,$O$10:$S$10,0))</f>
        <v>Pass</v>
      </c>
    </row>
    <row r="24" spans="2:9" s="6" customFormat="1" ht="11.25" customHeight="1" x14ac:dyDescent="0.2">
      <c r="D24" s="159" t="s">
        <v>324</v>
      </c>
      <c r="H24" s="161" t="str">
        <f>INDEX($O$107:$S$107,MATCH($H$20,$O$10:$S$10,0))</f>
        <v>Pass</v>
      </c>
    </row>
    <row r="25" spans="2:9" s="6" customFormat="1" ht="11.25" customHeight="1" x14ac:dyDescent="0.2">
      <c r="D25" s="159" t="s">
        <v>325</v>
      </c>
      <c r="H25" s="161" t="str">
        <f>IF(H20=O10,"NA",INDEX($O$158:$S$158,MATCH($H$20,$O$10:$S$10,0)))</f>
        <v>Pass</v>
      </c>
      <c r="I25" s="126" t="str">
        <f>IF(H25="NA","Note: The side constraint only applies from year 2 of the regulatory period","")</f>
        <v/>
      </c>
    </row>
    <row r="26" spans="2:9" s="6" customFormat="1" ht="11.25" customHeight="1" x14ac:dyDescent="0.2">
      <c r="D26" s="159" t="s">
        <v>326</v>
      </c>
      <c r="H26" s="161" t="str">
        <f>INDEX($O$207:$S$207,MATCH($H$20,$O$10:$S$10,0))</f>
        <v>Pass</v>
      </c>
    </row>
    <row r="27" spans="2:9" s="6" customFormat="1" ht="11.25" customHeight="1" x14ac:dyDescent="0.2"/>
    <row r="28" spans="2:9" s="6" customFormat="1" ht="11.25" customHeight="1" x14ac:dyDescent="0.2"/>
    <row r="29" spans="2:9" s="4" customFormat="1" ht="15.5" x14ac:dyDescent="0.2">
      <c r="B29" s="4" t="s">
        <v>337</v>
      </c>
    </row>
    <row r="30" spans="2:9" s="6" customFormat="1" ht="11.25" customHeight="1" x14ac:dyDescent="0.2"/>
    <row r="31" spans="2:9" s="6" customFormat="1" ht="11.25" customHeight="1" x14ac:dyDescent="0.2"/>
    <row r="32" spans="2:9" s="13" customFormat="1" ht="14" x14ac:dyDescent="0.2">
      <c r="C32" s="13" t="s">
        <v>323</v>
      </c>
    </row>
    <row r="33" spans="1:20" s="6" customFormat="1" ht="11.25" customHeight="1" x14ac:dyDescent="0.2"/>
    <row r="34" spans="1:20" s="6" customFormat="1" ht="11.25" customHeight="1" x14ac:dyDescent="0.2">
      <c r="D34" s="83" t="s">
        <v>148</v>
      </c>
      <c r="E34" s="7"/>
      <c r="F34" s="7"/>
      <c r="H34" s="65" t="str">
        <f>Lookup!E$19</f>
        <v>Source</v>
      </c>
      <c r="I34" s="65" t="str">
        <f>Lookup!F$19</f>
        <v>Unit</v>
      </c>
      <c r="J34" s="65" t="str">
        <f>Lookup!G$19</f>
        <v>Basis</v>
      </c>
      <c r="K34" s="7"/>
      <c r="L34" s="7"/>
      <c r="O34" s="65" t="str">
        <f>O$10</f>
        <v>FY20</v>
      </c>
      <c r="P34" s="65" t="str">
        <f>P$10</f>
        <v>FY21</v>
      </c>
      <c r="Q34" s="65" t="str">
        <f>Q$10</f>
        <v>FY22</v>
      </c>
      <c r="R34" s="65" t="str">
        <f>R$10</f>
        <v>FY23</v>
      </c>
      <c r="S34" s="65" t="str">
        <f>S$10</f>
        <v>FY24</v>
      </c>
    </row>
    <row r="35" spans="1:20" x14ac:dyDescent="0.2">
      <c r="A35" s="6"/>
      <c r="M35" s="6"/>
      <c r="N35" s="6"/>
    </row>
    <row r="36" spans="1:20" ht="12.5" x14ac:dyDescent="0.2">
      <c r="A36" s="6"/>
      <c r="D36" s="12" t="s">
        <v>278</v>
      </c>
      <c r="H36" s="95" t="s">
        <v>89</v>
      </c>
      <c r="I36" s="99" t="s">
        <v>72</v>
      </c>
      <c r="J36" s="99" t="s">
        <v>69</v>
      </c>
      <c r="M36" s="6"/>
      <c r="N36" s="6"/>
      <c r="O36" s="157">
        <f>Inputs_Other!O33</f>
        <v>1.7841213202497874E-2</v>
      </c>
      <c r="P36" s="157">
        <f>Inputs_Other!P33</f>
        <v>1.8404907975460238E-2</v>
      </c>
      <c r="Q36" s="157">
        <f>Inputs_Other!Q33</f>
        <v>2.4248746575396697E-2</v>
      </c>
      <c r="R36" s="157">
        <f>Inputs_Other!R33</f>
        <v>2.4248746575396697E-2</v>
      </c>
      <c r="S36" s="157">
        <f>Inputs_Other!S33</f>
        <v>2.4248746575396697E-2</v>
      </c>
      <c r="T36" s="126" t="s">
        <v>471</v>
      </c>
    </row>
    <row r="37" spans="1:20" ht="12.5" x14ac:dyDescent="0.2">
      <c r="A37" s="6"/>
      <c r="D37" s="12" t="s">
        <v>282</v>
      </c>
      <c r="H37" s="95" t="s">
        <v>89</v>
      </c>
      <c r="I37" s="99" t="s">
        <v>72</v>
      </c>
      <c r="J37" s="99" t="s">
        <v>35</v>
      </c>
      <c r="M37" s="6"/>
      <c r="N37" s="6"/>
      <c r="O37" s="157">
        <f>Inputs_Other!O53</f>
        <v>0.23049416540600617</v>
      </c>
      <c r="P37" s="157">
        <f>Inputs_Other!P53</f>
        <v>-8.7803842624104653E-3</v>
      </c>
      <c r="Q37" s="157">
        <f>Inputs_Other!Q53</f>
        <v>-0.01</v>
      </c>
      <c r="R37" s="157">
        <f>Inputs_Other!R53</f>
        <v>-0.01</v>
      </c>
      <c r="S37" s="157">
        <f>Inputs_Other!S53</f>
        <v>-0.01</v>
      </c>
      <c r="T37" s="126" t="s">
        <v>294</v>
      </c>
    </row>
    <row r="38" spans="1:20" ht="12.5" x14ac:dyDescent="0.2">
      <c r="A38" s="6"/>
      <c r="D38" s="12" t="s">
        <v>289</v>
      </c>
      <c r="H38" s="95"/>
      <c r="I38" s="99"/>
      <c r="J38" s="99"/>
      <c r="M38" s="6"/>
      <c r="N38" s="6"/>
      <c r="O38" s="147"/>
      <c r="P38" s="147"/>
      <c r="Q38" s="147"/>
      <c r="R38" s="147"/>
      <c r="S38" s="147"/>
    </row>
    <row r="39" spans="1:20" ht="12.5" x14ac:dyDescent="0.2">
      <c r="A39" s="6"/>
      <c r="D39" s="24" t="s">
        <v>290</v>
      </c>
      <c r="H39" s="95" t="s">
        <v>89</v>
      </c>
      <c r="I39" s="99" t="s">
        <v>72</v>
      </c>
      <c r="J39" s="99" t="s">
        <v>434</v>
      </c>
      <c r="M39" s="6"/>
      <c r="N39" s="6"/>
      <c r="O39" s="157">
        <f>Inputs_Other!O56</f>
        <v>2.3943609272164726E-2</v>
      </c>
      <c r="P39" s="157">
        <f>Inputs_Other!P56</f>
        <v>2.3943609272164726E-2</v>
      </c>
      <c r="Q39" s="157">
        <f>Inputs_Other!Q56</f>
        <v>2.3943609272164726E-2</v>
      </c>
      <c r="R39" s="157">
        <f>Inputs_Other!R56</f>
        <v>2.3943609272164726E-2</v>
      </c>
      <c r="S39" s="157">
        <f>Inputs_Other!S56</f>
        <v>2.3943609272164726E-2</v>
      </c>
      <c r="T39" s="126" t="s">
        <v>295</v>
      </c>
    </row>
    <row r="40" spans="1:20" ht="12.5" x14ac:dyDescent="0.2">
      <c r="A40" s="6"/>
      <c r="D40" s="24" t="s">
        <v>291</v>
      </c>
      <c r="H40" s="95" t="s">
        <v>89</v>
      </c>
      <c r="I40" s="99" t="s">
        <v>72</v>
      </c>
      <c r="J40" s="99" t="s">
        <v>69</v>
      </c>
      <c r="M40" s="6"/>
      <c r="N40" s="6"/>
      <c r="O40" s="157">
        <f>(1+O39)*(1+O36)-1</f>
        <v>4.2212005512524575E-2</v>
      </c>
      <c r="P40" s="157">
        <f>(1+P39)*(1+P36)-1</f>
        <v>4.2789197172879545E-2</v>
      </c>
      <c r="Q40" s="157">
        <f>(1+Q39)*(1+Q36)-1</f>
        <v>4.8772958360902452E-2</v>
      </c>
      <c r="R40" s="157">
        <f>(1+R39)*(1+R36)-1</f>
        <v>4.8772958360902452E-2</v>
      </c>
      <c r="S40" s="157">
        <f>(1+S39)*(1+S36)-1</f>
        <v>4.8772958360902452E-2</v>
      </c>
      <c r="T40" s="126" t="s">
        <v>296</v>
      </c>
    </row>
    <row r="41" spans="1:20" x14ac:dyDescent="0.2">
      <c r="A41" s="6"/>
      <c r="M41" s="6"/>
      <c r="N41" s="6"/>
    </row>
    <row r="42" spans="1:20" x14ac:dyDescent="0.2">
      <c r="A42" s="6"/>
      <c r="M42" s="6"/>
      <c r="N42" s="6"/>
    </row>
    <row r="43" spans="1:20" s="13" customFormat="1" ht="14" x14ac:dyDescent="0.2">
      <c r="C43" s="13" t="s">
        <v>333</v>
      </c>
    </row>
    <row r="44" spans="1:20" s="6" customFormat="1" ht="11.25" customHeight="1" x14ac:dyDescent="0.2"/>
    <row r="45" spans="1:20" s="6" customFormat="1" ht="11.25" customHeight="1" x14ac:dyDescent="0.2">
      <c r="D45" s="83" t="s">
        <v>334</v>
      </c>
      <c r="E45" s="7"/>
      <c r="F45" s="7"/>
      <c r="H45" s="65" t="str">
        <f>Lookup!E$19</f>
        <v>Source</v>
      </c>
      <c r="I45" s="65" t="str">
        <f>Lookup!F$19</f>
        <v>Unit</v>
      </c>
      <c r="J45" s="65" t="str">
        <f>Lookup!G$19</f>
        <v>Basis</v>
      </c>
      <c r="K45" s="7"/>
      <c r="L45" s="7"/>
      <c r="O45" s="65" t="str">
        <f>O$10</f>
        <v>FY20</v>
      </c>
      <c r="P45" s="65" t="str">
        <f>P$10</f>
        <v>FY21</v>
      </c>
      <c r="Q45" s="65" t="str">
        <f>Q$10</f>
        <v>FY22</v>
      </c>
      <c r="R45" s="65" t="str">
        <f>R$10</f>
        <v>FY23</v>
      </c>
      <c r="S45" s="65" t="str">
        <f>S$10</f>
        <v>FY24</v>
      </c>
    </row>
    <row r="46" spans="1:20" x14ac:dyDescent="0.2">
      <c r="A46" s="6"/>
      <c r="M46" s="6"/>
      <c r="N46" s="6"/>
    </row>
    <row r="47" spans="1:20" ht="12.5" x14ac:dyDescent="0.2">
      <c r="A47" s="6"/>
      <c r="D47" s="12" t="s">
        <v>183</v>
      </c>
      <c r="H47" s="95" t="s">
        <v>89</v>
      </c>
      <c r="I47" s="99" t="s">
        <v>76</v>
      </c>
      <c r="J47" s="99" t="s">
        <v>69</v>
      </c>
      <c r="M47" s="6"/>
      <c r="N47" s="6"/>
      <c r="O47" s="113">
        <f>Inputs_Other!O44</f>
        <v>141736.93093372628</v>
      </c>
      <c r="P47" s="78">
        <f>O47*(1+P36)*(1-P37)</f>
        <v>145612.99581686416</v>
      </c>
      <c r="Q47" s="78">
        <f>P47*(1+Q36)*(1-Q37)</f>
        <v>150635.36773501671</v>
      </c>
      <c r="R47" s="78">
        <f>Q47*(1+R36)*(1-R37)</f>
        <v>155830.96745843996</v>
      </c>
      <c r="S47" s="78">
        <f>R47*(1+S36)*(1-S37)</f>
        <v>161205.76982790793</v>
      </c>
    </row>
    <row r="48" spans="1:20" ht="12.5" x14ac:dyDescent="0.2">
      <c r="A48" s="6"/>
      <c r="D48" s="12" t="s">
        <v>184</v>
      </c>
      <c r="H48" s="95" t="s">
        <v>89</v>
      </c>
      <c r="I48" s="99" t="s">
        <v>76</v>
      </c>
      <c r="J48" s="99" t="s">
        <v>69</v>
      </c>
      <c r="M48" s="6"/>
      <c r="N48" s="6"/>
      <c r="O48" s="78">
        <f>Inputs_Other!O73</f>
        <v>0</v>
      </c>
      <c r="P48" s="78">
        <f>Inputs_Other!P73</f>
        <v>0</v>
      </c>
      <c r="Q48" s="78">
        <f>Inputs_Other!Q73</f>
        <v>0</v>
      </c>
      <c r="R48" s="78">
        <f>Inputs_Other!R73</f>
        <v>0</v>
      </c>
      <c r="S48" s="78">
        <f>Inputs_Other!S73</f>
        <v>0</v>
      </c>
    </row>
    <row r="49" spans="1:19" ht="12.5" x14ac:dyDescent="0.2">
      <c r="A49" s="6"/>
      <c r="D49" s="12" t="s">
        <v>185</v>
      </c>
      <c r="H49" s="95" t="s">
        <v>89</v>
      </c>
      <c r="I49" s="99" t="s">
        <v>76</v>
      </c>
      <c r="J49" s="99" t="s">
        <v>69</v>
      </c>
      <c r="M49" s="6"/>
      <c r="N49" s="6"/>
      <c r="O49" s="78">
        <f>-O95*(1+O40)^0.5</f>
        <v>16377.807022006778</v>
      </c>
      <c r="P49" s="78">
        <f>-P95*(1+P40)^0.5</f>
        <v>316.65708243404157</v>
      </c>
      <c r="Q49" s="78">
        <f>-Q95*(1+Q40)^0.5</f>
        <v>0.27241937555714496</v>
      </c>
      <c r="R49" s="78">
        <f>-R95*(1+R40)^0.5</f>
        <v>0.2642902500298423</v>
      </c>
      <c r="S49" s="78">
        <f>-S95*(1+S40)^0.5</f>
        <v>0.45002203737337509</v>
      </c>
    </row>
    <row r="50" spans="1:19" ht="12.5" x14ac:dyDescent="0.2">
      <c r="A50" s="6"/>
      <c r="D50" s="12" t="s">
        <v>186</v>
      </c>
      <c r="H50" s="95" t="s">
        <v>89</v>
      </c>
      <c r="I50" s="99" t="s">
        <v>76</v>
      </c>
      <c r="J50" s="99" t="s">
        <v>69</v>
      </c>
      <c r="M50" s="6"/>
      <c r="N50" s="6"/>
      <c r="O50" s="78">
        <f>Inputs_Other!O74</f>
        <v>0</v>
      </c>
      <c r="P50" s="78">
        <f>Inputs_Other!P74</f>
        <v>0</v>
      </c>
      <c r="Q50" s="78">
        <f>Inputs_Other!Q74</f>
        <v>0</v>
      </c>
      <c r="R50" s="78">
        <f>Inputs_Other!R74</f>
        <v>0</v>
      </c>
      <c r="S50" s="78">
        <f>Inputs_Other!S74</f>
        <v>0</v>
      </c>
    </row>
    <row r="51" spans="1:19" x14ac:dyDescent="0.2">
      <c r="A51" s="6"/>
      <c r="M51" s="6"/>
      <c r="N51" s="6"/>
    </row>
    <row r="52" spans="1:19" s="6" customFormat="1" ht="11.25" customHeight="1" x14ac:dyDescent="0.2">
      <c r="D52" s="73" t="s">
        <v>335</v>
      </c>
      <c r="E52" s="7"/>
      <c r="F52" s="7"/>
      <c r="H52" s="67" t="s">
        <v>89</v>
      </c>
      <c r="I52" s="67" t="str">
        <f>Output_Revenue!I$23</f>
        <v>$000's</v>
      </c>
      <c r="J52" s="67" t="str">
        <f>Output_Revenue!J$23</f>
        <v>Nominal</v>
      </c>
      <c r="K52" s="7"/>
      <c r="O52" s="80">
        <f>SUM(O47:O50)</f>
        <v>158114.73795573306</v>
      </c>
      <c r="P52" s="80">
        <f>SUM(P47:P50)</f>
        <v>145929.65289929821</v>
      </c>
      <c r="Q52" s="80">
        <f>SUM(Q47:Q50)</f>
        <v>150635.64015439228</v>
      </c>
      <c r="R52" s="80">
        <f>SUM(R47:R50)</f>
        <v>155831.23174868998</v>
      </c>
      <c r="S52" s="80">
        <f>SUM(S47:S50)</f>
        <v>161206.21984994531</v>
      </c>
    </row>
    <row r="53" spans="1:19" s="6" customFormat="1" ht="11.25" customHeight="1" x14ac:dyDescent="0.2"/>
    <row r="54" spans="1:19" s="6" customFormat="1" ht="11.25" customHeight="1" x14ac:dyDescent="0.2"/>
    <row r="55" spans="1:19" s="6" customFormat="1" ht="11.25" customHeight="1" x14ac:dyDescent="0.2">
      <c r="D55" s="12" t="s">
        <v>218</v>
      </c>
      <c r="H55" s="95" t="s">
        <v>89</v>
      </c>
      <c r="I55" s="99" t="s">
        <v>76</v>
      </c>
      <c r="J55" s="99" t="s">
        <v>69</v>
      </c>
      <c r="O55" s="78">
        <f>Output_Revenue!O27</f>
        <v>157810.99031840824</v>
      </c>
      <c r="P55" s="78">
        <f>Output_Revenue!P27</f>
        <v>145929.39240453864</v>
      </c>
      <c r="Q55" s="78">
        <f>Output_Revenue!Q27</f>
        <v>150635.38815490284</v>
      </c>
      <c r="R55" s="78">
        <f>Output_Revenue!R27</f>
        <v>155830.8026548296</v>
      </c>
      <c r="S55" s="78">
        <f>Output_Revenue!S27</f>
        <v>161205.80894746474</v>
      </c>
    </row>
    <row r="56" spans="1:19" s="6" customFormat="1" ht="11.25" customHeight="1" x14ac:dyDescent="0.2"/>
    <row r="57" spans="1:19" s="6" customFormat="1" ht="11.25" hidden="1" customHeight="1" outlineLevel="1" x14ac:dyDescent="0.2">
      <c r="A57" s="70">
        <f>IF(SUM($M57:$S57)=0,0,1)</f>
        <v>0</v>
      </c>
      <c r="D57" s="96" t="s">
        <v>92</v>
      </c>
      <c r="E57" s="97"/>
      <c r="F57" s="95"/>
      <c r="G57" s="97"/>
      <c r="H57" s="95"/>
      <c r="I57" s="99"/>
      <c r="J57" s="99"/>
      <c r="K57" s="93"/>
      <c r="O57" s="70">
        <f>IF(ISERROR(O52)=0,1,0)</f>
        <v>0</v>
      </c>
      <c r="P57" s="70">
        <f>IF(ISERROR(P52)=0,1,0)</f>
        <v>0</v>
      </c>
      <c r="Q57" s="70">
        <f>IF(ISERROR(Q52)=0,1,0)</f>
        <v>0</v>
      </c>
      <c r="R57" s="70">
        <f>IF(ISERROR(R52)=0,1,0)</f>
        <v>0</v>
      </c>
      <c r="S57" s="70">
        <f>IF(ISERROR(S52)=0,1,0)</f>
        <v>0</v>
      </c>
    </row>
    <row r="58" spans="1:19" s="6" customFormat="1" ht="11.25" customHeight="1" collapsed="1" x14ac:dyDescent="0.2"/>
    <row r="59" spans="1:19" s="13" customFormat="1" ht="14" x14ac:dyDescent="0.2">
      <c r="C59" s="13" t="s">
        <v>194</v>
      </c>
    </row>
    <row r="60" spans="1:19" s="6" customFormat="1" ht="11.25" customHeight="1" x14ac:dyDescent="0.2"/>
    <row r="61" spans="1:19" s="6" customFormat="1" ht="11.25" customHeight="1" x14ac:dyDescent="0.2">
      <c r="D61" s="83" t="s">
        <v>92</v>
      </c>
      <c r="M61" s="7"/>
      <c r="O61" s="65" t="str">
        <f>O$10</f>
        <v>FY20</v>
      </c>
      <c r="P61" s="65" t="str">
        <f>P$10</f>
        <v>FY21</v>
      </c>
      <c r="Q61" s="65" t="str">
        <f>Q$10</f>
        <v>FY22</v>
      </c>
      <c r="R61" s="65" t="str">
        <f>R$10</f>
        <v>FY23</v>
      </c>
      <c r="S61" s="65" t="str">
        <f>S$10</f>
        <v>FY24</v>
      </c>
    </row>
    <row r="62" spans="1:19" s="6" customFormat="1" ht="11.25" customHeight="1" x14ac:dyDescent="0.2">
      <c r="D62" s="3"/>
    </row>
    <row r="63" spans="1:19" s="6" customFormat="1" ht="11.25" customHeight="1" x14ac:dyDescent="0.2">
      <c r="A63" s="70">
        <f>IF(COUNTIF($M63:$S63,"Fail")=0,0,1)</f>
        <v>0</v>
      </c>
      <c r="D63" s="12" t="s">
        <v>336</v>
      </c>
      <c r="O63" s="95" t="str">
        <f>IF(O$105&gt;=$H$20,IF(O52&gt;=O55,"Pass","Fail"),"")</f>
        <v/>
      </c>
      <c r="P63" s="95" t="str">
        <f>IF(P$105&gt;=$H$20,IF(P52&gt;=P55,"Pass","Fail"),"")</f>
        <v>Pass</v>
      </c>
      <c r="Q63" s="95" t="str">
        <f>IF(Q$105&gt;=$H$20,IF(Q52&gt;=Q55,"Pass","Fail"),"")</f>
        <v>Pass</v>
      </c>
      <c r="R63" s="95" t="str">
        <f>IF(R$105&gt;=$H$20,IF(R52&gt;=R55,"Pass","Fail"),"")</f>
        <v>Pass</v>
      </c>
      <c r="S63" s="95" t="str">
        <f>IF(S$105&gt;=$H$20,IF(S52&gt;=S55,"Pass","Fail"),"")</f>
        <v>Pass</v>
      </c>
    </row>
    <row r="64" spans="1:19" s="6" customFormat="1" ht="11.25" customHeight="1" x14ac:dyDescent="0.2"/>
    <row r="65" spans="2:20" s="6" customFormat="1" ht="11.25" customHeight="1" x14ac:dyDescent="0.2"/>
    <row r="66" spans="2:20" s="4" customFormat="1" ht="15.5" x14ac:dyDescent="0.2">
      <c r="B66" s="4" t="s">
        <v>324</v>
      </c>
    </row>
    <row r="67" spans="2:20" s="6" customFormat="1" ht="11.25" customHeight="1" x14ac:dyDescent="0.2"/>
    <row r="68" spans="2:20" s="6" customFormat="1" ht="11.25" customHeight="1" x14ac:dyDescent="0.2">
      <c r="D68" s="124" t="s">
        <v>202</v>
      </c>
    </row>
    <row r="69" spans="2:20" s="6" customFormat="1" ht="11.25" customHeight="1" x14ac:dyDescent="0.2">
      <c r="D69" s="124" t="s">
        <v>206</v>
      </c>
    </row>
    <row r="70" spans="2:20" s="6" customFormat="1" ht="11.25" customHeight="1" x14ac:dyDescent="0.2"/>
    <row r="71" spans="2:20" s="6" customFormat="1" ht="11.25" customHeight="1" x14ac:dyDescent="0.2"/>
    <row r="72" spans="2:20" s="13" customFormat="1" ht="14" x14ac:dyDescent="0.2">
      <c r="C72" s="13" t="s">
        <v>300</v>
      </c>
    </row>
    <row r="73" spans="2:20" s="6" customFormat="1" ht="11.25" customHeight="1" x14ac:dyDescent="0.2"/>
    <row r="74" spans="2:20" s="6" customFormat="1" ht="11.25" customHeight="1" x14ac:dyDescent="0.2">
      <c r="D74" s="83" t="s">
        <v>148</v>
      </c>
      <c r="E74" s="7"/>
      <c r="F74" s="7"/>
      <c r="H74" s="65" t="str">
        <f>Lookup!E$19</f>
        <v>Source</v>
      </c>
      <c r="I74" s="65" t="str">
        <f>Lookup!F$19</f>
        <v>Unit</v>
      </c>
      <c r="J74" s="65" t="str">
        <f>Lookup!G$19</f>
        <v>Basis</v>
      </c>
      <c r="K74" s="7"/>
      <c r="L74" s="7"/>
      <c r="M74" s="65" t="str">
        <f t="shared" ref="M74:S74" si="0">M$10</f>
        <v>FY18</v>
      </c>
      <c r="N74" s="65" t="str">
        <f t="shared" si="0"/>
        <v>FY19</v>
      </c>
      <c r="O74" s="65" t="str">
        <f t="shared" si="0"/>
        <v>FY20</v>
      </c>
      <c r="P74" s="65" t="str">
        <f t="shared" si="0"/>
        <v>FY21</v>
      </c>
      <c r="Q74" s="65" t="str">
        <f t="shared" si="0"/>
        <v>FY22</v>
      </c>
      <c r="R74" s="65" t="str">
        <f t="shared" si="0"/>
        <v>FY23</v>
      </c>
      <c r="S74" s="65" t="str">
        <f t="shared" si="0"/>
        <v>FY24</v>
      </c>
    </row>
    <row r="76" spans="2:20" ht="12.5" x14ac:dyDescent="0.2">
      <c r="D76" s="12" t="s">
        <v>302</v>
      </c>
      <c r="H76" s="95" t="s">
        <v>89</v>
      </c>
      <c r="I76" s="99" t="s">
        <v>76</v>
      </c>
      <c r="J76" s="99" t="s">
        <v>69</v>
      </c>
      <c r="M76" s="78">
        <f>Inputs_Other!M83</f>
        <v>164662.71151999998</v>
      </c>
      <c r="N76" s="113">
        <f>Inputs_Other!N83</f>
        <v>170806.00099999999</v>
      </c>
      <c r="O76" s="114">
        <f>IF(Inputs_Other!O82=No_Input,Output_Revenue!O27,Inputs_Other!O83)</f>
        <v>157810.99031840824</v>
      </c>
      <c r="P76" s="78">
        <f>IF(Inputs_Other!P82=No_Input,Output_Revenue!P27,Inputs_Other!P83)</f>
        <v>145929.39240453864</v>
      </c>
      <c r="Q76" s="78">
        <f>IF(Inputs_Other!Q82=No_Input,Output_Revenue!Q27,Inputs_Other!Q83)</f>
        <v>150635.38815490284</v>
      </c>
      <c r="R76" s="78">
        <f>IF(Inputs_Other!R82=No_Input,Output_Revenue!R27,Inputs_Other!R83)</f>
        <v>155830.8026548296</v>
      </c>
      <c r="S76" s="78">
        <f>IF(Inputs_Other!S82=No_Input,Output_Revenue!S27,Inputs_Other!S83)</f>
        <v>161205.80894746474</v>
      </c>
      <c r="T76" s="126" t="s">
        <v>485</v>
      </c>
    </row>
    <row r="77" spans="2:20" ht="12.5" x14ac:dyDescent="0.2">
      <c r="D77" s="12"/>
      <c r="H77" s="95"/>
      <c r="I77" s="99"/>
      <c r="J77" s="99"/>
      <c r="M77" s="78"/>
      <c r="N77" s="78"/>
      <c r="O77" s="78"/>
      <c r="P77" s="78"/>
      <c r="Q77" s="78"/>
      <c r="R77" s="78"/>
      <c r="S77" s="78"/>
    </row>
    <row r="78" spans="2:20" ht="12.5" x14ac:dyDescent="0.2">
      <c r="D78" s="24" t="s">
        <v>183</v>
      </c>
      <c r="H78" s="102" t="str">
        <f>H76</f>
        <v>Calculated</v>
      </c>
      <c r="I78" s="102" t="str">
        <f>I76</f>
        <v>$000's</v>
      </c>
      <c r="J78" s="102" t="str">
        <f>J76</f>
        <v>Nominal</v>
      </c>
      <c r="M78" s="78">
        <f>Inputs_Other!M84</f>
        <v>211401.87526915231</v>
      </c>
      <c r="N78" s="113">
        <f>Inputs_Other!N84</f>
        <v>211130.85806505725</v>
      </c>
      <c r="O78" s="114">
        <f>O47</f>
        <v>141736.93093372628</v>
      </c>
      <c r="P78" s="78">
        <f>P47</f>
        <v>145612.99581686416</v>
      </c>
      <c r="Q78" s="78">
        <f>Q47</f>
        <v>150635.36773501671</v>
      </c>
      <c r="R78" s="78">
        <f>R47</f>
        <v>155830.96745843996</v>
      </c>
      <c r="S78" s="78">
        <f>S47</f>
        <v>161205.76982790793</v>
      </c>
    </row>
    <row r="79" spans="2:20" ht="12.5" x14ac:dyDescent="0.2">
      <c r="D79" s="24" t="s">
        <v>184</v>
      </c>
      <c r="H79" s="102" t="str">
        <f t="shared" ref="H79:J81" si="1">H78</f>
        <v>Calculated</v>
      </c>
      <c r="I79" s="102" t="str">
        <f t="shared" si="1"/>
        <v>$000's</v>
      </c>
      <c r="J79" s="102" t="str">
        <f t="shared" si="1"/>
        <v>Nominal</v>
      </c>
      <c r="M79" s="78">
        <f>Inputs_Other!M73</f>
        <v>0</v>
      </c>
      <c r="N79" s="78">
        <f>Inputs_Other!N73</f>
        <v>0</v>
      </c>
      <c r="O79" s="78">
        <f>Inputs_Other!O73</f>
        <v>0</v>
      </c>
      <c r="P79" s="78">
        <f>Inputs_Other!P73</f>
        <v>0</v>
      </c>
      <c r="Q79" s="78">
        <f>Inputs_Other!Q73</f>
        <v>0</v>
      </c>
      <c r="R79" s="78">
        <f>Inputs_Other!R73</f>
        <v>0</v>
      </c>
      <c r="S79" s="78">
        <f>Inputs_Other!S73</f>
        <v>0</v>
      </c>
    </row>
    <row r="80" spans="2:20" ht="12.5" x14ac:dyDescent="0.2">
      <c r="D80" s="24" t="s">
        <v>185</v>
      </c>
      <c r="H80" s="102" t="str">
        <f t="shared" si="1"/>
        <v>Calculated</v>
      </c>
      <c r="I80" s="102" t="str">
        <f t="shared" si="1"/>
        <v>$000's</v>
      </c>
      <c r="J80" s="102" t="str">
        <f t="shared" si="1"/>
        <v>Nominal</v>
      </c>
      <c r="M80" s="112"/>
      <c r="N80" s="112"/>
      <c r="O80" s="112"/>
      <c r="P80" s="112"/>
      <c r="Q80" s="112"/>
      <c r="R80" s="112"/>
      <c r="S80" s="112"/>
      <c r="T80" s="126" t="s">
        <v>299</v>
      </c>
    </row>
    <row r="81" spans="3:19" ht="12.5" x14ac:dyDescent="0.2">
      <c r="D81" s="24" t="s">
        <v>186</v>
      </c>
      <c r="H81" s="102" t="str">
        <f t="shared" si="1"/>
        <v>Calculated</v>
      </c>
      <c r="I81" s="102" t="str">
        <f t="shared" si="1"/>
        <v>$000's</v>
      </c>
      <c r="J81" s="102" t="str">
        <f t="shared" si="1"/>
        <v>Nominal</v>
      </c>
      <c r="M81" s="78">
        <f>Inputs_Other!M74</f>
        <v>0</v>
      </c>
      <c r="N81" s="78">
        <f>Inputs_Other!N74</f>
        <v>0</v>
      </c>
      <c r="O81" s="78">
        <f>Inputs_Other!O74</f>
        <v>0</v>
      </c>
      <c r="P81" s="78">
        <f>Inputs_Other!P74</f>
        <v>0</v>
      </c>
      <c r="Q81" s="78">
        <f>Inputs_Other!Q74</f>
        <v>0</v>
      </c>
      <c r="R81" s="78">
        <f>Inputs_Other!R74</f>
        <v>0</v>
      </c>
      <c r="S81" s="78">
        <f>Inputs_Other!S74</f>
        <v>0</v>
      </c>
    </row>
    <row r="82" spans="3:19" ht="12.5" x14ac:dyDescent="0.2">
      <c r="D82" s="12"/>
      <c r="H82" s="102"/>
      <c r="I82" s="102"/>
      <c r="J82" s="102"/>
      <c r="M82" s="78"/>
      <c r="N82" s="78"/>
      <c r="O82" s="78"/>
      <c r="P82" s="78"/>
      <c r="Q82" s="78"/>
      <c r="R82" s="78"/>
      <c r="S82" s="78"/>
    </row>
    <row r="83" spans="3:19" s="6" customFormat="1" ht="11.25" customHeight="1" x14ac:dyDescent="0.2">
      <c r="D83" s="106" t="s">
        <v>303</v>
      </c>
      <c r="E83" s="107"/>
      <c r="F83" s="107"/>
      <c r="G83" s="108"/>
      <c r="H83" s="109" t="s">
        <v>89</v>
      </c>
      <c r="I83" s="109" t="str">
        <f>I$76</f>
        <v>$000's</v>
      </c>
      <c r="J83" s="109" t="str">
        <f>J$76</f>
        <v>Nominal</v>
      </c>
      <c r="K83" s="107"/>
      <c r="L83" s="108"/>
      <c r="M83" s="110">
        <f>SUM(M78:M81)</f>
        <v>211401.87526915231</v>
      </c>
      <c r="N83" s="110">
        <f t="shared" ref="N83:S83" si="2">SUM(N78:N81)</f>
        <v>211130.85806505725</v>
      </c>
      <c r="O83" s="110">
        <f t="shared" si="2"/>
        <v>141736.93093372628</v>
      </c>
      <c r="P83" s="110">
        <f t="shared" si="2"/>
        <v>145612.99581686416</v>
      </c>
      <c r="Q83" s="110">
        <f t="shared" si="2"/>
        <v>150635.36773501671</v>
      </c>
      <c r="R83" s="110">
        <f t="shared" si="2"/>
        <v>155830.96745843996</v>
      </c>
      <c r="S83" s="110">
        <f t="shared" si="2"/>
        <v>161205.76982790793</v>
      </c>
    </row>
    <row r="85" spans="3:19" ht="13" x14ac:dyDescent="0.2">
      <c r="D85" s="154" t="s">
        <v>305</v>
      </c>
      <c r="H85" s="95" t="s">
        <v>89</v>
      </c>
      <c r="I85" s="99" t="s">
        <v>76</v>
      </c>
      <c r="J85" s="99" t="s">
        <v>69</v>
      </c>
      <c r="M85" s="78">
        <f>Inputs_Other!M75</f>
        <v>37611.109027434679</v>
      </c>
      <c r="N85" s="78">
        <f>Inputs_Other!N75</f>
        <v>34020.688188122811</v>
      </c>
      <c r="O85" s="78">
        <f>Inputs_Other!O75</f>
        <v>0</v>
      </c>
      <c r="P85" s="78">
        <f>Inputs_Other!P75</f>
        <v>0</v>
      </c>
      <c r="Q85" s="78">
        <f>Inputs_Other!Q75</f>
        <v>0</v>
      </c>
      <c r="R85" s="78">
        <f>Inputs_Other!R75</f>
        <v>0</v>
      </c>
      <c r="S85" s="78">
        <f>Inputs_Other!S75</f>
        <v>0</v>
      </c>
    </row>
    <row r="87" spans="3:19" s="6" customFormat="1" ht="11.25" customHeight="1" x14ac:dyDescent="0.2">
      <c r="D87" s="73" t="s">
        <v>304</v>
      </c>
      <c r="E87" s="7"/>
      <c r="F87" s="7"/>
      <c r="H87" s="67" t="str">
        <f>H76</f>
        <v>Calculated</v>
      </c>
      <c r="I87" s="67" t="str">
        <f>I76</f>
        <v>$000's</v>
      </c>
      <c r="J87" s="67" t="str">
        <f>J76</f>
        <v>Nominal</v>
      </c>
      <c r="K87" s="7"/>
      <c r="M87" s="80">
        <f>M76-M83+M85</f>
        <v>-9128.05472171765</v>
      </c>
      <c r="N87" s="80">
        <f t="shared" ref="N87:S87" si="3">N76-N83+N85</f>
        <v>-6304.1688769344546</v>
      </c>
      <c r="O87" s="80">
        <f t="shared" si="3"/>
        <v>16074.059384681954</v>
      </c>
      <c r="P87" s="80">
        <f t="shared" si="3"/>
        <v>316.3965876744769</v>
      </c>
      <c r="Q87" s="80">
        <f t="shared" si="3"/>
        <v>2.0419886132003739E-2</v>
      </c>
      <c r="R87" s="80">
        <f t="shared" si="3"/>
        <v>-0.16480361035792157</v>
      </c>
      <c r="S87" s="80">
        <f t="shared" si="3"/>
        <v>3.9119556808145717E-2</v>
      </c>
    </row>
    <row r="90" spans="3:19" s="13" customFormat="1" ht="14" x14ac:dyDescent="0.2">
      <c r="C90" s="13" t="s">
        <v>204</v>
      </c>
    </row>
    <row r="91" spans="3:19" s="6" customFormat="1" ht="4.5" customHeight="1" x14ac:dyDescent="0.2"/>
    <row r="92" spans="3:19" s="6" customFormat="1" ht="11.25" customHeight="1" x14ac:dyDescent="0.2"/>
    <row r="93" spans="3:19" s="6" customFormat="1" ht="11.25" customHeight="1" x14ac:dyDescent="0.2">
      <c r="D93" s="83" t="s">
        <v>203</v>
      </c>
      <c r="E93" s="7"/>
      <c r="F93" s="7"/>
      <c r="H93" s="65" t="str">
        <f>Lookup!E$19</f>
        <v>Source</v>
      </c>
      <c r="I93" s="65" t="str">
        <f>Lookup!F$19</f>
        <v>Unit</v>
      </c>
      <c r="J93" s="65" t="str">
        <f>Lookup!G$19</f>
        <v>Basis</v>
      </c>
      <c r="K93" s="7"/>
      <c r="L93" s="7"/>
      <c r="M93" s="65" t="str">
        <f t="shared" ref="M93:S93" si="4">M$10</f>
        <v>FY18</v>
      </c>
      <c r="N93" s="65" t="str">
        <f t="shared" si="4"/>
        <v>FY19</v>
      </c>
      <c r="O93" s="65" t="str">
        <f t="shared" si="4"/>
        <v>FY20</v>
      </c>
      <c r="P93" s="65" t="str">
        <f t="shared" si="4"/>
        <v>FY21</v>
      </c>
      <c r="Q93" s="65" t="str">
        <f t="shared" si="4"/>
        <v>FY22</v>
      </c>
      <c r="R93" s="65" t="str">
        <f t="shared" si="4"/>
        <v>FY23</v>
      </c>
      <c r="S93" s="65" t="str">
        <f t="shared" si="4"/>
        <v>FY24</v>
      </c>
    </row>
    <row r="94" spans="3:19" s="6" customFormat="1" ht="11.25" customHeight="1" x14ac:dyDescent="0.2"/>
    <row r="95" spans="3:19" s="6" customFormat="1" ht="11.25" customHeight="1" x14ac:dyDescent="0.2">
      <c r="D95" s="12" t="s">
        <v>187</v>
      </c>
      <c r="H95" s="95" t="s">
        <v>89</v>
      </c>
      <c r="I95" s="99" t="s">
        <v>76</v>
      </c>
      <c r="J95" s="99" t="s">
        <v>69</v>
      </c>
      <c r="K95" s="7"/>
      <c r="L95" s="7"/>
      <c r="M95" s="115">
        <f>Inputs_Other!M86</f>
        <v>546.8284650097545</v>
      </c>
      <c r="N95" s="114">
        <f t="shared" ref="N95:S95" si="5">M100</f>
        <v>-8867.7645749064086</v>
      </c>
      <c r="O95" s="78">
        <f t="shared" si="5"/>
        <v>-16042.709291318726</v>
      </c>
      <c r="P95" s="78">
        <f t="shared" si="5"/>
        <v>-310.09227289236878</v>
      </c>
      <c r="Q95" s="78">
        <f t="shared" si="5"/>
        <v>-0.26600956477795989</v>
      </c>
      <c r="R95" s="78">
        <f t="shared" si="5"/>
        <v>-0.25807171109512017</v>
      </c>
      <c r="S95" s="78">
        <f t="shared" si="5"/>
        <v>-0.43943337751712497</v>
      </c>
    </row>
    <row r="96" spans="3:19" s="6" customFormat="1" ht="11.25" customHeight="1" x14ac:dyDescent="0.2">
      <c r="D96" s="12" t="s">
        <v>188</v>
      </c>
      <c r="H96" s="95" t="s">
        <v>89</v>
      </c>
      <c r="I96" s="99" t="s">
        <v>76</v>
      </c>
      <c r="J96" s="99" t="s">
        <v>69</v>
      </c>
      <c r="K96" s="7"/>
      <c r="L96" s="7"/>
      <c r="M96" s="78">
        <f>M95*Inputs_Other!M$88</f>
        <v>39.79817568340993</v>
      </c>
      <c r="N96" s="113">
        <f>N95*Inputs_Other!N$88</f>
        <v>-645.39590576168837</v>
      </c>
      <c r="O96" s="78">
        <f>O95*O40</f>
        <v>-677.19493304097534</v>
      </c>
      <c r="P96" s="78">
        <f>P95*P40</f>
        <v>-13.268599406577939</v>
      </c>
      <c r="Q96" s="78">
        <f>Q95*Q40</f>
        <v>-1.2974073426517222E-2</v>
      </c>
      <c r="R96" s="78">
        <f>R95*R40</f>
        <v>-1.2586920819369143E-2</v>
      </c>
      <c r="S96" s="78">
        <f>S95*S40</f>
        <v>-2.1432465824033464E-2</v>
      </c>
    </row>
    <row r="97" spans="1:19" s="6" customFormat="1" ht="11.25" customHeight="1" x14ac:dyDescent="0.2">
      <c r="D97" s="12" t="s">
        <v>189</v>
      </c>
      <c r="H97" s="95" t="s">
        <v>89</v>
      </c>
      <c r="I97" s="99" t="s">
        <v>76</v>
      </c>
      <c r="J97" s="99" t="s">
        <v>69</v>
      </c>
      <c r="K97" s="7"/>
      <c r="L97" s="7"/>
      <c r="M97" s="78">
        <f>M87</f>
        <v>-9128.05472171765</v>
      </c>
      <c r="N97" s="78">
        <f t="shared" ref="N97:S97" si="6">N87</f>
        <v>-6304.1688769344546</v>
      </c>
      <c r="O97" s="78">
        <f t="shared" si="6"/>
        <v>16074.059384681954</v>
      </c>
      <c r="P97" s="78">
        <f t="shared" si="6"/>
        <v>316.3965876744769</v>
      </c>
      <c r="Q97" s="78">
        <f t="shared" si="6"/>
        <v>2.0419886132003739E-2</v>
      </c>
      <c r="R97" s="78">
        <f t="shared" si="6"/>
        <v>-0.16480361035792157</v>
      </c>
      <c r="S97" s="78">
        <f t="shared" si="6"/>
        <v>3.9119556808145717E-2</v>
      </c>
    </row>
    <row r="98" spans="1:19" s="6" customFormat="1" ht="11.25" customHeight="1" x14ac:dyDescent="0.2">
      <c r="D98" s="12" t="s">
        <v>190</v>
      </c>
      <c r="H98" s="95" t="s">
        <v>89</v>
      </c>
      <c r="I98" s="99" t="s">
        <v>76</v>
      </c>
      <c r="J98" s="99" t="s">
        <v>69</v>
      </c>
      <c r="K98" s="7"/>
      <c r="L98" s="7"/>
      <c r="M98" s="78">
        <f>M97*(1+Inputs_Other!M$88)^0.5-M97</f>
        <v>-326.33649388192316</v>
      </c>
      <c r="N98" s="113">
        <f>N97*(1+Inputs_Other!N$88)^0.5-N97</f>
        <v>-225.37993371617358</v>
      </c>
      <c r="O98" s="114">
        <f>O97*(1+O40)^0.5-O97</f>
        <v>335.75256678538062</v>
      </c>
      <c r="P98" s="78">
        <f>P97*(1+P40)^0.5-P97</f>
        <v>6.6982750596918663</v>
      </c>
      <c r="Q98" s="78">
        <f>Q97*(1+Q40)^0.5-Q97</f>
        <v>4.9204097735320793E-4</v>
      </c>
      <c r="R98" s="78">
        <f>R97*(1+R40)^0.5-R97</f>
        <v>-3.9711352447140968E-3</v>
      </c>
      <c r="S98" s="78">
        <f>S97*(1+S40)^0.5-S97</f>
        <v>9.4263135656454805E-4</v>
      </c>
    </row>
    <row r="99" spans="1:19" s="6" customFormat="1" ht="11.25" customHeight="1" x14ac:dyDescent="0.2"/>
    <row r="100" spans="1:19" s="6" customFormat="1" ht="11.25" customHeight="1" x14ac:dyDescent="0.2">
      <c r="D100" s="73" t="s">
        <v>191</v>
      </c>
      <c r="H100" s="67" t="str">
        <f>H95</f>
        <v>Calculated</v>
      </c>
      <c r="I100" s="67" t="str">
        <f>I95</f>
        <v>$000's</v>
      </c>
      <c r="J100" s="67" t="str">
        <f>J95</f>
        <v>Nominal</v>
      </c>
      <c r="K100" s="7"/>
      <c r="M100" s="80">
        <f>SUM(M95:M98)</f>
        <v>-8867.7645749064086</v>
      </c>
      <c r="N100" s="80">
        <f t="shared" ref="N100:S100" si="7">SUM(N95:N98)</f>
        <v>-16042.709291318726</v>
      </c>
      <c r="O100" s="80">
        <f t="shared" si="7"/>
        <v>-310.09227289236878</v>
      </c>
      <c r="P100" s="80">
        <f t="shared" si="7"/>
        <v>-0.26600956477795989</v>
      </c>
      <c r="Q100" s="80">
        <f t="shared" si="7"/>
        <v>-0.25807171109512017</v>
      </c>
      <c r="R100" s="80">
        <f t="shared" si="7"/>
        <v>-0.43943337751712497</v>
      </c>
      <c r="S100" s="80">
        <f t="shared" si="7"/>
        <v>-0.42080365517644819</v>
      </c>
    </row>
    <row r="101" spans="1:19" s="6" customFormat="1" ht="11.25" customHeight="1" x14ac:dyDescent="0.2"/>
    <row r="102" spans="1:19" s="6" customFormat="1" ht="11.25" customHeight="1" x14ac:dyDescent="0.2"/>
    <row r="103" spans="1:19" s="13" customFormat="1" ht="14" x14ac:dyDescent="0.2">
      <c r="C103" s="13" t="s">
        <v>194</v>
      </c>
    </row>
    <row r="104" spans="1:19" s="6" customFormat="1" ht="11.25" customHeight="1" x14ac:dyDescent="0.2"/>
    <row r="105" spans="1:19" s="6" customFormat="1" ht="11.25" customHeight="1" x14ac:dyDescent="0.2">
      <c r="D105" s="83" t="s">
        <v>92</v>
      </c>
      <c r="M105" s="7"/>
      <c r="O105" s="65" t="str">
        <f>O$10</f>
        <v>FY20</v>
      </c>
      <c r="P105" s="65" t="str">
        <f>P$10</f>
        <v>FY21</v>
      </c>
      <c r="Q105" s="65" t="str">
        <f>Q$10</f>
        <v>FY22</v>
      </c>
      <c r="R105" s="65" t="str">
        <f>R$10</f>
        <v>FY23</v>
      </c>
      <c r="S105" s="65" t="str">
        <f>S$10</f>
        <v>FY24</v>
      </c>
    </row>
    <row r="106" spans="1:19" s="6" customFormat="1" ht="11.25" customHeight="1" x14ac:dyDescent="0.2">
      <c r="D106" s="3"/>
    </row>
    <row r="107" spans="1:19" s="6" customFormat="1" ht="11.25" customHeight="1" x14ac:dyDescent="0.2">
      <c r="A107" s="70">
        <f>IF(COUNTIF($M107:$S107,"Fail")=0,0,1)</f>
        <v>0</v>
      </c>
      <c r="D107" s="12" t="s">
        <v>306</v>
      </c>
      <c r="O107" s="95" t="str">
        <f>IF(O$10&gt;=$H$20,IF(ROUND(O100,0)=0,"Pass","Fail"),"")</f>
        <v/>
      </c>
      <c r="P107" s="95" t="str">
        <f>IF(P$10&gt;=$H$20,IF(ROUND(P100,0)=0,"Pass","Fail"),"")</f>
        <v>Pass</v>
      </c>
      <c r="Q107" s="95" t="str">
        <f>IF(Q$10&gt;=$H$20,IF(ROUND(Q100,0)=0,"Pass","Fail"),"")</f>
        <v>Pass</v>
      </c>
      <c r="R107" s="95" t="str">
        <f>IF(R$10&gt;=$H$20,IF(ROUND(R100,0)=0,"Pass","Fail"),"")</f>
        <v>Pass</v>
      </c>
      <c r="S107" s="95" t="str">
        <f>IF(S$10&gt;=$H$20,IF(ROUND(S100,0)=0,"Pass","Fail"),"")</f>
        <v>Pass</v>
      </c>
    </row>
    <row r="108" spans="1:19" s="6" customFormat="1" ht="11.25" customHeight="1" x14ac:dyDescent="0.2"/>
    <row r="109" spans="1:19" s="6" customFormat="1" ht="11.25" customHeight="1" x14ac:dyDescent="0.2"/>
    <row r="110" spans="1:19" s="4" customFormat="1" ht="15.5" x14ac:dyDescent="0.2">
      <c r="B110" s="4" t="s">
        <v>325</v>
      </c>
    </row>
    <row r="111" spans="1:19" s="6" customFormat="1" ht="4.5" customHeight="1" x14ac:dyDescent="0.2"/>
    <row r="112" spans="1:19" s="6" customFormat="1" ht="11.25" customHeight="1" x14ac:dyDescent="0.2">
      <c r="D112" s="124" t="s">
        <v>320</v>
      </c>
    </row>
    <row r="113" spans="3:20" s="6" customFormat="1" ht="11.25" customHeight="1" x14ac:dyDescent="0.2"/>
    <row r="114" spans="3:20" s="6" customFormat="1" ht="11.25" customHeight="1" x14ac:dyDescent="0.2"/>
    <row r="115" spans="3:20" s="13" customFormat="1" ht="14" x14ac:dyDescent="0.2">
      <c r="C115" s="13" t="s">
        <v>307</v>
      </c>
    </row>
    <row r="116" spans="3:20" s="6" customFormat="1" ht="11.25" customHeight="1" x14ac:dyDescent="0.2"/>
    <row r="117" spans="3:20" s="6" customFormat="1" ht="11.25" customHeight="1" x14ac:dyDescent="0.2">
      <c r="D117" s="83" t="str">
        <f>D$10</f>
        <v>Tariff Class</v>
      </c>
      <c r="H117" s="65" t="str">
        <f>Lookup!E$19</f>
        <v>Source</v>
      </c>
      <c r="I117" s="65" t="str">
        <f>Lookup!F$19</f>
        <v>Unit</v>
      </c>
      <c r="J117" s="65" t="str">
        <f>Lookup!G$19</f>
        <v>Basis</v>
      </c>
      <c r="M117" s="7"/>
      <c r="O117" s="65" t="str">
        <f>O$10</f>
        <v>FY20</v>
      </c>
      <c r="P117" s="65" t="str">
        <f>P$10</f>
        <v>FY21</v>
      </c>
      <c r="Q117" s="65" t="str">
        <f>Q$10</f>
        <v>FY22</v>
      </c>
      <c r="R117" s="65" t="str">
        <f>R$10</f>
        <v>FY23</v>
      </c>
      <c r="S117" s="65" t="str">
        <f>S$10</f>
        <v>FY24</v>
      </c>
    </row>
    <row r="118" spans="3:20" s="6" customFormat="1" ht="11.25" customHeight="1" x14ac:dyDescent="0.2">
      <c r="D118" s="3"/>
    </row>
    <row r="119" spans="3:20" s="6" customFormat="1" ht="11.25" customHeight="1" x14ac:dyDescent="0.2">
      <c r="D119" s="155" t="s">
        <v>314</v>
      </c>
    </row>
    <row r="120" spans="3:20" s="6" customFormat="1" ht="11.25" customHeight="1" x14ac:dyDescent="0.2">
      <c r="D120" s="156" t="s">
        <v>104</v>
      </c>
      <c r="E120" s="97"/>
      <c r="F120" s="97"/>
      <c r="G120" s="97"/>
      <c r="H120" s="95" t="s">
        <v>212</v>
      </c>
      <c r="I120" s="99" t="s">
        <v>76</v>
      </c>
      <c r="J120" s="99" t="s">
        <v>69</v>
      </c>
      <c r="O120" s="112"/>
      <c r="P120" s="78">
        <f t="shared" ref="P120:S122" si="8">P192</f>
        <v>113803.67670616967</v>
      </c>
      <c r="Q120" s="78">
        <f t="shared" si="8"/>
        <v>117505.13573887356</v>
      </c>
      <c r="R120" s="78">
        <f t="shared" si="8"/>
        <v>121579.0531611059</v>
      </c>
      <c r="S120" s="78">
        <f t="shared" si="8"/>
        <v>125751.8573362907</v>
      </c>
    </row>
    <row r="121" spans="3:20" s="6" customFormat="1" ht="11.25" customHeight="1" x14ac:dyDescent="0.2">
      <c r="D121" s="156" t="s">
        <v>114</v>
      </c>
      <c r="E121" s="97"/>
      <c r="F121" s="97"/>
      <c r="G121" s="97"/>
      <c r="H121" s="95" t="s">
        <v>212</v>
      </c>
      <c r="I121" s="99" t="s">
        <v>76</v>
      </c>
      <c r="J121" s="99" t="s">
        <v>69</v>
      </c>
      <c r="O121" s="112"/>
      <c r="P121" s="78">
        <f t="shared" si="8"/>
        <v>16930.697278181899</v>
      </c>
      <c r="Q121" s="78">
        <f t="shared" si="8"/>
        <v>17519.23496807817</v>
      </c>
      <c r="R121" s="78">
        <f t="shared" si="8"/>
        <v>18135.19244107202</v>
      </c>
      <c r="S121" s="78">
        <f t="shared" si="8"/>
        <v>18812.581353571877</v>
      </c>
    </row>
    <row r="122" spans="3:20" s="6" customFormat="1" ht="11.25" customHeight="1" x14ac:dyDescent="0.2">
      <c r="D122" s="156" t="s">
        <v>113</v>
      </c>
      <c r="E122" s="97"/>
      <c r="F122" s="97"/>
      <c r="G122" s="97"/>
      <c r="H122" s="95" t="s">
        <v>212</v>
      </c>
      <c r="I122" s="99" t="s">
        <v>76</v>
      </c>
      <c r="J122" s="99" t="s">
        <v>69</v>
      </c>
      <c r="O122" s="112"/>
      <c r="P122" s="78">
        <f t="shared" si="8"/>
        <v>15195.018420187062</v>
      </c>
      <c r="Q122" s="78">
        <f t="shared" si="8"/>
        <v>15611.017447951082</v>
      </c>
      <c r="R122" s="78">
        <f t="shared" si="8"/>
        <v>16116.5570526517</v>
      </c>
      <c r="S122" s="78">
        <f t="shared" si="8"/>
        <v>16641.370257602153</v>
      </c>
    </row>
    <row r="123" spans="3:20" s="6" customFormat="1" ht="11.25" customHeight="1" x14ac:dyDescent="0.2">
      <c r="D123" s="12"/>
    </row>
    <row r="124" spans="3:20" s="6" customFormat="1" ht="11.25" customHeight="1" x14ac:dyDescent="0.2">
      <c r="D124" s="155" t="s">
        <v>313</v>
      </c>
    </row>
    <row r="125" spans="3:20" s="6" customFormat="1" ht="11.25" customHeight="1" x14ac:dyDescent="0.2">
      <c r="D125" s="156" t="s">
        <v>104</v>
      </c>
      <c r="E125" s="97"/>
      <c r="F125" s="97"/>
      <c r="G125" s="97"/>
      <c r="H125" s="95" t="s">
        <v>89</v>
      </c>
      <c r="I125" s="99" t="s">
        <v>76</v>
      </c>
      <c r="J125" s="99" t="s">
        <v>69</v>
      </c>
      <c r="O125" s="112"/>
      <c r="P125" s="78">
        <f t="array" ref="P125">((SUM((Inputs_Prices!$F$21:$F$27=$D125)*(Inputs_Prices!O$21:O$27)*Inputs_Volumes!P$21:P$27)
+SUM((Inputs_Prices!$F$34:$F$40=$D125)*(Inputs_Prices!O$34:O$40)*Inputs_Volumes!P$34:P$40))*Cents_to_Dollars
+SUM((Inputs_Prices!$F$47:$F$52=$D125)*(Inputs_Prices!O$47:O$52)*Inputs_Volumes!P$47:P$52))*Dollars_to_Thousands</f>
        <v>122385.3180334967</v>
      </c>
      <c r="Q125" s="78">
        <f t="array" ref="Q125">((SUM((Inputs_Prices!$F$21:$F$27=$D125)*(Inputs_Prices!P$21:P$27)*Inputs_Volumes!Q$21:Q$27)
+SUM((Inputs_Prices!$F$34:$F$40=$D125)*(Inputs_Prices!P$34:P$40)*Inputs_Volumes!Q$34:Q$40))*Cents_to_Dollars
+SUM((Inputs_Prices!$F$47:$F$52=$D125)*(Inputs_Prices!P$47:P$52)*Inputs_Volumes!Q$47:Q$52))*Dollars_to_Thousands</f>
        <v>113403.66537331679</v>
      </c>
      <c r="R125" s="78">
        <f t="array" ref="R125">((SUM((Inputs_Prices!$F$21:$F$27=$D125)*(Inputs_Prices!Q$21:Q$27)*Inputs_Volumes!R$21:R$27)
+SUM((Inputs_Prices!$F$34:$F$40=$D125)*(Inputs_Prices!Q$34:Q$40)*Inputs_Volumes!R$34:R$40))*Cents_to_Dollars
+SUM((Inputs_Prices!$F$47:$F$52=$D125)*(Inputs_Prices!Q$47:Q$52)*Inputs_Volumes!R$47:R$52))*Dollars_to_Thousands</f>
        <v>116984.03716529044</v>
      </c>
      <c r="S125" s="78">
        <f t="array" ref="S125">((SUM((Inputs_Prices!$F$21:$F$27=$D125)*(Inputs_Prices!R$21:R$27)*Inputs_Volumes!S$21:S$27)
+SUM((Inputs_Prices!$F$34:$F$40=$D125)*(Inputs_Prices!R$34:R$40)*Inputs_Volumes!S$34:S$40))*Cents_to_Dollars
+SUM((Inputs_Prices!$F$47:$F$52=$D125)*(Inputs_Prices!R$47:R$52)*Inputs_Volumes!S$47:S$52))*Dollars_to_Thousands</f>
        <v>121295.93004997484</v>
      </c>
      <c r="T125" s="126" t="s">
        <v>319</v>
      </c>
    </row>
    <row r="126" spans="3:20" s="6" customFormat="1" ht="11.25" customHeight="1" x14ac:dyDescent="0.2">
      <c r="D126" s="156" t="s">
        <v>114</v>
      </c>
      <c r="E126" s="97"/>
      <c r="F126" s="97"/>
      <c r="G126" s="97"/>
      <c r="H126" s="95" t="s">
        <v>89</v>
      </c>
      <c r="I126" s="99" t="s">
        <v>76</v>
      </c>
      <c r="J126" s="99" t="s">
        <v>69</v>
      </c>
      <c r="O126" s="112"/>
      <c r="P126" s="78">
        <f t="array" ref="P126">((SUM((Inputs_Prices!$F$21:$F$27=$D126)*(Inputs_Prices!O$21:O$27)*Inputs_Volumes!P$21:P$27)
+SUM((Inputs_Prices!$F$34:$F$40=$D126)*(Inputs_Prices!O$34:O$40)*Inputs_Volumes!P$34:P$40))*Cents_to_Dollars
+SUM((Inputs_Prices!$F$47:$F$52=$D126)*(Inputs_Prices!O$47:O$52)*Inputs_Volumes!P$47:P$52))*Dollars_to_Thousands</f>
        <v>17480.084096002491</v>
      </c>
      <c r="Q126" s="78">
        <f t="array" ref="Q126">((SUM((Inputs_Prices!$F$21:$F$27=$D126)*(Inputs_Prices!P$21:P$27)*Inputs_Volumes!Q$21:Q$27)
+SUM((Inputs_Prices!$F$34:$F$40=$D126)*(Inputs_Prices!P$34:P$40)*Inputs_Volumes!Q$34:Q$40))*Cents_to_Dollars
+SUM((Inputs_Prices!$F$47:$F$52=$D126)*(Inputs_Prices!P$47:P$52)*Inputs_Volumes!Q$47:Q$52))*Dollars_to_Thousands</f>
        <v>16907.732989062737</v>
      </c>
      <c r="R126" s="78">
        <f t="array" ref="R126">((SUM((Inputs_Prices!$F$21:$F$27=$D126)*(Inputs_Prices!Q$21:Q$27)*Inputs_Volumes!R$21:R$27)
+SUM((Inputs_Prices!$F$34:$F$40=$D126)*(Inputs_Prices!Q$34:Q$40)*Inputs_Volumes!R$34:R$40))*Cents_to_Dollars
+SUM((Inputs_Prices!$F$47:$F$52=$D126)*(Inputs_Prices!Q$47:Q$52)*Inputs_Volumes!R$47:R$52))*Dollars_to_Thousands</f>
        <v>17449.782436739333</v>
      </c>
      <c r="S126" s="78">
        <f t="array" ref="S126">((SUM((Inputs_Prices!$F$21:$F$27=$D126)*(Inputs_Prices!R$21:R$27)*Inputs_Volumes!S$21:S$27)
+SUM((Inputs_Prices!$F$34:$F$40=$D126)*(Inputs_Prices!R$34:R$40)*Inputs_Volumes!S$34:S$40))*Cents_to_Dollars
+SUM((Inputs_Prices!$F$47:$F$52=$D126)*(Inputs_Prices!R$47:R$52)*Inputs_Volumes!S$47:S$52))*Dollars_to_Thousands</f>
        <v>18145.970964229928</v>
      </c>
      <c r="T126" s="126"/>
    </row>
    <row r="127" spans="3:20" s="6" customFormat="1" ht="11.25" customHeight="1" x14ac:dyDescent="0.2">
      <c r="D127" s="156" t="s">
        <v>113</v>
      </c>
      <c r="E127" s="97"/>
      <c r="F127" s="97"/>
      <c r="G127" s="97"/>
      <c r="H127" s="95" t="s">
        <v>89</v>
      </c>
      <c r="I127" s="99" t="s">
        <v>76</v>
      </c>
      <c r="J127" s="99" t="s">
        <v>69</v>
      </c>
      <c r="O127" s="112"/>
      <c r="P127" s="78">
        <f t="array" ref="P127">((SUM((Inputs_Prices!$F$21:$F$27=$D127)*(Inputs_Prices!O$21:O$27)*Inputs_Volumes!P$21:P$27)
+SUM((Inputs_Prices!$F$34:$F$40=$D127)*(Inputs_Prices!O$34:O$40)*Inputs_Volumes!P$34:P$40))*Cents_to_Dollars
+SUM((Inputs_Prices!$F$47:$F$52=$D127)*(Inputs_Prices!O$47:O$52)*Inputs_Volumes!P$47:P$52))*Dollars_to_Thousands</f>
        <v>15878.913601285751</v>
      </c>
      <c r="Q127" s="78">
        <f t="array" ref="Q127">((SUM((Inputs_Prices!$F$21:$F$27=$D127)*(Inputs_Prices!P$21:P$27)*Inputs_Volumes!Q$21:Q$27)
+SUM((Inputs_Prices!$F$34:$F$40=$D127)*(Inputs_Prices!P$34:P$40)*Inputs_Volumes!Q$34:Q$40))*Cents_to_Dollars
+SUM((Inputs_Prices!$F$47:$F$52=$D127)*(Inputs_Prices!P$47:P$52)*Inputs_Volumes!Q$47:Q$52))*Dollars_to_Thousands</f>
        <v>15066.121048007784</v>
      </c>
      <c r="R127" s="78">
        <f t="array" ref="R127">((SUM((Inputs_Prices!$F$21:$F$27=$D127)*(Inputs_Prices!Q$21:Q$27)*Inputs_Volumes!R$21:R$27)
+SUM((Inputs_Prices!$F$34:$F$40=$D127)*(Inputs_Prices!Q$34:Q$40)*Inputs_Volumes!R$34:R$40))*Cents_to_Dollars
+SUM((Inputs_Prices!$F$47:$F$52=$D127)*(Inputs_Prices!Q$47:Q$52)*Inputs_Volumes!R$47:R$52))*Dollars_to_Thousands</f>
        <v>15507.440304914944</v>
      </c>
      <c r="S127" s="78">
        <f t="array" ref="S127">((SUM((Inputs_Prices!$F$21:$F$27=$D127)*(Inputs_Prices!R$21:R$27)*Inputs_Volumes!S$21:S$27)
+SUM((Inputs_Prices!$F$34:$F$40=$D127)*(Inputs_Prices!R$34:R$40)*Inputs_Volumes!S$34:S$40))*Cents_to_Dollars
+SUM((Inputs_Prices!$F$47:$F$52=$D127)*(Inputs_Prices!R$47:R$52)*Inputs_Volumes!S$47:S$52))*Dollars_to_Thousands</f>
        <v>16051.695183346725</v>
      </c>
      <c r="T127" s="126"/>
    </row>
    <row r="128" spans="3:20" s="6" customFormat="1" ht="11.25" customHeight="1" x14ac:dyDescent="0.2">
      <c r="D128" s="12"/>
    </row>
    <row r="129" spans="1:20" s="6" customFormat="1" ht="11.25" customHeight="1" x14ac:dyDescent="0.2">
      <c r="D129" s="155" t="s">
        <v>310</v>
      </c>
    </row>
    <row r="130" spans="1:20" s="6" customFormat="1" ht="11.25" customHeight="1" x14ac:dyDescent="0.2">
      <c r="D130" s="156" t="s">
        <v>104</v>
      </c>
      <c r="E130" s="97"/>
      <c r="F130" s="97"/>
      <c r="G130" s="97"/>
      <c r="H130" s="95" t="s">
        <v>89</v>
      </c>
      <c r="I130" s="99" t="s">
        <v>72</v>
      </c>
      <c r="J130" s="99" t="s">
        <v>35</v>
      </c>
      <c r="O130" s="112"/>
      <c r="P130" s="157">
        <f>P120/P125-1</f>
        <v>-7.0119859679395935E-2</v>
      </c>
      <c r="Q130" s="157">
        <f>Q120/Q125-1</f>
        <v>3.6167000000000282E-2</v>
      </c>
      <c r="R130" s="157">
        <f>R120/R125-1</f>
        <v>3.9279000000000064E-2</v>
      </c>
      <c r="S130" s="157">
        <f>S120/S125-1</f>
        <v>3.673599999999988E-2</v>
      </c>
    </row>
    <row r="131" spans="1:20" s="6" customFormat="1" ht="11.25" customHeight="1" x14ac:dyDescent="0.2">
      <c r="D131" s="156" t="s">
        <v>114</v>
      </c>
      <c r="E131" s="97"/>
      <c r="F131" s="97"/>
      <c r="G131" s="97"/>
      <c r="H131" s="95" t="s">
        <v>89</v>
      </c>
      <c r="I131" s="99" t="s">
        <v>72</v>
      </c>
      <c r="J131" s="99" t="s">
        <v>35</v>
      </c>
      <c r="O131" s="112"/>
      <c r="P131" s="157">
        <f t="shared" ref="P131:S132" si="9">P121/P126-1</f>
        <v>-3.1429300614533751E-2</v>
      </c>
      <c r="Q131" s="157">
        <f t="shared" si="9"/>
        <v>3.616700000000006E-2</v>
      </c>
      <c r="R131" s="157">
        <f t="shared" si="9"/>
        <v>3.9279000000000064E-2</v>
      </c>
      <c r="S131" s="157">
        <f t="shared" si="9"/>
        <v>3.673599999999988E-2</v>
      </c>
    </row>
    <row r="132" spans="1:20" s="6" customFormat="1" ht="11.25" customHeight="1" x14ac:dyDescent="0.2">
      <c r="D132" s="156" t="s">
        <v>113</v>
      </c>
      <c r="E132" s="97"/>
      <c r="F132" s="97"/>
      <c r="G132" s="97"/>
      <c r="H132" s="95" t="s">
        <v>89</v>
      </c>
      <c r="I132" s="99" t="s">
        <v>72</v>
      </c>
      <c r="J132" s="99" t="s">
        <v>35</v>
      </c>
      <c r="O132" s="112"/>
      <c r="P132" s="157">
        <f t="shared" si="9"/>
        <v>-4.3069393679635137E-2</v>
      </c>
      <c r="Q132" s="157">
        <f t="shared" si="9"/>
        <v>3.616700000000006E-2</v>
      </c>
      <c r="R132" s="157">
        <f t="shared" si="9"/>
        <v>3.9279000000000064E-2</v>
      </c>
      <c r="S132" s="157">
        <f t="shared" si="9"/>
        <v>3.6736000000000102E-2</v>
      </c>
    </row>
    <row r="133" spans="1:20" s="6" customFormat="1" ht="11.25" customHeight="1" x14ac:dyDescent="0.2"/>
    <row r="134" spans="1:20" s="6" customFormat="1" ht="11.25" customHeight="1" x14ac:dyDescent="0.2"/>
    <row r="135" spans="1:20" s="13" customFormat="1" ht="14" x14ac:dyDescent="0.2">
      <c r="C135" s="13" t="s">
        <v>308</v>
      </c>
    </row>
    <row r="136" spans="1:20" s="6" customFormat="1" ht="11.25" customHeight="1" x14ac:dyDescent="0.2"/>
    <row r="137" spans="1:20" s="6" customFormat="1" ht="11.25" customHeight="1" x14ac:dyDescent="0.2">
      <c r="D137" s="83" t="s">
        <v>148</v>
      </c>
      <c r="H137" s="65" t="str">
        <f>Lookup!E$19</f>
        <v>Source</v>
      </c>
      <c r="I137" s="65" t="str">
        <f>Lookup!F$19</f>
        <v>Unit</v>
      </c>
      <c r="J137" s="65" t="str">
        <f>Lookup!G$19</f>
        <v>Basis</v>
      </c>
      <c r="M137" s="7"/>
      <c r="O137" s="65" t="str">
        <f>O$10</f>
        <v>FY20</v>
      </c>
      <c r="P137" s="65" t="str">
        <f>P$10</f>
        <v>FY21</v>
      </c>
      <c r="Q137" s="65" t="str">
        <f>Q$10</f>
        <v>FY22</v>
      </c>
      <c r="R137" s="65" t="str">
        <f>R$10</f>
        <v>FY23</v>
      </c>
      <c r="S137" s="65" t="str">
        <f>S$10</f>
        <v>FY24</v>
      </c>
    </row>
    <row r="138" spans="1:20" s="6" customFormat="1" ht="11.25" customHeight="1" x14ac:dyDescent="0.2">
      <c r="D138" s="3"/>
    </row>
    <row r="139" spans="1:20" s="6" customFormat="1" ht="11.25" customHeight="1" x14ac:dyDescent="0.2">
      <c r="D139" s="155" t="s">
        <v>312</v>
      </c>
    </row>
    <row r="140" spans="1:20" ht="12.5" x14ac:dyDescent="0.2">
      <c r="A140" s="6"/>
      <c r="D140" s="24" t="s">
        <v>278</v>
      </c>
      <c r="H140" s="95" t="s">
        <v>89</v>
      </c>
      <c r="I140" s="99" t="s">
        <v>72</v>
      </c>
      <c r="J140" s="99" t="s">
        <v>35</v>
      </c>
      <c r="M140" s="6"/>
      <c r="N140" s="6"/>
      <c r="O140" s="112"/>
      <c r="P140" s="157">
        <f>Inputs_Other!P33</f>
        <v>1.8404907975460238E-2</v>
      </c>
      <c r="Q140" s="157">
        <f>Inputs_Other!Q33</f>
        <v>2.4248746575396697E-2</v>
      </c>
      <c r="R140" s="157">
        <f>Inputs_Other!R33</f>
        <v>2.4248746575396697E-2</v>
      </c>
      <c r="S140" s="157">
        <f>Inputs_Other!S33</f>
        <v>2.4248746575396697E-2</v>
      </c>
      <c r="T140" s="126" t="s">
        <v>471</v>
      </c>
    </row>
    <row r="141" spans="1:20" ht="12.5" x14ac:dyDescent="0.2">
      <c r="A141" s="6"/>
      <c r="D141" s="24" t="s">
        <v>282</v>
      </c>
      <c r="H141" s="95" t="s">
        <v>89</v>
      </c>
      <c r="I141" s="99" t="s">
        <v>72</v>
      </c>
      <c r="J141" s="99" t="s">
        <v>35</v>
      </c>
      <c r="M141" s="6"/>
      <c r="N141" s="6"/>
      <c r="O141" s="112"/>
      <c r="P141" s="157">
        <f>Inputs_Other!P53</f>
        <v>-8.7803842624104653E-3</v>
      </c>
      <c r="Q141" s="157">
        <f>Inputs_Other!Q53</f>
        <v>-0.01</v>
      </c>
      <c r="R141" s="157">
        <f>Inputs_Other!R53</f>
        <v>-0.01</v>
      </c>
      <c r="S141" s="157">
        <f>Inputs_Other!S53</f>
        <v>-0.01</v>
      </c>
      <c r="T141" s="126" t="s">
        <v>294</v>
      </c>
    </row>
    <row r="142" spans="1:20" s="6" customFormat="1" ht="11.25" customHeight="1" x14ac:dyDescent="0.2">
      <c r="D142" s="24" t="s">
        <v>311</v>
      </c>
      <c r="H142" s="95" t="s">
        <v>89</v>
      </c>
      <c r="I142" s="99" t="s">
        <v>72</v>
      </c>
      <c r="J142" s="99" t="s">
        <v>35</v>
      </c>
      <c r="O142" s="112"/>
      <c r="P142" s="157">
        <f>Inputs_Other!$O$65</f>
        <v>0.02</v>
      </c>
      <c r="Q142" s="157">
        <f>Inputs_Other!$O$65</f>
        <v>0.02</v>
      </c>
      <c r="R142" s="157">
        <f>Inputs_Other!$O$65</f>
        <v>0.02</v>
      </c>
      <c r="S142" s="157">
        <f>Inputs_Other!$O$65</f>
        <v>0.02</v>
      </c>
    </row>
    <row r="143" spans="1:20" s="6" customFormat="1" ht="11.25" customHeight="1" x14ac:dyDescent="0.2">
      <c r="D143" s="24" t="s">
        <v>315</v>
      </c>
      <c r="H143" s="95" t="s">
        <v>89</v>
      </c>
      <c r="I143" s="99" t="s">
        <v>72</v>
      </c>
      <c r="J143" s="99" t="s">
        <v>35</v>
      </c>
      <c r="O143" s="112"/>
      <c r="P143" s="157">
        <f t="shared" ref="P143:S145" si="10">P48/SUM(P$125:P$127)</f>
        <v>0</v>
      </c>
      <c r="Q143" s="157">
        <f t="shared" si="10"/>
        <v>0</v>
      </c>
      <c r="R143" s="157">
        <f t="shared" si="10"/>
        <v>0</v>
      </c>
      <c r="S143" s="157">
        <f t="shared" si="10"/>
        <v>0</v>
      </c>
    </row>
    <row r="144" spans="1:20" s="6" customFormat="1" ht="11.25" customHeight="1" x14ac:dyDescent="0.2">
      <c r="D144" s="24" t="s">
        <v>316</v>
      </c>
      <c r="H144" s="95" t="s">
        <v>89</v>
      </c>
      <c r="I144" s="99" t="s">
        <v>72</v>
      </c>
      <c r="J144" s="99" t="s">
        <v>35</v>
      </c>
      <c r="O144" s="112"/>
      <c r="P144" s="157">
        <f t="shared" si="10"/>
        <v>2.0331854870479235E-3</v>
      </c>
      <c r="Q144" s="157">
        <f t="shared" si="10"/>
        <v>1.8738755253357313E-6</v>
      </c>
      <c r="R144" s="157">
        <f t="shared" si="10"/>
        <v>1.7626252453385003E-6</v>
      </c>
      <c r="S144" s="157">
        <f t="shared" si="10"/>
        <v>2.8941515816614796E-6</v>
      </c>
    </row>
    <row r="145" spans="1:19" s="6" customFormat="1" ht="11.25" customHeight="1" x14ac:dyDescent="0.2">
      <c r="D145" s="24" t="s">
        <v>317</v>
      </c>
      <c r="H145" s="95" t="s">
        <v>89</v>
      </c>
      <c r="I145" s="99" t="s">
        <v>72</v>
      </c>
      <c r="J145" s="99" t="s">
        <v>35</v>
      </c>
      <c r="O145" s="112"/>
      <c r="P145" s="157">
        <f t="shared" si="10"/>
        <v>0</v>
      </c>
      <c r="Q145" s="157">
        <f t="shared" si="10"/>
        <v>0</v>
      </c>
      <c r="R145" s="157">
        <f t="shared" si="10"/>
        <v>0</v>
      </c>
      <c r="S145" s="157">
        <f t="shared" si="10"/>
        <v>0</v>
      </c>
    </row>
    <row r="146" spans="1:19" s="6" customFormat="1" ht="11.25" customHeight="1" x14ac:dyDescent="0.2">
      <c r="D146" s="3"/>
    </row>
    <row r="147" spans="1:19" s="6" customFormat="1" ht="11.25" customHeight="1" x14ac:dyDescent="0.2">
      <c r="D147" s="12" t="s">
        <v>309</v>
      </c>
      <c r="E147" s="97"/>
      <c r="F147" s="97"/>
      <c r="G147" s="97"/>
      <c r="H147" s="95" t="s">
        <v>89</v>
      </c>
      <c r="I147" s="99" t="s">
        <v>72</v>
      </c>
      <c r="J147" s="99" t="s">
        <v>35</v>
      </c>
      <c r="O147" s="112"/>
      <c r="P147" s="157">
        <f>(1+P140)*(1-P141)*(1+P142)+P143+P144+P145-1</f>
        <v>4.9927017777301907E-2</v>
      </c>
      <c r="Q147" s="157">
        <f>(1+Q140)*(1-Q141)*(1+Q142)+Q143+Q144+Q145-1</f>
        <v>5.518293259749929E-2</v>
      </c>
      <c r="R147" s="157">
        <f>(1+R140)*(1-R141)*(1+R142)+R143+R144+R145-1</f>
        <v>5.5182821347219191E-2</v>
      </c>
      <c r="S147" s="157">
        <f>(1+S140)*(1-S141)*(1+S142)+S143+S144+S145-1</f>
        <v>5.5183952873555597E-2</v>
      </c>
    </row>
    <row r="148" spans="1:19" s="6" customFormat="1" ht="11.25" customHeight="1" x14ac:dyDescent="0.2"/>
    <row r="149" spans="1:19" s="6" customFormat="1" ht="11.25" customHeight="1" x14ac:dyDescent="0.2"/>
    <row r="150" spans="1:19" s="13" customFormat="1" ht="14" x14ac:dyDescent="0.2">
      <c r="C150" s="13" t="s">
        <v>194</v>
      </c>
    </row>
    <row r="151" spans="1:19" s="6" customFormat="1" ht="11.25" customHeight="1" x14ac:dyDescent="0.2"/>
    <row r="152" spans="1:19" s="6" customFormat="1" ht="11.25" customHeight="1" x14ac:dyDescent="0.2">
      <c r="D152" s="83" t="str">
        <f>D$10</f>
        <v>Tariff Class</v>
      </c>
      <c r="M152" s="7"/>
      <c r="N152" s="7"/>
      <c r="O152" s="65" t="str">
        <f>O$10</f>
        <v>FY20</v>
      </c>
      <c r="P152" s="65" t="str">
        <f>P$10</f>
        <v>FY21</v>
      </c>
      <c r="Q152" s="65" t="str">
        <f>Q$10</f>
        <v>FY22</v>
      </c>
      <c r="R152" s="65" t="str">
        <f>R$10</f>
        <v>FY23</v>
      </c>
      <c r="S152" s="65" t="str">
        <f>S$10</f>
        <v>FY24</v>
      </c>
    </row>
    <row r="153" spans="1:19" s="6" customFormat="1" ht="11.25" customHeight="1" x14ac:dyDescent="0.2">
      <c r="D153" s="3"/>
    </row>
    <row r="154" spans="1:19" s="6" customFormat="1" ht="11.25" customHeight="1" x14ac:dyDescent="0.2">
      <c r="A154" s="70">
        <f>IF(COUNTIF($M154:$S154,"Fail")=0,0,1)</f>
        <v>0</v>
      </c>
      <c r="D154" s="100" t="s">
        <v>104</v>
      </c>
      <c r="O154" s="112"/>
      <c r="P154" s="95" t="str">
        <f t="shared" ref="P154:S156" si="11">IF(P$10&gt;=$H$20,IF(AND(P130&lt;=P$147),"Pass","Fail"),"")</f>
        <v>Pass</v>
      </c>
      <c r="Q154" s="95" t="str">
        <f t="shared" si="11"/>
        <v>Pass</v>
      </c>
      <c r="R154" s="95" t="str">
        <f t="shared" si="11"/>
        <v>Pass</v>
      </c>
      <c r="S154" s="95" t="str">
        <f t="shared" si="11"/>
        <v>Pass</v>
      </c>
    </row>
    <row r="155" spans="1:19" s="6" customFormat="1" ht="11.25" customHeight="1" x14ac:dyDescent="0.2">
      <c r="A155" s="70">
        <f>IF(COUNTIF($M155:$S155,"Fail")=0,0,1)</f>
        <v>0</v>
      </c>
      <c r="D155" s="100" t="s">
        <v>114</v>
      </c>
      <c r="O155" s="112"/>
      <c r="P155" s="95" t="str">
        <f t="shared" si="11"/>
        <v>Pass</v>
      </c>
      <c r="Q155" s="95" t="str">
        <f t="shared" si="11"/>
        <v>Pass</v>
      </c>
      <c r="R155" s="95" t="str">
        <f t="shared" si="11"/>
        <v>Pass</v>
      </c>
      <c r="S155" s="95" t="str">
        <f t="shared" si="11"/>
        <v>Pass</v>
      </c>
    </row>
    <row r="156" spans="1:19" s="6" customFormat="1" ht="11.25" customHeight="1" x14ac:dyDescent="0.2">
      <c r="A156" s="70">
        <f>IF(COUNTIF($M156:$S156,"Fail")=0,0,1)</f>
        <v>0</v>
      </c>
      <c r="D156" s="100" t="s">
        <v>113</v>
      </c>
      <c r="O156" s="112"/>
      <c r="P156" s="95" t="str">
        <f t="shared" si="11"/>
        <v>Pass</v>
      </c>
      <c r="Q156" s="95" t="str">
        <f t="shared" si="11"/>
        <v>Pass</v>
      </c>
      <c r="R156" s="95" t="str">
        <f t="shared" si="11"/>
        <v>Pass</v>
      </c>
      <c r="S156" s="95" t="str">
        <f t="shared" si="11"/>
        <v>Pass</v>
      </c>
    </row>
    <row r="157" spans="1:19" s="6" customFormat="1" ht="11.25" customHeight="1" x14ac:dyDescent="0.2"/>
    <row r="158" spans="1:19" s="6" customFormat="1" ht="11.25" customHeight="1" x14ac:dyDescent="0.2">
      <c r="A158" s="70">
        <f>IF(COUNTIF($M158:$S158,"Fail")=0,0,1)</f>
        <v>0</v>
      </c>
      <c r="D158" s="12" t="s">
        <v>332</v>
      </c>
      <c r="O158" s="112"/>
      <c r="P158" s="95" t="str">
        <f>IF(COUNTIF(P154:P156,"Fail")&gt;0,"Fail","Pass")</f>
        <v>Pass</v>
      </c>
      <c r="Q158" s="95" t="str">
        <f>IF(COUNTIF(Q154:Q156,"Fail")&gt;0,"Fail","Pass")</f>
        <v>Pass</v>
      </c>
      <c r="R158" s="95" t="str">
        <f>IF(COUNTIF(R154:R156,"Fail")&gt;0,"Fail","Pass")</f>
        <v>Pass</v>
      </c>
      <c r="S158" s="95" t="str">
        <f>IF(COUNTIF(S154:S156,"Fail")&gt;0,"Fail","Pass")</f>
        <v>Pass</v>
      </c>
    </row>
    <row r="159" spans="1:19" s="6" customFormat="1" ht="11.25" customHeight="1" x14ac:dyDescent="0.2"/>
    <row r="160" spans="1:19" s="6" customFormat="1" ht="11.25" customHeight="1" x14ac:dyDescent="0.2"/>
    <row r="161" spans="1:19" s="4" customFormat="1" ht="15.5" x14ac:dyDescent="0.2">
      <c r="B161" s="4" t="s">
        <v>326</v>
      </c>
    </row>
    <row r="162" spans="1:19" s="6" customFormat="1" ht="4.5" customHeight="1" x14ac:dyDescent="0.2"/>
    <row r="163" spans="1:19" s="6" customFormat="1" ht="11.25" customHeight="1" x14ac:dyDescent="0.2">
      <c r="D163" s="124" t="s">
        <v>205</v>
      </c>
    </row>
    <row r="164" spans="1:19" s="6" customFormat="1" ht="11.25" customHeight="1" x14ac:dyDescent="0.2"/>
    <row r="165" spans="1:19" s="6" customFormat="1" ht="11.25" customHeight="1" x14ac:dyDescent="0.2"/>
    <row r="166" spans="1:19" s="13" customFormat="1" ht="14" x14ac:dyDescent="0.2">
      <c r="C166" s="13" t="s">
        <v>192</v>
      </c>
    </row>
    <row r="167" spans="1:19" s="6" customFormat="1" ht="11.25" customHeight="1" x14ac:dyDescent="0.2"/>
    <row r="168" spans="1:19" s="6" customFormat="1" ht="11.25" customHeight="1" x14ac:dyDescent="0.2">
      <c r="D168" s="83" t="str">
        <f>D$10</f>
        <v>Tariff Class</v>
      </c>
      <c r="H168" s="65" t="str">
        <f>Lookup!E$19</f>
        <v>Source</v>
      </c>
      <c r="I168" s="65" t="str">
        <f>Lookup!F$19</f>
        <v>Unit</v>
      </c>
      <c r="J168" s="65" t="str">
        <f>Lookup!G$19</f>
        <v>Basis</v>
      </c>
      <c r="L168" s="7"/>
      <c r="M168" s="7"/>
      <c r="N168" s="7"/>
      <c r="O168" s="65" t="str">
        <f>O$10</f>
        <v>FY20</v>
      </c>
      <c r="P168" s="65" t="str">
        <f>P$10</f>
        <v>FY21</v>
      </c>
      <c r="Q168" s="65" t="str">
        <f>Q$10</f>
        <v>FY22</v>
      </c>
      <c r="R168" s="65" t="str">
        <f>R$10</f>
        <v>FY23</v>
      </c>
      <c r="S168" s="65" t="str">
        <f>S$10</f>
        <v>FY24</v>
      </c>
    </row>
    <row r="169" spans="1:19" s="6" customFormat="1" ht="11.25" customHeight="1" x14ac:dyDescent="0.2">
      <c r="D169" s="3"/>
    </row>
    <row r="170" spans="1:19" s="6" customFormat="1" ht="11.25" customHeight="1" x14ac:dyDescent="0.2">
      <c r="D170" s="100" t="s">
        <v>104</v>
      </c>
      <c r="E170" s="97"/>
      <c r="F170" s="97"/>
      <c r="G170" s="97"/>
      <c r="H170" s="95" t="s">
        <v>89</v>
      </c>
      <c r="I170" s="99" t="s">
        <v>76</v>
      </c>
      <c r="J170" s="99" t="s">
        <v>69</v>
      </c>
      <c r="O170" s="78">
        <f>Calc_A_SA_Cost!O23</f>
        <v>146805.04850916535</v>
      </c>
      <c r="P170" s="78">
        <f>Calc_A_SA_Cost!P23</f>
        <v>135752.08854362258</v>
      </c>
      <c r="Q170" s="78">
        <f>Calc_A_SA_Cost!Q23</f>
        <v>140129.88208653248</v>
      </c>
      <c r="R170" s="78">
        <f>Calc_A_SA_Cost!R23</f>
        <v>144962.96168477897</v>
      </c>
      <c r="S170" s="78">
        <f>Calc_A_SA_Cost!S23</f>
        <v>149963.1081127006</v>
      </c>
    </row>
    <row r="171" spans="1:19" s="6" customFormat="1" ht="11.25" customHeight="1" x14ac:dyDescent="0.2">
      <c r="D171" s="100" t="s">
        <v>114</v>
      </c>
      <c r="E171" s="97"/>
      <c r="F171" s="97"/>
      <c r="G171" s="97"/>
      <c r="H171" s="95" t="s">
        <v>89</v>
      </c>
      <c r="I171" s="99" t="s">
        <v>76</v>
      </c>
      <c r="J171" s="99" t="s">
        <v>69</v>
      </c>
      <c r="O171" s="78">
        <f>Calc_A_SA_Cost!O24</f>
        <v>134064.23975010353</v>
      </c>
      <c r="P171" s="78">
        <f>Calc_A_SA_Cost!P24</f>
        <v>123970.53595846375</v>
      </c>
      <c r="Q171" s="78">
        <f>Calc_A_SA_Cost!Q24</f>
        <v>127968.39276974698</v>
      </c>
      <c r="R171" s="78">
        <f>Calc_A_SA_Cost!R24</f>
        <v>132382.02260448795</v>
      </c>
      <c r="S171" s="78">
        <f>Calc_A_SA_Cost!S24</f>
        <v>136948.21999555832</v>
      </c>
    </row>
    <row r="172" spans="1:19" s="6" customFormat="1" ht="11.25" customHeight="1" x14ac:dyDescent="0.2">
      <c r="D172" s="100" t="s">
        <v>113</v>
      </c>
      <c r="E172" s="97"/>
      <c r="F172" s="97"/>
      <c r="G172" s="97"/>
      <c r="H172" s="95" t="s">
        <v>89</v>
      </c>
      <c r="I172" s="99" t="s">
        <v>76</v>
      </c>
      <c r="J172" s="99" t="s">
        <v>69</v>
      </c>
      <c r="O172" s="78">
        <f>Calc_A_SA_Cost!O25</f>
        <v>50110.808614472036</v>
      </c>
      <c r="P172" s="78">
        <f>Calc_A_SA_Cost!P25</f>
        <v>46337.963149813804</v>
      </c>
      <c r="Q172" s="78">
        <f>Calc_A_SA_Cost!Q25</f>
        <v>47832.290331407523</v>
      </c>
      <c r="R172" s="78">
        <f>Calc_A_SA_Cost!R25</f>
        <v>49482.026013018753</v>
      </c>
      <c r="S172" s="78">
        <f>Calc_A_SA_Cost!S25</f>
        <v>51188.788711157678</v>
      </c>
    </row>
    <row r="173" spans="1:19" s="6" customFormat="1" ht="11.25" customHeight="1" x14ac:dyDescent="0.2"/>
    <row r="174" spans="1:19" s="6" customFormat="1" ht="11.25" hidden="1" customHeight="1" outlineLevel="1" x14ac:dyDescent="0.2">
      <c r="D174" s="96" t="s">
        <v>138</v>
      </c>
      <c r="E174" s="97"/>
      <c r="F174" s="95" t="str">
        <f>NA</f>
        <v>N/A</v>
      </c>
      <c r="G174" s="97"/>
      <c r="H174" s="95" t="s">
        <v>89</v>
      </c>
      <c r="I174" s="99" t="s">
        <v>76</v>
      </c>
      <c r="J174" s="99" t="s">
        <v>69</v>
      </c>
      <c r="K174" s="93"/>
      <c r="O174" s="78">
        <f>SUM(Calc_A_SA_Cost!O61:O78)</f>
        <v>330980.09687374101</v>
      </c>
      <c r="P174" s="78">
        <f>SUM(Calc_A_SA_Cost!P61:P78)</f>
        <v>306060.58765190019</v>
      </c>
      <c r="Q174" s="78">
        <f>SUM(Calc_A_SA_Cost!Q61:Q78)</f>
        <v>315930.56518768705</v>
      </c>
      <c r="R174" s="78">
        <f>SUM(Calc_A_SA_Cost!R61:R78)</f>
        <v>326827.01030228566</v>
      </c>
      <c r="S174" s="78">
        <f>SUM(Calc_A_SA_Cost!S61:S78)</f>
        <v>338100.11681941658</v>
      </c>
    </row>
    <row r="175" spans="1:19" s="6" customFormat="1" ht="11.25" hidden="1" customHeight="1" outlineLevel="1" x14ac:dyDescent="0.2">
      <c r="A175" s="70">
        <f>IF(SUM($M175:$S175)=0,0,1)</f>
        <v>0</v>
      </c>
      <c r="D175" s="96" t="s">
        <v>92</v>
      </c>
      <c r="E175" s="97"/>
      <c r="F175" s="95"/>
      <c r="G175" s="97"/>
      <c r="H175" s="95"/>
      <c r="I175" s="99"/>
      <c r="J175" s="99"/>
      <c r="K175" s="93"/>
      <c r="O175" s="70">
        <f>IF(ROUND(O174-SUM(O170:O172),2)=0,0,1)</f>
        <v>0</v>
      </c>
      <c r="P175" s="70">
        <f>IF(ROUND(P174-SUM(P170:P172),2)=0,0,1)</f>
        <v>0</v>
      </c>
      <c r="Q175" s="70">
        <f>IF(ROUND(Q174-SUM(Q170:Q172),2)=0,0,1)</f>
        <v>0</v>
      </c>
      <c r="R175" s="70">
        <f>IF(ROUND(R174-SUM(R170:R172),2)=0,0,1)</f>
        <v>0</v>
      </c>
      <c r="S175" s="70">
        <f>IF(ROUND(S174-SUM(S170:S172),2)=0,0,1)</f>
        <v>0</v>
      </c>
    </row>
    <row r="176" spans="1:19" s="6" customFormat="1" ht="11.25" customHeight="1" collapsed="1" x14ac:dyDescent="0.2"/>
    <row r="177" spans="1:19" s="13" customFormat="1" ht="14" x14ac:dyDescent="0.2">
      <c r="C177" s="13" t="s">
        <v>193</v>
      </c>
    </row>
    <row r="178" spans="1:19" s="6" customFormat="1" ht="11.25" customHeight="1" x14ac:dyDescent="0.2"/>
    <row r="179" spans="1:19" s="6" customFormat="1" ht="11.25" customHeight="1" x14ac:dyDescent="0.2">
      <c r="D179" s="83" t="str">
        <f>D$10</f>
        <v>Tariff Class</v>
      </c>
      <c r="H179" s="65" t="str">
        <f>Lookup!E$19</f>
        <v>Source</v>
      </c>
      <c r="I179" s="65" t="str">
        <f>Lookup!F$19</f>
        <v>Unit</v>
      </c>
      <c r="J179" s="65" t="str">
        <f>Lookup!G$19</f>
        <v>Basis</v>
      </c>
      <c r="L179" s="7"/>
      <c r="M179" s="7"/>
      <c r="N179" s="7"/>
      <c r="O179" s="65" t="str">
        <f>O$10</f>
        <v>FY20</v>
      </c>
      <c r="P179" s="65" t="str">
        <f>P$10</f>
        <v>FY21</v>
      </c>
      <c r="Q179" s="65" t="str">
        <f>Q$10</f>
        <v>FY22</v>
      </c>
      <c r="R179" s="65" t="str">
        <f>R$10</f>
        <v>FY23</v>
      </c>
      <c r="S179" s="65" t="str">
        <f>S$10</f>
        <v>FY24</v>
      </c>
    </row>
    <row r="180" spans="1:19" s="6" customFormat="1" ht="11.25" customHeight="1" x14ac:dyDescent="0.2">
      <c r="D180" s="3"/>
    </row>
    <row r="181" spans="1:19" s="6" customFormat="1" ht="11.25" customHeight="1" x14ac:dyDescent="0.2">
      <c r="D181" s="100" t="s">
        <v>104</v>
      </c>
      <c r="E181" s="97"/>
      <c r="F181" s="97"/>
      <c r="G181" s="97"/>
      <c r="H181" s="95" t="s">
        <v>89</v>
      </c>
      <c r="I181" s="99" t="s">
        <v>76</v>
      </c>
      <c r="J181" s="99" t="s">
        <v>69</v>
      </c>
      <c r="O181" s="78">
        <f>Calc_A_SA_Cost!O35</f>
        <v>19354.507705556396</v>
      </c>
      <c r="P181" s="78">
        <f>Calc_A_SA_Cost!P35</f>
        <v>17897.305783723659</v>
      </c>
      <c r="Q181" s="78">
        <f>Calc_A_SA_Cost!Q35</f>
        <v>18474.466036181155</v>
      </c>
      <c r="R181" s="78">
        <f>Calc_A_SA_Cost!R35</f>
        <v>19111.650365165515</v>
      </c>
      <c r="S181" s="78">
        <f>Calc_A_SA_Cost!S35</f>
        <v>19770.860477834616</v>
      </c>
    </row>
    <row r="182" spans="1:19" s="6" customFormat="1" ht="11.25" customHeight="1" x14ac:dyDescent="0.2">
      <c r="D182" s="100" t="s">
        <v>114</v>
      </c>
      <c r="E182" s="97"/>
      <c r="F182" s="97"/>
      <c r="G182" s="97"/>
      <c r="H182" s="95" t="s">
        <v>89</v>
      </c>
      <c r="I182" s="99" t="s">
        <v>76</v>
      </c>
      <c r="J182" s="99" t="s">
        <v>69</v>
      </c>
      <c r="O182" s="78">
        <f>Calc_A_SA_Cost!O36</f>
        <v>10632.528560969269</v>
      </c>
      <c r="P182" s="78">
        <f>Calc_A_SA_Cost!P36</f>
        <v>9832.004916106016</v>
      </c>
      <c r="Q182" s="78">
        <f>Calc_A_SA_Cost!Q36</f>
        <v>10149.071770084887</v>
      </c>
      <c r="R182" s="78">
        <f>Calc_A_SA_Cost!R36</f>
        <v>10499.113252906134</v>
      </c>
      <c r="S182" s="78">
        <f>Calc_A_SA_Cost!S36</f>
        <v>10861.254747655794</v>
      </c>
    </row>
    <row r="183" spans="1:19" s="6" customFormat="1" ht="11.25" customHeight="1" x14ac:dyDescent="0.2">
      <c r="D183" s="100" t="s">
        <v>113</v>
      </c>
      <c r="E183" s="97"/>
      <c r="F183" s="97"/>
      <c r="G183" s="97"/>
      <c r="H183" s="95" t="s">
        <v>89</v>
      </c>
      <c r="I183" s="99" t="s">
        <v>76</v>
      </c>
      <c r="J183" s="99" t="s">
        <v>69</v>
      </c>
      <c r="O183" s="78">
        <f>Calc_A_SA_Cost!O37</f>
        <v>5128.0722259341755</v>
      </c>
      <c r="P183" s="78">
        <f>Calc_A_SA_Cost!P37</f>
        <v>4741.9793933697447</v>
      </c>
      <c r="Q183" s="78">
        <f>Calc_A_SA_Cost!Q37</f>
        <v>4894.9008474086277</v>
      </c>
      <c r="R183" s="78">
        <f>Calc_A_SA_Cost!R37</f>
        <v>5063.7259764160235</v>
      </c>
      <c r="S183" s="78">
        <f>Calc_A_SA_Cost!S37</f>
        <v>5238.3869453882735</v>
      </c>
    </row>
    <row r="184" spans="1:19" s="6" customFormat="1" ht="11.25" customHeight="1" x14ac:dyDescent="0.2"/>
    <row r="185" spans="1:19" s="6" customFormat="1" ht="11.25" hidden="1" customHeight="1" outlineLevel="1" x14ac:dyDescent="0.2">
      <c r="D185" s="96" t="s">
        <v>138</v>
      </c>
      <c r="E185" s="97"/>
      <c r="F185" s="95" t="str">
        <f>NA</f>
        <v>N/A</v>
      </c>
      <c r="G185" s="97"/>
      <c r="H185" s="95" t="s">
        <v>89</v>
      </c>
      <c r="I185" s="99" t="s">
        <v>76</v>
      </c>
      <c r="J185" s="99" t="s">
        <v>69</v>
      </c>
      <c r="K185" s="93"/>
      <c r="O185" s="78">
        <f>SUM(Calc_A_SA_Cost!O86:O103)</f>
        <v>35115.108492459847</v>
      </c>
      <c r="P185" s="78">
        <f>SUM(Calc_A_SA_Cost!P86:P103)</f>
        <v>32471.290093199423</v>
      </c>
      <c r="Q185" s="78">
        <f>SUM(Calc_A_SA_Cost!Q86:Q103)</f>
        <v>33518.438653674668</v>
      </c>
      <c r="R185" s="78">
        <f>SUM(Calc_A_SA_Cost!R86:R103)</f>
        <v>34674.48959448767</v>
      </c>
      <c r="S185" s="78">
        <f>SUM(Calc_A_SA_Cost!S86:S103)</f>
        <v>35870.502170878688</v>
      </c>
    </row>
    <row r="186" spans="1:19" s="6" customFormat="1" ht="11.25" hidden="1" customHeight="1" outlineLevel="1" x14ac:dyDescent="0.2">
      <c r="A186" s="70">
        <f>IF(SUM($M186:$S186)=0,0,1)</f>
        <v>0</v>
      </c>
      <c r="D186" s="96" t="s">
        <v>92</v>
      </c>
      <c r="E186" s="97"/>
      <c r="F186" s="95"/>
      <c r="G186" s="97"/>
      <c r="H186" s="95"/>
      <c r="I186" s="99"/>
      <c r="J186" s="99"/>
      <c r="K186" s="93"/>
      <c r="O186" s="70">
        <f>IF(ROUND(O185-SUM(O181:O183),2)=0,0,1)</f>
        <v>0</v>
      </c>
      <c r="P186" s="70">
        <f>IF(ROUND(P185-SUM(P181:P183),2)=0,0,1)</f>
        <v>0</v>
      </c>
      <c r="Q186" s="70">
        <f>IF(ROUND(Q185-SUM(Q181:Q183),2)=0,0,1)</f>
        <v>0</v>
      </c>
      <c r="R186" s="70">
        <f>IF(ROUND(R185-SUM(R181:R183),2)=0,0,1)</f>
        <v>0</v>
      </c>
      <c r="S186" s="70">
        <f>IF(ROUND(S185-SUM(S181:S183),2)=0,0,1)</f>
        <v>0</v>
      </c>
    </row>
    <row r="187" spans="1:19" s="6" customFormat="1" ht="11.25" customHeight="1" collapsed="1" x14ac:dyDescent="0.2"/>
    <row r="188" spans="1:19" s="13" customFormat="1" ht="14" x14ac:dyDescent="0.2">
      <c r="C188" s="13" t="s">
        <v>164</v>
      </c>
    </row>
    <row r="189" spans="1:19" s="6" customFormat="1" ht="11.25" customHeight="1" x14ac:dyDescent="0.2"/>
    <row r="190" spans="1:19" s="6" customFormat="1" ht="11.25" customHeight="1" x14ac:dyDescent="0.2">
      <c r="D190" s="83" t="str">
        <f>D$10</f>
        <v>Tariff Class</v>
      </c>
      <c r="H190" s="65" t="str">
        <f>Lookup!E$19</f>
        <v>Source</v>
      </c>
      <c r="I190" s="65" t="str">
        <f>Lookup!F$19</f>
        <v>Unit</v>
      </c>
      <c r="J190" s="65" t="str">
        <f>Lookup!G$19</f>
        <v>Basis</v>
      </c>
      <c r="L190" s="7"/>
      <c r="M190" s="7"/>
      <c r="N190" s="7"/>
      <c r="O190" s="65" t="str">
        <f>O$10</f>
        <v>FY20</v>
      </c>
      <c r="P190" s="65" t="str">
        <f>P$10</f>
        <v>FY21</v>
      </c>
      <c r="Q190" s="65" t="str">
        <f>Q$10</f>
        <v>FY22</v>
      </c>
      <c r="R190" s="65" t="str">
        <f>R$10</f>
        <v>FY23</v>
      </c>
      <c r="S190" s="65" t="str">
        <f>S$10</f>
        <v>FY24</v>
      </c>
    </row>
    <row r="191" spans="1:19" s="6" customFormat="1" ht="11.25" customHeight="1" x14ac:dyDescent="0.2">
      <c r="D191" s="3"/>
    </row>
    <row r="192" spans="1:19" s="6" customFormat="1" ht="11.25" customHeight="1" x14ac:dyDescent="0.2">
      <c r="D192" s="100" t="s">
        <v>104</v>
      </c>
      <c r="E192" s="97"/>
      <c r="F192" s="97"/>
      <c r="G192" s="97"/>
      <c r="H192" s="95" t="s">
        <v>89</v>
      </c>
      <c r="I192" s="99" t="s">
        <v>76</v>
      </c>
      <c r="J192" s="99" t="s">
        <v>69</v>
      </c>
      <c r="O192" s="78">
        <f>SUMIF(Output_Revenue!$F$35:$F$41,$D192,Output_Revenue!O$35:O$41)</f>
        <v>124100.07122724783</v>
      </c>
      <c r="P192" s="78">
        <f>SUMIF(Output_Revenue!$F$35:$F$41,$D192,Output_Revenue!P$35:P$41)</f>
        <v>113803.67670616967</v>
      </c>
      <c r="Q192" s="78">
        <f>SUMIF(Output_Revenue!$F$35:$F$41,$D192,Output_Revenue!Q$35:Q$41)</f>
        <v>117505.13573887356</v>
      </c>
      <c r="R192" s="78">
        <f>SUMIF(Output_Revenue!$F$35:$F$41,$D192,Output_Revenue!R$35:R$41)</f>
        <v>121579.0531611059</v>
      </c>
      <c r="S192" s="78">
        <f>SUMIF(Output_Revenue!$F$35:$F$41,$D192,Output_Revenue!S$35:S$41)</f>
        <v>125751.8573362907</v>
      </c>
    </row>
    <row r="193" spans="1:19" s="6" customFormat="1" ht="11.25" customHeight="1" x14ac:dyDescent="0.2">
      <c r="D193" s="100" t="s">
        <v>114</v>
      </c>
      <c r="E193" s="97"/>
      <c r="F193" s="97"/>
      <c r="G193" s="97"/>
      <c r="H193" s="95" t="s">
        <v>89</v>
      </c>
      <c r="I193" s="99" t="s">
        <v>76</v>
      </c>
      <c r="J193" s="99" t="s">
        <v>69</v>
      </c>
      <c r="O193" s="78">
        <f>SUMIF(Output_Revenue!$F$35:$F$41,$D193,Output_Revenue!O$35:O$41)</f>
        <v>17612.650009960413</v>
      </c>
      <c r="P193" s="78">
        <f>SUMIF(Output_Revenue!$F$35:$F$41,$D193,Output_Revenue!P$35:P$41)</f>
        <v>16930.697278181899</v>
      </c>
      <c r="Q193" s="78">
        <f>SUMIF(Output_Revenue!$F$35:$F$41,$D193,Output_Revenue!Q$35:Q$41)</f>
        <v>17519.23496807817</v>
      </c>
      <c r="R193" s="78">
        <f>SUMIF(Output_Revenue!$F$35:$F$41,$D193,Output_Revenue!R$35:R$41)</f>
        <v>18135.19244107202</v>
      </c>
      <c r="S193" s="78">
        <f>SUMIF(Output_Revenue!$F$35:$F$41,$D193,Output_Revenue!S$35:S$41)</f>
        <v>18812.581353571877</v>
      </c>
    </row>
    <row r="194" spans="1:19" s="6" customFormat="1" ht="11.25" customHeight="1" x14ac:dyDescent="0.2">
      <c r="D194" s="100" t="s">
        <v>113</v>
      </c>
      <c r="E194" s="97"/>
      <c r="F194" s="97"/>
      <c r="G194" s="97"/>
      <c r="H194" s="95" t="s">
        <v>89</v>
      </c>
      <c r="I194" s="99" t="s">
        <v>76</v>
      </c>
      <c r="J194" s="99" t="s">
        <v>69</v>
      </c>
      <c r="O194" s="78">
        <f>SUMIF(Output_Revenue!$F$35:$F$41,$D194,Output_Revenue!O$35:O$41)</f>
        <v>16098.2690812</v>
      </c>
      <c r="P194" s="78">
        <f>SUMIF(Output_Revenue!$F$35:$F$41,$D194,Output_Revenue!P$35:P$41)</f>
        <v>15195.018420187062</v>
      </c>
      <c r="Q194" s="78">
        <f>SUMIF(Output_Revenue!$F$35:$F$41,$D194,Output_Revenue!Q$35:Q$41)</f>
        <v>15611.017447951082</v>
      </c>
      <c r="R194" s="78">
        <f>SUMIF(Output_Revenue!$F$35:$F$41,$D194,Output_Revenue!R$35:R$41)</f>
        <v>16116.5570526517</v>
      </c>
      <c r="S194" s="78">
        <f>SUMIF(Output_Revenue!$F$35:$F$41,$D194,Output_Revenue!S$35:S$41)</f>
        <v>16641.370257602153</v>
      </c>
    </row>
    <row r="195" spans="1:19" s="6" customFormat="1" ht="11.25" customHeight="1" x14ac:dyDescent="0.2"/>
    <row r="196" spans="1:19" s="6" customFormat="1" ht="11.25" hidden="1" customHeight="1" outlineLevel="1" x14ac:dyDescent="0.2">
      <c r="D196" s="96" t="s">
        <v>138</v>
      </c>
      <c r="E196" s="97"/>
      <c r="F196" s="95" t="str">
        <f>NA</f>
        <v>N/A</v>
      </c>
      <c r="G196" s="97"/>
      <c r="H196" s="95" t="s">
        <v>89</v>
      </c>
      <c r="I196" s="99" t="s">
        <v>76</v>
      </c>
      <c r="J196" s="99" t="s">
        <v>69</v>
      </c>
      <c r="K196" s="93"/>
      <c r="O196" s="78">
        <f>Output_Revenue!O27</f>
        <v>157810.99031840824</v>
      </c>
      <c r="P196" s="78">
        <f>Output_Revenue!P27</f>
        <v>145929.39240453864</v>
      </c>
      <c r="Q196" s="78">
        <f>Output_Revenue!Q27</f>
        <v>150635.38815490284</v>
      </c>
      <c r="R196" s="78">
        <f>Output_Revenue!R27</f>
        <v>155830.8026548296</v>
      </c>
      <c r="S196" s="78">
        <f>Output_Revenue!S27</f>
        <v>161205.80894746474</v>
      </c>
    </row>
    <row r="197" spans="1:19" s="6" customFormat="1" ht="11.25" hidden="1" customHeight="1" outlineLevel="1" x14ac:dyDescent="0.2">
      <c r="A197" s="70">
        <f>IF(SUM($M197:$S197)=0,0,1)</f>
        <v>0</v>
      </c>
      <c r="D197" s="96" t="s">
        <v>92</v>
      </c>
      <c r="E197" s="97"/>
      <c r="F197" s="95"/>
      <c r="G197" s="97"/>
      <c r="H197" s="95"/>
      <c r="I197" s="99"/>
      <c r="J197" s="99"/>
      <c r="K197" s="93"/>
      <c r="O197" s="70">
        <f>IF(ROUND(O196-SUM(O192:O194),2)=0,0,1)</f>
        <v>0</v>
      </c>
      <c r="P197" s="70">
        <f>IF(ROUND(P196-SUM(P192:P194),2)=0,0,1)</f>
        <v>0</v>
      </c>
      <c r="Q197" s="70">
        <f>IF(ROUND(Q196-SUM(Q192:Q194),2)=0,0,1)</f>
        <v>0</v>
      </c>
      <c r="R197" s="70">
        <f>IF(ROUND(R196-SUM(R192:R194),2)=0,0,1)</f>
        <v>0</v>
      </c>
      <c r="S197" s="70">
        <f>IF(ROUND(S196-SUM(S192:S194),2)=0,0,1)</f>
        <v>0</v>
      </c>
    </row>
    <row r="198" spans="1:19" s="6" customFormat="1" ht="11.25" customHeight="1" collapsed="1" x14ac:dyDescent="0.2"/>
    <row r="199" spans="1:19" s="13" customFormat="1" ht="14" x14ac:dyDescent="0.2">
      <c r="C199" s="13" t="s">
        <v>194</v>
      </c>
    </row>
    <row r="200" spans="1:19" s="6" customFormat="1" ht="11.25" customHeight="1" x14ac:dyDescent="0.2"/>
    <row r="201" spans="1:19" s="6" customFormat="1" ht="11.25" customHeight="1" x14ac:dyDescent="0.2">
      <c r="D201" s="83" t="str">
        <f>D$10</f>
        <v>Tariff Class</v>
      </c>
      <c r="M201" s="7"/>
      <c r="N201" s="7"/>
      <c r="O201" s="65" t="str">
        <f>O$10</f>
        <v>FY20</v>
      </c>
      <c r="P201" s="65" t="str">
        <f>P$10</f>
        <v>FY21</v>
      </c>
      <c r="Q201" s="65" t="str">
        <f>Q$10</f>
        <v>FY22</v>
      </c>
      <c r="R201" s="65" t="str">
        <f>R$10</f>
        <v>FY23</v>
      </c>
      <c r="S201" s="65" t="str">
        <f>S$10</f>
        <v>FY24</v>
      </c>
    </row>
    <row r="202" spans="1:19" s="6" customFormat="1" ht="11.25" customHeight="1" x14ac:dyDescent="0.2">
      <c r="D202" s="3"/>
    </row>
    <row r="203" spans="1:19" s="6" customFormat="1" ht="11.25" customHeight="1" x14ac:dyDescent="0.2">
      <c r="A203" s="70">
        <f>IF(COUNTIF($M203:$S203,"Fail")=0,0,1)</f>
        <v>0</v>
      </c>
      <c r="D203" s="100" t="s">
        <v>104</v>
      </c>
      <c r="O203" s="95" t="str">
        <f t="shared" ref="O203:S205" si="12">IF(O$10&gt;=$H$20,IF(AND(O192&gt;O181,O192&lt;O170),"Pass","Fail"),"")</f>
        <v/>
      </c>
      <c r="P203" s="95" t="str">
        <f t="shared" si="12"/>
        <v>Pass</v>
      </c>
      <c r="Q203" s="95" t="str">
        <f t="shared" si="12"/>
        <v>Pass</v>
      </c>
      <c r="R203" s="95" t="str">
        <f t="shared" si="12"/>
        <v>Pass</v>
      </c>
      <c r="S203" s="95" t="str">
        <f t="shared" si="12"/>
        <v>Pass</v>
      </c>
    </row>
    <row r="204" spans="1:19" s="6" customFormat="1" ht="11.25" customHeight="1" x14ac:dyDescent="0.2">
      <c r="A204" s="70">
        <f>IF(COUNTIF($M204:$S204,"Fail")=0,0,1)</f>
        <v>0</v>
      </c>
      <c r="D204" s="100" t="s">
        <v>114</v>
      </c>
      <c r="O204" s="95" t="str">
        <f t="shared" si="12"/>
        <v/>
      </c>
      <c r="P204" s="95" t="str">
        <f t="shared" si="12"/>
        <v>Pass</v>
      </c>
      <c r="Q204" s="95" t="str">
        <f t="shared" si="12"/>
        <v>Pass</v>
      </c>
      <c r="R204" s="95" t="str">
        <f t="shared" si="12"/>
        <v>Pass</v>
      </c>
      <c r="S204" s="95" t="str">
        <f t="shared" si="12"/>
        <v>Pass</v>
      </c>
    </row>
    <row r="205" spans="1:19" s="6" customFormat="1" ht="11.25" customHeight="1" x14ac:dyDescent="0.2">
      <c r="A205" s="70">
        <f>IF(COUNTIF($M205:$S205,"Fail")=0,0,1)</f>
        <v>0</v>
      </c>
      <c r="D205" s="100" t="s">
        <v>113</v>
      </c>
      <c r="O205" s="95" t="str">
        <f t="shared" si="12"/>
        <v/>
      </c>
      <c r="P205" s="95" t="str">
        <f t="shared" si="12"/>
        <v>Pass</v>
      </c>
      <c r="Q205" s="95" t="str">
        <f t="shared" si="12"/>
        <v>Pass</v>
      </c>
      <c r="R205" s="95" t="str">
        <f t="shared" si="12"/>
        <v>Pass</v>
      </c>
      <c r="S205" s="95" t="str">
        <f t="shared" si="12"/>
        <v>Pass</v>
      </c>
    </row>
    <row r="206" spans="1:19" s="6" customFormat="1" ht="11.25" customHeight="1" x14ac:dyDescent="0.2"/>
    <row r="207" spans="1:19" s="6" customFormat="1" ht="11.25" customHeight="1" x14ac:dyDescent="0.2">
      <c r="A207" s="70">
        <f>IF(COUNTIF($M207:$S207,"Fail")=0,0,1)</f>
        <v>0</v>
      </c>
      <c r="D207" s="12" t="s">
        <v>332</v>
      </c>
      <c r="O207" s="95" t="str">
        <f>IF(O$10&gt;=$H$20,IF(COUNTIF(O203:O205,"Fail")&gt;0,"Fail","Pass"),"")</f>
        <v/>
      </c>
      <c r="P207" s="95" t="str">
        <f t="shared" ref="P207:S207" si="13">IF(P$10&gt;=$H$20,IF(COUNTIF(P203:P205,"Fail")&gt;0,"Fail","Pass"),"")</f>
        <v>Pass</v>
      </c>
      <c r="Q207" s="95" t="str">
        <f t="shared" si="13"/>
        <v>Pass</v>
      </c>
      <c r="R207" s="95" t="str">
        <f t="shared" si="13"/>
        <v>Pass</v>
      </c>
      <c r="S207" s="95" t="str">
        <f t="shared" si="13"/>
        <v>Pass</v>
      </c>
    </row>
    <row r="208" spans="1:19" s="6" customFormat="1" ht="11.25" customHeight="1" x14ac:dyDescent="0.2"/>
    <row r="209" spans="2:2" s="6" customFormat="1" ht="11.25" customHeight="1" x14ac:dyDescent="0.2"/>
    <row r="210" spans="2:2" s="4" customFormat="1" ht="15.5" x14ac:dyDescent="0.2">
      <c r="B210" s="4" t="s">
        <v>33</v>
      </c>
    </row>
  </sheetData>
  <conditionalFormatting sqref="B2">
    <cfRule type="cellIs" dxfId="27" priority="45" operator="notEqual">
      <formula>"No Errors Found"</formula>
    </cfRule>
  </conditionalFormatting>
  <conditionalFormatting sqref="O203:S205">
    <cfRule type="cellIs" dxfId="26" priority="43" operator="equal">
      <formula>"Fail"</formula>
    </cfRule>
    <cfRule type="cellIs" dxfId="25" priority="44" operator="equal">
      <formula>"Pass"</formula>
    </cfRule>
  </conditionalFormatting>
  <conditionalFormatting sqref="O107:S107">
    <cfRule type="cellIs" dxfId="24" priority="41" operator="equal">
      <formula>"Fail"</formula>
    </cfRule>
    <cfRule type="cellIs" dxfId="23" priority="42" operator="equal">
      <formula>"Pass"</formula>
    </cfRule>
  </conditionalFormatting>
  <conditionalFormatting sqref="P154:S156">
    <cfRule type="cellIs" dxfId="22" priority="29" operator="equal">
      <formula>"Fail"</formula>
    </cfRule>
    <cfRule type="cellIs" dxfId="21" priority="30" operator="equal">
      <formula>"Pass"</formula>
    </cfRule>
  </conditionalFormatting>
  <conditionalFormatting sqref="O63:S63">
    <cfRule type="cellIs" dxfId="20" priority="14" operator="equal">
      <formula>"Fail"</formula>
    </cfRule>
    <cfRule type="cellIs" dxfId="19" priority="15" operator="equal">
      <formula>"Pass"</formula>
    </cfRule>
  </conditionalFormatting>
  <conditionalFormatting sqref="M76:S76 M78:S79 M83:S83 M85:S85 M87:S87 M74:S74 M93:S93 M100:S100 O105:S105 M10:S10 M95:S98 M81:S81 O61:S61 O168:S168 O170:S172 O179:S179 O181:S183 O190:S190 O192:S194 O201 O117:S117 O137:S137 P147:S147 O152:S152 P120:S122 P130:S132 P140:S145 P125:S127">
    <cfRule type="expression" dxfId="18" priority="46">
      <formula>M$10=$H$20</formula>
    </cfRule>
  </conditionalFormatting>
  <conditionalFormatting sqref="O45:S45">
    <cfRule type="expression" dxfId="17" priority="13">
      <formula>O$10=$H$20</formula>
    </cfRule>
  </conditionalFormatting>
  <conditionalFormatting sqref="O34:S34">
    <cfRule type="expression" dxfId="16" priority="12">
      <formula>O$10=$H$20</formula>
    </cfRule>
  </conditionalFormatting>
  <conditionalFormatting sqref="O36:S37">
    <cfRule type="expression" dxfId="15" priority="11">
      <formula>O$10=$H$20</formula>
    </cfRule>
  </conditionalFormatting>
  <conditionalFormatting sqref="O39:S40">
    <cfRule type="expression" dxfId="14" priority="10">
      <formula>O$10=$H$20</formula>
    </cfRule>
  </conditionalFormatting>
  <conditionalFormatting sqref="O48:S50">
    <cfRule type="expression" dxfId="13" priority="9">
      <formula>O$10=$H$20</formula>
    </cfRule>
  </conditionalFormatting>
  <conditionalFormatting sqref="O47:S47">
    <cfRule type="expression" dxfId="12" priority="8">
      <formula>O$10=$H$20</formula>
    </cfRule>
  </conditionalFormatting>
  <conditionalFormatting sqref="O55:S55">
    <cfRule type="expression" dxfId="11" priority="7">
      <formula>O$10=$H$20</formula>
    </cfRule>
  </conditionalFormatting>
  <conditionalFormatting sqref="H23:H26">
    <cfRule type="cellIs" dxfId="10" priority="5" operator="equal">
      <formula>"Fail"</formula>
    </cfRule>
    <cfRule type="cellIs" dxfId="9" priority="6" operator="equal">
      <formula>"Pass"</formula>
    </cfRule>
  </conditionalFormatting>
  <conditionalFormatting sqref="P158:S158">
    <cfRule type="cellIs" dxfId="8" priority="3" operator="equal">
      <formula>"Fail"</formula>
    </cfRule>
    <cfRule type="cellIs" dxfId="7" priority="4" operator="equal">
      <formula>"Pass"</formula>
    </cfRule>
  </conditionalFormatting>
  <conditionalFormatting sqref="O207:S207">
    <cfRule type="cellIs" dxfId="6" priority="1" operator="equal">
      <formula>"Fail"</formula>
    </cfRule>
    <cfRule type="cellIs" dxfId="5" priority="2" operator="equal">
      <formula>"Pass"</formula>
    </cfRule>
  </conditionalFormatting>
  <dataValidations disablePrompts="1" count="4">
    <dataValidation type="list" allowBlank="1" showInputMessage="1" showErrorMessage="1" sqref="K185:K186 K174:K175 K196:K197 K57">
      <formula1>LU_Timing</formula1>
    </dataValidation>
    <dataValidation type="list" allowBlank="1" showInputMessage="1" showErrorMessage="1" sqref="I174:I175 I170:I172 I185:I186 I95:I98 I181:I183 I76:I77 I192:I194 I85 I196:I197 I147 I125:I128 I130:I132 I120:I123 I140:I145 I47:I50 I36:I40 I57 I55">
      <formula1>LU_Units</formula1>
    </dataValidation>
    <dataValidation type="list" allowBlank="1" showInputMessage="1" showErrorMessage="1" sqref="J174:J175 J170:J172 J185:J186 J95:J98 J181:J183 J76:J77 J192:J194 J85 J196:J197 J147 J125:J128 J130:J132 J120:J123 J140:J145 J47:J50 J36:J40 J57 J55">
      <formula1>LU_Basis</formula1>
    </dataValidation>
    <dataValidation type="list" allowBlank="1" showInputMessage="1" showErrorMessage="1" sqref="D170:D172 D181:D183 D192:D194 D154:D156 D120:D123 D125:D128 D130:D132 D203:D205">
      <formula1>LU_Tariff_Classes</formula1>
    </dataValidation>
  </dataValidations>
  <hyperlinks>
    <hyperlink ref="B3:E3" location="TOC!A1" display="TOC!A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Lookup!$O$19:$S$19</xm:f>
          </x14:formula1>
          <xm:sqref>H20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B89"/>
  <sheetViews>
    <sheetView showGridLines="0" workbookViewId="0">
      <pane ySplit="5" topLeftCell="A9" activePane="bottomLeft" state="frozen"/>
      <selection pane="bottomLeft" activeCell="R21" sqref="R21:S28"/>
    </sheetView>
  </sheetViews>
  <sheetFormatPr defaultColWidth="9.33203125" defaultRowHeight="10" x14ac:dyDescent="0.2"/>
  <cols>
    <col min="1" max="1" width="3.6640625" style="7" customWidth="1"/>
    <col min="2" max="3" width="2.77734375" style="7" customWidth="1"/>
    <col min="4" max="4" width="25.77734375" style="7" customWidth="1"/>
    <col min="5" max="5" width="24" style="7" customWidth="1"/>
    <col min="6" max="9" width="10.77734375" style="7" customWidth="1"/>
    <col min="10" max="10" width="12.77734375" style="7" customWidth="1"/>
    <col min="11" max="15" width="10.77734375" style="7" customWidth="1"/>
    <col min="16" max="16" width="28.77734375" style="7" customWidth="1"/>
    <col min="17" max="17" width="15.109375" style="7" customWidth="1"/>
    <col min="18" max="24" width="10.77734375" style="7" customWidth="1"/>
    <col min="25" max="16384" width="9.33203125" style="7"/>
  </cols>
  <sheetData>
    <row r="1" spans="1:7" ht="19" x14ac:dyDescent="0.2">
      <c r="A1" s="70"/>
      <c r="B1" s="5" t="s">
        <v>195</v>
      </c>
    </row>
    <row r="2" spans="1:7" x14ac:dyDescent="0.2">
      <c r="B2" s="18" t="str">
        <f>Title_Msg</f>
        <v>No Errors Found</v>
      </c>
    </row>
    <row r="3" spans="1:7" x14ac:dyDescent="0.2">
      <c r="B3" s="57" t="str">
        <f>TOC!B1</f>
        <v>Table of Contents</v>
      </c>
      <c r="C3" s="51"/>
      <c r="D3" s="51"/>
      <c r="E3" s="51"/>
    </row>
    <row r="4" spans="1:7" ht="13" x14ac:dyDescent="0.2">
      <c r="B4" s="48" t="str">
        <f>Model_Name</f>
        <v>Pricing Model - Power and Water Corporation</v>
      </c>
    </row>
    <row r="6" spans="1:7" s="4" customFormat="1" ht="15.5" x14ac:dyDescent="0.2">
      <c r="B6" s="4" t="s">
        <v>260</v>
      </c>
    </row>
    <row r="7" spans="1:7" s="6" customFormat="1" ht="11.25" customHeight="1" x14ac:dyDescent="0.2"/>
    <row r="8" spans="1:7" s="6" customFormat="1" ht="11.25" customHeight="1" x14ac:dyDescent="0.2">
      <c r="D8" s="124" t="s">
        <v>263</v>
      </c>
    </row>
    <row r="9" spans="1:7" s="6" customFormat="1" ht="11.25" customHeight="1" x14ac:dyDescent="0.2"/>
    <row r="10" spans="1:7" s="6" customFormat="1" ht="11.25" customHeight="1" x14ac:dyDescent="0.2">
      <c r="D10" s="124" t="s">
        <v>262</v>
      </c>
      <c r="F10" s="125" t="s">
        <v>478</v>
      </c>
      <c r="G10" s="137">
        <f>MATCH(F10,Lookup!$M$19:$S$19)</f>
        <v>4</v>
      </c>
    </row>
    <row r="11" spans="1:7" s="6" customFormat="1" ht="11.25" customHeight="1" x14ac:dyDescent="0.2"/>
    <row r="12" spans="1:7" s="6" customFormat="1" ht="11.25" customHeight="1" x14ac:dyDescent="0.2"/>
    <row r="13" spans="1:7" s="4" customFormat="1" ht="15.5" x14ac:dyDescent="0.2">
      <c r="B13" s="4" t="s">
        <v>198</v>
      </c>
    </row>
    <row r="14" spans="1:7" s="6" customFormat="1" ht="4.5" customHeight="1" x14ac:dyDescent="0.2"/>
    <row r="15" spans="1:7" s="13" customFormat="1" ht="14" x14ac:dyDescent="0.2">
      <c r="C15" s="13" t="str">
        <f>"Residual cost recovery share by tariff ("&amp;F10&amp;")"</f>
        <v>Residual cost recovery share by tariff (FY21)</v>
      </c>
    </row>
    <row r="17" spans="16:19 16382:16382" s="117" customFormat="1" ht="13" x14ac:dyDescent="0.3"/>
    <row r="18" spans="16:19 16382:16382" s="117" customFormat="1" ht="13" x14ac:dyDescent="0.3"/>
    <row r="19" spans="16:19 16382:16382" s="117" customFormat="1" ht="13" customHeight="1" x14ac:dyDescent="0.3"/>
    <row r="20" spans="16:19 16382:16382" s="117" customFormat="1" ht="13" x14ac:dyDescent="0.3">
      <c r="P20" s="129" t="s">
        <v>196</v>
      </c>
      <c r="Q20" s="128"/>
      <c r="R20" s="248" t="str">
        <f>"FY"&amp;RIGHT(S20,2)-1</f>
        <v>FY20</v>
      </c>
      <c r="S20" s="282" t="str">
        <f>F10</f>
        <v>FY21</v>
      </c>
    </row>
    <row r="21" spans="16:19 16382:16382" s="117" customFormat="1" ht="13" x14ac:dyDescent="0.3">
      <c r="P21" s="363" t="s">
        <v>438</v>
      </c>
      <c r="Q21" s="364"/>
      <c r="R21" s="314">
        <f>INDEX(Calc_Residual_Tariff!$O99:$S99,$G$10-3)</f>
        <v>0.45233815602511801</v>
      </c>
      <c r="S21" s="314">
        <f>INDEX(Calc_Residual_Tariff!$O99:$S99,$G$10-2)</f>
        <v>0.45071246852272723</v>
      </c>
      <c r="XFB21" s="117" t="s">
        <v>438</v>
      </c>
    </row>
    <row r="22" spans="16:19 16382:16382" s="117" customFormat="1" ht="13" x14ac:dyDescent="0.3">
      <c r="P22" s="363" t="s">
        <v>439</v>
      </c>
      <c r="Q22" s="364"/>
      <c r="R22" s="314">
        <f>INDEX(Calc_Residual_Tariff!$O100:$S100,$G$10-3)</f>
        <v>7.8684563301663291E-2</v>
      </c>
      <c r="S22" s="314">
        <f>INDEX(Calc_Residual_Tariff!$O100:$S100,$G$10-2)</f>
        <v>7.7611326903126776E-2</v>
      </c>
      <c r="XFB22" s="117" t="s">
        <v>439</v>
      </c>
    </row>
    <row r="23" spans="16:19 16382:16382" s="117" customFormat="1" ht="13" x14ac:dyDescent="0.3">
      <c r="P23" s="363" t="s">
        <v>444</v>
      </c>
      <c r="Q23" s="364"/>
      <c r="R23" s="314">
        <f>INDEX(Calc_Residual_Tariff!$O101:$S101,$G$10-3)</f>
        <v>4.4873858224993551E-3</v>
      </c>
      <c r="S23" s="314">
        <f>INDEX(Calc_Residual_Tariff!$O101:$S101,$G$10-2)</f>
        <v>4.4616190653874307E-3</v>
      </c>
      <c r="XFB23" s="117" t="s">
        <v>444</v>
      </c>
    </row>
    <row r="24" spans="16:19 16382:16382" s="117" customFormat="1" ht="13" x14ac:dyDescent="0.3">
      <c r="P24" s="363" t="s">
        <v>440</v>
      </c>
      <c r="Q24" s="364"/>
      <c r="R24" s="314">
        <f>INDEX(Calc_Residual_Tariff!$O102:$S102,$G$10-3)</f>
        <v>0.32090891854191234</v>
      </c>
      <c r="S24" s="314">
        <f>INDEX(Calc_Residual_Tariff!$O102:$S102,$G$10-2)</f>
        <v>0.32411686536391748</v>
      </c>
      <c r="XFB24" s="117" t="s">
        <v>440</v>
      </c>
    </row>
    <row r="25" spans="16:19 16382:16382" s="117" customFormat="1" ht="13" x14ac:dyDescent="0.3">
      <c r="P25" s="363" t="s">
        <v>441</v>
      </c>
      <c r="Q25" s="364"/>
      <c r="R25" s="314">
        <f>INDEX(Calc_Residual_Tariff!$O103:$S103,$G$10-3)</f>
        <v>2.8512539455016481E-3</v>
      </c>
      <c r="S25" s="314">
        <f>INDEX(Calc_Residual_Tariff!$O103:$S103,$G$10-2)</f>
        <v>2.0557473414511878E-3</v>
      </c>
      <c r="XFB25" s="117" t="s">
        <v>441</v>
      </c>
    </row>
    <row r="26" spans="16:19 16382:16382" s="117" customFormat="1" ht="13" x14ac:dyDescent="0.3">
      <c r="P26" s="363" t="s">
        <v>442</v>
      </c>
      <c r="Q26" s="364"/>
      <c r="R26" s="314">
        <f>INDEX(Calc_Residual_Tariff!$O104:$S104,$G$10-3)</f>
        <v>5.7725248827107979E-2</v>
      </c>
      <c r="S26" s="314">
        <f>INDEX(Calc_Residual_Tariff!$O104:$S104,$G$10-2)</f>
        <v>5.6767427139918177E-2</v>
      </c>
      <c r="XFB26" s="117" t="s">
        <v>442</v>
      </c>
    </row>
    <row r="27" spans="16:19 16382:16382" s="117" customFormat="1" ht="13" x14ac:dyDescent="0.3">
      <c r="P27" s="363" t="s">
        <v>443</v>
      </c>
      <c r="Q27" s="364"/>
      <c r="R27" s="314">
        <f>INDEX(Calc_Residual_Tariff!$O105:$S105,$G$10-3)</f>
        <v>8.3004473536197526E-2</v>
      </c>
      <c r="S27" s="314">
        <f>INDEX(Calc_Residual_Tariff!$O105:$S105,$G$10-2)</f>
        <v>8.4274545663471687E-2</v>
      </c>
      <c r="XFB27" s="117" t="s">
        <v>443</v>
      </c>
    </row>
    <row r="28" spans="16:19 16382:16382" s="117" customFormat="1" ht="13" x14ac:dyDescent="0.3">
      <c r="P28" s="359" t="s">
        <v>88</v>
      </c>
      <c r="Q28" s="360"/>
      <c r="R28" s="322">
        <f>SUM(R21:R27)</f>
        <v>1.0000000000000002</v>
      </c>
      <c r="S28" s="322">
        <f>SUM(S21:S27)</f>
        <v>1</v>
      </c>
    </row>
    <row r="29" spans="16:19 16382:16382" s="117" customFormat="1" ht="13" x14ac:dyDescent="0.3"/>
    <row r="30" spans="16:19 16382:16382" s="117" customFormat="1" ht="13" x14ac:dyDescent="0.3"/>
    <row r="31" spans="16:19 16382:16382" s="117" customFormat="1" ht="13" x14ac:dyDescent="0.3"/>
    <row r="39" spans="3:19" s="13" customFormat="1" ht="14" x14ac:dyDescent="0.2">
      <c r="C39" s="13" t="str">
        <f>"Residual cost recovery shares by tariff and tariff charging parameter ("&amp;F10&amp;")"</f>
        <v>Residual cost recovery shares by tariff and tariff charging parameter (FY21)</v>
      </c>
    </row>
    <row r="40" spans="3:19" s="117" customFormat="1" ht="11.25" customHeight="1" x14ac:dyDescent="0.3"/>
    <row r="41" spans="3:19" s="117" customFormat="1" ht="13" x14ac:dyDescent="0.3">
      <c r="P41" s="130" t="s">
        <v>196</v>
      </c>
      <c r="Q41" s="118" t="s">
        <v>197</v>
      </c>
      <c r="R41" s="248" t="s">
        <v>171</v>
      </c>
      <c r="S41" s="282" t="str">
        <f>S20</f>
        <v>FY21</v>
      </c>
    </row>
    <row r="42" spans="3:19" s="117" customFormat="1" ht="11.25" customHeight="1" x14ac:dyDescent="0.3">
      <c r="P42" s="365" t="s">
        <v>438</v>
      </c>
      <c r="Q42" s="119" t="str">
        <f>Calc_Residual_Tariff!E116</f>
        <v>SAC</v>
      </c>
      <c r="R42" s="120">
        <f>INDEX(Calc_Residual_Tariff!$O116:$S116,$G$10-3)</f>
        <v>0.13342748013081313</v>
      </c>
      <c r="S42" s="120">
        <f>INDEX(Calc_Residual_Tariff!$O116:$S116,$G$10-2)</f>
        <v>0.20362500490276997</v>
      </c>
    </row>
    <row r="43" spans="3:19" s="117" customFormat="1" ht="11.25" customHeight="1" x14ac:dyDescent="0.3">
      <c r="P43" s="365"/>
      <c r="Q43" s="123" t="str">
        <f>Calc_Residual_Tariff!E117</f>
        <v>Consumption</v>
      </c>
      <c r="R43" s="120">
        <f>INDEX(Calc_Residual_Tariff!$O117:$S117,$G$10-3)</f>
        <v>0.31891067589430483</v>
      </c>
      <c r="S43" s="120">
        <f>INDEX(Calc_Residual_Tariff!$O117:$S117,$G$10-2)</f>
        <v>0.24708746361995726</v>
      </c>
    </row>
    <row r="44" spans="3:19" s="117" customFormat="1" ht="11.25" customHeight="1" x14ac:dyDescent="0.3">
      <c r="P44" s="365" t="s">
        <v>439</v>
      </c>
      <c r="Q44" s="123" t="str">
        <f>Calc_Residual_Tariff!E118</f>
        <v>SAC</v>
      </c>
      <c r="R44" s="120">
        <f>INDEX(Calc_Residual_Tariff!$O118:$S118,$G$10-3)</f>
        <v>3.5620104502368674E-2</v>
      </c>
      <c r="S44" s="120">
        <f>INDEX(Calc_Residual_Tariff!$O118:$S118,$G$10-2)</f>
        <v>4.2210229600354393E-2</v>
      </c>
    </row>
    <row r="45" spans="3:19" s="117" customFormat="1" ht="11.25" customHeight="1" x14ac:dyDescent="0.3">
      <c r="P45" s="365"/>
      <c r="Q45" s="123" t="str">
        <f>Calc_Residual_Tariff!E119</f>
        <v>Consumption</v>
      </c>
      <c r="R45" s="120">
        <f>INDEX(Calc_Residual_Tariff!$O119:$S119,$G$10-3)</f>
        <v>4.306445879929461E-2</v>
      </c>
      <c r="S45" s="120">
        <f>INDEX(Calc_Residual_Tariff!$O119:$S119,$G$10-2)</f>
        <v>3.5401097302772383E-2</v>
      </c>
    </row>
    <row r="46" spans="3:19" s="117" customFormat="1" ht="11.25" customHeight="1" x14ac:dyDescent="0.3">
      <c r="P46" s="121" t="s">
        <v>444</v>
      </c>
      <c r="Q46" s="123" t="str">
        <f>Calc_Residual_Tariff!E120</f>
        <v>Consumption</v>
      </c>
      <c r="R46" s="120">
        <f>INDEX(Calc_Residual_Tariff!$O120:$S120,$G$10-3)</f>
        <v>4.4873858224993551E-3</v>
      </c>
      <c r="S46" s="120">
        <f>INDEX(Calc_Residual_Tariff!$O120:$S120,$G$10-2)</f>
        <v>4.4616190653874307E-3</v>
      </c>
    </row>
    <row r="47" spans="3:19" s="117" customFormat="1" ht="11.25" customHeight="1" x14ac:dyDescent="0.3">
      <c r="P47" s="365" t="s">
        <v>440</v>
      </c>
      <c r="Q47" s="123" t="str">
        <f>Calc_Residual_Tariff!E121</f>
        <v>SAC</v>
      </c>
      <c r="R47" s="120">
        <f>INDEX(Calc_Residual_Tariff!$O121:$S121,$G$10-3)</f>
        <v>6.5344878032057158E-2</v>
      </c>
      <c r="S47" s="120">
        <f>INDEX(Calc_Residual_Tariff!$O121:$S121,$G$10-2)</f>
        <v>0.10304294169642474</v>
      </c>
    </row>
    <row r="48" spans="3:19" s="117" customFormat="1" ht="11.25" customHeight="1" x14ac:dyDescent="0.3">
      <c r="P48" s="365"/>
      <c r="Q48" s="123" t="str">
        <f>Calc_Residual_Tariff!E122</f>
        <v>Consumption</v>
      </c>
      <c r="R48" s="120">
        <f>INDEX(Calc_Residual_Tariff!$O122:$S122,$G$10-3)</f>
        <v>0.13453148576537208</v>
      </c>
      <c r="S48" s="120">
        <f>INDEX(Calc_Residual_Tariff!$O122:$S122,$G$10-2)</f>
        <v>0.12013046510275172</v>
      </c>
    </row>
    <row r="49" spans="16:19" s="117" customFormat="1" ht="11.25" customHeight="1" x14ac:dyDescent="0.3">
      <c r="P49" s="365"/>
      <c r="Q49" s="123" t="str">
        <f>Calc_Residual_Tariff!E123</f>
        <v>Demand</v>
      </c>
      <c r="R49" s="120">
        <f>INDEX(Calc_Residual_Tariff!$O123:$S123,$G$10-3)</f>
        <v>0.12103255474448306</v>
      </c>
      <c r="S49" s="120">
        <f>INDEX(Calc_Residual_Tariff!$O123:$S123,$G$10-2)</f>
        <v>0.10094345856474105</v>
      </c>
    </row>
    <row r="50" spans="16:19" s="117" customFormat="1" ht="11.25" customHeight="1" x14ac:dyDescent="0.3">
      <c r="P50" s="366" t="s">
        <v>441</v>
      </c>
      <c r="Q50" s="123" t="str">
        <f>Calc_Residual_Tariff!E124</f>
        <v>SAC</v>
      </c>
      <c r="R50" s="120">
        <f>INDEX(Calc_Residual_Tariff!$O124:$S124,$G$10-3)</f>
        <v>1.2815056313031061E-4</v>
      </c>
      <c r="S50" s="120">
        <f>INDEX(Calc_Residual_Tariff!$O124:$S124,$G$10-2)</f>
        <v>1.5840679072282908E-4</v>
      </c>
    </row>
    <row r="51" spans="16:19" s="117" customFormat="1" ht="11.25" customHeight="1" x14ac:dyDescent="0.3">
      <c r="P51" s="366"/>
      <c r="Q51" s="123" t="str">
        <f>Calc_Residual_Tariff!E125</f>
        <v>Consumption</v>
      </c>
      <c r="R51" s="120">
        <f>INDEX(Calc_Residual_Tariff!$O125:$S125,$G$10-3)</f>
        <v>2.2624709725136173E-3</v>
      </c>
      <c r="S51" s="120">
        <f>INDEX(Calc_Residual_Tariff!$O125:$S125,$G$10-2)</f>
        <v>1.8973405507283585E-3</v>
      </c>
    </row>
    <row r="52" spans="16:19" s="117" customFormat="1" ht="11.25" customHeight="1" x14ac:dyDescent="0.3">
      <c r="P52" s="366"/>
      <c r="Q52" s="123" t="str">
        <f>Calc_Residual_Tariff!E126</f>
        <v>Demand</v>
      </c>
      <c r="R52" s="120">
        <f>INDEX(Calc_Residual_Tariff!$O126:$S126,$G$10-3)</f>
        <v>4.606324098577204E-4</v>
      </c>
      <c r="S52" s="120">
        <f>INDEX(Calc_Residual_Tariff!$O126:$S126,$G$10-2)</f>
        <v>0</v>
      </c>
    </row>
    <row r="53" spans="16:19" s="117" customFormat="1" ht="11.25" customHeight="1" x14ac:dyDescent="0.3">
      <c r="P53" s="366" t="s">
        <v>442</v>
      </c>
      <c r="Q53" s="123" t="str">
        <f>Calc_Residual_Tariff!E127</f>
        <v>SAC</v>
      </c>
      <c r="R53" s="120">
        <f>INDEX(Calc_Residual_Tariff!$O127:$S127,$G$10-3)</f>
        <v>3.872340132392272E-2</v>
      </c>
      <c r="S53" s="120">
        <f>INDEX(Calc_Residual_Tariff!$O127:$S127,$G$10-2)</f>
        <v>4.4632465124203685E-2</v>
      </c>
    </row>
    <row r="54" spans="16:19" s="117" customFormat="1" ht="11.25" customHeight="1" x14ac:dyDescent="0.3">
      <c r="P54" s="366"/>
      <c r="Q54" s="123" t="str">
        <f>Calc_Residual_Tariff!E128</f>
        <v>Consumption</v>
      </c>
      <c r="R54" s="120">
        <f>INDEX(Calc_Residual_Tariff!$O128:$S128,$G$10-3)</f>
        <v>5.5354952376292031E-2</v>
      </c>
      <c r="S54" s="120">
        <f>INDEX(Calc_Residual_Tariff!$O128:$S128,$G$10-2)</f>
        <v>4.6045418032811612E-2</v>
      </c>
    </row>
    <row r="55" spans="16:19" s="117" customFormat="1" ht="11.25" customHeight="1" x14ac:dyDescent="0.3">
      <c r="P55" s="366"/>
      <c r="Q55" s="123" t="str">
        <f>Calc_Residual_Tariff!E129</f>
        <v>Demand</v>
      </c>
      <c r="R55" s="120">
        <f>INDEX(Calc_Residual_Tariff!$O129:$S129,$G$10-3)</f>
        <v>-3.6353104873106772E-2</v>
      </c>
      <c r="S55" s="120">
        <f>INDEX(Calc_Residual_Tariff!$O129:$S129,$G$10-2)</f>
        <v>-3.3910456017097107E-2</v>
      </c>
    </row>
    <row r="56" spans="16:19" s="117" customFormat="1" ht="11.25" customHeight="1" x14ac:dyDescent="0.3">
      <c r="P56" s="366" t="s">
        <v>443</v>
      </c>
      <c r="Q56" s="123" t="str">
        <f>Calc_Residual_Tariff!E130</f>
        <v>SAC</v>
      </c>
      <c r="R56" s="120">
        <f>INDEX(Calc_Residual_Tariff!$O130:$S130,$G$10-3)</f>
        <v>8.4779044318647381E-3</v>
      </c>
      <c r="S56" s="120">
        <f>INDEX(Calc_Residual_Tariff!$O130:$S130,$G$10-2)</f>
        <v>1.1767147098529022E-2</v>
      </c>
    </row>
    <row r="57" spans="16:19" s="117" customFormat="1" ht="11.25" customHeight="1" x14ac:dyDescent="0.3">
      <c r="P57" s="366"/>
      <c r="Q57" s="123" t="str">
        <f>Calc_Residual_Tariff!E131</f>
        <v>Consumption</v>
      </c>
      <c r="R57" s="120">
        <f>INDEX(Calc_Residual_Tariff!$O131:$S131,$G$10-3)</f>
        <v>7.4184729661800092E-2</v>
      </c>
      <c r="S57" s="120">
        <f>INDEX(Calc_Residual_Tariff!$O131:$S131,$G$10-2)</f>
        <v>7.2507398564942663E-2</v>
      </c>
    </row>
    <row r="58" spans="16:19" s="117" customFormat="1" ht="11.25" customHeight="1" x14ac:dyDescent="0.3">
      <c r="P58" s="366"/>
      <c r="Q58" s="123" t="str">
        <f>Calc_Residual_Tariff!E132</f>
        <v>Demand</v>
      </c>
      <c r="R58" s="120">
        <f>INDEX(Calc_Residual_Tariff!$O132:$S132,$G$10-3)</f>
        <v>3.4183944253270165E-4</v>
      </c>
      <c r="S58" s="120">
        <f>INDEX(Calc_Residual_Tariff!$O132:$S132,$G$10-2)</f>
        <v>0</v>
      </c>
    </row>
    <row r="59" spans="16:19" s="117" customFormat="1" ht="13" x14ac:dyDescent="0.3">
      <c r="P59" s="361" t="s">
        <v>88</v>
      </c>
      <c r="Q59" s="362"/>
      <c r="R59" s="122">
        <f>SUM(R42:R58)</f>
        <v>1</v>
      </c>
      <c r="S59" s="122">
        <f>SUM(S42:S58)</f>
        <v>1</v>
      </c>
    </row>
    <row r="60" spans="16:19" s="117" customFormat="1" ht="13" x14ac:dyDescent="0.3"/>
    <row r="61" spans="16:19" s="117" customFormat="1" ht="13" x14ac:dyDescent="0.3"/>
    <row r="62" spans="16:19" s="117" customFormat="1" ht="13" x14ac:dyDescent="0.3"/>
    <row r="63" spans="16:19" s="117" customFormat="1" ht="13" x14ac:dyDescent="0.3"/>
    <row r="64" spans="16:19" s="117" customFormat="1" ht="13" x14ac:dyDescent="0.3"/>
    <row r="65" spans="2:19" s="117" customFormat="1" ht="13" x14ac:dyDescent="0.3"/>
    <row r="66" spans="2:19" s="4" customFormat="1" ht="15.5" x14ac:dyDescent="0.2">
      <c r="B66" s="4" t="s">
        <v>264</v>
      </c>
    </row>
    <row r="67" spans="2:19" s="6" customFormat="1" ht="4.5" customHeight="1" x14ac:dyDescent="0.2"/>
    <row r="68" spans="2:19" s="13" customFormat="1" ht="14" x14ac:dyDescent="0.2">
      <c r="C68" s="13" t="str">
        <f>"Allocated revenue by tariff compared to forecast revenue ("&amp;F10&amp;")"</f>
        <v>Allocated revenue by tariff compared to forecast revenue (FY21)</v>
      </c>
    </row>
    <row r="70" spans="2:19" s="117" customFormat="1" ht="13" x14ac:dyDescent="0.3"/>
    <row r="71" spans="2:19" s="117" customFormat="1" ht="13" x14ac:dyDescent="0.3"/>
    <row r="72" spans="2:19" s="117" customFormat="1" ht="13" customHeight="1" x14ac:dyDescent="0.3"/>
    <row r="73" spans="2:19" s="117" customFormat="1" ht="26" x14ac:dyDescent="0.3">
      <c r="P73" s="129" t="s">
        <v>196</v>
      </c>
      <c r="Q73" s="128"/>
      <c r="R73" s="118" t="s">
        <v>258</v>
      </c>
      <c r="S73" s="118" t="s">
        <v>222</v>
      </c>
    </row>
    <row r="74" spans="2:19" s="117" customFormat="1" ht="12.75" customHeight="1" x14ac:dyDescent="0.3">
      <c r="P74" s="363" t="s">
        <v>438</v>
      </c>
      <c r="Q74" s="364"/>
      <c r="R74" s="135">
        <f>INDEX(Calc_Allocated_Tariff!$O30:$S30,$G$10-2)</f>
        <v>46435.349117427912</v>
      </c>
      <c r="S74" s="135">
        <f>INDEX(Output_Revenue!$O35:$S35,$G$10-2)</f>
        <v>59028.129653972195</v>
      </c>
    </row>
    <row r="75" spans="2:19" s="117" customFormat="1" ht="12.75" customHeight="1" x14ac:dyDescent="0.3">
      <c r="P75" s="363" t="s">
        <v>439</v>
      </c>
      <c r="Q75" s="364"/>
      <c r="R75" s="135">
        <f>INDEX(Calc_Allocated_Tariff!$O31:$S31,$G$10-2)</f>
        <v>8687.1926966000319</v>
      </c>
      <c r="S75" s="135">
        <f>INDEX(Output_Revenue!$O36:$S36,$G$10-2)</f>
        <v>9657.1413911518866</v>
      </c>
    </row>
    <row r="76" spans="2:19" s="117" customFormat="1" ht="13" x14ac:dyDescent="0.3">
      <c r="P76" s="363" t="s">
        <v>444</v>
      </c>
      <c r="Q76" s="364"/>
      <c r="R76" s="135">
        <f>INDEX(Calc_Allocated_Tariff!$O32:$S32,$G$10-2)</f>
        <v>100.39797123766216</v>
      </c>
      <c r="S76" s="135">
        <f>INDEX(Output_Revenue!$O37:$S37,$G$10-2)</f>
        <v>1104.5769420518643</v>
      </c>
    </row>
    <row r="77" spans="2:19" s="117" customFormat="1" ht="13" x14ac:dyDescent="0.3">
      <c r="P77" s="363" t="s">
        <v>440</v>
      </c>
      <c r="Q77" s="364"/>
      <c r="R77" s="135">
        <f>INDEX(Calc_Allocated_Tariff!$O33:$S33,$G$10-2)</f>
        <v>55442.732284645404</v>
      </c>
      <c r="S77" s="135">
        <f>INDEX(Output_Revenue!$O38:$S38,$G$10-2)</f>
        <v>44013.828718993725</v>
      </c>
    </row>
    <row r="78" spans="2:19" s="117" customFormat="1" ht="12.75" customHeight="1" x14ac:dyDescent="0.3">
      <c r="P78" s="363" t="s">
        <v>441</v>
      </c>
      <c r="Q78" s="364"/>
      <c r="R78" s="135">
        <f>INDEX(Calc_Allocated_Tariff!$O34:$S34,$G$10-2)</f>
        <v>721.85341455980461</v>
      </c>
      <c r="S78" s="135">
        <f>INDEX(Output_Revenue!$O39:$S39,$G$10-2)</f>
        <v>537.39670242101511</v>
      </c>
    </row>
    <row r="79" spans="2:19" s="117" customFormat="1" ht="13" x14ac:dyDescent="0.3">
      <c r="P79" s="363" t="s">
        <v>442</v>
      </c>
      <c r="Q79" s="364"/>
      <c r="R79" s="135">
        <f>INDEX(Calc_Allocated_Tariff!$O35:$S35,$G$10-2)</f>
        <v>17050.529384933459</v>
      </c>
      <c r="S79" s="135">
        <f>INDEX(Output_Revenue!$O40:$S40,$G$10-2)</f>
        <v>16930.697278181899</v>
      </c>
    </row>
    <row r="80" spans="2:19" s="117" customFormat="1" ht="13" x14ac:dyDescent="0.3">
      <c r="P80" s="363" t="s">
        <v>443</v>
      </c>
      <c r="Q80" s="364"/>
      <c r="R80" s="135">
        <f>INDEX(Calc_Allocated_Tariff!$O36:$S36,$G$10-2)</f>
        <v>17491.598029893932</v>
      </c>
      <c r="S80" s="135">
        <f>INDEX(Output_Revenue!$O41:$S41,$G$10-2)</f>
        <v>14657.621717766047</v>
      </c>
    </row>
    <row r="81" spans="2:19" s="117" customFormat="1" ht="13" x14ac:dyDescent="0.3">
      <c r="P81" s="359" t="s">
        <v>88</v>
      </c>
      <c r="Q81" s="360"/>
      <c r="R81" s="136">
        <f>SUM(R74:R80)</f>
        <v>145929.65289929821</v>
      </c>
      <c r="S81" s="136">
        <f>SUM(S74:S80)</f>
        <v>145929.39240453864</v>
      </c>
    </row>
    <row r="82" spans="2:19" s="117" customFormat="1" ht="13" x14ac:dyDescent="0.3"/>
    <row r="83" spans="2:19" s="117" customFormat="1" ht="13" x14ac:dyDescent="0.3"/>
    <row r="84" spans="2:19" s="117" customFormat="1" ht="13" x14ac:dyDescent="0.3"/>
    <row r="89" spans="2:19" s="4" customFormat="1" ht="15.5" x14ac:dyDescent="0.2">
      <c r="B89" s="4" t="s">
        <v>33</v>
      </c>
    </row>
  </sheetData>
  <mergeCells count="23">
    <mergeCell ref="P79:Q79"/>
    <mergeCell ref="P80:Q80"/>
    <mergeCell ref="P81:Q81"/>
    <mergeCell ref="P74:Q74"/>
    <mergeCell ref="P75:Q75"/>
    <mergeCell ref="P76:Q76"/>
    <mergeCell ref="P77:Q77"/>
    <mergeCell ref="P78:Q78"/>
    <mergeCell ref="P28:Q28"/>
    <mergeCell ref="P59:Q59"/>
    <mergeCell ref="P21:Q21"/>
    <mergeCell ref="P22:Q22"/>
    <mergeCell ref="P23:Q23"/>
    <mergeCell ref="P25:Q25"/>
    <mergeCell ref="P24:Q24"/>
    <mergeCell ref="P26:Q26"/>
    <mergeCell ref="P27:Q27"/>
    <mergeCell ref="P42:P43"/>
    <mergeCell ref="P44:P45"/>
    <mergeCell ref="P47:P49"/>
    <mergeCell ref="P50:P52"/>
    <mergeCell ref="P53:P55"/>
    <mergeCell ref="P56:P58"/>
  </mergeCells>
  <conditionalFormatting sqref="B2">
    <cfRule type="cellIs" dxfId="4" priority="1" operator="notEqual">
      <formula>"No Errors Found"</formula>
    </cfRule>
  </conditionalFormatting>
  <hyperlinks>
    <hyperlink ref="B3:E3" location="TOC!A1" display="TOC!A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Lookup!$O$19:$S$19</xm:f>
          </x14:formula1>
          <xm:sqref>F10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6"/>
  <sheetViews>
    <sheetView showGridLines="0" workbookViewId="0">
      <pane ySplit="5" topLeftCell="A24" activePane="bottomLeft" state="frozen"/>
      <selection pane="bottomLeft" activeCell="A10" sqref="A10:XFD40"/>
    </sheetView>
  </sheetViews>
  <sheetFormatPr defaultColWidth="9.33203125" defaultRowHeight="10" x14ac:dyDescent="0.2"/>
  <cols>
    <col min="1" max="1" width="3.6640625" style="7" customWidth="1"/>
    <col min="2" max="3" width="2.77734375" style="7" customWidth="1"/>
    <col min="4" max="4" width="25.77734375" style="7" customWidth="1"/>
    <col min="5" max="5" width="10.77734375" style="7" customWidth="1"/>
    <col min="6" max="6" width="12.77734375" style="7" customWidth="1"/>
    <col min="7" max="7" width="12.44140625" style="7" customWidth="1"/>
    <col min="8" max="9" width="10.77734375" style="7" customWidth="1"/>
    <col min="10" max="10" width="12.77734375" style="7" customWidth="1"/>
    <col min="11" max="15" width="10.77734375" style="7" customWidth="1"/>
    <col min="16" max="16" width="17" style="7" customWidth="1"/>
    <col min="17" max="17" width="15.109375" style="7" customWidth="1"/>
    <col min="18" max="24" width="10.77734375" style="7" customWidth="1"/>
    <col min="25" max="16384" width="9.33203125" style="7"/>
  </cols>
  <sheetData>
    <row r="1" spans="1:11" ht="19" x14ac:dyDescent="0.2">
      <c r="A1" s="70">
        <f>IF(SUM($A6:$A46)&gt;0,1,0)</f>
        <v>0</v>
      </c>
      <c r="B1" s="5" t="s">
        <v>339</v>
      </c>
    </row>
    <row r="2" spans="1:11" x14ac:dyDescent="0.2">
      <c r="B2" s="18" t="str">
        <f>Title_Msg</f>
        <v>No Errors Found</v>
      </c>
    </row>
    <row r="3" spans="1:11" x14ac:dyDescent="0.2">
      <c r="B3" s="57" t="str">
        <f>TOC!B1</f>
        <v>Table of Contents</v>
      </c>
      <c r="C3" s="51"/>
      <c r="D3" s="51"/>
      <c r="E3" s="51"/>
    </row>
    <row r="4" spans="1:11" ht="13" x14ac:dyDescent="0.2">
      <c r="B4" s="48" t="str">
        <f>Model_Name</f>
        <v>Pricing Model - Power and Water Corporation</v>
      </c>
    </row>
    <row r="6" spans="1:11" s="4" customFormat="1" ht="15.5" x14ac:dyDescent="0.2">
      <c r="B6" s="4" t="s">
        <v>340</v>
      </c>
    </row>
    <row r="7" spans="1:11" s="6" customFormat="1" ht="4.5" customHeight="1" x14ac:dyDescent="0.2">
      <c r="B7" s="7"/>
      <c r="C7" s="7"/>
      <c r="D7" s="7"/>
      <c r="E7" s="7"/>
      <c r="F7" s="7"/>
      <c r="G7" s="7"/>
      <c r="H7" s="7"/>
      <c r="I7" s="7"/>
      <c r="J7" s="7"/>
      <c r="K7" s="7"/>
    </row>
    <row r="8" spans="1:11" s="13" customFormat="1" ht="14" x14ac:dyDescent="0.2">
      <c r="D8" s="13" t="s">
        <v>435</v>
      </c>
    </row>
    <row r="10" spans="1:11" ht="13.5" customHeight="1" x14ac:dyDescent="0.2">
      <c r="D10" s="368" t="s">
        <v>341</v>
      </c>
      <c r="E10" s="368" t="s">
        <v>347</v>
      </c>
      <c r="F10" s="368" t="s">
        <v>348</v>
      </c>
      <c r="G10" s="254" t="s">
        <v>341</v>
      </c>
      <c r="H10" s="368" t="s">
        <v>349</v>
      </c>
      <c r="I10" s="368"/>
      <c r="J10" s="368"/>
      <c r="K10" s="368"/>
    </row>
    <row r="11" spans="1:11" ht="13" x14ac:dyDescent="0.2">
      <c r="D11" s="368"/>
      <c r="E11" s="368"/>
      <c r="F11" s="368"/>
      <c r="G11" s="254" t="s">
        <v>342</v>
      </c>
      <c r="H11" s="254" t="s">
        <v>343</v>
      </c>
      <c r="I11" s="254" t="s">
        <v>344</v>
      </c>
      <c r="J11" s="254" t="s">
        <v>345</v>
      </c>
      <c r="K11" s="254" t="s">
        <v>346</v>
      </c>
    </row>
    <row r="12" spans="1:11" ht="13" x14ac:dyDescent="0.2">
      <c r="D12" s="367" t="s">
        <v>360</v>
      </c>
      <c r="E12" s="367"/>
      <c r="F12" s="367"/>
      <c r="G12" s="367"/>
      <c r="H12" s="367"/>
      <c r="I12" s="367"/>
      <c r="J12" s="367"/>
      <c r="K12" s="367"/>
    </row>
    <row r="13" spans="1:11" ht="26" x14ac:dyDescent="0.2">
      <c r="D13" s="255" t="s">
        <v>178</v>
      </c>
      <c r="E13" s="256" t="s">
        <v>350</v>
      </c>
      <c r="F13" s="256" t="s">
        <v>35</v>
      </c>
      <c r="G13" s="257">
        <f>Inputs_Prices!O21*Cents_to_Dollars</f>
        <v>0.64040000000000008</v>
      </c>
      <c r="H13" s="257">
        <f>Inputs_Prices!P21*Cents_to_Dollars</f>
        <v>0.91715000000000002</v>
      </c>
      <c r="I13" s="257">
        <f>Inputs_Prices!Q21*Cents_to_Dollars</f>
        <v>0.95032056405000009</v>
      </c>
      <c r="J13" s="257">
        <f>Inputs_Prices!R21*Cents_to_Dollars</f>
        <v>0.98764820548532006</v>
      </c>
      <c r="K13" s="257">
        <f>Inputs_Prices!S21*Cents_to_Dollars</f>
        <v>1.023930449962029</v>
      </c>
    </row>
    <row r="14" spans="1:11" ht="13" x14ac:dyDescent="0.2">
      <c r="D14" s="255" t="s">
        <v>363</v>
      </c>
      <c r="E14" s="256" t="s">
        <v>362</v>
      </c>
      <c r="F14" s="256" t="s">
        <v>351</v>
      </c>
      <c r="G14" s="258">
        <f>Inputs_Prices!O34*Cents_to_Dollars</f>
        <v>0.10238</v>
      </c>
      <c r="H14" s="258">
        <f>Inputs_Prices!P34*Cents_to_Dollars</f>
        <v>8.5000000000000006E-2</v>
      </c>
      <c r="I14" s="258">
        <f>Inputs_Prices!Q34*Cents_to_Dollars</f>
        <v>8.8074195000000008E-2</v>
      </c>
      <c r="J14" s="258">
        <f>Inputs_Prices!R34*Cents_to_Dollars</f>
        <v>9.1533661305405009E-2</v>
      </c>
      <c r="K14" s="258">
        <f>Inputs_Prices!S34*Cents_to_Dollars</f>
        <v>9.4896241887120369E-2</v>
      </c>
    </row>
    <row r="15" spans="1:11" ht="13" x14ac:dyDescent="0.2">
      <c r="D15" s="255" t="s">
        <v>122</v>
      </c>
      <c r="E15" s="256" t="s">
        <v>123</v>
      </c>
      <c r="F15" s="256"/>
      <c r="G15" s="259"/>
      <c r="H15" s="259"/>
      <c r="I15" s="259"/>
      <c r="J15" s="259"/>
      <c r="K15" s="259"/>
    </row>
    <row r="16" spans="1:11" ht="13" x14ac:dyDescent="0.2">
      <c r="D16" s="367" t="s">
        <v>359</v>
      </c>
      <c r="E16" s="367"/>
      <c r="F16" s="367"/>
      <c r="G16" s="367"/>
      <c r="H16" s="367"/>
      <c r="I16" s="367"/>
      <c r="J16" s="367"/>
      <c r="K16" s="367"/>
    </row>
    <row r="17" spans="1:24" ht="26" x14ac:dyDescent="0.2">
      <c r="D17" s="255" t="str">
        <f>+$D$13</f>
        <v>SAC</v>
      </c>
      <c r="E17" s="256" t="str">
        <f>+$E$13</f>
        <v>$ per day per NMI</v>
      </c>
      <c r="F17" s="256"/>
      <c r="G17" s="257">
        <f>Inputs_Prices!O22*Cents_to_Dollars</f>
        <v>1.35</v>
      </c>
      <c r="H17" s="257">
        <f>Inputs_Prices!P22*Cents_to_Dollars</f>
        <v>1.5</v>
      </c>
      <c r="I17" s="257">
        <f>Inputs_Prices!Q22*Cents_to_Dollars</f>
        <v>1.5542505</v>
      </c>
      <c r="J17" s="257">
        <f>Inputs_Prices!R22*Cents_to_Dollars</f>
        <v>1.6152999053895003</v>
      </c>
      <c r="K17" s="257">
        <f>Inputs_Prices!S22*Cents_to_Dollars</f>
        <v>1.674639562713889</v>
      </c>
    </row>
    <row r="18" spans="1:24" ht="13" x14ac:dyDescent="0.2">
      <c r="D18" s="255" t="str">
        <f>+$D$14</f>
        <v>Anytime Energy Charge</v>
      </c>
      <c r="E18" s="256" t="str">
        <f>+$E$14</f>
        <v>$/kWh</v>
      </c>
      <c r="F18" s="256" t="s">
        <v>351</v>
      </c>
      <c r="G18" s="258">
        <f>Inputs_Prices!O35*Cents_to_Dollars</f>
        <v>0.1043</v>
      </c>
      <c r="H18" s="258">
        <f>Inputs_Prices!P35*Cents_to_Dollars</f>
        <v>0.09</v>
      </c>
      <c r="I18" s="258">
        <f>Inputs_Prices!Q35*Cents_to_Dollars</f>
        <v>9.3255030000000017E-2</v>
      </c>
      <c r="J18" s="258">
        <f>Inputs_Prices!R35*Cents_to_Dollars</f>
        <v>9.6917994323370019E-2</v>
      </c>
      <c r="K18" s="258">
        <f>Inputs_Prices!S35*Cents_to_Dollars</f>
        <v>0.10047837376283335</v>
      </c>
    </row>
    <row r="19" spans="1:24" ht="13" x14ac:dyDescent="0.2">
      <c r="D19" s="255" t="str">
        <f>+$D$15</f>
        <v>Demand</v>
      </c>
      <c r="E19" s="256" t="str">
        <f>+$E$15</f>
        <v>$/kVA</v>
      </c>
      <c r="F19" s="256"/>
      <c r="G19" s="259"/>
      <c r="H19" s="259"/>
      <c r="I19" s="259"/>
      <c r="J19" s="259"/>
      <c r="K19" s="259"/>
    </row>
    <row r="20" spans="1:24" ht="13" x14ac:dyDescent="0.2">
      <c r="D20" s="367" t="s">
        <v>358</v>
      </c>
      <c r="E20" s="367"/>
      <c r="F20" s="367"/>
      <c r="G20" s="367"/>
      <c r="H20" s="367"/>
      <c r="I20" s="367"/>
      <c r="J20" s="367"/>
      <c r="K20" s="367"/>
    </row>
    <row r="21" spans="1:24" ht="26" x14ac:dyDescent="0.2">
      <c r="D21" s="255" t="str">
        <f>+$D$13</f>
        <v>SAC</v>
      </c>
      <c r="E21" s="256" t="str">
        <f>+$E$13</f>
        <v>$ per day per NMI</v>
      </c>
      <c r="F21" s="256"/>
      <c r="G21" s="257">
        <f>Inputs_Prices!O24*Cents_to_Dollars</f>
        <v>1.35</v>
      </c>
      <c r="H21" s="257">
        <f>Inputs_Prices!P24*Cents_to_Dollars</f>
        <v>1.5</v>
      </c>
      <c r="I21" s="257">
        <f>Inputs_Prices!Q24*Cents_to_Dollars</f>
        <v>1.5542505</v>
      </c>
      <c r="J21" s="257">
        <f>Inputs_Prices!R24*Cents_to_Dollars</f>
        <v>1.6152999053895003</v>
      </c>
      <c r="K21" s="257">
        <f>Inputs_Prices!S24*Cents_to_Dollars</f>
        <v>1.674639562713889</v>
      </c>
    </row>
    <row r="22" spans="1:24" ht="13" x14ac:dyDescent="0.2">
      <c r="D22" s="255" t="str">
        <f>+$D$14</f>
        <v>Anytime Energy Charge</v>
      </c>
      <c r="E22" s="256" t="str">
        <f>+$E$14</f>
        <v>$/kWh</v>
      </c>
      <c r="F22" s="256" t="s">
        <v>351</v>
      </c>
      <c r="G22" s="258">
        <f>Inputs_Prices!O37*Cents_to_Dollars</f>
        <v>0.03</v>
      </c>
      <c r="H22" s="258">
        <f>Inputs_Prices!P37*Cents_to_Dollars</f>
        <v>2.3E-2</v>
      </c>
      <c r="I22" s="258">
        <f>Inputs_Prices!Q37*Cents_to_Dollars</f>
        <v>2.3831840999999999E-2</v>
      </c>
      <c r="J22" s="258">
        <f>Inputs_Prices!R37*Cents_to_Dollars</f>
        <v>2.4767931882639E-2</v>
      </c>
      <c r="K22" s="258">
        <f>Inputs_Prices!S37*Cents_to_Dollars</f>
        <v>2.5677806628279627E-2</v>
      </c>
    </row>
    <row r="23" spans="1:24" ht="13" x14ac:dyDescent="0.2">
      <c r="D23" s="255" t="str">
        <f>+$D$15</f>
        <v>Demand</v>
      </c>
      <c r="E23" s="256" t="str">
        <f>+$E$15</f>
        <v>$/kVA</v>
      </c>
      <c r="F23" s="256"/>
      <c r="G23" s="259">
        <f>Inputs_Prices!O47</f>
        <v>20.51</v>
      </c>
      <c r="H23" s="259">
        <f>Inputs_Prices!P47</f>
        <v>17.5</v>
      </c>
      <c r="I23" s="259">
        <f>Inputs_Prices!Q47</f>
        <v>18.132922499999999</v>
      </c>
      <c r="J23" s="259">
        <f>Inputs_Prices!R47</f>
        <v>18.845165562877501</v>
      </c>
      <c r="K23" s="259">
        <f>Inputs_Prices!S47</f>
        <v>19.537461564995372</v>
      </c>
    </row>
    <row r="24" spans="1:24" ht="13" x14ac:dyDescent="0.2">
      <c r="D24" s="367" t="s">
        <v>357</v>
      </c>
      <c r="E24" s="367"/>
      <c r="F24" s="367"/>
      <c r="G24" s="367"/>
      <c r="H24" s="367"/>
      <c r="I24" s="367"/>
      <c r="J24" s="367"/>
      <c r="K24" s="367"/>
    </row>
    <row r="25" spans="1:24" ht="26" x14ac:dyDescent="0.2">
      <c r="D25" s="255" t="str">
        <f>+$D$13</f>
        <v>SAC</v>
      </c>
      <c r="E25" s="256" t="str">
        <f>+$E$13</f>
        <v>$ per day per NMI</v>
      </c>
      <c r="F25" s="256"/>
      <c r="G25" s="260"/>
      <c r="H25" s="260"/>
      <c r="I25" s="260"/>
      <c r="J25" s="260"/>
      <c r="K25" s="260"/>
    </row>
    <row r="26" spans="1:24" ht="13" x14ac:dyDescent="0.2">
      <c r="D26" s="255" t="str">
        <f>+$D$14</f>
        <v>Anytime Energy Charge</v>
      </c>
      <c r="E26" s="256" t="str">
        <f>+$E$14</f>
        <v>$/kWh</v>
      </c>
      <c r="F26" s="256" t="s">
        <v>351</v>
      </c>
      <c r="G26" s="258">
        <f>Inputs_Prices!O36*Cents_to_Dollars</f>
        <v>5.5060000000000005E-2</v>
      </c>
      <c r="H26" s="258">
        <f>Inputs_Prices!P36*Cents_to_Dollars</f>
        <v>5.2999999999999999E-2</v>
      </c>
      <c r="I26" s="258">
        <f>Inputs_Prices!Q36*Cents_to_Dollars</f>
        <v>5.4916850999999996E-2</v>
      </c>
      <c r="J26" s="258">
        <f>Inputs_Prices!R36*Cents_to_Dollars</f>
        <v>5.7073929990429005E-2</v>
      </c>
      <c r="K26" s="258">
        <f>Inputs_Prices!S36*Cents_to_Dollars</f>
        <v>5.9170597882557407E-2</v>
      </c>
    </row>
    <row r="27" spans="1:24" ht="13" x14ac:dyDescent="0.2">
      <c r="D27" s="255" t="str">
        <f>+$D$15</f>
        <v>Demand</v>
      </c>
      <c r="E27" s="256" t="str">
        <f>+$E$15</f>
        <v>$/kVA</v>
      </c>
      <c r="F27" s="256"/>
      <c r="G27" s="259"/>
      <c r="H27" s="259"/>
      <c r="I27" s="259"/>
      <c r="J27" s="259"/>
      <c r="K27" s="259"/>
    </row>
    <row r="28" spans="1:24" ht="13" x14ac:dyDescent="0.2">
      <c r="D28" s="367" t="s">
        <v>356</v>
      </c>
      <c r="E28" s="367"/>
      <c r="F28" s="367"/>
      <c r="G28" s="367"/>
      <c r="H28" s="367"/>
      <c r="I28" s="367"/>
      <c r="J28" s="367"/>
      <c r="K28" s="367"/>
    </row>
    <row r="29" spans="1:24" s="6" customFormat="1" ht="26" x14ac:dyDescent="0.2">
      <c r="A29" s="7"/>
      <c r="B29" s="7"/>
      <c r="C29" s="7"/>
      <c r="D29" s="255" t="str">
        <f>+$D$13</f>
        <v>SAC</v>
      </c>
      <c r="E29" s="256" t="str">
        <f>+$E$13</f>
        <v>$ per day per NMI</v>
      </c>
      <c r="F29" s="256"/>
      <c r="G29" s="257">
        <f>Inputs_Prices!O26*Cents_to_Dollars</f>
        <v>70</v>
      </c>
      <c r="H29" s="257">
        <f>Inputs_Prices!P26*Cents_to_Dollars</f>
        <v>71.2</v>
      </c>
      <c r="I29" s="257">
        <f>Inputs_Prices!Q26*Cents_to_Dollars</f>
        <v>73.775090400000011</v>
      </c>
      <c r="J29" s="257">
        <f>Inputs_Prices!R26*Cents_to_Dollars</f>
        <v>76.672902175821605</v>
      </c>
      <c r="K29" s="257">
        <f>Inputs_Prices!S26*Cents_to_Dollars</f>
        <v>79.489557910152598</v>
      </c>
      <c r="L29" s="7"/>
      <c r="M29" s="7"/>
      <c r="N29" s="7"/>
      <c r="O29" s="7"/>
      <c r="P29" s="7"/>
      <c r="Q29" s="7"/>
      <c r="R29" s="7"/>
      <c r="S29" s="7"/>
      <c r="T29" s="7"/>
      <c r="U29" s="7"/>
      <c r="V29" s="7"/>
    </row>
    <row r="30" spans="1:24" s="6" customFormat="1" ht="13" x14ac:dyDescent="0.2">
      <c r="A30" s="7"/>
      <c r="B30" s="7"/>
      <c r="C30" s="7"/>
      <c r="D30" s="255" t="str">
        <f>+$D$14</f>
        <v>Anytime Energy Charge</v>
      </c>
      <c r="E30" s="256" t="str">
        <f>+$E$14</f>
        <v>$/kWh</v>
      </c>
      <c r="F30" s="256" t="s">
        <v>351</v>
      </c>
      <c r="G30" s="258">
        <f>Inputs_Prices!O39*Cents_to_Dollars</f>
        <v>2.63E-2</v>
      </c>
      <c r="H30" s="258">
        <f>Inputs_Prices!P39*Cents_to_Dollars</f>
        <v>0.02</v>
      </c>
      <c r="I30" s="258">
        <f>Inputs_Prices!Q39*Cents_to_Dollars</f>
        <v>2.0723340000000003E-2</v>
      </c>
      <c r="J30" s="258">
        <f>Inputs_Prices!R39*Cents_to_Dollars</f>
        <v>2.1537332071860003E-2</v>
      </c>
      <c r="K30" s="258">
        <f>Inputs_Prices!S39*Cents_to_Dollars</f>
        <v>2.2328527502851855E-2</v>
      </c>
      <c r="L30" s="7"/>
      <c r="M30" s="7"/>
      <c r="N30" s="7"/>
      <c r="O30" s="7"/>
      <c r="P30" s="7"/>
      <c r="Q30" s="7"/>
      <c r="R30" s="7"/>
      <c r="S30" s="7"/>
      <c r="T30" s="7"/>
      <c r="U30" s="7"/>
      <c r="V30" s="7"/>
    </row>
    <row r="31" spans="1:24" s="6" customFormat="1" ht="14.5" x14ac:dyDescent="0.2">
      <c r="A31" s="7"/>
      <c r="B31" s="7"/>
      <c r="C31" s="7"/>
      <c r="D31" s="255" t="str">
        <f>+$D$15</f>
        <v>Demand</v>
      </c>
      <c r="E31" s="256" t="str">
        <f>+$E$15</f>
        <v>$/kVA</v>
      </c>
      <c r="F31" s="256" t="s">
        <v>352</v>
      </c>
      <c r="G31" s="259">
        <f>Inputs_Prices!O49</f>
        <v>11</v>
      </c>
      <c r="H31" s="259">
        <f>Inputs_Prices!P49</f>
        <v>12.298</v>
      </c>
      <c r="I31" s="259">
        <f>Inputs_Prices!Q49</f>
        <v>12.742781766</v>
      </c>
      <c r="J31" s="259">
        <f>Inputs_Prices!R49</f>
        <v>13.243305490986716</v>
      </c>
      <c r="K31" s="259">
        <f>Inputs_Prices!S49</f>
        <v>13.729811561503604</v>
      </c>
      <c r="L31" s="7"/>
      <c r="M31" s="7"/>
      <c r="N31" s="7"/>
      <c r="O31" s="7"/>
      <c r="P31" s="7"/>
      <c r="Q31" s="7"/>
      <c r="R31" s="7"/>
      <c r="S31" s="7"/>
      <c r="T31" s="7"/>
      <c r="U31" s="7"/>
      <c r="V31" s="7"/>
    </row>
    <row r="32" spans="1:24" s="268" customFormat="1" ht="14" x14ac:dyDescent="0.2">
      <c r="A32" s="7"/>
      <c r="B32" s="7"/>
      <c r="C32" s="7"/>
      <c r="D32" s="367" t="s">
        <v>355</v>
      </c>
      <c r="E32" s="367"/>
      <c r="F32" s="367"/>
      <c r="G32" s="367"/>
      <c r="H32" s="367"/>
      <c r="I32" s="367"/>
      <c r="J32" s="367"/>
      <c r="K32" s="367"/>
      <c r="L32" s="7"/>
      <c r="M32" s="7"/>
      <c r="N32" s="7"/>
      <c r="O32" s="7"/>
      <c r="P32" s="7"/>
      <c r="Q32" s="7"/>
      <c r="R32" s="7"/>
      <c r="S32" s="7"/>
      <c r="T32" s="7"/>
      <c r="U32" s="7"/>
      <c r="V32" s="7"/>
      <c r="W32" s="6"/>
      <c r="X32" s="6"/>
    </row>
    <row r="33" spans="1:22" s="6" customFormat="1" ht="26" x14ac:dyDescent="0.2">
      <c r="A33" s="7"/>
      <c r="B33" s="7"/>
      <c r="C33" s="7"/>
      <c r="D33" s="255" t="str">
        <f>+$D$13</f>
        <v>SAC</v>
      </c>
      <c r="E33" s="256" t="str">
        <f>+$E$13</f>
        <v>$ per day per NMI</v>
      </c>
      <c r="F33" s="256"/>
      <c r="G33" s="257">
        <f>Inputs_Prices!O25*Cents_to_Dollars</f>
        <v>1.35</v>
      </c>
      <c r="H33" s="257">
        <f>Inputs_Prices!P25*Cents_to_Dollars</f>
        <v>1.5</v>
      </c>
      <c r="I33" s="257">
        <f>Inputs_Prices!Q25*Cents_to_Dollars</f>
        <v>1.5542505</v>
      </c>
      <c r="J33" s="257">
        <f>Inputs_Prices!R25*Cents_to_Dollars</f>
        <v>1.6152999053895003</v>
      </c>
      <c r="K33" s="257">
        <f>Inputs_Prices!S25*Cents_to_Dollars</f>
        <v>1.674639562713889</v>
      </c>
      <c r="L33" s="7"/>
      <c r="M33" s="7"/>
      <c r="N33" s="7"/>
      <c r="O33" s="7"/>
      <c r="P33" s="7"/>
      <c r="Q33" s="7"/>
      <c r="R33" s="7"/>
      <c r="S33" s="7"/>
      <c r="T33" s="7"/>
      <c r="U33" s="7"/>
      <c r="V33" s="7"/>
    </row>
    <row r="34" spans="1:22" s="6" customFormat="1" ht="13.5" customHeight="1" x14ac:dyDescent="0.2">
      <c r="A34" s="7"/>
      <c r="B34" s="7"/>
      <c r="C34" s="7"/>
      <c r="D34" s="255" t="str">
        <f>+$D$14</f>
        <v>Anytime Energy Charge</v>
      </c>
      <c r="E34" s="256" t="str">
        <f>+$E$14</f>
        <v>$/kWh</v>
      </c>
      <c r="F34" s="256" t="s">
        <v>351</v>
      </c>
      <c r="G34" s="258">
        <f>Inputs_Prices!O38*Cents_to_Dollars</f>
        <v>0.03</v>
      </c>
      <c r="H34" s="258">
        <f>Inputs_Prices!P38*Cents_to_Dollars</f>
        <v>2.3E-2</v>
      </c>
      <c r="I34" s="258">
        <f>Inputs_Prices!Q38*Cents_to_Dollars</f>
        <v>2.3831840999999999E-2</v>
      </c>
      <c r="J34" s="258">
        <f>Inputs_Prices!R38*Cents_to_Dollars</f>
        <v>2.4767931882639E-2</v>
      </c>
      <c r="K34" s="258">
        <f>Inputs_Prices!S38*Cents_to_Dollars</f>
        <v>2.5677806628279627E-2</v>
      </c>
      <c r="L34" s="7"/>
      <c r="M34" s="7"/>
      <c r="N34" s="7"/>
      <c r="O34" s="7"/>
      <c r="P34" s="7"/>
      <c r="Q34" s="7"/>
      <c r="R34" s="7"/>
      <c r="S34" s="7"/>
      <c r="T34" s="7"/>
      <c r="U34" s="7"/>
      <c r="V34" s="7"/>
    </row>
    <row r="35" spans="1:22" s="6" customFormat="1" ht="14.5" x14ac:dyDescent="0.2">
      <c r="A35" s="7"/>
      <c r="B35" s="7"/>
      <c r="C35" s="7"/>
      <c r="D35" s="255" t="str">
        <f>+$D$15</f>
        <v>Demand</v>
      </c>
      <c r="E35" s="256" t="str">
        <f>+$E$15</f>
        <v>$/kVA</v>
      </c>
      <c r="F35" s="256" t="s">
        <v>352</v>
      </c>
      <c r="G35" s="259">
        <f>Inputs_Prices!O48</f>
        <v>9.5</v>
      </c>
      <c r="H35" s="259">
        <f>Inputs_Prices!P48</f>
        <v>8.3703389830508481</v>
      </c>
      <c r="I35" s="259">
        <f>Inputs_Prices!Q48</f>
        <v>8.6730690330508491</v>
      </c>
      <c r="J35" s="259">
        <f>Inputs_Prices!R48</f>
        <v>9.0137385116000548</v>
      </c>
      <c r="K35" s="259">
        <f>Inputs_Prices!S48</f>
        <v>9.3448672095621959</v>
      </c>
      <c r="L35" s="7"/>
      <c r="M35" s="7"/>
      <c r="N35" s="7"/>
      <c r="O35" s="7"/>
      <c r="P35" s="7"/>
      <c r="Q35" s="7"/>
      <c r="R35" s="7"/>
      <c r="S35" s="7"/>
      <c r="T35" s="7"/>
      <c r="U35" s="7"/>
      <c r="V35" s="7"/>
    </row>
    <row r="36" spans="1:22" ht="13" x14ac:dyDescent="0.2">
      <c r="D36" s="367" t="s">
        <v>354</v>
      </c>
      <c r="E36" s="367"/>
      <c r="F36" s="367"/>
      <c r="G36" s="367"/>
      <c r="H36" s="367"/>
      <c r="I36" s="367"/>
      <c r="J36" s="367"/>
      <c r="K36" s="367"/>
    </row>
    <row r="37" spans="1:22" ht="25.5" customHeight="1" x14ac:dyDescent="0.2">
      <c r="D37" s="255" t="str">
        <f>+$D$13</f>
        <v>SAC</v>
      </c>
      <c r="E37" s="256" t="str">
        <f>+$E$13</f>
        <v>$ per day per NMI</v>
      </c>
      <c r="F37" s="256"/>
      <c r="G37" s="257">
        <f>Inputs_Prices!O27*Cents_to_Dollars</f>
        <v>70</v>
      </c>
      <c r="H37" s="257">
        <f>Inputs_Prices!P27*Cents_to_Dollars</f>
        <v>85</v>
      </c>
      <c r="I37" s="257">
        <f>Inputs_Prices!Q27*Cents_to_Dollars</f>
        <v>88.074195000000003</v>
      </c>
      <c r="J37" s="257">
        <f>Inputs_Prices!R27*Cents_to_Dollars</f>
        <v>91.533661305405005</v>
      </c>
      <c r="K37" s="257">
        <f>Inputs_Prices!S27*Cents_to_Dollars</f>
        <v>94.896241887120382</v>
      </c>
    </row>
    <row r="38" spans="1:22" ht="13" x14ac:dyDescent="0.2">
      <c r="D38" s="255" t="str">
        <f>+$D$14</f>
        <v>Anytime Energy Charge</v>
      </c>
      <c r="E38" s="256" t="str">
        <f>+$E$14</f>
        <v>$/kWh</v>
      </c>
      <c r="F38" s="256" t="s">
        <v>351</v>
      </c>
      <c r="G38" s="258">
        <f>Inputs_Prices!O40*Cents_to_Dollars</f>
        <v>2.63E-2</v>
      </c>
      <c r="H38" s="258">
        <f>Inputs_Prices!P40*Cents_to_Dollars</f>
        <v>2.35E-2</v>
      </c>
      <c r="I38" s="258">
        <f>Inputs_Prices!Q40*Cents_to_Dollars</f>
        <v>2.4349924500000002E-2</v>
      </c>
      <c r="J38" s="258">
        <f>Inputs_Prices!R40*Cents_to_Dollars</f>
        <v>2.5306365184435502E-2</v>
      </c>
      <c r="K38" s="258">
        <f>Inputs_Prices!S40*Cents_to_Dollars</f>
        <v>2.6236019815850928E-2</v>
      </c>
    </row>
    <row r="39" spans="1:22" ht="14.5" x14ac:dyDescent="0.2">
      <c r="D39" s="255" t="str">
        <f>+$D$15</f>
        <v>Demand</v>
      </c>
      <c r="E39" s="256" t="str">
        <f>+$E$15</f>
        <v>$/kVA</v>
      </c>
      <c r="F39" s="256" t="s">
        <v>352</v>
      </c>
      <c r="G39" s="259">
        <f>Inputs_Prices!O51</f>
        <v>8.27</v>
      </c>
      <c r="H39" s="259">
        <f>Inputs_Prices!P51</f>
        <v>8.3703389830508481</v>
      </c>
      <c r="I39" s="259">
        <f>Inputs_Prices!Q51</f>
        <v>8.6730690330508491</v>
      </c>
      <c r="J39" s="259">
        <f>Inputs_Prices!R51</f>
        <v>9.0137385116000548</v>
      </c>
      <c r="K39" s="259">
        <f>Inputs_Prices!S51</f>
        <v>9.3448672095621959</v>
      </c>
    </row>
    <row r="40" spans="1:22" ht="48.75" customHeight="1" x14ac:dyDescent="0.2">
      <c r="D40" s="369" t="s">
        <v>445</v>
      </c>
      <c r="E40" s="369"/>
      <c r="F40" s="369"/>
      <c r="G40" s="369"/>
      <c r="H40" s="369"/>
      <c r="I40" s="369"/>
      <c r="J40" s="369"/>
      <c r="K40" s="369"/>
    </row>
    <row r="41" spans="1:22" ht="13" x14ac:dyDescent="0.2">
      <c r="D41" s="162" t="s">
        <v>436</v>
      </c>
    </row>
    <row r="42" spans="1:22" ht="13" x14ac:dyDescent="0.2">
      <c r="D42" s="162" t="s">
        <v>437</v>
      </c>
    </row>
    <row r="46" spans="1:22" s="4" customFormat="1" ht="15.5" x14ac:dyDescent="0.2">
      <c r="B46" s="4" t="s">
        <v>33</v>
      </c>
    </row>
  </sheetData>
  <mergeCells count="12">
    <mergeCell ref="D40:K40"/>
    <mergeCell ref="D20:K20"/>
    <mergeCell ref="D24:K24"/>
    <mergeCell ref="D28:K28"/>
    <mergeCell ref="D32:K32"/>
    <mergeCell ref="D36:K36"/>
    <mergeCell ref="D16:K16"/>
    <mergeCell ref="D10:D11"/>
    <mergeCell ref="E10:E11"/>
    <mergeCell ref="F10:F11"/>
    <mergeCell ref="H10:K10"/>
    <mergeCell ref="D12:K12"/>
  </mergeCells>
  <conditionalFormatting sqref="B2">
    <cfRule type="cellIs" dxfId="3"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02"/>
  <sheetViews>
    <sheetView showGridLines="0" tabSelected="1" workbookViewId="0">
      <pane ySplit="5" topLeftCell="A6" activePane="bottomLeft" state="frozen"/>
      <selection pane="bottomLeft" activeCell="Q11" sqref="Q11"/>
    </sheetView>
  </sheetViews>
  <sheetFormatPr defaultColWidth="9.109375" defaultRowHeight="13" x14ac:dyDescent="0.2"/>
  <cols>
    <col min="1" max="3" width="4.109375" style="165" customWidth="1"/>
    <col min="4" max="4" width="36" style="165" customWidth="1"/>
    <col min="5" max="5" width="20.109375" style="165" customWidth="1"/>
    <col min="6" max="10" width="14.77734375" style="165" customWidth="1"/>
    <col min="11" max="12" width="12.33203125" style="165" customWidth="1"/>
    <col min="13" max="14" width="17.44140625" style="165" customWidth="1"/>
    <col min="15" max="15" width="12.33203125" style="165" customWidth="1"/>
    <col min="16" max="16" width="17.109375" style="165" bestFit="1" customWidth="1"/>
    <col min="17" max="19" width="12.33203125" style="165" customWidth="1"/>
    <col min="20" max="20" width="16.77734375" style="165" bestFit="1" customWidth="1"/>
    <col min="21" max="21" width="13.33203125" style="165" customWidth="1"/>
    <col min="22" max="22" width="16" style="165" customWidth="1"/>
    <col min="23" max="24" width="13.109375" style="165" customWidth="1"/>
    <col min="25" max="16384" width="9.109375" style="165"/>
  </cols>
  <sheetData>
    <row r="1" spans="1:24" ht="21" x14ac:dyDescent="0.2">
      <c r="A1" s="70">
        <f>IF(SUM($A211:$A401)&gt;0,1,0)</f>
        <v>0</v>
      </c>
      <c r="B1" s="242" t="s">
        <v>458</v>
      </c>
    </row>
    <row r="2" spans="1:24" s="237" customFormat="1" ht="10" x14ac:dyDescent="0.2">
      <c r="B2" s="241" t="s">
        <v>454</v>
      </c>
    </row>
    <row r="3" spans="1:24" s="237" customFormat="1" ht="12.5" x14ac:dyDescent="0.2">
      <c r="B3" s="240" t="s">
        <v>54</v>
      </c>
      <c r="C3" s="240"/>
      <c r="D3" s="240"/>
      <c r="E3" s="239"/>
    </row>
    <row r="4" spans="1:24" s="237" customFormat="1" x14ac:dyDescent="0.2">
      <c r="B4" s="238" t="s">
        <v>453</v>
      </c>
      <c r="H4" s="124" t="s">
        <v>491</v>
      </c>
      <c r="I4" s="6"/>
      <c r="J4" s="125" t="str">
        <f>Output_Charts!F10</f>
        <v>FY21</v>
      </c>
      <c r="K4" s="137">
        <f>MATCH(J4,Lookup!$O$19:$S$19)</f>
        <v>2</v>
      </c>
    </row>
    <row r="6" spans="1:24" s="167" customFormat="1" x14ac:dyDescent="0.2">
      <c r="B6" s="167" t="str">
        <f>"Table 1 Movement in customers’ network bills 20"&amp;RIGHT(J4,2)-2&amp;"-"&amp;RIGHT(J4,2)-1&amp;" to 20"&amp;RIGHT(J4,2)-1&amp;"-"&amp;RIGHT(J4,2)&amp;" (excluding GST)"</f>
        <v>Table 1 Movement in customers’ network bills 2019-20 to 2020-21 (excluding GST)</v>
      </c>
    </row>
    <row r="7" spans="1:24" ht="13.5" thickBot="1" x14ac:dyDescent="0.25"/>
    <row r="8" spans="1:24" ht="25.15" customHeight="1" thickBot="1" x14ac:dyDescent="0.25">
      <c r="D8" s="379" t="s">
        <v>386</v>
      </c>
      <c r="E8" s="370" t="s">
        <v>385</v>
      </c>
      <c r="F8" s="371">
        <v>0</v>
      </c>
      <c r="G8" s="370" t="s">
        <v>384</v>
      </c>
      <c r="H8" s="371">
        <v>0</v>
      </c>
      <c r="L8" s="372" t="s">
        <v>496</v>
      </c>
      <c r="M8" s="373"/>
      <c r="N8" s="371"/>
      <c r="O8" s="370" t="str">
        <f>"Tariffs (20"&amp;RIGHT(J4,2)-2&amp;"-"&amp;RIGHT(J4,2)-1&amp;")"</f>
        <v>Tariffs (2019-20)</v>
      </c>
      <c r="P8" s="373"/>
      <c r="Q8" s="373"/>
      <c r="R8" s="371"/>
      <c r="S8" s="370" t="str">
        <f>"Tariffs (20"&amp;RIGHT(J4,2)-1&amp;"-"&amp;RIGHT(J4,2)&amp;")"</f>
        <v>Tariffs (2020-21)</v>
      </c>
      <c r="T8" s="373"/>
      <c r="U8" s="373"/>
      <c r="V8" s="371"/>
      <c r="W8" s="370" t="s">
        <v>494</v>
      </c>
      <c r="X8" s="371"/>
    </row>
    <row r="9" spans="1:24" ht="27" customHeight="1" thickBot="1" x14ac:dyDescent="0.25">
      <c r="D9" s="380">
        <v>0</v>
      </c>
      <c r="E9" s="194" t="str">
        <f>"20"&amp;RIGHT(J4,2)-2&amp;"-"&amp;RIGHT(J4,2)-1</f>
        <v>2019-20</v>
      </c>
      <c r="F9" s="194" t="str">
        <f>"20"&amp;RIGHT(J4,2)-1&amp;"-"&amp;RIGHT(J4,2)</f>
        <v>2020-21</v>
      </c>
      <c r="G9" s="194" t="s">
        <v>383</v>
      </c>
      <c r="H9" s="194" t="s">
        <v>382</v>
      </c>
      <c r="L9" s="291" t="s">
        <v>178</v>
      </c>
      <c r="M9" s="194" t="s">
        <v>493</v>
      </c>
      <c r="N9" s="290" t="s">
        <v>492</v>
      </c>
      <c r="O9" s="292" t="s">
        <v>178</v>
      </c>
      <c r="P9" s="194" t="s">
        <v>493</v>
      </c>
      <c r="Q9" s="194" t="s">
        <v>492</v>
      </c>
      <c r="R9" s="194" t="s">
        <v>495</v>
      </c>
      <c r="S9" s="292" t="s">
        <v>178</v>
      </c>
      <c r="T9" s="194" t="s">
        <v>493</v>
      </c>
      <c r="U9" s="194" t="s">
        <v>492</v>
      </c>
      <c r="V9" s="194" t="s">
        <v>495</v>
      </c>
      <c r="W9" s="194" t="s">
        <v>171</v>
      </c>
      <c r="X9" s="194" t="s">
        <v>478</v>
      </c>
    </row>
    <row r="10" spans="1:24" ht="26.5" thickBot="1" x14ac:dyDescent="0.25">
      <c r="D10" s="192" t="s">
        <v>381</v>
      </c>
      <c r="E10" s="190">
        <f t="shared" ref="E10:F17" ca="1" si="0">W10</f>
        <v>1165.4560000000001</v>
      </c>
      <c r="F10" s="190">
        <f t="shared" ca="1" si="0"/>
        <v>1121.91975</v>
      </c>
      <c r="G10" s="193">
        <f t="shared" ref="G10:G17" ca="1" si="1">F10-E10</f>
        <v>-43.536250000000109</v>
      </c>
      <c r="H10" s="189">
        <f t="shared" ref="H10:H17" ca="1" si="2">G10/E10</f>
        <v>-3.7355550102277653E-2</v>
      </c>
      <c r="L10" s="289">
        <v>365</v>
      </c>
      <c r="M10" s="287">
        <v>8500</v>
      </c>
      <c r="N10" s="287">
        <v>0</v>
      </c>
      <c r="O10" s="289">
        <f ca="1">OFFSET(Inputs_Prices!$M21,0,$K$4)</f>
        <v>64.040000000000006</v>
      </c>
      <c r="P10" s="287">
        <f ca="1">OFFSET(Inputs_Prices!$M34,0,$K$4)</f>
        <v>10.238</v>
      </c>
      <c r="Q10" s="287">
        <v>0</v>
      </c>
      <c r="R10" s="249">
        <f>O150</f>
        <v>61.48</v>
      </c>
      <c r="S10" s="289">
        <f ca="1">OFFSET(Inputs_Prices!$N21,0,$K$4)</f>
        <v>91.715000000000003</v>
      </c>
      <c r="T10" s="287">
        <f ca="1">OFFSET(Inputs_Prices!$N34,0,$K$4)</f>
        <v>8.5</v>
      </c>
      <c r="U10" s="287">
        <v>0</v>
      </c>
      <c r="V10" s="249">
        <f>Q150</f>
        <v>64.66</v>
      </c>
      <c r="W10" s="288">
        <f t="shared" ref="W10:W17" ca="1" si="3">O10*$L10/100+P10*$M10/100+Q10*$N10+R10</f>
        <v>1165.4560000000001</v>
      </c>
      <c r="X10" s="288">
        <f t="shared" ref="X10:X17" ca="1" si="4">S10*$L10/100+T10*$M10/100+U10*$N10+V10</f>
        <v>1121.91975</v>
      </c>
    </row>
    <row r="11" spans="1:24" ht="26.5" thickBot="1" x14ac:dyDescent="0.25">
      <c r="D11" s="192" t="s">
        <v>380</v>
      </c>
      <c r="E11" s="190">
        <f t="shared" ca="1" si="0"/>
        <v>1146.6489277778435</v>
      </c>
      <c r="F11" s="190">
        <f t="shared" ca="1" si="0"/>
        <v>1095.5601090254638</v>
      </c>
      <c r="G11" s="193">
        <f t="shared" ca="1" si="1"/>
        <v>-51.088818752379666</v>
      </c>
      <c r="H11" s="189">
        <f t="shared" ca="1" si="2"/>
        <v>-4.4554891662775639E-2</v>
      </c>
      <c r="L11" s="287">
        <v>365</v>
      </c>
      <c r="M11" s="287">
        <v>8500</v>
      </c>
      <c r="N11" s="287">
        <v>16.451434801455068</v>
      </c>
      <c r="O11" s="287">
        <f ca="1">OFFSET(Inputs_Prices!$M24,0,$K$4)</f>
        <v>135</v>
      </c>
      <c r="P11" s="287">
        <f ca="1">OFFSET(Inputs_Prices!$M37,0,$K$4)</f>
        <v>3</v>
      </c>
      <c r="Q11" s="287">
        <f ca="1">OFFSET(Inputs_Prices!$M47,0,$K$4)</f>
        <v>20.51</v>
      </c>
      <c r="R11" s="249">
        <f>R10</f>
        <v>61.48</v>
      </c>
      <c r="S11" s="287">
        <f ca="1">OFFSET(Inputs_Prices!$N24,0,$K$4)</f>
        <v>150</v>
      </c>
      <c r="T11" s="287">
        <f ca="1">OFFSET(Inputs_Prices!$N37,0,$K$4)</f>
        <v>2.2999999999999998</v>
      </c>
      <c r="U11" s="287">
        <f ca="1">OFFSET(Inputs_Prices!$N47,0,$K$4)</f>
        <v>17.5</v>
      </c>
      <c r="V11" s="249">
        <v>64.66</v>
      </c>
      <c r="W11" s="288">
        <f t="shared" ca="1" si="3"/>
        <v>1146.6489277778435</v>
      </c>
      <c r="X11" s="288">
        <f t="shared" ca="1" si="4"/>
        <v>1095.5601090254638</v>
      </c>
    </row>
    <row r="12" spans="1:24" ht="26.5" thickBot="1" x14ac:dyDescent="0.25">
      <c r="D12" s="192" t="s">
        <v>379</v>
      </c>
      <c r="E12" s="190">
        <f t="shared" ca="1" si="0"/>
        <v>1830.9260000000002</v>
      </c>
      <c r="F12" s="190">
        <f t="shared" ca="1" si="0"/>
        <v>1674.41975</v>
      </c>
      <c r="G12" s="193">
        <f t="shared" ca="1" si="1"/>
        <v>-156.50625000000014</v>
      </c>
      <c r="H12" s="189">
        <f t="shared" ca="1" si="2"/>
        <v>-8.5479287529916625E-2</v>
      </c>
      <c r="L12" s="287">
        <v>365</v>
      </c>
      <c r="M12" s="287">
        <v>15000</v>
      </c>
      <c r="N12" s="287">
        <v>0</v>
      </c>
      <c r="O12" s="287">
        <f ca="1">OFFSET(Inputs_Prices!$M21,0,$K$4)</f>
        <v>64.040000000000006</v>
      </c>
      <c r="P12" s="287">
        <f ca="1">OFFSET(Inputs_Prices!$M34,0,$K$4)</f>
        <v>10.238</v>
      </c>
      <c r="Q12" s="287">
        <v>0</v>
      </c>
      <c r="R12" s="249">
        <f t="shared" ref="R12:R13" si="5">R11</f>
        <v>61.48</v>
      </c>
      <c r="S12" s="287">
        <f ca="1">OFFSET(Inputs_Prices!$N21,0,$K$4)</f>
        <v>91.715000000000003</v>
      </c>
      <c r="T12" s="287">
        <f ca="1">OFFSET(Inputs_Prices!$N34,0,$K$4)</f>
        <v>8.5</v>
      </c>
      <c r="U12" s="287">
        <v>0</v>
      </c>
      <c r="V12" s="249">
        <f>V11</f>
        <v>64.66</v>
      </c>
      <c r="W12" s="288">
        <f t="shared" ca="1" si="3"/>
        <v>1830.9260000000002</v>
      </c>
      <c r="X12" s="288">
        <f t="shared" ca="1" si="4"/>
        <v>1674.41975</v>
      </c>
    </row>
    <row r="13" spans="1:24" ht="26.5" thickBot="1" x14ac:dyDescent="0.25">
      <c r="D13" s="192" t="s">
        <v>378</v>
      </c>
      <c r="E13" s="190">
        <f t="shared" ca="1" si="0"/>
        <v>1599.6744202590871</v>
      </c>
      <c r="F13" s="190">
        <f t="shared" ca="1" si="0"/>
        <v>1465.2183790606546</v>
      </c>
      <c r="G13" s="193">
        <f t="shared" ca="1" si="1"/>
        <v>-134.45604119843256</v>
      </c>
      <c r="H13" s="189">
        <f t="shared" ca="1" si="2"/>
        <v>-8.4052129293069364E-2</v>
      </c>
      <c r="L13" s="287">
        <v>365</v>
      </c>
      <c r="M13" s="287">
        <v>15000</v>
      </c>
      <c r="N13" s="287">
        <v>29.031907374894541</v>
      </c>
      <c r="O13" s="287">
        <f ca="1">OFFSET(Inputs_Prices!$M24,0,$K$4)</f>
        <v>135</v>
      </c>
      <c r="P13" s="287">
        <f ca="1">OFFSET(Inputs_Prices!$M37,0,$K$4)</f>
        <v>3</v>
      </c>
      <c r="Q13" s="287">
        <f ca="1">OFFSET(Inputs_Prices!$M47,0,$K$4)</f>
        <v>20.51</v>
      </c>
      <c r="R13" s="249">
        <f t="shared" si="5"/>
        <v>61.48</v>
      </c>
      <c r="S13" s="287">
        <f ca="1">OFFSET(Inputs_Prices!$N24,0,$K$4)</f>
        <v>150</v>
      </c>
      <c r="T13" s="287">
        <f ca="1">OFFSET(Inputs_Prices!$N37,0,$K$4)</f>
        <v>2.2999999999999998</v>
      </c>
      <c r="U13" s="287">
        <f ca="1">OFFSET(Inputs_Prices!$N47,0,$K$4)</f>
        <v>17.5</v>
      </c>
      <c r="V13" s="249">
        <f>V12</f>
        <v>64.66</v>
      </c>
      <c r="W13" s="288">
        <f t="shared" ca="1" si="3"/>
        <v>1599.6744202590871</v>
      </c>
      <c r="X13" s="288">
        <f t="shared" ca="1" si="4"/>
        <v>1465.2183790606546</v>
      </c>
    </row>
    <row r="14" spans="1:24" ht="26.5" thickBot="1" x14ac:dyDescent="0.25">
      <c r="D14" s="192" t="s">
        <v>377</v>
      </c>
      <c r="E14" s="190">
        <f t="shared" ca="1" si="0"/>
        <v>3689.44</v>
      </c>
      <c r="F14" s="190">
        <f t="shared" ca="1" si="0"/>
        <v>3318.69</v>
      </c>
      <c r="G14" s="193">
        <f t="shared" ca="1" si="1"/>
        <v>-370.75</v>
      </c>
      <c r="H14" s="189">
        <f t="shared" ca="1" si="2"/>
        <v>-0.1004895051823583</v>
      </c>
      <c r="L14" s="287">
        <v>365</v>
      </c>
      <c r="M14" s="287">
        <v>30000</v>
      </c>
      <c r="N14" s="287">
        <v>0</v>
      </c>
      <c r="O14" s="287">
        <f ca="1">OFFSET(Inputs_Prices!$M22,0,$K$4)</f>
        <v>135</v>
      </c>
      <c r="P14" s="287">
        <f ca="1">OFFSET(Inputs_Prices!$M35,0,$K$4)</f>
        <v>10.43</v>
      </c>
      <c r="Q14" s="287">
        <v>0</v>
      </c>
      <c r="R14" s="249">
        <f>O151</f>
        <v>67.69</v>
      </c>
      <c r="S14" s="287">
        <f ca="1">OFFSET(Inputs_Prices!$N22,0,$K$4)</f>
        <v>150</v>
      </c>
      <c r="T14" s="287">
        <f ca="1">OFFSET(Inputs_Prices!$N35,0,$K$4)</f>
        <v>9</v>
      </c>
      <c r="U14" s="287">
        <v>0</v>
      </c>
      <c r="V14" s="249">
        <f>Q151</f>
        <v>71.19</v>
      </c>
      <c r="W14" s="288">
        <f t="shared" ca="1" si="3"/>
        <v>3689.44</v>
      </c>
      <c r="X14" s="288">
        <f t="shared" ca="1" si="4"/>
        <v>3318.69</v>
      </c>
    </row>
    <row r="15" spans="1:24" ht="26.5" thickBot="1" x14ac:dyDescent="0.25">
      <c r="D15" s="192" t="s">
        <v>376</v>
      </c>
      <c r="E15" s="190">
        <f t="shared" ca="1" si="0"/>
        <v>2645.1178644465726</v>
      </c>
      <c r="F15" s="190">
        <f t="shared" ca="1" si="0"/>
        <v>2319.5072904834237</v>
      </c>
      <c r="G15" s="193">
        <f t="shared" ca="1" si="1"/>
        <v>-325.61057396314891</v>
      </c>
      <c r="H15" s="189">
        <f t="shared" ca="1" si="2"/>
        <v>-0.12309870132432647</v>
      </c>
      <c r="L15" s="287">
        <v>365</v>
      </c>
      <c r="M15" s="287">
        <v>30000</v>
      </c>
      <c r="N15" s="287">
        <v>57.760988027624208</v>
      </c>
      <c r="O15" s="287">
        <f ca="1">OFFSET(Inputs_Prices!$M24,0,$K$4)</f>
        <v>135</v>
      </c>
      <c r="P15" s="287">
        <f ca="1">OFFSET(Inputs_Prices!$M37,0,$K$4)</f>
        <v>3</v>
      </c>
      <c r="Q15" s="287">
        <f ca="1">OFFSET(Inputs_Prices!$M47,0,$K$4)</f>
        <v>20.51</v>
      </c>
      <c r="R15" s="249">
        <f>R14</f>
        <v>67.69</v>
      </c>
      <c r="S15" s="287">
        <f ca="1">OFFSET(Inputs_Prices!$N24,0,$K$4)</f>
        <v>150</v>
      </c>
      <c r="T15" s="287">
        <f ca="1">OFFSET(Inputs_Prices!$N37,0,$K$4)</f>
        <v>2.2999999999999998</v>
      </c>
      <c r="U15" s="287">
        <f ca="1">OFFSET(Inputs_Prices!$N47,0,$K$4)</f>
        <v>17.5</v>
      </c>
      <c r="V15" s="249">
        <f>V14</f>
        <v>71.19</v>
      </c>
      <c r="W15" s="288">
        <f t="shared" ca="1" si="3"/>
        <v>2645.1178644465726</v>
      </c>
      <c r="X15" s="288">
        <f t="shared" ca="1" si="4"/>
        <v>2319.5072904834237</v>
      </c>
    </row>
    <row r="16" spans="1:24" ht="13.5" thickBot="1" x14ac:dyDescent="0.25">
      <c r="D16" s="192" t="s">
        <v>375</v>
      </c>
      <c r="E16" s="190">
        <f t="shared" ca="1" si="0"/>
        <v>93671.440306368109</v>
      </c>
      <c r="F16" s="190">
        <f t="shared" ca="1" si="0"/>
        <v>92736.771562519556</v>
      </c>
      <c r="G16" s="190">
        <f t="shared" ca="1" si="1"/>
        <v>-934.66874384855328</v>
      </c>
      <c r="H16" s="189">
        <f t="shared" ca="1" si="2"/>
        <v>-9.9781613348910066E-3</v>
      </c>
      <c r="L16" s="287">
        <v>365</v>
      </c>
      <c r="M16" s="287">
        <v>1000000</v>
      </c>
      <c r="N16" s="287">
        <v>3791.5263914880097</v>
      </c>
      <c r="O16" s="287">
        <f ca="1">OFFSET(Inputs_Prices!$M26,0,$K$4)</f>
        <v>7000</v>
      </c>
      <c r="P16" s="287">
        <f ca="1">OFFSET(Inputs_Prices!$M39,0,$K$4)</f>
        <v>2.63</v>
      </c>
      <c r="Q16" s="287">
        <f ca="1">OFFSET(Inputs_Prices!$M49,0,$K$4)</f>
        <v>11</v>
      </c>
      <c r="R16" s="249">
        <f>O152</f>
        <v>114.65</v>
      </c>
      <c r="S16" s="287">
        <f ca="1">OFFSET(Inputs_Prices!$N26,0,$K$4)</f>
        <v>7120</v>
      </c>
      <c r="T16" s="287">
        <f ca="1">OFFSET(Inputs_Prices!$N39,0,$K$4)</f>
        <v>2</v>
      </c>
      <c r="U16" s="287">
        <f ca="1">OFFSET(Inputs_Prices!$N49,0,$K$4)</f>
        <v>12.298</v>
      </c>
      <c r="V16" s="249">
        <f>Q152</f>
        <v>120.58</v>
      </c>
      <c r="W16" s="288">
        <f t="shared" ca="1" si="3"/>
        <v>93671.440306368109</v>
      </c>
      <c r="X16" s="288">
        <f t="shared" ca="1" si="4"/>
        <v>92736.771562519556</v>
      </c>
    </row>
    <row r="17" spans="1:24" ht="26.5" thickBot="1" x14ac:dyDescent="0.25">
      <c r="D17" s="191" t="s">
        <v>374</v>
      </c>
      <c r="E17" s="190">
        <f t="shared" ca="1" si="0"/>
        <v>276677.39970636822</v>
      </c>
      <c r="F17" s="190">
        <f t="shared" ca="1" si="0"/>
        <v>266489.26955073461</v>
      </c>
      <c r="G17" s="190">
        <f t="shared" ca="1" si="1"/>
        <v>-10188.130155633611</v>
      </c>
      <c r="H17" s="189">
        <f t="shared" ca="1" si="2"/>
        <v>-3.6823138306367111E-2</v>
      </c>
      <c r="L17" s="287">
        <v>365</v>
      </c>
      <c r="M17" s="287">
        <v>6000000</v>
      </c>
      <c r="N17" s="287">
        <v>11271.1910164895</v>
      </c>
      <c r="O17" s="287">
        <f ca="1">OFFSET(Inputs_Prices!$M27,0,$K$4)</f>
        <v>7000</v>
      </c>
      <c r="P17" s="287">
        <f ca="1">OFFSET(Inputs_Prices!$M40,0,$K$4)</f>
        <v>2.63</v>
      </c>
      <c r="Q17" s="287">
        <f ca="1">OFFSET(Inputs_Prices!$M51,0,$K$4)</f>
        <v>8.27</v>
      </c>
      <c r="R17" s="249">
        <f>R16</f>
        <v>114.65</v>
      </c>
      <c r="S17" s="287">
        <f ca="1">OFFSET(Inputs_Prices!$N27,0,$K$4)</f>
        <v>8500</v>
      </c>
      <c r="T17" s="287">
        <f ca="1">OFFSET(Inputs_Prices!$N40,0,$K$4)</f>
        <v>2.35</v>
      </c>
      <c r="U17" s="287">
        <f ca="1">OFFSET(Inputs_Prices!$N51,0,$K$4)</f>
        <v>8.3703389830508481</v>
      </c>
      <c r="V17" s="249">
        <f>V16</f>
        <v>120.58</v>
      </c>
      <c r="W17" s="288">
        <f t="shared" ca="1" si="3"/>
        <v>276677.39970636822</v>
      </c>
      <c r="X17" s="288">
        <f t="shared" ca="1" si="4"/>
        <v>266489.26955073461</v>
      </c>
    </row>
    <row r="18" spans="1:24" x14ac:dyDescent="0.2">
      <c r="D18" s="188" t="s">
        <v>373</v>
      </c>
    </row>
    <row r="19" spans="1:24" ht="14.5" x14ac:dyDescent="0.2">
      <c r="A19" s="116"/>
      <c r="C19" s="187"/>
      <c r="D19" s="186"/>
      <c r="E19" s="186"/>
      <c r="F19" s="185"/>
      <c r="G19" s="185"/>
      <c r="H19" s="185"/>
    </row>
    <row r="20" spans="1:24" ht="13.5" customHeight="1" x14ac:dyDescent="0.2"/>
    <row r="21" spans="1:24" s="167" customFormat="1" x14ac:dyDescent="0.2">
      <c r="B21" s="167" t="str">
        <f>"Figure 1 –  Impact on major customers’ network component of the bill (20"&amp;RIGHT(J4,2)-2&amp;"-"&amp;RIGHT(J4,2)-1&amp;" and 20"&amp;RIGHT(J4,2)-1&amp;"-"&amp;RIGHT(J4,2)&amp;")"</f>
        <v>Figure 1 –  Impact on major customers’ network component of the bill (2019-20 and 2020-21)</v>
      </c>
    </row>
    <row r="23" spans="1:24" x14ac:dyDescent="0.2">
      <c r="D23" s="279" t="s">
        <v>459</v>
      </c>
      <c r="L23" s="279"/>
    </row>
    <row r="26" spans="1:24" x14ac:dyDescent="0.2">
      <c r="C26" s="195"/>
      <c r="D26" s="195"/>
      <c r="E26" s="195"/>
      <c r="F26" s="195"/>
      <c r="G26" s="195"/>
      <c r="H26" s="195"/>
      <c r="I26" s="195"/>
      <c r="J26" s="195"/>
      <c r="K26" s="195"/>
      <c r="L26" s="195"/>
    </row>
    <row r="27" spans="1:24" x14ac:dyDescent="0.2">
      <c r="C27" s="195"/>
      <c r="D27" s="195"/>
      <c r="E27" s="195"/>
      <c r="F27" s="195"/>
      <c r="G27" s="195"/>
      <c r="H27" s="195"/>
      <c r="I27" s="195"/>
      <c r="J27" s="195"/>
      <c r="K27" s="195"/>
      <c r="L27" s="195"/>
    </row>
    <row r="28" spans="1:24" x14ac:dyDescent="0.2">
      <c r="C28" s="195"/>
      <c r="D28" s="195"/>
      <c r="E28" s="195"/>
      <c r="F28" s="195"/>
      <c r="G28" s="195"/>
      <c r="H28" s="195"/>
      <c r="I28" s="195"/>
      <c r="J28" s="195"/>
      <c r="K28" s="195"/>
      <c r="L28" s="195"/>
    </row>
    <row r="29" spans="1:24" x14ac:dyDescent="0.2">
      <c r="C29" s="195"/>
      <c r="D29" s="195"/>
      <c r="E29" s="195"/>
      <c r="F29" s="195"/>
      <c r="G29" s="195"/>
      <c r="H29" s="195"/>
      <c r="I29" s="195"/>
      <c r="J29" s="195"/>
      <c r="K29" s="195"/>
      <c r="L29" s="195"/>
    </row>
    <row r="30" spans="1:24" x14ac:dyDescent="0.2">
      <c r="C30" s="195"/>
      <c r="D30" s="195"/>
      <c r="E30" s="195"/>
      <c r="F30" s="195"/>
      <c r="G30" s="195"/>
      <c r="H30" s="195"/>
      <c r="I30" s="195"/>
      <c r="J30" s="195"/>
      <c r="K30" s="195"/>
      <c r="L30" s="195"/>
    </row>
    <row r="31" spans="1:24" x14ac:dyDescent="0.2">
      <c r="C31" s="195"/>
      <c r="D31" s="195"/>
      <c r="E31" s="195"/>
      <c r="F31" s="195"/>
      <c r="G31" s="195"/>
      <c r="H31" s="195"/>
      <c r="I31" s="195"/>
      <c r="J31" s="195"/>
      <c r="K31" s="195"/>
      <c r="L31" s="195"/>
    </row>
    <row r="32" spans="1:24" x14ac:dyDescent="0.2">
      <c r="C32" s="195"/>
      <c r="D32" s="195"/>
      <c r="E32" s="195"/>
      <c r="F32" s="195"/>
      <c r="G32" s="195"/>
      <c r="H32" s="195"/>
      <c r="I32" s="195"/>
      <c r="J32" s="195"/>
      <c r="K32" s="195"/>
      <c r="L32" s="195"/>
    </row>
    <row r="33" spans="2:12" x14ac:dyDescent="0.2">
      <c r="C33" s="195"/>
      <c r="D33" s="195"/>
      <c r="E33" s="195"/>
      <c r="F33" s="195"/>
      <c r="G33" s="195"/>
      <c r="H33" s="195"/>
      <c r="I33" s="195"/>
      <c r="J33" s="195"/>
      <c r="K33" s="195"/>
      <c r="L33" s="195"/>
    </row>
    <row r="34" spans="2:12" x14ac:dyDescent="0.2">
      <c r="C34" s="195"/>
      <c r="D34" s="195"/>
      <c r="E34" s="195"/>
      <c r="F34" s="195"/>
      <c r="G34" s="195"/>
      <c r="H34" s="195"/>
      <c r="I34" s="195"/>
      <c r="J34" s="195"/>
      <c r="K34" s="195"/>
      <c r="L34" s="195"/>
    </row>
    <row r="35" spans="2:12" x14ac:dyDescent="0.2">
      <c r="C35" s="195"/>
      <c r="D35" s="195"/>
      <c r="E35" s="195"/>
      <c r="F35" s="195"/>
      <c r="G35" s="195"/>
      <c r="H35" s="195"/>
      <c r="I35" s="195"/>
      <c r="J35" s="195"/>
      <c r="K35" s="195"/>
      <c r="L35" s="195"/>
    </row>
    <row r="36" spans="2:12" x14ac:dyDescent="0.2">
      <c r="C36" s="195"/>
      <c r="D36" s="195"/>
      <c r="E36" s="195"/>
      <c r="F36" s="195"/>
      <c r="G36" s="195"/>
      <c r="H36" s="195"/>
      <c r="I36" s="195"/>
      <c r="J36" s="195"/>
      <c r="K36" s="195"/>
      <c r="L36" s="195"/>
    </row>
    <row r="37" spans="2:12" x14ac:dyDescent="0.2">
      <c r="C37" s="195"/>
      <c r="D37" s="195"/>
      <c r="E37" s="195"/>
      <c r="F37" s="195"/>
      <c r="G37" s="195"/>
      <c r="H37" s="195"/>
      <c r="I37" s="195"/>
      <c r="J37" s="195"/>
      <c r="K37" s="195"/>
      <c r="L37" s="195"/>
    </row>
    <row r="38" spans="2:12" x14ac:dyDescent="0.2">
      <c r="C38" s="195"/>
      <c r="D38" s="195"/>
      <c r="E38" s="195"/>
      <c r="F38" s="195"/>
      <c r="G38" s="195"/>
      <c r="H38" s="195"/>
      <c r="I38" s="195"/>
      <c r="J38" s="195"/>
      <c r="K38" s="195"/>
      <c r="L38" s="195"/>
    </row>
    <row r="39" spans="2:12" x14ac:dyDescent="0.2">
      <c r="C39" s="195"/>
      <c r="D39" s="195"/>
      <c r="E39" s="195"/>
      <c r="F39" s="195"/>
      <c r="G39" s="195"/>
      <c r="H39" s="195"/>
      <c r="I39" s="195"/>
      <c r="J39" s="195"/>
      <c r="K39" s="195"/>
      <c r="L39" s="195"/>
    </row>
    <row r="40" spans="2:12" x14ac:dyDescent="0.2">
      <c r="C40" s="195"/>
      <c r="D40" s="195"/>
      <c r="E40" s="195"/>
      <c r="F40" s="195"/>
      <c r="G40" s="195"/>
      <c r="H40" s="195"/>
      <c r="I40" s="195"/>
      <c r="J40" s="195"/>
      <c r="K40" s="195"/>
      <c r="L40" s="195"/>
    </row>
    <row r="41" spans="2:12" x14ac:dyDescent="0.2">
      <c r="C41" s="195"/>
      <c r="D41" s="195"/>
      <c r="E41" s="195"/>
      <c r="F41" s="195"/>
      <c r="G41" s="195"/>
      <c r="H41" s="195"/>
      <c r="I41" s="195"/>
      <c r="J41" s="195"/>
      <c r="K41" s="195"/>
      <c r="L41" s="195"/>
    </row>
    <row r="42" spans="2:12" x14ac:dyDescent="0.2">
      <c r="C42" s="195"/>
      <c r="D42" s="195"/>
      <c r="E42" s="195"/>
      <c r="F42" s="195"/>
      <c r="G42" s="195"/>
      <c r="H42" s="195"/>
      <c r="I42" s="195"/>
      <c r="J42" s="195"/>
      <c r="K42" s="195"/>
      <c r="L42" s="195"/>
    </row>
    <row r="43" spans="2:12" x14ac:dyDescent="0.2">
      <c r="C43" s="195"/>
      <c r="D43" s="195"/>
      <c r="E43" s="195"/>
      <c r="F43" s="195"/>
      <c r="G43" s="195"/>
      <c r="H43" s="195"/>
      <c r="I43" s="195"/>
      <c r="J43" s="195"/>
      <c r="K43" s="195"/>
      <c r="L43" s="195"/>
    </row>
    <row r="46" spans="2:12" s="167" customFormat="1" x14ac:dyDescent="0.2">
      <c r="B46" s="167" t="s">
        <v>499</v>
      </c>
    </row>
    <row r="47" spans="2:12" ht="13.5" thickBot="1" x14ac:dyDescent="0.25">
      <c r="E47" s="294"/>
      <c r="F47" s="294"/>
    </row>
    <row r="48" spans="2:12" ht="30.75" customHeight="1" x14ac:dyDescent="0.2">
      <c r="D48" s="217" t="s">
        <v>395</v>
      </c>
      <c r="E48" s="217" t="s">
        <v>196</v>
      </c>
      <c r="F48" s="397" t="s">
        <v>406</v>
      </c>
      <c r="G48" s="397"/>
      <c r="H48" s="397"/>
      <c r="I48" s="397"/>
      <c r="J48" s="397"/>
      <c r="K48" s="397"/>
    </row>
    <row r="49" spans="2:11" ht="29" x14ac:dyDescent="0.2">
      <c r="D49" s="392" t="s">
        <v>104</v>
      </c>
      <c r="E49" s="216" t="s">
        <v>360</v>
      </c>
      <c r="F49" s="393" t="s">
        <v>405</v>
      </c>
      <c r="G49" s="393"/>
      <c r="H49" s="393"/>
      <c r="I49" s="393"/>
      <c r="J49" s="393"/>
      <c r="K49" s="393"/>
    </row>
    <row r="50" spans="2:11" ht="29" x14ac:dyDescent="0.2">
      <c r="D50" s="393"/>
      <c r="E50" s="216" t="s">
        <v>359</v>
      </c>
      <c r="F50" s="393" t="s">
        <v>404</v>
      </c>
      <c r="G50" s="393"/>
      <c r="H50" s="393"/>
      <c r="I50" s="393"/>
      <c r="J50" s="393"/>
      <c r="K50" s="393"/>
    </row>
    <row r="51" spans="2:11" ht="29" x14ac:dyDescent="0.2">
      <c r="D51" s="393"/>
      <c r="E51" s="216" t="s">
        <v>358</v>
      </c>
      <c r="F51" s="393" t="s">
        <v>403</v>
      </c>
      <c r="G51" s="393"/>
      <c r="H51" s="393"/>
      <c r="I51" s="393"/>
      <c r="J51" s="393"/>
      <c r="K51" s="393"/>
    </row>
    <row r="52" spans="2:11" ht="29.5" thickBot="1" x14ac:dyDescent="0.25">
      <c r="D52" s="394"/>
      <c r="E52" s="215" t="s">
        <v>357</v>
      </c>
      <c r="F52" s="394" t="s">
        <v>402</v>
      </c>
      <c r="G52" s="394"/>
      <c r="H52" s="394"/>
      <c r="I52" s="394"/>
      <c r="J52" s="394"/>
      <c r="K52" s="394"/>
    </row>
    <row r="53" spans="2:11" ht="29.5" thickBot="1" x14ac:dyDescent="0.25">
      <c r="D53" s="215" t="s">
        <v>401</v>
      </c>
      <c r="E53" s="215" t="s">
        <v>356</v>
      </c>
      <c r="F53" s="398" t="s">
        <v>400</v>
      </c>
      <c r="G53" s="398"/>
      <c r="H53" s="398"/>
      <c r="I53" s="398"/>
      <c r="J53" s="398"/>
      <c r="K53" s="398"/>
    </row>
    <row r="54" spans="2:11" ht="29" x14ac:dyDescent="0.2">
      <c r="D54" s="395" t="s">
        <v>399</v>
      </c>
      <c r="E54" s="216" t="s">
        <v>355</v>
      </c>
      <c r="F54" s="393" t="s">
        <v>398</v>
      </c>
      <c r="G54" s="393"/>
      <c r="H54" s="393"/>
      <c r="I54" s="393"/>
      <c r="J54" s="393"/>
      <c r="K54" s="393"/>
    </row>
    <row r="55" spans="2:11" ht="29.5" thickBot="1" x14ac:dyDescent="0.25">
      <c r="D55" s="394"/>
      <c r="E55" s="215" t="s">
        <v>354</v>
      </c>
      <c r="F55" s="394" t="s">
        <v>397</v>
      </c>
      <c r="G55" s="394"/>
      <c r="H55" s="394"/>
      <c r="I55" s="394"/>
      <c r="J55" s="394"/>
      <c r="K55" s="394"/>
    </row>
    <row r="58" spans="2:11" s="167" customFormat="1" x14ac:dyDescent="0.2">
      <c r="B58" s="167" t="s">
        <v>498</v>
      </c>
    </row>
    <row r="59" spans="2:11" ht="15" thickBot="1" x14ac:dyDescent="0.25">
      <c r="D59" s="179"/>
      <c r="E59" s="168"/>
      <c r="F59" s="168"/>
    </row>
    <row r="60" spans="2:11" ht="13.5" thickBot="1" x14ac:dyDescent="0.25">
      <c r="D60" s="236" t="s">
        <v>21</v>
      </c>
      <c r="E60" s="230" t="s">
        <v>430</v>
      </c>
      <c r="F60" s="230" t="s">
        <v>64</v>
      </c>
    </row>
    <row r="61" spans="2:11" ht="26" x14ac:dyDescent="0.2">
      <c r="D61" s="261" t="s">
        <v>183</v>
      </c>
      <c r="E61" s="235">
        <f ca="1">OFFSET(Output_AER_Compliance!N47,0,$K$4)</f>
        <v>145612.99581686416</v>
      </c>
      <c r="F61" s="232" t="s">
        <v>429</v>
      </c>
    </row>
    <row r="62" spans="2:11" ht="14.5" x14ac:dyDescent="0.2">
      <c r="D62" s="261" t="s">
        <v>184</v>
      </c>
      <c r="E62" s="235">
        <f ca="1">OFFSET(Output_AER_Compliance!N48,0,$K$4)</f>
        <v>0</v>
      </c>
      <c r="F62" s="232" t="s">
        <v>428</v>
      </c>
    </row>
    <row r="63" spans="2:11" x14ac:dyDescent="0.2">
      <c r="D63" s="261" t="s">
        <v>185</v>
      </c>
      <c r="E63" s="235">
        <f ca="1">OFFSET(Output_AER_Compliance!N49,0,$K$4)</f>
        <v>316.65708243404157</v>
      </c>
      <c r="F63" s="234" t="s">
        <v>427</v>
      </c>
    </row>
    <row r="64" spans="2:11" ht="14.5" x14ac:dyDescent="0.2">
      <c r="D64" s="261" t="s">
        <v>186</v>
      </c>
      <c r="E64" s="235">
        <f ca="1">OFFSET(Output_AER_Compliance!N50,0,$K$4)</f>
        <v>0</v>
      </c>
      <c r="F64" s="232" t="str">
        <f>"There are no pass through amounts for 20"&amp;RIGHT(J4,2)-1&amp;"-"&amp;RIGHT(J4,2)&amp;" – see section 3.2.4"</f>
        <v>There are no pass through amounts for 2020-21 – see section 3.2.4</v>
      </c>
    </row>
    <row r="65" spans="2:7" ht="14.5" x14ac:dyDescent="0.2">
      <c r="D65" s="262" t="s">
        <v>426</v>
      </c>
      <c r="E65" s="233">
        <f ca="1">SUM(E61:E64)</f>
        <v>145929.65289929821</v>
      </c>
      <c r="F65" s="232" t="s">
        <v>425</v>
      </c>
    </row>
    <row r="68" spans="2:7" s="167" customFormat="1" x14ac:dyDescent="0.2">
      <c r="B68" s="167" t="s">
        <v>500</v>
      </c>
    </row>
    <row r="69" spans="2:7" ht="13.5" thickBot="1" x14ac:dyDescent="0.25"/>
    <row r="70" spans="2:7" ht="15" thickBot="1" x14ac:dyDescent="0.25">
      <c r="D70" s="231"/>
      <c r="E70" s="230" t="str">
        <f>"20"&amp;RIGHT(J4,2)-3&amp;"-"&amp;RIGHT(J4,2)-2</f>
        <v>2018-19</v>
      </c>
      <c r="F70" s="230" t="str">
        <f>"20"&amp;RIGHT(J4,2)-2&amp;"-"&amp;RIGHT(J4,2)-1</f>
        <v>2019-20</v>
      </c>
      <c r="G70" s="230" t="str">
        <f>"20"&amp;RIGHT(J4,2)-1&amp;"-"&amp;RIGHT(J4,2)</f>
        <v>2020-21</v>
      </c>
    </row>
    <row r="71" spans="2:7" ht="15" customHeight="1" x14ac:dyDescent="0.2">
      <c r="D71" s="229" t="s">
        <v>424</v>
      </c>
      <c r="E71" s="228" t="s">
        <v>423</v>
      </c>
      <c r="F71" s="227" t="s">
        <v>422</v>
      </c>
      <c r="G71" s="227" t="s">
        <v>421</v>
      </c>
    </row>
    <row r="72" spans="2:7" x14ac:dyDescent="0.2">
      <c r="D72" s="224" t="s">
        <v>420</v>
      </c>
      <c r="E72" s="349">
        <f ca="1">OFFSET(Output_AER_Compliance!L76,0,$K$4)</f>
        <v>170806.00099999999</v>
      </c>
      <c r="F72" s="349">
        <f ca="1">OFFSET(Output_AER_Compliance!M76,0,$K$4)</f>
        <v>157810.99031840824</v>
      </c>
      <c r="G72" s="349">
        <f ca="1">OFFSET(Output_AER_Compliance!N76,0,$K$4)</f>
        <v>145929.39240453864</v>
      </c>
    </row>
    <row r="73" spans="2:7" x14ac:dyDescent="0.2">
      <c r="D73" s="224"/>
      <c r="E73" s="350"/>
      <c r="F73" s="350"/>
      <c r="G73" s="350"/>
    </row>
    <row r="74" spans="2:7" x14ac:dyDescent="0.2">
      <c r="D74" s="221" t="s">
        <v>419</v>
      </c>
      <c r="E74" s="350">
        <f ca="1">OFFSET(Output_AER_Compliance!L78,0,$K$4)</f>
        <v>211130.85806505725</v>
      </c>
      <c r="F74" s="350">
        <f ca="1">OFFSET(Output_AER_Compliance!M78,0,$K$4)</f>
        <v>141736.93093372628</v>
      </c>
      <c r="G74" s="350">
        <f ca="1">OFFSET(Output_AER_Compliance!N78,0,$K$4)</f>
        <v>145612.99581686416</v>
      </c>
    </row>
    <row r="75" spans="2:7" x14ac:dyDescent="0.2">
      <c r="D75" s="221" t="s">
        <v>418</v>
      </c>
      <c r="E75" s="350">
        <f ca="1">OFFSET(Output_AER_Compliance!L79,0,$K$4)</f>
        <v>0</v>
      </c>
      <c r="F75" s="350">
        <f ca="1">OFFSET(Output_AER_Compliance!M79,0,$K$4)</f>
        <v>0</v>
      </c>
      <c r="G75" s="350">
        <f ca="1">OFFSET(Output_AER_Compliance!N79,0,$K$4)</f>
        <v>0</v>
      </c>
    </row>
    <row r="76" spans="2:7" x14ac:dyDescent="0.2">
      <c r="D76" s="221" t="s">
        <v>417</v>
      </c>
      <c r="E76" s="351">
        <f ca="1">OFFSET(Output_AER_Compliance!L80,0,$K$4)</f>
        <v>0</v>
      </c>
      <c r="F76" s="351">
        <f ca="1">OFFSET(Output_AER_Compliance!M80,0,$K$4)</f>
        <v>0</v>
      </c>
      <c r="G76" s="351">
        <f ca="1">OFFSET(Output_AER_Compliance!N80,0,$K$4)</f>
        <v>0</v>
      </c>
    </row>
    <row r="77" spans="2:7" x14ac:dyDescent="0.2">
      <c r="D77" s="221" t="s">
        <v>416</v>
      </c>
      <c r="E77" s="350">
        <f ca="1">OFFSET(Output_AER_Compliance!L81,0,$K$4)</f>
        <v>0</v>
      </c>
      <c r="F77" s="350">
        <f ca="1">OFFSET(Output_AER_Compliance!M81,0,$K$4)</f>
        <v>0</v>
      </c>
      <c r="G77" s="350">
        <f ca="1">OFFSET(Output_AER_Compliance!N81,0,$K$4)</f>
        <v>0</v>
      </c>
    </row>
    <row r="78" spans="2:7" x14ac:dyDescent="0.2">
      <c r="D78" s="221"/>
      <c r="E78" s="350"/>
      <c r="F78" s="350"/>
      <c r="G78" s="350"/>
    </row>
    <row r="79" spans="2:7" x14ac:dyDescent="0.2">
      <c r="D79" s="221" t="s">
        <v>415</v>
      </c>
      <c r="E79" s="350">
        <f ca="1">OFFSET(Output_AER_Compliance!L83,0,$K$4)</f>
        <v>211130.85806505725</v>
      </c>
      <c r="F79" s="350">
        <f ca="1">OFFSET(Output_AER_Compliance!M83,0,$K$4)</f>
        <v>141736.93093372628</v>
      </c>
      <c r="G79" s="350">
        <f ca="1">OFFSET(Output_AER_Compliance!N83,0,$K$4)</f>
        <v>145612.99581686416</v>
      </c>
    </row>
    <row r="80" spans="2:7" x14ac:dyDescent="0.2">
      <c r="D80" s="221"/>
      <c r="E80" s="350"/>
      <c r="F80" s="350"/>
      <c r="G80" s="350"/>
    </row>
    <row r="81" spans="4:11" x14ac:dyDescent="0.2">
      <c r="D81" s="221" t="s">
        <v>414</v>
      </c>
      <c r="E81" s="350">
        <f ca="1">OFFSET(Output_AER_Compliance!L85,0,$K$4)</f>
        <v>34020.688188122811</v>
      </c>
      <c r="F81" s="350">
        <f ca="1">OFFSET(Output_AER_Compliance!M85,0,$K$4)</f>
        <v>0</v>
      </c>
      <c r="G81" s="350">
        <f ca="1">OFFSET(Output_AER_Compliance!N85,0,$K$4)</f>
        <v>0</v>
      </c>
    </row>
    <row r="82" spans="4:11" x14ac:dyDescent="0.2">
      <c r="D82" s="221"/>
      <c r="E82" s="350"/>
      <c r="F82" s="350"/>
      <c r="G82" s="350"/>
    </row>
    <row r="83" spans="4:11" x14ac:dyDescent="0.2">
      <c r="D83" s="220" t="s">
        <v>413</v>
      </c>
      <c r="E83" s="352">
        <f ca="1">OFFSET(Output_AER_Compliance!L87,0,$K$4)</f>
        <v>-6304.1688769344546</v>
      </c>
      <c r="F83" s="352">
        <f ca="1">OFFSET(Output_AER_Compliance!M87,0,$K$4)</f>
        <v>16074.059384681954</v>
      </c>
      <c r="G83" s="352">
        <f ca="1">OFFSET(Output_AER_Compliance!N87,0,$K$4)</f>
        <v>316.3965876744769</v>
      </c>
    </row>
    <row r="84" spans="4:11" ht="14.5" x14ac:dyDescent="0.2">
      <c r="D84" s="226"/>
      <c r="E84" s="225"/>
      <c r="F84" s="225"/>
      <c r="G84" s="225"/>
    </row>
    <row r="85" spans="4:11" ht="14.5" x14ac:dyDescent="0.2">
      <c r="D85" s="224" t="s">
        <v>412</v>
      </c>
      <c r="E85" s="223"/>
      <c r="F85" s="223"/>
      <c r="G85" s="223"/>
    </row>
    <row r="86" spans="4:11" x14ac:dyDescent="0.2">
      <c r="D86" s="221" t="s">
        <v>411</v>
      </c>
      <c r="E86" s="222">
        <f>K86</f>
        <v>7.2779999999999997E-2</v>
      </c>
      <c r="F86" s="222">
        <f ca="1">OFFSET(Output_AER_Compliance!M40,0,$K$4)</f>
        <v>4.2212005512524575E-2</v>
      </c>
      <c r="G86" s="222">
        <f ca="1">OFFSET(Output_AER_Compliance!N40,0,$K$4)</f>
        <v>4.2789197172879545E-2</v>
      </c>
      <c r="J86" s="286" t="str">
        <f>"20"&amp;RIGHT(J4,2)-3&amp;"-"&amp;RIGHT(J4,2)-2&amp;" WACC"</f>
        <v>2018-19 WACC</v>
      </c>
      <c r="K86" s="111">
        <f>+Inputs_Other!$N$88</f>
        <v>7.2779999999999997E-2</v>
      </c>
    </row>
    <row r="87" spans="4:11" x14ac:dyDescent="0.2">
      <c r="D87" s="221" t="s">
        <v>187</v>
      </c>
      <c r="E87" s="350">
        <f ca="1">OFFSET(Output_AER_Compliance!L95,0,$K$4)</f>
        <v>-8867.7645749064086</v>
      </c>
      <c r="F87" s="350">
        <f ca="1">OFFSET(Output_AER_Compliance!M95,0,$K$4)</f>
        <v>-16042.709291318726</v>
      </c>
      <c r="G87" s="350">
        <f ca="1">OFFSET(Output_AER_Compliance!N95,0,$K$4)</f>
        <v>-310.09227289236878</v>
      </c>
    </row>
    <row r="88" spans="4:11" x14ac:dyDescent="0.2">
      <c r="D88" s="221" t="s">
        <v>188</v>
      </c>
      <c r="E88" s="350">
        <f ca="1">OFFSET(Output_AER_Compliance!L96,0,$K$4)</f>
        <v>-645.39590576168837</v>
      </c>
      <c r="F88" s="350">
        <f ca="1">OFFSET(Output_AER_Compliance!M96,0,$K$4)</f>
        <v>-677.19493304097534</v>
      </c>
      <c r="G88" s="350">
        <f ca="1">OFFSET(Output_AER_Compliance!N96,0,$K$4)</f>
        <v>-13.268599406577939</v>
      </c>
    </row>
    <row r="89" spans="4:11" x14ac:dyDescent="0.2">
      <c r="D89" s="221" t="s">
        <v>189</v>
      </c>
      <c r="E89" s="350">
        <f ca="1">OFFSET(Output_AER_Compliance!L97,0,$K$4)</f>
        <v>-6304.1688769344546</v>
      </c>
      <c r="F89" s="350">
        <f ca="1">OFFSET(Output_AER_Compliance!M97,0,$K$4)</f>
        <v>16074.059384681954</v>
      </c>
      <c r="G89" s="350">
        <f ca="1">OFFSET(Output_AER_Compliance!N97,0,$K$4)</f>
        <v>316.3965876744769</v>
      </c>
    </row>
    <row r="90" spans="4:11" x14ac:dyDescent="0.2">
      <c r="D90" s="221" t="s">
        <v>190</v>
      </c>
      <c r="E90" s="350">
        <f ca="1">OFFSET(Output_AER_Compliance!L98,0,$K$4)</f>
        <v>-225.37993371617358</v>
      </c>
      <c r="F90" s="350">
        <f ca="1">OFFSET(Output_AER_Compliance!M98,0,$K$4)</f>
        <v>335.75256678538062</v>
      </c>
      <c r="G90" s="350">
        <f ca="1">OFFSET(Output_AER_Compliance!N98,0,$K$4)</f>
        <v>6.6982750596918663</v>
      </c>
    </row>
    <row r="91" spans="4:11" x14ac:dyDescent="0.2">
      <c r="D91" s="221"/>
      <c r="E91" s="350"/>
      <c r="F91" s="350"/>
      <c r="G91" s="350"/>
    </row>
    <row r="92" spans="4:11" x14ac:dyDescent="0.2">
      <c r="D92" s="220" t="s">
        <v>191</v>
      </c>
      <c r="E92" s="352">
        <f ca="1">OFFSET(Output_AER_Compliance!L100,0,$K$4)</f>
        <v>-16042.709291318726</v>
      </c>
      <c r="F92" s="352">
        <f ca="1">OFFSET(Output_AER_Compliance!M100,0,$K$4)</f>
        <v>-310.09227289236878</v>
      </c>
      <c r="G92" s="352">
        <f ca="1">OFFSET(Output_AER_Compliance!N100,0,$K$4)</f>
        <v>-0.26600956477795989</v>
      </c>
    </row>
    <row r="93" spans="4:11" ht="14.5" x14ac:dyDescent="0.2">
      <c r="D93" s="218" t="s">
        <v>410</v>
      </c>
      <c r="E93" s="168"/>
      <c r="F93" s="168"/>
      <c r="G93" s="168"/>
      <c r="H93" s="168"/>
    </row>
    <row r="94" spans="4:11" ht="14.5" x14ac:dyDescent="0.2">
      <c r="D94" s="218" t="s">
        <v>409</v>
      </c>
      <c r="E94" s="168"/>
      <c r="F94" s="168"/>
      <c r="G94" s="168"/>
      <c r="H94" s="168"/>
    </row>
    <row r="95" spans="4:11" ht="14.5" x14ac:dyDescent="0.2">
      <c r="D95" s="168"/>
      <c r="E95" s="168"/>
      <c r="F95" s="168"/>
      <c r="G95" s="168"/>
      <c r="H95" s="168"/>
    </row>
    <row r="96" spans="4:11" ht="14.5" x14ac:dyDescent="0.2">
      <c r="D96" s="219" t="s">
        <v>408</v>
      </c>
      <c r="E96" s="218" t="s">
        <v>407</v>
      </c>
      <c r="F96" s="168"/>
      <c r="G96" s="168"/>
      <c r="H96" s="168"/>
    </row>
    <row r="99" spans="2:15" s="167" customFormat="1" x14ac:dyDescent="0.2">
      <c r="B99" s="167" t="s">
        <v>502</v>
      </c>
    </row>
    <row r="101" spans="2:15" x14ac:dyDescent="0.2">
      <c r="D101" s="295" t="s">
        <v>503</v>
      </c>
      <c r="E101" s="295" t="s">
        <v>504</v>
      </c>
    </row>
    <row r="102" spans="2:15" x14ac:dyDescent="0.2">
      <c r="D102" s="385" t="s">
        <v>505</v>
      </c>
      <c r="E102" s="296" t="s">
        <v>506</v>
      </c>
    </row>
    <row r="103" spans="2:15" x14ac:dyDescent="0.2">
      <c r="D103" s="385"/>
      <c r="E103" s="296" t="s">
        <v>507</v>
      </c>
    </row>
    <row r="104" spans="2:15" x14ac:dyDescent="0.2">
      <c r="D104" s="385" t="s">
        <v>508</v>
      </c>
      <c r="E104" s="296" t="s">
        <v>509</v>
      </c>
    </row>
    <row r="105" spans="2:15" x14ac:dyDescent="0.2">
      <c r="D105" s="385"/>
      <c r="E105" s="296" t="s">
        <v>510</v>
      </c>
    </row>
    <row r="106" spans="2:15" ht="13.5" thickBot="1" x14ac:dyDescent="0.25">
      <c r="D106" s="386"/>
      <c r="E106" s="297" t="s">
        <v>511</v>
      </c>
    </row>
    <row r="108" spans="2:15" s="167" customFormat="1" x14ac:dyDescent="0.2">
      <c r="B108" s="167" t="s">
        <v>512</v>
      </c>
    </row>
    <row r="110" spans="2:15" ht="13.5" thickBot="1" x14ac:dyDescent="0.25">
      <c r="D110" s="298" t="s">
        <v>62</v>
      </c>
      <c r="E110" s="387" t="s">
        <v>513</v>
      </c>
      <c r="F110" s="388"/>
      <c r="G110" s="387" t="s">
        <v>514</v>
      </c>
      <c r="H110" s="389"/>
    </row>
    <row r="111" spans="2:15" ht="52" x14ac:dyDescent="0.2">
      <c r="D111" s="299" t="s">
        <v>515</v>
      </c>
      <c r="E111" s="300" t="s">
        <v>516</v>
      </c>
      <c r="F111" s="313" t="s">
        <v>517</v>
      </c>
      <c r="G111" s="300" t="s">
        <v>516</v>
      </c>
      <c r="H111" s="313" t="s">
        <v>518</v>
      </c>
    </row>
    <row r="112" spans="2:15" ht="12.75" customHeight="1" x14ac:dyDescent="0.2">
      <c r="D112" s="301" t="s">
        <v>519</v>
      </c>
      <c r="E112" s="308">
        <f>L112</f>
        <v>1669.8809714095746</v>
      </c>
      <c r="F112" s="310">
        <f t="shared" ref="F112:F114" si="6">M112</f>
        <v>1639.342920324508</v>
      </c>
      <c r="G112" s="302">
        <f t="shared" ref="G112:G114" si="7">N112</f>
        <v>1669.9173510023029</v>
      </c>
      <c r="H112" s="303">
        <f t="shared" ref="H112:H114" si="8">O112</f>
        <v>1606.8248694829292</v>
      </c>
      <c r="L112" s="289">
        <f>SUM([4]Inputs_Volumes!O34:O40)/10^6</f>
        <v>1669.8809714095746</v>
      </c>
      <c r="M112" s="287">
        <f>SUM(Inputs_Volumes!O34:O40)/10^6</f>
        <v>1639.342920324508</v>
      </c>
      <c r="N112" s="289">
        <f>SUM([4]Inputs_Volumes!P34:P40)/10^6</f>
        <v>1669.9173510023029</v>
      </c>
      <c r="O112" s="289">
        <f>SUM(Inputs_Volumes!P34:P40)/10^6</f>
        <v>1606.8248694829292</v>
      </c>
    </row>
    <row r="113" spans="2:15" ht="12.75" customHeight="1" x14ac:dyDescent="0.2">
      <c r="D113" s="301" t="s">
        <v>520</v>
      </c>
      <c r="E113" s="308">
        <f t="shared" ref="E113:E114" si="9">L113</f>
        <v>2668.3934375382619</v>
      </c>
      <c r="F113" s="310">
        <f t="shared" si="6"/>
        <v>2627.9158285208591</v>
      </c>
      <c r="G113" s="302">
        <f t="shared" si="7"/>
        <v>2739.9968469722244</v>
      </c>
      <c r="H113" s="303">
        <f t="shared" si="8"/>
        <v>2657.8030378342573</v>
      </c>
      <c r="L113" s="287">
        <f>SUM([4]Inputs_Volumes!O47:O49,[4]Inputs_Volumes!O51)/10^3</f>
        <v>2668.3934375382619</v>
      </c>
      <c r="M113" s="287">
        <f>SUM(Inputs_Volumes!O47:O49,Inputs_Volumes!O51)/10^3</f>
        <v>2627.9158285208591</v>
      </c>
      <c r="N113" s="287">
        <f>SUM([4]Inputs_Volumes!P47:P49,[4]Inputs_Volumes!P51)/10^3</f>
        <v>2739.9968469722244</v>
      </c>
      <c r="O113" s="287">
        <f>SUM(Inputs_Volumes!P47:P49,Inputs_Volumes!P51)/10^3</f>
        <v>2657.8030378342573</v>
      </c>
    </row>
    <row r="114" spans="2:15" ht="13.5" thickBot="1" x14ac:dyDescent="0.25">
      <c r="D114" s="304" t="s">
        <v>521</v>
      </c>
      <c r="E114" s="309">
        <f t="shared" si="9"/>
        <v>86730</v>
      </c>
      <c r="F114" s="311">
        <f t="shared" si="6"/>
        <v>86734</v>
      </c>
      <c r="G114" s="305">
        <f t="shared" si="7"/>
        <v>87506</v>
      </c>
      <c r="H114" s="306">
        <f t="shared" si="8"/>
        <v>87749.11881403641</v>
      </c>
      <c r="L114" s="289">
        <f>SUM([4]Inputs_Volumes!O21:O27)/366</f>
        <v>86730</v>
      </c>
      <c r="M114" s="287">
        <f>SUM(Inputs_Volumes!O21:O27)/366</f>
        <v>86734</v>
      </c>
      <c r="N114" s="289">
        <f>SUM([4]Inputs_Volumes!P21:P27)/365</f>
        <v>87506</v>
      </c>
      <c r="O114" s="289">
        <f>SUM(Inputs_Volumes!P21:P27)/365</f>
        <v>87749.11881403641</v>
      </c>
    </row>
    <row r="115" spans="2:15" x14ac:dyDescent="0.2">
      <c r="D115" s="307"/>
      <c r="E115"/>
      <c r="F115"/>
      <c r="G115"/>
      <c r="H115"/>
      <c r="I115"/>
    </row>
    <row r="117" spans="2:15" s="167" customFormat="1" x14ac:dyDescent="0.2">
      <c r="B117" s="167" t="s">
        <v>522</v>
      </c>
    </row>
    <row r="118" spans="2:15" ht="14.5" x14ac:dyDescent="0.2">
      <c r="D118" s="169"/>
      <c r="E118" s="168"/>
      <c r="F118" s="168"/>
      <c r="G118" s="168"/>
    </row>
    <row r="119" spans="2:15" ht="15" thickBot="1" x14ac:dyDescent="0.25">
      <c r="D119" s="312" t="s">
        <v>503</v>
      </c>
      <c r="E119" s="312" t="s">
        <v>504</v>
      </c>
      <c r="F119" s="168"/>
      <c r="G119" s="168"/>
    </row>
    <row r="120" spans="2:15" ht="14.5" x14ac:dyDescent="0.2">
      <c r="D120" s="296" t="s">
        <v>523</v>
      </c>
      <c r="E120" s="296" t="s">
        <v>524</v>
      </c>
      <c r="F120" s="168"/>
      <c r="G120" s="168"/>
    </row>
    <row r="121" spans="2:15" ht="14.5" x14ac:dyDescent="0.2">
      <c r="D121" s="296" t="s">
        <v>525</v>
      </c>
      <c r="E121" s="296" t="s">
        <v>526</v>
      </c>
      <c r="F121" s="168"/>
      <c r="G121" s="168"/>
    </row>
    <row r="122" spans="2:15" ht="15" thickBot="1" x14ac:dyDescent="0.25">
      <c r="D122" s="297" t="s">
        <v>527</v>
      </c>
      <c r="E122" s="297" t="s">
        <v>528</v>
      </c>
      <c r="F122" s="168"/>
      <c r="G122" s="168"/>
    </row>
    <row r="123" spans="2:15" ht="14.5" x14ac:dyDescent="0.2">
      <c r="D123" s="169"/>
      <c r="E123" s="168"/>
      <c r="F123" s="168"/>
      <c r="G123" s="168"/>
    </row>
    <row r="124" spans="2:15" ht="14.5" x14ac:dyDescent="0.2">
      <c r="D124" s="169"/>
      <c r="E124" s="168"/>
      <c r="F124" s="168"/>
      <c r="G124" s="168"/>
    </row>
    <row r="125" spans="2:15" s="167" customFormat="1" x14ac:dyDescent="0.2">
      <c r="B125" s="167" t="str">
        <f>"Table 8: 20"&amp;RIGHT(J4,2)-1&amp;"-"&amp;RIGHT(J4,2)&amp;" tariffs by charging parameter (excluding GST)"</f>
        <v>Table 8: 2020-21 tariffs by charging parameter (excluding GST)</v>
      </c>
    </row>
    <row r="126" spans="2:15" ht="13.5" thickBot="1" x14ac:dyDescent="0.25"/>
    <row r="127" spans="2:15" ht="26" x14ac:dyDescent="0.2">
      <c r="D127" s="390" t="s">
        <v>196</v>
      </c>
      <c r="E127" s="390" t="s">
        <v>364</v>
      </c>
      <c r="F127" s="177" t="s">
        <v>363</v>
      </c>
      <c r="G127" s="177" t="s">
        <v>122</v>
      </c>
    </row>
    <row r="128" spans="2:15" ht="13.5" thickBot="1" x14ac:dyDescent="0.25">
      <c r="D128" s="391"/>
      <c r="E128" s="391"/>
      <c r="F128" s="176" t="s">
        <v>362</v>
      </c>
      <c r="G128" s="176" t="s">
        <v>361</v>
      </c>
    </row>
    <row r="129" spans="2:7" x14ac:dyDescent="0.2">
      <c r="D129" s="175" t="s">
        <v>360</v>
      </c>
      <c r="E129" s="173">
        <f ca="1">OFFSET(Inputs_Prices!$N21,0,$K$4)/100</f>
        <v>0.91715000000000002</v>
      </c>
      <c r="F129" s="174">
        <f ca="1">OFFSET(Inputs_Prices!$N34,0,$K$4)/100</f>
        <v>8.5000000000000006E-2</v>
      </c>
      <c r="G129" s="173">
        <v>0</v>
      </c>
    </row>
    <row r="130" spans="2:7" x14ac:dyDescent="0.2">
      <c r="D130" s="175" t="s">
        <v>359</v>
      </c>
      <c r="E130" s="173">
        <f ca="1">OFFSET(Inputs_Prices!$N22,0,$K$4)/100</f>
        <v>1.5</v>
      </c>
      <c r="F130" s="174">
        <f ca="1">OFFSET(Inputs_Prices!$N35,0,$K$4)/100</f>
        <v>0.09</v>
      </c>
      <c r="G130" s="173">
        <v>0</v>
      </c>
    </row>
    <row r="131" spans="2:7" x14ac:dyDescent="0.2">
      <c r="D131" s="175" t="s">
        <v>358</v>
      </c>
      <c r="E131" s="173">
        <f ca="1">OFFSET(Inputs_Prices!$N24,0,$K$4)/100</f>
        <v>1.5</v>
      </c>
      <c r="F131" s="174">
        <f ca="1">OFFSET(Inputs_Prices!$N37,0,$K$4)/100</f>
        <v>2.3E-2</v>
      </c>
      <c r="G131" s="173">
        <f ca="1">OFFSET(Inputs_Prices!$N$47,0,$K$4)</f>
        <v>17.5</v>
      </c>
    </row>
    <row r="132" spans="2:7" x14ac:dyDescent="0.2">
      <c r="D132" s="175" t="s">
        <v>357</v>
      </c>
      <c r="E132" s="173">
        <v>0</v>
      </c>
      <c r="F132" s="174">
        <f ca="1">OFFSET(Inputs_Prices!$N36,0,$K$4)/100</f>
        <v>5.2999999999999999E-2</v>
      </c>
      <c r="G132" s="173">
        <v>0</v>
      </c>
    </row>
    <row r="133" spans="2:7" x14ac:dyDescent="0.2">
      <c r="D133" s="175" t="s">
        <v>356</v>
      </c>
      <c r="E133" s="173">
        <f ca="1">OFFSET(Inputs_Prices!$N26,0,$K$4)/100</f>
        <v>71.2</v>
      </c>
      <c r="F133" s="174">
        <f ca="1">OFFSET(Inputs_Prices!$N39,0,$K$4)/100</f>
        <v>0.02</v>
      </c>
      <c r="G133" s="173">
        <f ca="1">OFFSET(Inputs_Prices!$N$49,0,$K$4)</f>
        <v>12.298</v>
      </c>
    </row>
    <row r="134" spans="2:7" x14ac:dyDescent="0.2">
      <c r="D134" s="175" t="s">
        <v>355</v>
      </c>
      <c r="E134" s="173">
        <f ca="1">OFFSET(Inputs_Prices!$N25,0,$K$4)/100</f>
        <v>1.5</v>
      </c>
      <c r="F134" s="174">
        <f ca="1">OFFSET(Inputs_Prices!$N38,0,$K$4)/100</f>
        <v>2.3E-2</v>
      </c>
      <c r="G134" s="173">
        <f ca="1">OFFSET(Inputs_Prices!N$48,0,$K$4)</f>
        <v>8.3703389830508481</v>
      </c>
    </row>
    <row r="135" spans="2:7" ht="13.5" thickBot="1" x14ac:dyDescent="0.25">
      <c r="D135" s="172" t="s">
        <v>354</v>
      </c>
      <c r="E135" s="170">
        <f ca="1">OFFSET(Inputs_Prices!$N27,0,$K$4)/100</f>
        <v>85</v>
      </c>
      <c r="F135" s="171">
        <f ca="1">OFFSET(Inputs_Prices!$N40,0,$K$4)/100</f>
        <v>2.35E-2</v>
      </c>
      <c r="G135" s="170">
        <f ca="1">OFFSET(Inputs_Prices!$N51,0,$K$4)</f>
        <v>8.3703389830508481</v>
      </c>
    </row>
    <row r="136" spans="2:7" ht="14.5" x14ac:dyDescent="0.2">
      <c r="D136" s="169"/>
      <c r="E136" s="168"/>
      <c r="F136" s="168"/>
      <c r="G136" s="168"/>
    </row>
    <row r="138" spans="2:7" s="167" customFormat="1" x14ac:dyDescent="0.2">
      <c r="B138" s="167" t="s">
        <v>539</v>
      </c>
    </row>
    <row r="139" spans="2:7" x14ac:dyDescent="0.2">
      <c r="D139" s="178"/>
    </row>
    <row r="140" spans="2:7" x14ac:dyDescent="0.2">
      <c r="D140" s="295" t="s">
        <v>529</v>
      </c>
      <c r="E140" s="295" t="s">
        <v>21</v>
      </c>
      <c r="F140" s="295" t="s">
        <v>530</v>
      </c>
    </row>
    <row r="141" spans="2:7" x14ac:dyDescent="0.2">
      <c r="D141" s="296" t="s">
        <v>531</v>
      </c>
      <c r="E141" s="315">
        <f>[1]Output_Pricing_Proposal!E17</f>
        <v>1.8404907975460238E-2</v>
      </c>
      <c r="F141" s="296" t="s">
        <v>532</v>
      </c>
    </row>
    <row r="142" spans="2:7" x14ac:dyDescent="0.2">
      <c r="D142" s="296" t="s">
        <v>533</v>
      </c>
      <c r="E142" s="315">
        <f>[1]Output_Pricing_Proposal!E18</f>
        <v>-3.27E-2</v>
      </c>
      <c r="F142" s="296" t="s">
        <v>534</v>
      </c>
    </row>
    <row r="143" spans="2:7" x14ac:dyDescent="0.2">
      <c r="D143" s="296" t="s">
        <v>535</v>
      </c>
      <c r="E143" s="315">
        <f>[1]Output_Pricing_Proposal!E19</f>
        <v>4.2044999999999999E-2</v>
      </c>
      <c r="F143" s="296" t="s">
        <v>536</v>
      </c>
    </row>
    <row r="144" spans="2:7" ht="13.5" thickBot="1" x14ac:dyDescent="0.25">
      <c r="D144" s="297" t="s">
        <v>537</v>
      </c>
      <c r="E144" s="316">
        <f>[1]Output_Pricing_Proposal!E20</f>
        <v>-5.7080000000000004E-3</v>
      </c>
      <c r="F144" s="297" t="s">
        <v>538</v>
      </c>
    </row>
    <row r="145" spans="2:17" x14ac:dyDescent="0.2">
      <c r="D145" s="178"/>
    </row>
    <row r="146" spans="2:17" x14ac:dyDescent="0.2">
      <c r="D146" s="178"/>
    </row>
    <row r="147" spans="2:17" s="167" customFormat="1" x14ac:dyDescent="0.2">
      <c r="B147" s="167" t="s">
        <v>372</v>
      </c>
    </row>
    <row r="148" spans="2:17" ht="13.5" thickBot="1" x14ac:dyDescent="0.25"/>
    <row r="149" spans="2:17" ht="48" customHeight="1" thickBot="1" x14ac:dyDescent="0.25">
      <c r="D149" s="184" t="s">
        <v>371</v>
      </c>
      <c r="E149" s="184" t="s">
        <v>347</v>
      </c>
      <c r="F149" s="184" t="s">
        <v>370</v>
      </c>
      <c r="G149" s="184" t="s">
        <v>369</v>
      </c>
      <c r="N149" s="370" t="str">
        <f>"Tariffs (20"&amp;RIGHT(J4,2)-2&amp;"-"&amp;RIGHT(J4,2)-1&amp;")"</f>
        <v>Tariffs (2019-20)</v>
      </c>
      <c r="O149" s="371"/>
      <c r="P149" s="370" t="str">
        <f>"Tariffs (20"&amp;RIGHT(J4,2)-1&amp;"-"&amp;RIGHT(J4,2)&amp;")"</f>
        <v>Tariffs (2020-21)</v>
      </c>
      <c r="Q149" s="371"/>
    </row>
    <row r="150" spans="2:17" ht="26" x14ac:dyDescent="0.2">
      <c r="D150" s="183" t="s">
        <v>368</v>
      </c>
      <c r="E150" s="182" t="s">
        <v>365</v>
      </c>
      <c r="F150" s="243">
        <f t="shared" ref="F150:G152" si="10">P150</f>
        <v>0.17715068493150685</v>
      </c>
      <c r="G150" s="244">
        <f t="shared" si="10"/>
        <v>64.66</v>
      </c>
      <c r="M150" s="286" t="s">
        <v>368</v>
      </c>
      <c r="N150" s="250">
        <f>O150/365</f>
        <v>0.16843835616438355</v>
      </c>
      <c r="O150" s="250">
        <f>[1]Inputs_Prices!O149</f>
        <v>61.48</v>
      </c>
      <c r="P150" s="250">
        <f>Q150/365</f>
        <v>0.17715068493150685</v>
      </c>
      <c r="Q150" s="250">
        <f>[1]Inputs_Prices!P29</f>
        <v>64.66</v>
      </c>
    </row>
    <row r="151" spans="2:17" x14ac:dyDescent="0.2">
      <c r="D151" s="183" t="s">
        <v>367</v>
      </c>
      <c r="E151" s="182" t="s">
        <v>365</v>
      </c>
      <c r="F151" s="243">
        <f t="shared" si="10"/>
        <v>0.19504109589041096</v>
      </c>
      <c r="G151" s="244">
        <f t="shared" si="10"/>
        <v>71.19</v>
      </c>
      <c r="M151" s="286" t="s">
        <v>367</v>
      </c>
      <c r="N151" s="250">
        <f t="shared" ref="N151:P152" si="11">O151/365</f>
        <v>0.18545205479452054</v>
      </c>
      <c r="O151" s="250">
        <f>[1]Inputs_Prices!O150</f>
        <v>67.69</v>
      </c>
      <c r="P151" s="250">
        <f t="shared" si="11"/>
        <v>0.19504109589041096</v>
      </c>
      <c r="Q151" s="250">
        <f>[1]Inputs_Prices!P30</f>
        <v>71.19</v>
      </c>
    </row>
    <row r="152" spans="2:17" ht="13.5" thickBot="1" x14ac:dyDescent="0.25">
      <c r="D152" s="181" t="s">
        <v>366</v>
      </c>
      <c r="E152" s="180" t="s">
        <v>365</v>
      </c>
      <c r="F152" s="245">
        <f t="shared" si="10"/>
        <v>0.33035616438356163</v>
      </c>
      <c r="G152" s="246">
        <f t="shared" si="10"/>
        <v>120.58</v>
      </c>
      <c r="M152" s="286" t="s">
        <v>366</v>
      </c>
      <c r="N152" s="250">
        <f t="shared" si="11"/>
        <v>0.31410958904109593</v>
      </c>
      <c r="O152" s="250">
        <f>[1]Inputs_Prices!O151</f>
        <v>114.65</v>
      </c>
      <c r="P152" s="250">
        <f t="shared" si="11"/>
        <v>0.33035616438356163</v>
      </c>
      <c r="Q152" s="250">
        <f>[1]Inputs_Prices!P31</f>
        <v>120.58</v>
      </c>
    </row>
    <row r="155" spans="2:17" s="200" customFormat="1" x14ac:dyDescent="0.2">
      <c r="B155" s="200" t="s">
        <v>543</v>
      </c>
    </row>
    <row r="157" spans="2:17" ht="15" thickBot="1" x14ac:dyDescent="0.25">
      <c r="F157" s="400" t="s">
        <v>370</v>
      </c>
      <c r="G157" s="400"/>
      <c r="K157" s="286" t="s">
        <v>461</v>
      </c>
      <c r="L157" s="111">
        <v>1.1000000000000001</v>
      </c>
    </row>
    <row r="158" spans="2:17" ht="13.5" thickBot="1" x14ac:dyDescent="0.25">
      <c r="D158" s="184" t="s">
        <v>544</v>
      </c>
      <c r="E158" s="184" t="s">
        <v>347</v>
      </c>
      <c r="F158" s="184" t="s">
        <v>460</v>
      </c>
      <c r="G158" s="184" t="s">
        <v>462</v>
      </c>
    </row>
    <row r="159" spans="2:17" x14ac:dyDescent="0.2">
      <c r="D159" s="183" t="str">
        <f t="array" ref="D159:D174">LU_Quoted_Services</f>
        <v>Design related services</v>
      </c>
      <c r="E159" s="182" t="s">
        <v>545</v>
      </c>
      <c r="F159" s="320">
        <f>[1]Output_Pricing_Proposal!F36</f>
        <v>159.38999999999999</v>
      </c>
      <c r="G159" s="320">
        <f>F159*$L$157</f>
        <v>175.32900000000001</v>
      </c>
    </row>
    <row r="160" spans="2:17" x14ac:dyDescent="0.2">
      <c r="D160" s="183" t="str">
        <v>Connection applications</v>
      </c>
      <c r="E160" s="182" t="s">
        <v>545</v>
      </c>
      <c r="F160" s="320">
        <f>[1]Output_Pricing_Proposal!F37</f>
        <v>159.38999999999999</v>
      </c>
      <c r="G160" s="320">
        <f t="shared" ref="G160:G174" si="12">F160*$L$157</f>
        <v>175.32900000000001</v>
      </c>
    </row>
    <row r="161" spans="4:10" ht="26" x14ac:dyDescent="0.2">
      <c r="D161" s="183" t="str">
        <v>Access permits, oversights and facilitation</v>
      </c>
      <c r="E161" s="182" t="s">
        <v>545</v>
      </c>
      <c r="F161" s="320">
        <f>[1]Output_Pricing_Proposal!F38</f>
        <v>159.38999999999999</v>
      </c>
      <c r="G161" s="320">
        <f t="shared" si="12"/>
        <v>175.32900000000001</v>
      </c>
    </row>
    <row r="162" spans="4:10" ht="26" x14ac:dyDescent="0.2">
      <c r="D162" s="183" t="str">
        <v>Notices of arrangement and completion notices</v>
      </c>
      <c r="E162" s="182" t="s">
        <v>545</v>
      </c>
      <c r="F162" s="320">
        <f>[1]Output_Pricing_Proposal!F39</f>
        <v>89.3</v>
      </c>
      <c r="G162" s="320">
        <f t="shared" si="12"/>
        <v>98.23</v>
      </c>
    </row>
    <row r="163" spans="4:10" ht="12.75" customHeight="1" x14ac:dyDescent="0.2">
      <c r="D163" s="183" t="str">
        <v>Network related property services</v>
      </c>
      <c r="E163" s="182" t="s">
        <v>545</v>
      </c>
      <c r="F163" s="320">
        <f>[1]Output_Pricing_Proposal!F40</f>
        <v>89.3</v>
      </c>
      <c r="G163" s="320">
        <f t="shared" si="12"/>
        <v>98.23</v>
      </c>
    </row>
    <row r="164" spans="4:10" x14ac:dyDescent="0.2">
      <c r="D164" s="183" t="str">
        <v>Site establishment services</v>
      </c>
      <c r="E164" s="182" t="s">
        <v>545</v>
      </c>
      <c r="F164" s="320">
        <f>[1]Output_Pricing_Proposal!F41</f>
        <v>89.3</v>
      </c>
      <c r="G164" s="320">
        <f t="shared" si="12"/>
        <v>98.23</v>
      </c>
    </row>
    <row r="165" spans="4:10" x14ac:dyDescent="0.2">
      <c r="D165" s="183" t="str">
        <v>Network safety services</v>
      </c>
      <c r="E165" s="182" t="s">
        <v>545</v>
      </c>
      <c r="F165" s="320">
        <f>[1]Output_Pricing_Proposal!F42</f>
        <v>135.91999999999999</v>
      </c>
      <c r="G165" s="320">
        <f t="shared" si="12"/>
        <v>149.512</v>
      </c>
    </row>
    <row r="166" spans="4:10" x14ac:dyDescent="0.2">
      <c r="D166" s="183" t="str">
        <v>Network tariff change request</v>
      </c>
      <c r="E166" s="182" t="s">
        <v>545</v>
      </c>
      <c r="F166" s="320">
        <f>[1]Output_Pricing_Proposal!F43</f>
        <v>89.3</v>
      </c>
      <c r="G166" s="320">
        <f t="shared" si="12"/>
        <v>98.23</v>
      </c>
    </row>
    <row r="167" spans="4:10" ht="26" x14ac:dyDescent="0.2">
      <c r="D167" s="183" t="str">
        <v>Planned interruption - customer request</v>
      </c>
      <c r="E167" s="182" t="s">
        <v>545</v>
      </c>
      <c r="F167" s="320">
        <f>[1]Output_Pricing_Proposal!F44</f>
        <v>135.91999999999999</v>
      </c>
      <c r="G167" s="320">
        <f t="shared" si="12"/>
        <v>149.512</v>
      </c>
    </row>
    <row r="168" spans="4:10" ht="26" x14ac:dyDescent="0.2">
      <c r="D168" s="183" t="str">
        <v>Performance of a statutory right (access prevented)</v>
      </c>
      <c r="E168" s="182" t="s">
        <v>545</v>
      </c>
      <c r="F168" s="320">
        <f>[1]Output_Pricing_Proposal!F45</f>
        <v>135.91999999999999</v>
      </c>
      <c r="G168" s="320">
        <f t="shared" si="12"/>
        <v>149.512</v>
      </c>
    </row>
    <row r="169" spans="4:10" ht="26" x14ac:dyDescent="0.2">
      <c r="D169" s="183" t="str">
        <v>Provision of network related training to third parties</v>
      </c>
      <c r="E169" s="182" t="s">
        <v>545</v>
      </c>
      <c r="F169" s="320">
        <f>[1]Output_Pricing_Proposal!F46</f>
        <v>89.3</v>
      </c>
      <c r="G169" s="320">
        <f t="shared" si="12"/>
        <v>98.23</v>
      </c>
    </row>
    <row r="170" spans="4:10" ht="12.75" customHeight="1" x14ac:dyDescent="0.2">
      <c r="D170" s="183" t="str">
        <v>Non-standard reporting services</v>
      </c>
      <c r="E170" s="182" t="s">
        <v>545</v>
      </c>
      <c r="F170" s="320">
        <f>[1]Output_Pricing_Proposal!F47</f>
        <v>89.3</v>
      </c>
      <c r="G170" s="320">
        <f t="shared" si="12"/>
        <v>98.23</v>
      </c>
    </row>
    <row r="171" spans="4:10" ht="26" x14ac:dyDescent="0.2">
      <c r="D171" s="183" t="str">
        <v xml:space="preserve">Services provided for retailer of last resort event </v>
      </c>
      <c r="E171" s="182" t="s">
        <v>545</v>
      </c>
      <c r="F171" s="320">
        <f>[1]Output_Pricing_Proposal!F48</f>
        <v>89.3</v>
      </c>
      <c r="G171" s="320">
        <f t="shared" si="12"/>
        <v>98.23</v>
      </c>
    </row>
    <row r="172" spans="4:10" ht="26" x14ac:dyDescent="0.2">
      <c r="D172" s="183" t="str">
        <v>Rectification of illegal connections service</v>
      </c>
      <c r="E172" s="182" t="s">
        <v>545</v>
      </c>
      <c r="F172" s="320">
        <f>[1]Output_Pricing_Proposal!F49</f>
        <v>135.91999999999999</v>
      </c>
      <c r="G172" s="320">
        <f t="shared" si="12"/>
        <v>149.512</v>
      </c>
    </row>
    <row r="173" spans="4:10" ht="26" x14ac:dyDescent="0.2">
      <c r="D173" s="183" t="str">
        <v>Network changes at customer or retailer's request</v>
      </c>
      <c r="E173" s="182" t="s">
        <v>545</v>
      </c>
      <c r="F173" s="320">
        <f>[1]Output_Pricing_Proposal!F50</f>
        <v>135.91999999999999</v>
      </c>
      <c r="G173" s="320">
        <f t="shared" si="12"/>
        <v>149.512</v>
      </c>
    </row>
    <row r="174" spans="4:10" ht="26.5" thickBot="1" x14ac:dyDescent="0.25">
      <c r="D174" s="181" t="str">
        <v>Annual prepayment meter licensing fee *</v>
      </c>
      <c r="E174" s="180" t="s">
        <v>545</v>
      </c>
      <c r="F174" s="321">
        <f>[1]Output_Pricing_Proposal!F51</f>
        <v>89.3</v>
      </c>
      <c r="G174" s="321">
        <f t="shared" si="12"/>
        <v>98.23</v>
      </c>
    </row>
    <row r="175" spans="4:10" ht="14.5" x14ac:dyDescent="0.2">
      <c r="D175" s="317" t="s">
        <v>546</v>
      </c>
      <c r="E175" s="318"/>
      <c r="F175" s="318"/>
      <c r="G175" s="318"/>
      <c r="H175" s="319"/>
      <c r="I175" s="319"/>
      <c r="J175" s="319"/>
    </row>
    <row r="178" spans="2:7" s="200" customFormat="1" x14ac:dyDescent="0.2">
      <c r="B178" s="200" t="s">
        <v>540</v>
      </c>
    </row>
    <row r="180" spans="2:7" ht="15" thickBot="1" x14ac:dyDescent="0.25">
      <c r="F180" s="399" t="s">
        <v>370</v>
      </c>
      <c r="G180" s="399"/>
    </row>
    <row r="181" spans="2:7" ht="13.5" thickBot="1" x14ac:dyDescent="0.25">
      <c r="D181" s="184" t="s">
        <v>541</v>
      </c>
      <c r="E181" s="184" t="s">
        <v>347</v>
      </c>
      <c r="F181" s="184" t="s">
        <v>460</v>
      </c>
      <c r="G181" s="184" t="s">
        <v>462</v>
      </c>
    </row>
    <row r="182" spans="2:7" ht="12.75" customHeight="1" x14ac:dyDescent="0.2">
      <c r="D182" s="183" t="str">
        <f t="array" ref="D182:D208">LU_Fee_Based_Services</f>
        <v>Disconnection (and final read)</v>
      </c>
      <c r="E182" s="182" t="s">
        <v>542</v>
      </c>
      <c r="F182" s="320">
        <f>[1]Output_Pricing_Proposal!F58</f>
        <v>65.349999999999994</v>
      </c>
      <c r="G182" s="320">
        <f t="shared" ref="G182:G208" si="13">F182*$L$157</f>
        <v>71.885000000000005</v>
      </c>
    </row>
    <row r="183" spans="2:7" ht="12.75" customHeight="1" x14ac:dyDescent="0.2">
      <c r="D183" s="183" t="str">
        <v>Reconnection</v>
      </c>
      <c r="E183" s="182" t="s">
        <v>542</v>
      </c>
      <c r="F183" s="320">
        <f>[1]Output_Pricing_Proposal!F59</f>
        <v>65.349999999999994</v>
      </c>
      <c r="G183" s="320">
        <f t="shared" si="13"/>
        <v>71.885000000000005</v>
      </c>
    </row>
    <row r="184" spans="2:7" ht="12.75" customHeight="1" x14ac:dyDescent="0.2">
      <c r="D184" s="183" t="str">
        <v>Reconnection - after hours</v>
      </c>
      <c r="E184" s="182" t="s">
        <v>542</v>
      </c>
      <c r="F184" s="320">
        <f>[1]Output_Pricing_Proposal!F60</f>
        <v>121.39</v>
      </c>
      <c r="G184" s="320">
        <f t="shared" si="13"/>
        <v>133.52900000000002</v>
      </c>
    </row>
    <row r="185" spans="2:7" ht="12.75" customHeight="1" x14ac:dyDescent="0.2">
      <c r="D185" s="183" t="str">
        <v>Temporary disconnection and reconnection - physical dismantling</v>
      </c>
      <c r="E185" s="182" t="s">
        <v>542</v>
      </c>
      <c r="F185" s="320">
        <f>[1]Output_Pricing_Proposal!F61</f>
        <v>755.16</v>
      </c>
      <c r="G185" s="320">
        <f t="shared" si="13"/>
        <v>830.67600000000004</v>
      </c>
    </row>
    <row r="186" spans="2:7" ht="12.75" customHeight="1" x14ac:dyDescent="0.2">
      <c r="D186" s="183" t="str">
        <v>Provision of 3 phase service</v>
      </c>
      <c r="E186" s="182" t="s">
        <v>542</v>
      </c>
      <c r="F186" s="320">
        <f>[1]Output_Pricing_Proposal!F62</f>
        <v>1434.81</v>
      </c>
      <c r="G186" s="320">
        <f t="shared" si="13"/>
        <v>1578.2910000000002</v>
      </c>
    </row>
    <row r="187" spans="2:7" ht="12.75" customHeight="1" x14ac:dyDescent="0.2">
      <c r="D187" s="183" t="str">
        <v>Standard temporary builder’s connection</v>
      </c>
      <c r="E187" s="182" t="s">
        <v>542</v>
      </c>
      <c r="F187" s="320">
        <f>[1]Output_Pricing_Proposal!F63</f>
        <v>673.61</v>
      </c>
      <c r="G187" s="320">
        <f t="shared" si="13"/>
        <v>740.97100000000012</v>
      </c>
    </row>
    <row r="188" spans="2:7" ht="12.75" customHeight="1" x14ac:dyDescent="0.2">
      <c r="D188" s="183" t="str">
        <v>Temporary disconnection and reconnection - no dismantling</v>
      </c>
      <c r="E188" s="182" t="s">
        <v>542</v>
      </c>
      <c r="F188" s="320">
        <f>[1]Output_Pricing_Proposal!F64</f>
        <v>293</v>
      </c>
      <c r="G188" s="320">
        <f t="shared" si="13"/>
        <v>322.3</v>
      </c>
    </row>
    <row r="189" spans="2:7" ht="12.75" customHeight="1" x14ac:dyDescent="0.2">
      <c r="D189" s="183" t="str">
        <v>Complex disconnection</v>
      </c>
      <c r="E189" s="182" t="s">
        <v>542</v>
      </c>
      <c r="F189" s="320">
        <f>[1]Output_Pricing_Proposal!F65</f>
        <v>320.19</v>
      </c>
      <c r="G189" s="320">
        <f t="shared" si="13"/>
        <v>352.209</v>
      </c>
    </row>
    <row r="190" spans="2:7" ht="12.75" customHeight="1" x14ac:dyDescent="0.2">
      <c r="D190" s="183" t="str">
        <v>Wasted visit fee</v>
      </c>
      <c r="E190" s="182" t="s">
        <v>542</v>
      </c>
      <c r="F190" s="320">
        <f>[1]Output_Pricing_Proposal!F66</f>
        <v>157.07</v>
      </c>
      <c r="G190" s="320">
        <f t="shared" si="13"/>
        <v>172.77700000000002</v>
      </c>
    </row>
    <row r="191" spans="2:7" ht="12.75" customHeight="1" x14ac:dyDescent="0.2">
      <c r="D191" s="183" t="str">
        <v>Special meter test</v>
      </c>
      <c r="E191" s="182" t="s">
        <v>542</v>
      </c>
      <c r="F191" s="320">
        <f>[1]Output_Pricing_Proposal!F67</f>
        <v>306.60000000000002</v>
      </c>
      <c r="G191" s="320">
        <f t="shared" si="13"/>
        <v>337.26000000000005</v>
      </c>
    </row>
    <row r="192" spans="2:7" ht="12.75" customHeight="1" x14ac:dyDescent="0.2">
      <c r="D192" s="183" t="str">
        <v>Exchange or replace meter – three phase</v>
      </c>
      <c r="E192" s="182" t="s">
        <v>542</v>
      </c>
      <c r="F192" s="320">
        <f>[1]Output_Pricing_Proposal!F68</f>
        <v>676.38</v>
      </c>
      <c r="G192" s="320">
        <f t="shared" si="13"/>
        <v>744.01800000000003</v>
      </c>
    </row>
    <row r="193" spans="4:7" ht="12.75" customHeight="1" x14ac:dyDescent="0.2">
      <c r="D193" s="183" t="str">
        <v>Exchange or replace meter - single phase</v>
      </c>
      <c r="E193" s="182" t="s">
        <v>542</v>
      </c>
      <c r="F193" s="320">
        <f>[1]Output_Pricing_Proposal!F69</f>
        <v>566.26</v>
      </c>
      <c r="G193" s="320">
        <f t="shared" si="13"/>
        <v>622.88600000000008</v>
      </c>
    </row>
    <row r="194" spans="4:7" ht="12.75" customHeight="1" x14ac:dyDescent="0.2">
      <c r="D194" s="183" t="str">
        <v>Relocation of meter</v>
      </c>
      <c r="E194" s="182" t="s">
        <v>542</v>
      </c>
      <c r="F194" s="320">
        <f>[1]Output_Pricing_Proposal!F70</f>
        <v>320.19</v>
      </c>
      <c r="G194" s="320">
        <f t="shared" si="13"/>
        <v>352.209</v>
      </c>
    </row>
    <row r="195" spans="4:7" ht="12.75" customHeight="1" x14ac:dyDescent="0.2">
      <c r="D195" s="183" t="str">
        <v>Remove meter</v>
      </c>
      <c r="E195" s="182" t="s">
        <v>542</v>
      </c>
      <c r="F195" s="320">
        <f>[1]Output_Pricing_Proposal!F71</f>
        <v>320.19</v>
      </c>
      <c r="G195" s="320">
        <f t="shared" si="13"/>
        <v>352.209</v>
      </c>
    </row>
    <row r="196" spans="4:7" ht="12.75" customHeight="1" x14ac:dyDescent="0.2">
      <c r="D196" s="183" t="str">
        <v>General meter inspection</v>
      </c>
      <c r="E196" s="182" t="s">
        <v>542</v>
      </c>
      <c r="F196" s="320">
        <f>[1]Output_Pricing_Proposal!F72</f>
        <v>143.47999999999999</v>
      </c>
      <c r="G196" s="320">
        <f t="shared" si="13"/>
        <v>157.828</v>
      </c>
    </row>
    <row r="197" spans="4:7" ht="12.75" customHeight="1" x14ac:dyDescent="0.2">
      <c r="D197" s="183" t="str">
        <v>Special meter read - no appointment</v>
      </c>
      <c r="E197" s="182" t="s">
        <v>542</v>
      </c>
      <c r="F197" s="320">
        <f>[1]Output_Pricing_Proposal!F73</f>
        <v>36.46</v>
      </c>
      <c r="G197" s="320">
        <f t="shared" si="13"/>
        <v>40.106000000000002</v>
      </c>
    </row>
    <row r="198" spans="4:7" ht="12.75" customHeight="1" x14ac:dyDescent="0.2">
      <c r="D198" s="183" t="str">
        <v>Special meter read - appointment</v>
      </c>
      <c r="E198" s="182" t="s">
        <v>542</v>
      </c>
      <c r="F198" s="320">
        <f>[1]Output_Pricing_Proposal!F74</f>
        <v>78.86</v>
      </c>
      <c r="G198" s="320">
        <f t="shared" si="13"/>
        <v>86.746000000000009</v>
      </c>
    </row>
    <row r="199" spans="4:7" ht="12.75" customHeight="1" x14ac:dyDescent="0.2">
      <c r="D199" s="183" t="str">
        <v>Class 3 PV Assessment</v>
      </c>
      <c r="E199" s="182" t="s">
        <v>542</v>
      </c>
      <c r="F199" s="320">
        <f>[1]Output_Pricing_Proposal!F75</f>
        <v>1216.5899999999999</v>
      </c>
      <c r="G199" s="320">
        <f t="shared" si="13"/>
        <v>1338.249</v>
      </c>
    </row>
    <row r="200" spans="4:7" ht="12.75" customHeight="1" x14ac:dyDescent="0.2">
      <c r="D200" s="183" t="str">
        <v>Meter program change</v>
      </c>
      <c r="E200" s="182" t="s">
        <v>542</v>
      </c>
      <c r="F200" s="320">
        <f>[1]Output_Pricing_Proposal!F76</f>
        <v>165.52</v>
      </c>
      <c r="G200" s="320">
        <f t="shared" si="13"/>
        <v>182.07200000000003</v>
      </c>
    </row>
    <row r="201" spans="4:7" ht="12.75" customHeight="1" x14ac:dyDescent="0.2">
      <c r="D201" s="183" t="str">
        <v>Historical data requests</v>
      </c>
      <c r="E201" s="182" t="s">
        <v>542</v>
      </c>
      <c r="F201" s="320">
        <f>[1]Output_Pricing_Proposal!F77</f>
        <v>201.91</v>
      </c>
      <c r="G201" s="320">
        <f t="shared" si="13"/>
        <v>222.10100000000003</v>
      </c>
    </row>
    <row r="202" spans="4:7" ht="12.75" customHeight="1" x14ac:dyDescent="0.2">
      <c r="D202" s="183" t="str">
        <v>Standing data requests</v>
      </c>
      <c r="E202" s="182" t="s">
        <v>542</v>
      </c>
      <c r="F202" s="320">
        <f>[1]Output_Pricing_Proposal!F78</f>
        <v>44.65</v>
      </c>
      <c r="G202" s="320">
        <f t="shared" si="13"/>
        <v>49.115000000000002</v>
      </c>
    </row>
    <row r="203" spans="4:7" ht="12.75" customHeight="1" x14ac:dyDescent="0.2">
      <c r="D203" s="183" t="str">
        <v>Customer transfers</v>
      </c>
      <c r="E203" s="182" t="s">
        <v>542</v>
      </c>
      <c r="F203" s="320">
        <f>[1]Output_Pricing_Proposal!F79</f>
        <v>178.59</v>
      </c>
      <c r="G203" s="320">
        <f t="shared" si="13"/>
        <v>196.44900000000001</v>
      </c>
    </row>
    <row r="204" spans="4:7" ht="12.75" customHeight="1" x14ac:dyDescent="0.2">
      <c r="D204" s="183" t="str">
        <v>Network tariff change request</v>
      </c>
      <c r="E204" s="182" t="s">
        <v>542</v>
      </c>
      <c r="F204" s="320">
        <f>[1]Output_Pricing_Proposal!F80</f>
        <v>44.65</v>
      </c>
      <c r="G204" s="320">
        <f t="shared" si="13"/>
        <v>49.115000000000002</v>
      </c>
    </row>
    <row r="205" spans="4:7" ht="12.75" customHeight="1" x14ac:dyDescent="0.2">
      <c r="D205" s="183" t="str">
        <v>Prepayment Vending Charge</v>
      </c>
      <c r="E205" s="182" t="s">
        <v>542</v>
      </c>
      <c r="F205" s="320">
        <f>[1]Output_Pricing_Proposal!F81</f>
        <v>0.49</v>
      </c>
      <c r="G205" s="320">
        <f t="shared" si="13"/>
        <v>0.53900000000000003</v>
      </c>
    </row>
    <row r="206" spans="4:7" ht="12.75" customHeight="1" x14ac:dyDescent="0.2">
      <c r="D206" s="183" t="str">
        <v>Prepayment Meter Support Charge</v>
      </c>
      <c r="E206" s="182" t="s">
        <v>542</v>
      </c>
      <c r="F206" s="320">
        <f>[1]Output_Pricing_Proposal!F82</f>
        <v>67.97</v>
      </c>
      <c r="G206" s="320">
        <f t="shared" si="13"/>
        <v>74.76700000000001</v>
      </c>
    </row>
    <row r="207" spans="4:7" ht="12.75" customHeight="1" x14ac:dyDescent="0.2">
      <c r="D207" s="183" t="str">
        <v xml:space="preserve">Installation of Minor Apparatus </v>
      </c>
      <c r="E207" s="182" t="s">
        <v>542</v>
      </c>
      <c r="F207" s="320">
        <f>[1]Output_Pricing_Proposal!F83</f>
        <v>639.62</v>
      </c>
      <c r="G207" s="320">
        <f t="shared" si="13"/>
        <v>703.58200000000011</v>
      </c>
    </row>
    <row r="208" spans="4:7" ht="12.75" customHeight="1" thickBot="1" x14ac:dyDescent="0.25">
      <c r="D208" s="181" t="str">
        <v>Class 1 &amp; 2 PV service</v>
      </c>
      <c r="E208" s="180" t="s">
        <v>542</v>
      </c>
      <c r="F208" s="321">
        <f>[1]Output_Pricing_Proposal!F84</f>
        <v>89.3</v>
      </c>
      <c r="G208" s="321">
        <f t="shared" si="13"/>
        <v>98.23</v>
      </c>
    </row>
    <row r="211" spans="1:7" s="167" customFormat="1" x14ac:dyDescent="0.2">
      <c r="B211" s="167" t="s">
        <v>547</v>
      </c>
    </row>
    <row r="212" spans="1:7" ht="13.5" thickBot="1" x14ac:dyDescent="0.25">
      <c r="D212" s="178"/>
    </row>
    <row r="213" spans="1:7" ht="13.5" thickBot="1" x14ac:dyDescent="0.25">
      <c r="D213" s="381" t="s">
        <v>396</v>
      </c>
      <c r="E213" s="383" t="s">
        <v>395</v>
      </c>
      <c r="F213" s="384"/>
      <c r="G213" s="384"/>
    </row>
    <row r="214" spans="1:7" ht="13.5" thickBot="1" x14ac:dyDescent="0.25">
      <c r="D214" s="382"/>
      <c r="E214" s="212" t="s">
        <v>394</v>
      </c>
      <c r="F214" s="212" t="s">
        <v>393</v>
      </c>
      <c r="G214" s="212" t="s">
        <v>113</v>
      </c>
    </row>
    <row r="215" spans="1:7" ht="13.5" thickBot="1" x14ac:dyDescent="0.25">
      <c r="D215" s="211" t="s">
        <v>392</v>
      </c>
      <c r="E215" s="214">
        <f ca="1">OFFSET(Output_AER_Compliance!N170,0,$K$4)</f>
        <v>135752.08854362258</v>
      </c>
      <c r="F215" s="214">
        <f ca="1">OFFSET(Output_AER_Compliance!N171,0,$K$4)</f>
        <v>123970.53595846375</v>
      </c>
      <c r="G215" s="214">
        <f ca="1">OFFSET(Output_AER_Compliance!N172,0,$K$4)</f>
        <v>46337.963149813804</v>
      </c>
    </row>
    <row r="216" spans="1:7" ht="13.5" thickBot="1" x14ac:dyDescent="0.25">
      <c r="D216" s="211" t="s">
        <v>391</v>
      </c>
      <c r="E216" s="214">
        <f ca="1">OFFSET(Output_AER_Compliance!N192,0,$K$4)</f>
        <v>113803.67670616967</v>
      </c>
      <c r="F216" s="214">
        <f ca="1">OFFSET(Output_AER_Compliance!N193,0,$K$4)</f>
        <v>16930.697278181899</v>
      </c>
      <c r="G216" s="214">
        <f ca="1">OFFSET(Output_AER_Compliance!N194,0,$K$4)</f>
        <v>15195.018420187062</v>
      </c>
    </row>
    <row r="217" spans="1:7" ht="13.5" thickBot="1" x14ac:dyDescent="0.25">
      <c r="D217" s="211" t="s">
        <v>390</v>
      </c>
      <c r="E217" s="214">
        <f ca="1">OFFSET(Output_AER_Compliance!N181,0,$K$4)</f>
        <v>17897.305783723659</v>
      </c>
      <c r="F217" s="214">
        <f ca="1">OFFSET(Output_AER_Compliance!N182,0,$K$4)</f>
        <v>9832.004916106016</v>
      </c>
      <c r="G217" s="214">
        <f ca="1">OFFSET(Output_AER_Compliance!N183,0,$K$4)</f>
        <v>4741.9793933697447</v>
      </c>
    </row>
    <row r="218" spans="1:7" ht="13.5" thickBot="1" x14ac:dyDescent="0.25">
      <c r="D218" s="211" t="s">
        <v>431</v>
      </c>
      <c r="E218" s="214" t="str">
        <f ca="1">+IF(AND(E215&gt;E216,E217&lt;E216),"Yes","no")</f>
        <v>Yes</v>
      </c>
      <c r="F218" s="214" t="str">
        <f ca="1">+IF(AND(F215&gt;F216,F217&lt;F216),"Yes","no")</f>
        <v>Yes</v>
      </c>
      <c r="G218" s="214" t="str">
        <f ca="1">+IF(AND(G215&gt;G216,G217&lt;G216),"Yes","no")</f>
        <v>Yes</v>
      </c>
    </row>
    <row r="219" spans="1:7" x14ac:dyDescent="0.2">
      <c r="A219" s="116"/>
      <c r="E219" s="209"/>
      <c r="F219" s="209"/>
      <c r="G219" s="209"/>
    </row>
    <row r="221" spans="1:7" s="167" customFormat="1" x14ac:dyDescent="0.2">
      <c r="B221" s="167" t="s">
        <v>501</v>
      </c>
    </row>
    <row r="222" spans="1:7" ht="13.5" thickBot="1" x14ac:dyDescent="0.25">
      <c r="D222" s="196"/>
    </row>
    <row r="223" spans="1:7" ht="40.5" customHeight="1" thickBot="1" x14ac:dyDescent="0.25">
      <c r="D223" s="213" t="s">
        <v>196</v>
      </c>
      <c r="E223" s="212" t="s">
        <v>472</v>
      </c>
    </row>
    <row r="224" spans="1:7" ht="13.5" thickBot="1" x14ac:dyDescent="0.25">
      <c r="D224" s="211" t="s">
        <v>388</v>
      </c>
      <c r="E224" s="210">
        <v>20</v>
      </c>
    </row>
    <row r="225" spans="2:15" ht="13.5" thickBot="1" x14ac:dyDescent="0.25">
      <c r="D225" s="211" t="s">
        <v>387</v>
      </c>
      <c r="E225" s="210">
        <f>E224</f>
        <v>20</v>
      </c>
    </row>
    <row r="226" spans="2:15" ht="13.5" thickBot="1" x14ac:dyDescent="0.25">
      <c r="D226" s="211" t="s">
        <v>113</v>
      </c>
      <c r="E226" s="210">
        <v>9.5</v>
      </c>
    </row>
    <row r="229" spans="2:15" s="167" customFormat="1" x14ac:dyDescent="0.2">
      <c r="B229" s="167" t="str">
        <f>"Table 15: Diversified LRMC by Tariff ($Nominal 20"&amp;RIGHT(J4,2)-1&amp;"-"&amp;RIGHT(J4,2)&amp;")"</f>
        <v>Table 15: Diversified LRMC by Tariff ($Nominal 2020-21)</v>
      </c>
    </row>
    <row r="230" spans="2:15" ht="13.5" thickBot="1" x14ac:dyDescent="0.25"/>
    <row r="231" spans="2:15" ht="12.75" customHeight="1" x14ac:dyDescent="0.2">
      <c r="D231" s="374" t="s">
        <v>196</v>
      </c>
      <c r="E231" s="374" t="s">
        <v>363</v>
      </c>
      <c r="F231" s="374"/>
      <c r="G231" s="374"/>
      <c r="H231" s="374" t="s">
        <v>122</v>
      </c>
      <c r="I231" s="374"/>
      <c r="J231" s="374"/>
      <c r="N231" s="396"/>
      <c r="O231" s="396"/>
    </row>
    <row r="232" spans="2:15" ht="39" x14ac:dyDescent="0.2">
      <c r="D232" s="375"/>
      <c r="E232" s="208" t="s">
        <v>477</v>
      </c>
      <c r="F232" s="208" t="str">
        <f>I232</f>
        <v>2019-20</v>
      </c>
      <c r="G232" s="208" t="str">
        <f>J232</f>
        <v>2020-21</v>
      </c>
      <c r="H232" s="208" t="s">
        <v>477</v>
      </c>
      <c r="I232" s="208" t="str">
        <f>"20"&amp;RIGHT(J4,2)-2&amp;"-"&amp;RIGHT(J4,2)-1</f>
        <v>2019-20</v>
      </c>
      <c r="J232" s="207" t="str">
        <f>"20"&amp;RIGHT(J4,2)-1&amp;"-"&amp;RIGHT(J4,2)</f>
        <v>2020-21</v>
      </c>
    </row>
    <row r="233" spans="2:15" ht="13.5" thickBot="1" x14ac:dyDescent="0.25">
      <c r="D233" s="376"/>
      <c r="E233" s="205" t="s">
        <v>121</v>
      </c>
      <c r="F233" s="205" t="s">
        <v>121</v>
      </c>
      <c r="G233" s="205" t="s">
        <v>121</v>
      </c>
      <c r="H233" s="206" t="s">
        <v>389</v>
      </c>
      <c r="I233" s="247" t="s">
        <v>389</v>
      </c>
      <c r="J233" s="247" t="s">
        <v>389</v>
      </c>
    </row>
    <row r="234" spans="2:15" x14ac:dyDescent="0.2">
      <c r="D234" s="183" t="s">
        <v>360</v>
      </c>
      <c r="E234" s="203">
        <f ca="1">OFFSET(Calc_LRMC_Tariff!$N76,0,$K$4)</f>
        <v>3.0536882812347041</v>
      </c>
      <c r="F234" s="204">
        <f ca="1">OFFSET(Inputs_Prices!$M34,0,$K$4)</f>
        <v>10.238</v>
      </c>
      <c r="G234" s="204">
        <f ca="1">+F129*100</f>
        <v>8.5</v>
      </c>
      <c r="H234" s="204"/>
      <c r="I234" s="204"/>
      <c r="J234" s="203"/>
    </row>
    <row r="235" spans="2:15" x14ac:dyDescent="0.2">
      <c r="D235" s="183" t="s">
        <v>359</v>
      </c>
      <c r="E235" s="203">
        <f ca="1">OFFSET(Calc_LRMC_Tariff!$N77,0,$K$4)</f>
        <v>3.1208023093937092</v>
      </c>
      <c r="F235" s="204">
        <f ca="1">OFFSET(Inputs_Prices!$M35,0,$K$4)</f>
        <v>10.43</v>
      </c>
      <c r="G235" s="204">
        <f ca="1">+F130*100</f>
        <v>9</v>
      </c>
      <c r="H235" s="204"/>
      <c r="I235" s="204"/>
      <c r="J235" s="203"/>
    </row>
    <row r="236" spans="2:15" x14ac:dyDescent="0.2">
      <c r="D236" s="183" t="s">
        <v>358</v>
      </c>
      <c r="E236" s="203"/>
      <c r="F236" s="204"/>
      <c r="G236" s="204"/>
      <c r="H236" s="204">
        <f ca="1">OFFSET(Calc_LRMC_Tariff!$N124,0,$K$4)</f>
        <v>9.3291703835860851</v>
      </c>
      <c r="I236" s="204">
        <f ca="1">OFFSET(Inputs_Prices!$M$47,0,$K$4)</f>
        <v>20.51</v>
      </c>
      <c r="J236" s="203">
        <f ca="1">+G131</f>
        <v>17.5</v>
      </c>
    </row>
    <row r="237" spans="2:15" x14ac:dyDescent="0.2">
      <c r="D237" s="183" t="s">
        <v>357</v>
      </c>
      <c r="E237" s="203">
        <f ca="1">OFFSET(Calc_LRMC_Tariff!$N78,0,$K$4)</f>
        <v>3.1554778906091947</v>
      </c>
      <c r="F237" s="204">
        <f ca="1">OFFSET(Inputs_Prices!$M36,0,$K$4)</f>
        <v>5.5060000000000002</v>
      </c>
      <c r="G237" s="204">
        <f ca="1">+F132*100</f>
        <v>5.3</v>
      </c>
      <c r="I237" s="204"/>
      <c r="J237" s="203"/>
    </row>
    <row r="238" spans="2:15" x14ac:dyDescent="0.2">
      <c r="D238" s="183" t="s">
        <v>356</v>
      </c>
      <c r="E238" s="203"/>
      <c r="F238" s="204"/>
      <c r="G238" s="204"/>
      <c r="H238" s="204">
        <f ca="1">OFFSET(Calc_LRMC_Tariff!$N126,0,$K$4)</f>
        <v>17.62176628010705</v>
      </c>
      <c r="I238" s="204">
        <f ca="1">OFFSET(Inputs_Prices!$M$49,0,$K$4)</f>
        <v>11</v>
      </c>
      <c r="J238" s="203">
        <f ca="1">+G133</f>
        <v>12.298</v>
      </c>
    </row>
    <row r="239" spans="2:15" x14ac:dyDescent="0.2">
      <c r="D239" s="183" t="s">
        <v>355</v>
      </c>
      <c r="E239" s="203"/>
      <c r="F239" s="204"/>
      <c r="G239" s="204"/>
      <c r="H239" s="204">
        <f ca="1">OFFSET(Calc_LRMC_Tariff!$N125,0,$K$4)</f>
        <v>8.3703389830508481</v>
      </c>
      <c r="I239" s="204">
        <f ca="1">OFFSET(Inputs_Prices!M$48,0,$K$4)</f>
        <v>9.5</v>
      </c>
      <c r="J239" s="203">
        <f ca="1">+G134</f>
        <v>8.3703389830508481</v>
      </c>
    </row>
    <row r="240" spans="2:15" ht="13.5" thickBot="1" x14ac:dyDescent="0.25">
      <c r="D240" s="181" t="s">
        <v>354</v>
      </c>
      <c r="E240" s="201"/>
      <c r="F240" s="202"/>
      <c r="G240" s="202"/>
      <c r="H240" s="202">
        <f ca="1">OFFSET(Calc_LRMC_Tariff!$N127,0,$K$4)</f>
        <v>8.3703389830508481</v>
      </c>
      <c r="I240" s="202">
        <f ca="1">OFFSET(Inputs_Prices!$M51,0,$K$4)</f>
        <v>8.27</v>
      </c>
      <c r="J240" s="201">
        <f ca="1">+G135</f>
        <v>8.3703389830508481</v>
      </c>
    </row>
    <row r="241" spans="2:24" x14ac:dyDescent="0.2">
      <c r="D241" s="281" t="s">
        <v>497</v>
      </c>
      <c r="E241" s="198"/>
      <c r="F241" s="199"/>
      <c r="G241" s="199"/>
      <c r="H241" s="199"/>
      <c r="I241" s="199"/>
      <c r="J241" s="198"/>
    </row>
    <row r="242" spans="2:24" x14ac:dyDescent="0.2">
      <c r="D242" s="197"/>
      <c r="E242" s="198"/>
      <c r="F242" s="199"/>
      <c r="G242" s="199"/>
      <c r="H242" s="199"/>
      <c r="I242" s="199"/>
      <c r="J242" s="198"/>
    </row>
    <row r="243" spans="2:24" s="200" customFormat="1" x14ac:dyDescent="0.2">
      <c r="B243" s="200" t="str">
        <f>"Figure 2: Residual cost recovery share by tariff (20"&amp;RIGHT(J4,2)-2&amp;"-"&amp;RIGHT(J4,2)-1&amp;" and 20"&amp;RIGHT(J4,2)-1&amp;"-"&amp;RIGHT(J4,2)&amp;")"</f>
        <v>Figure 2: Residual cost recovery share by tariff (2019-20 and 2020-21)</v>
      </c>
    </row>
    <row r="244" spans="2:24" s="117" customFormat="1" x14ac:dyDescent="0.3">
      <c r="B244" s="196"/>
    </row>
    <row r="245" spans="2:24" s="117" customFormat="1" x14ac:dyDescent="0.3">
      <c r="L245" s="269"/>
      <c r="M245" s="271"/>
      <c r="N245" s="271"/>
      <c r="O245" s="271"/>
      <c r="P245" s="271"/>
      <c r="Q245" s="271"/>
      <c r="R245" s="271"/>
      <c r="S245" s="271"/>
      <c r="T245" s="271"/>
      <c r="U245" s="271"/>
      <c r="V245" s="271"/>
      <c r="W245" s="271"/>
      <c r="X245" s="269"/>
    </row>
    <row r="246" spans="2:24" s="117" customFormat="1" x14ac:dyDescent="0.3">
      <c r="L246" s="269"/>
      <c r="M246" s="271"/>
      <c r="N246" s="271"/>
      <c r="O246" s="271"/>
      <c r="P246" s="271"/>
      <c r="Q246" s="271"/>
      <c r="R246" s="271"/>
      <c r="S246" s="271"/>
      <c r="T246" s="271"/>
      <c r="U246" s="271"/>
      <c r="V246" s="271"/>
      <c r="W246" s="271"/>
      <c r="X246" s="269"/>
    </row>
    <row r="247" spans="2:24" s="117" customFormat="1" x14ac:dyDescent="0.3">
      <c r="L247" s="269"/>
      <c r="M247" s="271"/>
      <c r="N247" s="271"/>
      <c r="O247" s="271"/>
      <c r="P247" s="271"/>
      <c r="Q247" s="271"/>
      <c r="R247" s="271"/>
      <c r="S247" s="271"/>
      <c r="T247" s="271"/>
      <c r="U247" s="271"/>
      <c r="V247" s="271"/>
      <c r="W247" s="271"/>
      <c r="X247" s="269"/>
    </row>
    <row r="248" spans="2:24" s="117" customFormat="1" x14ac:dyDescent="0.3">
      <c r="L248" s="269"/>
      <c r="M248" s="271"/>
      <c r="N248" s="271"/>
      <c r="O248" s="271"/>
      <c r="P248" s="271"/>
      <c r="Q248" s="271"/>
      <c r="R248" s="271"/>
      <c r="S248" s="271"/>
      <c r="T248" s="271"/>
      <c r="U248" s="271"/>
      <c r="V248" s="271"/>
      <c r="W248" s="271"/>
      <c r="X248" s="269"/>
    </row>
    <row r="249" spans="2:24" s="117" customFormat="1" x14ac:dyDescent="0.3">
      <c r="L249" s="269"/>
      <c r="M249" s="271"/>
      <c r="N249" s="271"/>
      <c r="O249" s="271"/>
      <c r="P249" s="271"/>
      <c r="Q249" s="271"/>
      <c r="R249" s="271"/>
      <c r="S249" s="271"/>
      <c r="T249" s="271"/>
      <c r="U249" s="271"/>
      <c r="V249" s="271"/>
      <c r="W249" s="271"/>
      <c r="X249" s="269"/>
    </row>
    <row r="250" spans="2:24" s="117" customFormat="1" x14ac:dyDescent="0.3">
      <c r="L250" s="269"/>
      <c r="M250" s="271"/>
      <c r="N250" s="271"/>
      <c r="O250" s="271"/>
      <c r="P250" s="271"/>
      <c r="Q250" s="271"/>
      <c r="R250" s="271"/>
      <c r="S250" s="271"/>
      <c r="T250" s="271"/>
      <c r="U250" s="271"/>
      <c r="V250" s="271"/>
      <c r="W250" s="271"/>
      <c r="X250" s="269"/>
    </row>
    <row r="251" spans="2:24" s="117" customFormat="1" x14ac:dyDescent="0.3">
      <c r="L251" s="269"/>
      <c r="M251" s="271"/>
      <c r="N251" s="271"/>
      <c r="O251" s="271"/>
      <c r="P251" s="271"/>
      <c r="Q251" s="271"/>
      <c r="R251" s="271"/>
      <c r="S251" s="271"/>
      <c r="T251" s="271"/>
      <c r="U251" s="271"/>
      <c r="V251" s="271"/>
      <c r="W251" s="271"/>
      <c r="X251" s="269"/>
    </row>
    <row r="252" spans="2:24" s="117" customFormat="1" x14ac:dyDescent="0.3">
      <c r="L252" s="269"/>
      <c r="M252" s="271"/>
      <c r="N252" s="271"/>
      <c r="O252" s="271"/>
      <c r="P252" s="271"/>
      <c r="Q252" s="271"/>
      <c r="R252" s="271"/>
      <c r="S252" s="271"/>
      <c r="T252" s="271"/>
      <c r="U252" s="271"/>
      <c r="V252" s="271"/>
      <c r="W252" s="271"/>
      <c r="X252" s="269"/>
    </row>
    <row r="253" spans="2:24" s="117" customFormat="1" x14ac:dyDescent="0.3">
      <c r="L253" s="269"/>
      <c r="M253" s="271"/>
      <c r="N253" s="271"/>
      <c r="O253" s="271"/>
      <c r="P253" s="271"/>
      <c r="Q253" s="271"/>
      <c r="R253" s="271"/>
      <c r="S253" s="271"/>
      <c r="T253" s="271"/>
      <c r="U253" s="271"/>
      <c r="V253" s="271"/>
      <c r="W253" s="271"/>
      <c r="X253" s="269"/>
    </row>
    <row r="254" spans="2:24" s="117" customFormat="1" x14ac:dyDescent="0.3">
      <c r="L254" s="269"/>
      <c r="M254" s="271"/>
      <c r="N254" s="271"/>
      <c r="O254" s="271"/>
      <c r="P254" s="271"/>
      <c r="Q254" s="271"/>
      <c r="R254" s="271"/>
      <c r="S254" s="271"/>
      <c r="T254" s="271"/>
      <c r="U254" s="271"/>
      <c r="V254" s="271"/>
      <c r="W254" s="271"/>
      <c r="X254" s="269"/>
    </row>
    <row r="255" spans="2:24" s="117" customFormat="1" x14ac:dyDescent="0.3">
      <c r="L255" s="269"/>
      <c r="M255" s="271"/>
      <c r="N255" s="271"/>
      <c r="O255" s="271"/>
      <c r="P255" s="271"/>
      <c r="Q255" s="271"/>
      <c r="R255" s="271"/>
      <c r="S255" s="271"/>
      <c r="T255" s="271"/>
      <c r="U255" s="271"/>
      <c r="V255" s="271"/>
      <c r="W255" s="271"/>
      <c r="X255" s="269"/>
    </row>
    <row r="256" spans="2:24" s="117" customFormat="1" x14ac:dyDescent="0.3">
      <c r="L256" s="269"/>
      <c r="M256" s="271"/>
      <c r="N256" s="271"/>
      <c r="O256" s="271"/>
      <c r="P256" s="271"/>
      <c r="Q256" s="271"/>
      <c r="R256" s="271"/>
      <c r="S256" s="271"/>
      <c r="T256" s="271"/>
      <c r="U256" s="271"/>
      <c r="V256" s="271"/>
      <c r="W256" s="271"/>
      <c r="X256" s="269"/>
    </row>
    <row r="257" spans="2:24" s="117" customFormat="1" x14ac:dyDescent="0.3">
      <c r="M257" s="271"/>
      <c r="N257" s="271"/>
      <c r="O257" s="271"/>
      <c r="P257" s="271"/>
      <c r="Q257" s="271"/>
      <c r="R257" s="271"/>
      <c r="S257" s="271"/>
      <c r="T257" s="271"/>
      <c r="U257" s="271"/>
      <c r="V257" s="271"/>
      <c r="W257" s="271"/>
    </row>
    <row r="258" spans="2:24" s="117" customFormat="1" x14ac:dyDescent="0.3">
      <c r="M258" s="271"/>
      <c r="N258" s="271"/>
      <c r="O258" s="271"/>
      <c r="P258" s="271"/>
      <c r="Q258" s="271"/>
      <c r="R258" s="271"/>
      <c r="S258" s="271"/>
      <c r="T258" s="271"/>
      <c r="U258" s="271"/>
      <c r="V258" s="271"/>
      <c r="W258" s="271"/>
    </row>
    <row r="259" spans="2:24" s="117" customFormat="1" x14ac:dyDescent="0.3"/>
    <row r="260" spans="2:24" s="117" customFormat="1" x14ac:dyDescent="0.3"/>
    <row r="261" spans="2:24" s="117" customFormat="1" x14ac:dyDescent="0.3"/>
    <row r="263" spans="2:24" s="200" customFormat="1" x14ac:dyDescent="0.2">
      <c r="B263" s="200" t="str">
        <f>"Figure 3: Residual cost recovery share by tariff parameter (20"&amp;RIGHT(J4,2)-2&amp;"-"&amp;RIGHT(J4,2)-1&amp;" and 20"&amp;RIGHT(J4,2)-1&amp;"-"&amp;RIGHT(J4,2)&amp;")"</f>
        <v>Figure 3: Residual cost recovery share by tariff parameter (2019-20 and 2020-21)</v>
      </c>
    </row>
    <row r="265" spans="2:24" x14ac:dyDescent="0.2">
      <c r="N265" s="273"/>
      <c r="O265" s="273"/>
      <c r="P265" s="273"/>
      <c r="Q265" s="273"/>
      <c r="R265" s="274"/>
      <c r="S265" s="274"/>
      <c r="T265" s="273"/>
      <c r="U265" s="273"/>
      <c r="V265" s="273"/>
      <c r="W265" s="273"/>
      <c r="X265" s="273"/>
    </row>
    <row r="266" spans="2:24" ht="12.75" customHeight="1" x14ac:dyDescent="0.2">
      <c r="N266" s="273"/>
      <c r="O266" s="273"/>
      <c r="P266" s="274"/>
      <c r="Q266" s="274"/>
      <c r="R266" s="274"/>
      <c r="S266" s="274"/>
      <c r="T266" s="273"/>
      <c r="U266" s="273"/>
      <c r="V266" s="273"/>
      <c r="W266" s="273"/>
      <c r="X266" s="273"/>
    </row>
    <row r="267" spans="2:24" x14ac:dyDescent="0.2">
      <c r="N267" s="273"/>
      <c r="O267" s="273"/>
      <c r="P267" s="275"/>
      <c r="Q267" s="276"/>
      <c r="R267" s="270"/>
      <c r="S267" s="270"/>
      <c r="T267" s="273"/>
      <c r="U267" s="273"/>
      <c r="V267" s="273"/>
      <c r="W267" s="273"/>
      <c r="X267" s="273"/>
    </row>
    <row r="268" spans="2:24" ht="12.75" customHeight="1" x14ac:dyDescent="0.2">
      <c r="N268" s="273"/>
      <c r="O268" s="273"/>
      <c r="P268" s="275"/>
      <c r="Q268" s="276"/>
      <c r="R268" s="270"/>
      <c r="S268" s="270"/>
      <c r="T268" s="273"/>
      <c r="U268" s="273"/>
      <c r="V268" s="273"/>
      <c r="W268" s="273"/>
      <c r="X268" s="273"/>
    </row>
    <row r="269" spans="2:24" x14ac:dyDescent="0.2">
      <c r="N269" s="273"/>
      <c r="O269" s="273"/>
      <c r="P269" s="275"/>
      <c r="Q269" s="276"/>
      <c r="R269" s="270"/>
      <c r="S269" s="270"/>
      <c r="T269" s="273"/>
      <c r="U269" s="273"/>
      <c r="V269" s="273"/>
      <c r="W269" s="273"/>
      <c r="X269" s="273"/>
    </row>
    <row r="270" spans="2:24" x14ac:dyDescent="0.2">
      <c r="N270" s="273"/>
      <c r="O270" s="273"/>
      <c r="P270" s="275"/>
      <c r="Q270" s="276"/>
      <c r="R270" s="270"/>
      <c r="S270" s="270"/>
      <c r="T270" s="273"/>
      <c r="U270" s="273"/>
      <c r="V270" s="273"/>
      <c r="W270" s="273"/>
      <c r="X270" s="273"/>
    </row>
    <row r="271" spans="2:24" ht="12.75" customHeight="1" x14ac:dyDescent="0.2">
      <c r="N271" s="273"/>
      <c r="O271" s="273"/>
      <c r="P271" s="275"/>
      <c r="Q271" s="276"/>
      <c r="R271" s="270"/>
      <c r="S271" s="270"/>
      <c r="T271" s="273"/>
      <c r="U271" s="273"/>
      <c r="V271" s="273"/>
      <c r="W271" s="273"/>
      <c r="X271" s="273"/>
    </row>
    <row r="272" spans="2:24" x14ac:dyDescent="0.2">
      <c r="N272" s="273"/>
      <c r="O272" s="273"/>
      <c r="P272" s="275"/>
      <c r="Q272" s="276"/>
      <c r="R272" s="270"/>
      <c r="S272" s="270"/>
      <c r="T272" s="273"/>
      <c r="U272" s="273"/>
      <c r="V272" s="273"/>
      <c r="W272" s="273"/>
      <c r="X272" s="273"/>
    </row>
    <row r="273" spans="2:24" x14ac:dyDescent="0.2">
      <c r="N273" s="273"/>
      <c r="O273" s="273"/>
      <c r="P273" s="275"/>
      <c r="Q273" s="276"/>
      <c r="R273" s="270"/>
      <c r="S273" s="270"/>
      <c r="T273" s="273"/>
      <c r="U273" s="273"/>
      <c r="V273" s="273"/>
      <c r="W273" s="273"/>
      <c r="X273" s="273"/>
    </row>
    <row r="274" spans="2:24" x14ac:dyDescent="0.2">
      <c r="N274" s="273"/>
      <c r="O274" s="273"/>
      <c r="P274" s="275"/>
      <c r="Q274" s="276"/>
      <c r="R274" s="270"/>
      <c r="S274" s="270"/>
      <c r="T274" s="273"/>
      <c r="U274" s="273"/>
      <c r="V274" s="273"/>
      <c r="W274" s="273"/>
      <c r="X274" s="273"/>
    </row>
    <row r="275" spans="2:24" x14ac:dyDescent="0.2">
      <c r="N275" s="273"/>
      <c r="O275" s="273"/>
      <c r="P275" s="276"/>
      <c r="Q275" s="276"/>
      <c r="R275" s="270"/>
      <c r="S275" s="270"/>
      <c r="T275" s="273"/>
      <c r="U275" s="273"/>
      <c r="V275" s="273"/>
      <c r="W275" s="273"/>
      <c r="X275" s="273"/>
    </row>
    <row r="276" spans="2:24" x14ac:dyDescent="0.2">
      <c r="N276" s="273"/>
      <c r="O276" s="273"/>
      <c r="P276" s="276"/>
      <c r="Q276" s="276"/>
      <c r="R276" s="270"/>
      <c r="S276" s="270"/>
      <c r="T276" s="273"/>
      <c r="U276" s="273"/>
      <c r="V276" s="273"/>
      <c r="W276" s="273"/>
      <c r="X276" s="273"/>
    </row>
    <row r="277" spans="2:24" x14ac:dyDescent="0.2">
      <c r="N277" s="273"/>
      <c r="O277" s="273"/>
      <c r="P277" s="276"/>
      <c r="Q277" s="276"/>
      <c r="R277" s="270"/>
      <c r="S277" s="270"/>
      <c r="T277" s="273"/>
      <c r="U277" s="273"/>
      <c r="V277" s="273"/>
      <c r="W277" s="273"/>
      <c r="X277" s="273"/>
    </row>
    <row r="278" spans="2:24" x14ac:dyDescent="0.2">
      <c r="N278" s="273"/>
      <c r="O278" s="273"/>
      <c r="P278" s="276"/>
      <c r="Q278" s="276"/>
      <c r="R278" s="270"/>
      <c r="S278" s="270"/>
      <c r="T278" s="273"/>
      <c r="U278" s="273"/>
      <c r="V278" s="273"/>
      <c r="W278" s="273"/>
      <c r="X278" s="273"/>
    </row>
    <row r="279" spans="2:24" x14ac:dyDescent="0.2">
      <c r="N279" s="273"/>
      <c r="O279" s="273"/>
      <c r="P279" s="276"/>
      <c r="Q279" s="276"/>
      <c r="R279" s="270"/>
      <c r="S279" s="270"/>
      <c r="T279" s="273"/>
      <c r="U279" s="273"/>
      <c r="V279" s="273"/>
      <c r="W279" s="273"/>
      <c r="X279" s="273"/>
    </row>
    <row r="280" spans="2:24" x14ac:dyDescent="0.2">
      <c r="N280" s="273"/>
      <c r="O280" s="273"/>
      <c r="P280" s="276"/>
      <c r="Q280" s="276"/>
      <c r="R280" s="270"/>
      <c r="S280" s="270"/>
      <c r="T280" s="273"/>
      <c r="U280" s="273"/>
      <c r="V280" s="273"/>
      <c r="W280" s="273"/>
      <c r="X280" s="273"/>
    </row>
    <row r="281" spans="2:24" x14ac:dyDescent="0.2">
      <c r="N281" s="273"/>
      <c r="O281" s="273"/>
      <c r="P281" s="276"/>
      <c r="Q281" s="276"/>
      <c r="R281" s="270"/>
      <c r="S281" s="270"/>
      <c r="T281" s="273"/>
      <c r="U281" s="273"/>
      <c r="V281" s="273"/>
      <c r="W281" s="273"/>
      <c r="X281" s="273"/>
    </row>
    <row r="282" spans="2:24" x14ac:dyDescent="0.2">
      <c r="N282" s="273"/>
      <c r="O282" s="273"/>
      <c r="P282" s="276"/>
      <c r="Q282" s="276"/>
      <c r="R282" s="270"/>
      <c r="S282" s="270"/>
      <c r="T282" s="273"/>
      <c r="U282" s="273"/>
      <c r="V282" s="273"/>
      <c r="W282" s="273"/>
      <c r="X282" s="273"/>
    </row>
    <row r="283" spans="2:24" x14ac:dyDescent="0.2">
      <c r="N283" s="273"/>
      <c r="O283" s="273"/>
      <c r="P283" s="276"/>
      <c r="Q283" s="276"/>
      <c r="R283" s="270"/>
      <c r="S283" s="270"/>
      <c r="T283" s="273"/>
      <c r="U283" s="273"/>
      <c r="V283" s="273"/>
      <c r="W283" s="273"/>
      <c r="X283" s="273"/>
    </row>
    <row r="284" spans="2:24" x14ac:dyDescent="0.2">
      <c r="N284" s="273"/>
      <c r="O284" s="273"/>
      <c r="P284" s="272"/>
      <c r="Q284" s="272"/>
      <c r="R284" s="270"/>
      <c r="S284" s="270"/>
      <c r="T284" s="273"/>
      <c r="U284" s="273"/>
      <c r="V284" s="273"/>
      <c r="W284" s="273"/>
      <c r="X284" s="273"/>
    </row>
    <row r="285" spans="2:24" x14ac:dyDescent="0.2">
      <c r="N285" s="273"/>
      <c r="O285" s="273"/>
      <c r="P285" s="273"/>
      <c r="Q285" s="273"/>
      <c r="R285" s="273"/>
      <c r="S285" s="273"/>
      <c r="T285" s="273"/>
      <c r="U285" s="273"/>
      <c r="V285" s="273"/>
      <c r="W285" s="273"/>
      <c r="X285" s="273"/>
    </row>
    <row r="288" spans="2:24" s="167" customFormat="1" x14ac:dyDescent="0.2">
      <c r="B288" s="167" t="str">
        <f>"Table 16: Calculation of side constraint for 20"&amp;RIGHT($J$4,2)-1&amp;"-"&amp;RIGHT($J$4,2)</f>
        <v>Table 16: Calculation of side constraint for 2020-21</v>
      </c>
    </row>
    <row r="290" spans="2:7" x14ac:dyDescent="0.2">
      <c r="D290" s="323" t="s">
        <v>197</v>
      </c>
      <c r="E290" s="323" t="s">
        <v>548</v>
      </c>
    </row>
    <row r="291" spans="2:7" x14ac:dyDescent="0.2">
      <c r="D291" s="324" t="s">
        <v>278</v>
      </c>
      <c r="E291" s="325">
        <f ca="1">OFFSET(Output_AER_Compliance!N140,0,$K$4)</f>
        <v>1.8404907975460238E-2</v>
      </c>
    </row>
    <row r="292" spans="2:7" x14ac:dyDescent="0.2">
      <c r="D292" s="324" t="s">
        <v>282</v>
      </c>
      <c r="E292" s="325">
        <f ca="1">OFFSET(Output_AER_Compliance!N141,0,$K$4)</f>
        <v>-8.7803842624104653E-3</v>
      </c>
    </row>
    <row r="293" spans="2:7" x14ac:dyDescent="0.2">
      <c r="D293" s="324" t="s">
        <v>311</v>
      </c>
      <c r="E293" s="325">
        <f ca="1">OFFSET(Output_AER_Compliance!N142,0,$K$4)</f>
        <v>0.02</v>
      </c>
    </row>
    <row r="294" spans="2:7" x14ac:dyDescent="0.2">
      <c r="D294" s="324" t="s">
        <v>315</v>
      </c>
      <c r="E294" s="326">
        <f ca="1">OFFSET(Output_AER_Compliance!N143,0,$K$4)</f>
        <v>0</v>
      </c>
    </row>
    <row r="295" spans="2:7" x14ac:dyDescent="0.2">
      <c r="D295" s="324" t="s">
        <v>316</v>
      </c>
      <c r="E295" s="325">
        <f ca="1">OFFSET(Output_AER_Compliance!N144,0,$K$4)</f>
        <v>2.0331854870479235E-3</v>
      </c>
    </row>
    <row r="296" spans="2:7" ht="26" x14ac:dyDescent="0.2">
      <c r="D296" s="324" t="s">
        <v>317</v>
      </c>
      <c r="E296" s="326">
        <f ca="1">OFFSET(Output_AER_Compliance!N145,0,$K$4)</f>
        <v>0</v>
      </c>
    </row>
    <row r="297" spans="2:7" ht="13.5" thickBot="1" x14ac:dyDescent="0.25">
      <c r="D297" s="327" t="s">
        <v>309</v>
      </c>
      <c r="E297" s="328">
        <f ca="1">OFFSET(Output_AER_Compliance!N147,0,$K$4)</f>
        <v>4.9927017777301907E-2</v>
      </c>
    </row>
    <row r="300" spans="2:7" s="167" customFormat="1" x14ac:dyDescent="0.2">
      <c r="B300" s="167" t="str">
        <f>"Table 17: Weighted expected revenue in 20"&amp;RIGHT($J$4,2)-2&amp;"-"&amp;RIGHT($J$4,2)-1&amp;" and 20"&amp;RIGHT($J$4,2)-1&amp;"-"&amp;RIGHT($J$4,2)&amp;" and % change"</f>
        <v>Table 17: Weighted expected revenue in 2019-20 and 2020-21 and % change</v>
      </c>
    </row>
    <row r="301" spans="2:7" ht="13.5" thickBot="1" x14ac:dyDescent="0.25"/>
    <row r="302" spans="2:7" ht="39.5" thickBot="1" x14ac:dyDescent="0.25">
      <c r="D302" s="329" t="s">
        <v>395</v>
      </c>
      <c r="E302" s="293" t="str">
        <f>"Expected Revenue 20"&amp;RIGHT($J$4,2)-2&amp;"-"&amp;RIGHT($J$4,2)-1</f>
        <v>Expected Revenue 2019-20</v>
      </c>
      <c r="F302" s="293" t="str">
        <f>"Expected Revenue 20"&amp;RIGHT($J$4,2)-1&amp;"-"&amp;RIGHT($J$4,2)</f>
        <v>Expected Revenue 2020-21</v>
      </c>
      <c r="G302" s="293" t="s">
        <v>549</v>
      </c>
    </row>
    <row r="303" spans="2:7" x14ac:dyDescent="0.2">
      <c r="D303" s="324" t="s">
        <v>104</v>
      </c>
      <c r="E303" s="330">
        <f ca="1">OFFSET(Output_AER_Compliance!N192,0,$K$4-1)</f>
        <v>124100.07122724783</v>
      </c>
      <c r="F303" s="330">
        <f ca="1">OFFSET(Output_AER_Compliance!N192,0,$K$4)</f>
        <v>113803.67670616967</v>
      </c>
      <c r="G303" s="325">
        <f t="shared" ref="G303" ca="1" si="14">F303/E303-1</f>
        <v>-8.2968481961817275E-2</v>
      </c>
    </row>
    <row r="304" spans="2:7" x14ac:dyDescent="0.2">
      <c r="D304" s="324" t="s">
        <v>114</v>
      </c>
      <c r="E304" s="330">
        <f ca="1">OFFSET(Output_AER_Compliance!N193,0,$K$4-1)</f>
        <v>17612.650009960413</v>
      </c>
      <c r="F304" s="330">
        <f ca="1">OFFSET(Output_AER_Compliance!N193,0,$K$4)</f>
        <v>16930.697278181899</v>
      </c>
      <c r="G304" s="325">
        <f ca="1">F304/E304-1</f>
        <v>-3.8719484654089698E-2</v>
      </c>
    </row>
    <row r="305" spans="2:10" ht="13.5" thickBot="1" x14ac:dyDescent="0.25">
      <c r="D305" s="331" t="s">
        <v>113</v>
      </c>
      <c r="E305" s="332">
        <f ca="1">OFFSET(Output_AER_Compliance!N194,0,$K$4-1)</f>
        <v>16098.2690812</v>
      </c>
      <c r="F305" s="332">
        <f ca="1">OFFSET(Output_AER_Compliance!N194,0,$K$4)</f>
        <v>15195.018420187062</v>
      </c>
      <c r="G305" s="333">
        <f t="shared" ref="G305" ca="1" si="15">F305/E305-1</f>
        <v>-5.6108557786984647E-2</v>
      </c>
    </row>
    <row r="307" spans="2:10" s="167" customFormat="1" x14ac:dyDescent="0.2">
      <c r="B307" s="167" t="s">
        <v>550</v>
      </c>
    </row>
    <row r="309" spans="2:10" x14ac:dyDescent="0.2">
      <c r="D309" s="377" t="s">
        <v>341</v>
      </c>
      <c r="E309" s="378" t="s">
        <v>347</v>
      </c>
      <c r="F309" s="334" t="s">
        <v>341</v>
      </c>
      <c r="G309" s="334" t="s">
        <v>341</v>
      </c>
      <c r="H309" s="338" t="s">
        <v>551</v>
      </c>
      <c r="I309" s="334" t="s">
        <v>551</v>
      </c>
      <c r="J309" s="338" t="s">
        <v>551</v>
      </c>
    </row>
    <row r="310" spans="2:10" x14ac:dyDescent="0.2">
      <c r="D310" s="377"/>
      <c r="E310" s="378"/>
      <c r="F310" s="334" t="s">
        <v>342</v>
      </c>
      <c r="G310" s="334" t="s">
        <v>343</v>
      </c>
      <c r="H310" s="334" t="s">
        <v>344</v>
      </c>
      <c r="I310" s="338" t="s">
        <v>345</v>
      </c>
      <c r="J310" s="334" t="s">
        <v>346</v>
      </c>
    </row>
    <row r="311" spans="2:10" x14ac:dyDescent="0.2">
      <c r="D311" s="335" t="s">
        <v>552</v>
      </c>
      <c r="E311" s="335"/>
      <c r="F311" s="335"/>
      <c r="G311" s="335"/>
      <c r="H311" s="335"/>
      <c r="I311" s="340"/>
      <c r="J311" s="335"/>
    </row>
    <row r="312" spans="2:10" x14ac:dyDescent="0.2">
      <c r="D312" s="336" t="s">
        <v>178</v>
      </c>
      <c r="E312" s="337" t="s">
        <v>350</v>
      </c>
      <c r="F312" s="341">
        <f>Output_Tariffs!G13</f>
        <v>0.64040000000000008</v>
      </c>
      <c r="G312" s="342">
        <f>Output_Tariffs!H13</f>
        <v>0.91715000000000002</v>
      </c>
      <c r="H312" s="341">
        <f>Output_Tariffs!I13</f>
        <v>0.95032056405000009</v>
      </c>
      <c r="I312" s="343">
        <f>Output_Tariffs!J13</f>
        <v>0.98764820548532006</v>
      </c>
      <c r="J312" s="341">
        <f>Output_Tariffs!K13</f>
        <v>1.023930449962029</v>
      </c>
    </row>
    <row r="313" spans="2:10" x14ac:dyDescent="0.2">
      <c r="D313" s="336" t="s">
        <v>363</v>
      </c>
      <c r="E313" s="337" t="s">
        <v>362</v>
      </c>
      <c r="F313" s="344">
        <f>Output_Tariffs!G14</f>
        <v>0.10238</v>
      </c>
      <c r="G313" s="345">
        <f>Output_Tariffs!H14</f>
        <v>8.5000000000000006E-2</v>
      </c>
      <c r="H313" s="344">
        <f>Output_Tariffs!I14</f>
        <v>8.8074195000000008E-2</v>
      </c>
      <c r="I313" s="346">
        <f>Output_Tariffs!J14</f>
        <v>9.1533661305405009E-2</v>
      </c>
      <c r="J313" s="344">
        <f>Output_Tariffs!K14</f>
        <v>9.4896241887120369E-2</v>
      </c>
    </row>
    <row r="314" spans="2:10" x14ac:dyDescent="0.2">
      <c r="D314" s="335" t="s">
        <v>553</v>
      </c>
      <c r="E314" s="335"/>
      <c r="F314" s="335"/>
      <c r="G314" s="335"/>
      <c r="H314" s="335"/>
      <c r="I314" s="340"/>
      <c r="J314" s="335"/>
    </row>
    <row r="315" spans="2:10" x14ac:dyDescent="0.2">
      <c r="D315" s="336" t="s">
        <v>178</v>
      </c>
      <c r="E315" s="337" t="s">
        <v>350</v>
      </c>
      <c r="F315" s="341">
        <f>Output_Tariffs!G17</f>
        <v>1.35</v>
      </c>
      <c r="G315" s="342">
        <f>Output_Tariffs!H17</f>
        <v>1.5</v>
      </c>
      <c r="H315" s="341">
        <f>Output_Tariffs!I17</f>
        <v>1.5542505</v>
      </c>
      <c r="I315" s="343">
        <f>Output_Tariffs!J17</f>
        <v>1.6152999053895003</v>
      </c>
      <c r="J315" s="341">
        <f>Output_Tariffs!K17</f>
        <v>1.674639562713889</v>
      </c>
    </row>
    <row r="316" spans="2:10" x14ac:dyDescent="0.2">
      <c r="D316" s="336" t="s">
        <v>363</v>
      </c>
      <c r="E316" s="337" t="s">
        <v>362</v>
      </c>
      <c r="F316" s="344">
        <f>Output_Tariffs!G18</f>
        <v>0.1043</v>
      </c>
      <c r="G316" s="345">
        <f>Output_Tariffs!H18</f>
        <v>0.09</v>
      </c>
      <c r="H316" s="344">
        <f>Output_Tariffs!I18</f>
        <v>9.3255030000000017E-2</v>
      </c>
      <c r="I316" s="346">
        <f>Output_Tariffs!J18</f>
        <v>9.6917994323370019E-2</v>
      </c>
      <c r="J316" s="344">
        <f>Output_Tariffs!K18</f>
        <v>0.10047837376283335</v>
      </c>
    </row>
    <row r="317" spans="2:10" x14ac:dyDescent="0.2">
      <c r="D317" s="335" t="s">
        <v>554</v>
      </c>
      <c r="E317" s="335"/>
      <c r="F317" s="335"/>
      <c r="G317" s="335"/>
      <c r="H317" s="335"/>
      <c r="I317" s="340"/>
      <c r="J317" s="335"/>
    </row>
    <row r="318" spans="2:10" x14ac:dyDescent="0.2">
      <c r="D318" s="336" t="s">
        <v>178</v>
      </c>
      <c r="E318" s="337" t="s">
        <v>350</v>
      </c>
      <c r="F318" s="341">
        <f>Output_Tariffs!G21</f>
        <v>1.35</v>
      </c>
      <c r="G318" s="342">
        <f>Output_Tariffs!H21</f>
        <v>1.5</v>
      </c>
      <c r="H318" s="341">
        <f>Output_Tariffs!I21</f>
        <v>1.5542505</v>
      </c>
      <c r="I318" s="343">
        <f>Output_Tariffs!J21</f>
        <v>1.6152999053895003</v>
      </c>
      <c r="J318" s="341">
        <f>Output_Tariffs!K21</f>
        <v>1.674639562713889</v>
      </c>
    </row>
    <row r="319" spans="2:10" x14ac:dyDescent="0.2">
      <c r="D319" s="336" t="s">
        <v>363</v>
      </c>
      <c r="E319" s="337" t="s">
        <v>362</v>
      </c>
      <c r="F319" s="344">
        <f>Output_Tariffs!G22</f>
        <v>0.03</v>
      </c>
      <c r="G319" s="345">
        <f>Output_Tariffs!H22</f>
        <v>2.3E-2</v>
      </c>
      <c r="H319" s="344">
        <f>Output_Tariffs!I22</f>
        <v>2.3831840999999999E-2</v>
      </c>
      <c r="I319" s="346">
        <f>Output_Tariffs!J22</f>
        <v>2.4767931882639E-2</v>
      </c>
      <c r="J319" s="344">
        <f>Output_Tariffs!K22</f>
        <v>2.5677806628279627E-2</v>
      </c>
    </row>
    <row r="320" spans="2:10" x14ac:dyDescent="0.2">
      <c r="D320" s="336" t="s">
        <v>122</v>
      </c>
      <c r="E320" s="337" t="s">
        <v>123</v>
      </c>
      <c r="F320" s="341">
        <f>Output_Tariffs!G23</f>
        <v>20.51</v>
      </c>
      <c r="G320" s="342">
        <f>Output_Tariffs!H23</f>
        <v>17.5</v>
      </c>
      <c r="H320" s="341">
        <f>Output_Tariffs!I23</f>
        <v>18.132922499999999</v>
      </c>
      <c r="I320" s="343">
        <f>Output_Tariffs!J23</f>
        <v>18.845165562877501</v>
      </c>
      <c r="J320" s="341">
        <f>Output_Tariffs!K23</f>
        <v>19.537461564995372</v>
      </c>
    </row>
    <row r="321" spans="2:11" x14ac:dyDescent="0.2">
      <c r="D321" s="335" t="s">
        <v>555</v>
      </c>
      <c r="E321" s="335"/>
      <c r="F321" s="335"/>
      <c r="G321" s="335"/>
      <c r="H321" s="335"/>
      <c r="I321" s="340"/>
      <c r="J321" s="335"/>
    </row>
    <row r="322" spans="2:11" x14ac:dyDescent="0.2">
      <c r="D322" s="336" t="s">
        <v>363</v>
      </c>
      <c r="E322" s="337" t="s">
        <v>362</v>
      </c>
      <c r="F322" s="344">
        <f>Output_Tariffs!G26</f>
        <v>5.5060000000000005E-2</v>
      </c>
      <c r="G322" s="345">
        <f>Output_Tariffs!H26</f>
        <v>5.2999999999999999E-2</v>
      </c>
      <c r="H322" s="344">
        <f>Output_Tariffs!I26</f>
        <v>5.4916850999999996E-2</v>
      </c>
      <c r="I322" s="346">
        <f>Output_Tariffs!J26</f>
        <v>5.7073929990429005E-2</v>
      </c>
      <c r="J322" s="344">
        <f>Output_Tariffs!K26</f>
        <v>5.9170597882557407E-2</v>
      </c>
    </row>
    <row r="323" spans="2:11" x14ac:dyDescent="0.2">
      <c r="D323" s="335" t="s">
        <v>556</v>
      </c>
      <c r="E323" s="335"/>
      <c r="F323" s="335"/>
      <c r="G323" s="335"/>
      <c r="H323" s="335"/>
      <c r="I323" s="340"/>
      <c r="J323" s="335"/>
    </row>
    <row r="324" spans="2:11" x14ac:dyDescent="0.2">
      <c r="D324" s="336" t="s">
        <v>178</v>
      </c>
      <c r="E324" s="337" t="s">
        <v>350</v>
      </c>
      <c r="F324" s="341">
        <f>Output_Tariffs!G29</f>
        <v>70</v>
      </c>
      <c r="G324" s="342">
        <f>Output_Tariffs!H29</f>
        <v>71.2</v>
      </c>
      <c r="H324" s="341">
        <f>Output_Tariffs!I29</f>
        <v>73.775090400000011</v>
      </c>
      <c r="I324" s="343">
        <f>Output_Tariffs!J29</f>
        <v>76.672902175821605</v>
      </c>
      <c r="J324" s="341">
        <f>Output_Tariffs!K29</f>
        <v>79.489557910152598</v>
      </c>
    </row>
    <row r="325" spans="2:11" x14ac:dyDescent="0.2">
      <c r="D325" s="336" t="s">
        <v>363</v>
      </c>
      <c r="E325" s="337" t="s">
        <v>362</v>
      </c>
      <c r="F325" s="344">
        <f>Output_Tariffs!G30</f>
        <v>2.63E-2</v>
      </c>
      <c r="G325" s="345">
        <f>Output_Tariffs!H30</f>
        <v>0.02</v>
      </c>
      <c r="H325" s="344">
        <f>Output_Tariffs!I30</f>
        <v>2.0723340000000003E-2</v>
      </c>
      <c r="I325" s="346">
        <f>Output_Tariffs!J30</f>
        <v>2.1537332071860003E-2</v>
      </c>
      <c r="J325" s="344">
        <f>Output_Tariffs!K30</f>
        <v>2.2328527502851855E-2</v>
      </c>
    </row>
    <row r="326" spans="2:11" x14ac:dyDescent="0.2">
      <c r="D326" s="336" t="s">
        <v>122</v>
      </c>
      <c r="E326" s="337" t="s">
        <v>123</v>
      </c>
      <c r="F326" s="341">
        <f>Output_Tariffs!G31</f>
        <v>11</v>
      </c>
      <c r="G326" s="342">
        <f>Output_Tariffs!H31</f>
        <v>12.298</v>
      </c>
      <c r="H326" s="341">
        <f>Output_Tariffs!I31</f>
        <v>12.742781766</v>
      </c>
      <c r="I326" s="343">
        <f>Output_Tariffs!J31</f>
        <v>13.243305490986716</v>
      </c>
      <c r="J326" s="341">
        <f>Output_Tariffs!K31</f>
        <v>13.729811561503604</v>
      </c>
    </row>
    <row r="327" spans="2:11" x14ac:dyDescent="0.2">
      <c r="D327" s="335" t="s">
        <v>557</v>
      </c>
      <c r="E327" s="335"/>
      <c r="F327" s="335"/>
      <c r="G327" s="335"/>
      <c r="H327" s="335"/>
      <c r="I327" s="340"/>
      <c r="J327" s="335"/>
    </row>
    <row r="328" spans="2:11" x14ac:dyDescent="0.2">
      <c r="D328" s="336" t="s">
        <v>178</v>
      </c>
      <c r="E328" s="337" t="s">
        <v>350</v>
      </c>
      <c r="F328" s="341">
        <f>Output_Tariffs!G33</f>
        <v>1.35</v>
      </c>
      <c r="G328" s="342">
        <f>Output_Tariffs!H33</f>
        <v>1.5</v>
      </c>
      <c r="H328" s="341">
        <f>Output_Tariffs!I33</f>
        <v>1.5542505</v>
      </c>
      <c r="I328" s="343">
        <f>Output_Tariffs!J33</f>
        <v>1.6152999053895003</v>
      </c>
      <c r="J328" s="341">
        <f>Output_Tariffs!K33</f>
        <v>1.674639562713889</v>
      </c>
    </row>
    <row r="329" spans="2:11" x14ac:dyDescent="0.2">
      <c r="D329" s="336" t="s">
        <v>363</v>
      </c>
      <c r="E329" s="337" t="s">
        <v>362</v>
      </c>
      <c r="F329" s="344">
        <f>Output_Tariffs!G34</f>
        <v>0.03</v>
      </c>
      <c r="G329" s="345">
        <f>Output_Tariffs!H34</f>
        <v>2.3E-2</v>
      </c>
      <c r="H329" s="344">
        <f>Output_Tariffs!I34</f>
        <v>2.3831840999999999E-2</v>
      </c>
      <c r="I329" s="346">
        <f>Output_Tariffs!J34</f>
        <v>2.4767931882639E-2</v>
      </c>
      <c r="J329" s="344">
        <f>Output_Tariffs!K34</f>
        <v>2.5677806628279627E-2</v>
      </c>
    </row>
    <row r="330" spans="2:11" x14ac:dyDescent="0.2">
      <c r="D330" s="336" t="s">
        <v>122</v>
      </c>
      <c r="E330" s="337" t="s">
        <v>123</v>
      </c>
      <c r="F330" s="341">
        <f>Output_Tariffs!G35</f>
        <v>9.5</v>
      </c>
      <c r="G330" s="342">
        <f>Output_Tariffs!H35</f>
        <v>8.3703389830508481</v>
      </c>
      <c r="H330" s="341">
        <f>Output_Tariffs!I35</f>
        <v>8.6730690330508491</v>
      </c>
      <c r="I330" s="343">
        <f>Output_Tariffs!J35</f>
        <v>9.0137385116000548</v>
      </c>
      <c r="J330" s="341">
        <f>Output_Tariffs!K35</f>
        <v>9.3448672095621959</v>
      </c>
    </row>
    <row r="331" spans="2:11" x14ac:dyDescent="0.2">
      <c r="D331" s="335" t="s">
        <v>558</v>
      </c>
      <c r="E331" s="335"/>
      <c r="F331" s="335"/>
      <c r="G331" s="335"/>
      <c r="H331" s="335"/>
      <c r="I331" s="340"/>
      <c r="J331" s="335"/>
    </row>
    <row r="332" spans="2:11" x14ac:dyDescent="0.2">
      <c r="D332" s="336" t="s">
        <v>178</v>
      </c>
      <c r="E332" s="337" t="s">
        <v>350</v>
      </c>
      <c r="F332" s="341">
        <f>Output_Tariffs!G37</f>
        <v>70</v>
      </c>
      <c r="G332" s="342">
        <f>Output_Tariffs!H37</f>
        <v>85</v>
      </c>
      <c r="H332" s="341">
        <f>Output_Tariffs!I37</f>
        <v>88.074195000000003</v>
      </c>
      <c r="I332" s="343">
        <f>Output_Tariffs!J37</f>
        <v>91.533661305405005</v>
      </c>
      <c r="J332" s="341">
        <f>Output_Tariffs!K37</f>
        <v>94.896241887120382</v>
      </c>
    </row>
    <row r="333" spans="2:11" x14ac:dyDescent="0.2">
      <c r="D333" s="336" t="s">
        <v>363</v>
      </c>
      <c r="E333" s="337" t="s">
        <v>362</v>
      </c>
      <c r="F333" s="344">
        <f>Output_Tariffs!G38</f>
        <v>2.63E-2</v>
      </c>
      <c r="G333" s="345">
        <f>Output_Tariffs!H38</f>
        <v>2.35E-2</v>
      </c>
      <c r="H333" s="344">
        <f>Output_Tariffs!I38</f>
        <v>2.4349924500000002E-2</v>
      </c>
      <c r="I333" s="346">
        <f>Output_Tariffs!J38</f>
        <v>2.5306365184435502E-2</v>
      </c>
      <c r="J333" s="344">
        <f>Output_Tariffs!K38</f>
        <v>2.6236019815850928E-2</v>
      </c>
    </row>
    <row r="334" spans="2:11" x14ac:dyDescent="0.2">
      <c r="D334" s="336" t="s">
        <v>122</v>
      </c>
      <c r="E334" s="337" t="s">
        <v>123</v>
      </c>
      <c r="F334" s="341">
        <f>Output_Tariffs!G39</f>
        <v>8.27</v>
      </c>
      <c r="G334" s="342">
        <f>Output_Tariffs!H39</f>
        <v>8.3703389830508481</v>
      </c>
      <c r="H334" s="341">
        <f>Output_Tariffs!I39</f>
        <v>8.6730690330508491</v>
      </c>
      <c r="I334" s="343">
        <f>Output_Tariffs!J39</f>
        <v>9.0137385116000548</v>
      </c>
      <c r="J334" s="341">
        <f>Output_Tariffs!K39</f>
        <v>9.3448672095621959</v>
      </c>
      <c r="K334" s="339"/>
    </row>
    <row r="336" spans="2:11" s="200" customFormat="1" x14ac:dyDescent="0.2">
      <c r="B336" s="200" t="s">
        <v>560</v>
      </c>
    </row>
    <row r="338" spans="2:11" x14ac:dyDescent="0.2">
      <c r="D338" s="338" t="s">
        <v>341</v>
      </c>
      <c r="E338" s="334" t="s">
        <v>347</v>
      </c>
      <c r="F338" s="334" t="s">
        <v>341</v>
      </c>
      <c r="G338" s="334" t="s">
        <v>341</v>
      </c>
      <c r="H338" s="334" t="s">
        <v>551</v>
      </c>
      <c r="I338" s="334" t="s">
        <v>551</v>
      </c>
      <c r="J338" s="334" t="s">
        <v>551</v>
      </c>
    </row>
    <row r="339" spans="2:11" x14ac:dyDescent="0.2">
      <c r="D339" s="338"/>
      <c r="E339" s="334"/>
      <c r="F339" s="334" t="s">
        <v>342</v>
      </c>
      <c r="G339" s="334" t="s">
        <v>343</v>
      </c>
      <c r="H339" s="334" t="s">
        <v>344</v>
      </c>
      <c r="I339" s="334" t="s">
        <v>345</v>
      </c>
      <c r="J339" s="334" t="s">
        <v>346</v>
      </c>
    </row>
    <row r="340" spans="2:11" ht="24" x14ac:dyDescent="0.2">
      <c r="D340" s="336" t="s">
        <v>368</v>
      </c>
      <c r="E340" s="337" t="s">
        <v>559</v>
      </c>
      <c r="F340" s="348">
        <f>[1]Output_Pricing_Proposal!F91</f>
        <v>61.48</v>
      </c>
      <c r="G340" s="353">
        <f>[1]Output_Pricing_Proposal!G91</f>
        <v>64.66</v>
      </c>
      <c r="H340" s="348">
        <f>[1]Output_Pricing_Proposal!H91</f>
        <v>68.39</v>
      </c>
      <c r="I340" s="348">
        <f>[1]Output_Pricing_Proposal!I91</f>
        <v>72.34</v>
      </c>
      <c r="J340" s="348">
        <f>[1]Output_Pricing_Proposal!J91</f>
        <v>76.52</v>
      </c>
    </row>
    <row r="341" spans="2:11" x14ac:dyDescent="0.2">
      <c r="D341" s="336" t="s">
        <v>367</v>
      </c>
      <c r="E341" s="337" t="s">
        <v>559</v>
      </c>
      <c r="F341" s="348">
        <f>[1]Output_Pricing_Proposal!F92</f>
        <v>67.69</v>
      </c>
      <c r="G341" s="353">
        <f>[1]Output_Pricing_Proposal!G92</f>
        <v>71.19</v>
      </c>
      <c r="H341" s="348">
        <f>[1]Output_Pricing_Proposal!H92</f>
        <v>75.3</v>
      </c>
      <c r="I341" s="348">
        <f>[1]Output_Pricing_Proposal!I92</f>
        <v>79.650000000000006</v>
      </c>
      <c r="J341" s="348">
        <f>[1]Output_Pricing_Proposal!J92</f>
        <v>84.25</v>
      </c>
      <c r="K341" s="347"/>
    </row>
    <row r="342" spans="2:11" ht="13.5" thickBot="1" x14ac:dyDescent="0.25">
      <c r="D342" s="181" t="s">
        <v>366</v>
      </c>
      <c r="E342" s="180" t="s">
        <v>559</v>
      </c>
      <c r="F342" s="321">
        <f>[1]Output_Pricing_Proposal!F93</f>
        <v>114.65</v>
      </c>
      <c r="G342" s="354">
        <f>[1]Output_Pricing_Proposal!G93</f>
        <v>120.58</v>
      </c>
      <c r="H342" s="321">
        <f>[1]Output_Pricing_Proposal!H93</f>
        <v>127.54</v>
      </c>
      <c r="I342" s="321">
        <f>[1]Output_Pricing_Proposal!I93</f>
        <v>134.9</v>
      </c>
      <c r="J342" s="321">
        <f>[1]Output_Pricing_Proposal!J93</f>
        <v>142.69</v>
      </c>
      <c r="K342" s="347"/>
    </row>
    <row r="345" spans="2:11" s="200" customFormat="1" x14ac:dyDescent="0.2">
      <c r="B345" s="200" t="s">
        <v>560</v>
      </c>
    </row>
    <row r="347" spans="2:11" x14ac:dyDescent="0.2">
      <c r="D347" s="338" t="s">
        <v>341</v>
      </c>
      <c r="E347" s="334" t="s">
        <v>347</v>
      </c>
      <c r="F347" s="334" t="s">
        <v>341</v>
      </c>
      <c r="G347" s="334" t="s">
        <v>341</v>
      </c>
      <c r="H347" s="334" t="s">
        <v>551</v>
      </c>
      <c r="I347" s="334" t="s">
        <v>551</v>
      </c>
      <c r="J347" s="334" t="s">
        <v>551</v>
      </c>
    </row>
    <row r="348" spans="2:11" x14ac:dyDescent="0.2">
      <c r="D348" s="338"/>
      <c r="E348" s="334"/>
      <c r="F348" s="334" t="s">
        <v>342</v>
      </c>
      <c r="G348" s="334" t="s">
        <v>343</v>
      </c>
      <c r="H348" s="334" t="s">
        <v>344</v>
      </c>
      <c r="I348" s="334" t="s">
        <v>345</v>
      </c>
      <c r="J348" s="334" t="s">
        <v>346</v>
      </c>
    </row>
    <row r="349" spans="2:11" x14ac:dyDescent="0.2">
      <c r="D349" s="183" t="str">
        <f t="array" ref="D349:D364">LU_Quoted_Services</f>
        <v>Design related services</v>
      </c>
      <c r="E349" s="182" t="s">
        <v>545</v>
      </c>
      <c r="F349" s="320">
        <f>[1]Output_Pricing_Proposal!F100</f>
        <v>155.62</v>
      </c>
      <c r="G349" s="355">
        <f>[1]Output_Pricing_Proposal!G100</f>
        <v>159.38999999999999</v>
      </c>
      <c r="H349" s="320">
        <f>[1]Output_Pricing_Proposal!H100</f>
        <v>164.59</v>
      </c>
      <c r="I349" s="320">
        <f>[1]Output_Pricing_Proposal!I100</f>
        <v>170.22</v>
      </c>
      <c r="J349" s="320">
        <f>[1]Output_Pricing_Proposal!J100</f>
        <v>176.03</v>
      </c>
    </row>
    <row r="350" spans="2:11" x14ac:dyDescent="0.2">
      <c r="D350" s="183" t="str">
        <v>Connection applications</v>
      </c>
      <c r="E350" s="182" t="s">
        <v>545</v>
      </c>
      <c r="F350" s="320">
        <f>[1]Output_Pricing_Proposal!F101</f>
        <v>155.62</v>
      </c>
      <c r="G350" s="355">
        <f>[1]Output_Pricing_Proposal!G101</f>
        <v>159.38999999999999</v>
      </c>
      <c r="H350" s="320">
        <f>[1]Output_Pricing_Proposal!H101</f>
        <v>164.59</v>
      </c>
      <c r="I350" s="320">
        <f>[1]Output_Pricing_Proposal!I101</f>
        <v>170.22</v>
      </c>
      <c r="J350" s="320">
        <f>[1]Output_Pricing_Proposal!J101</f>
        <v>176.03</v>
      </c>
    </row>
    <row r="351" spans="2:11" ht="26" x14ac:dyDescent="0.2">
      <c r="D351" s="183" t="str">
        <v>Access permits, oversights and facilitation</v>
      </c>
      <c r="E351" s="182" t="s">
        <v>545</v>
      </c>
      <c r="F351" s="320">
        <f>[1]Output_Pricing_Proposal!F102</f>
        <v>155.62</v>
      </c>
      <c r="G351" s="355">
        <f>[1]Output_Pricing_Proposal!G102</f>
        <v>159.38999999999999</v>
      </c>
      <c r="H351" s="320">
        <f>[1]Output_Pricing_Proposal!H102</f>
        <v>164.59</v>
      </c>
      <c r="I351" s="320">
        <f>[1]Output_Pricing_Proposal!I102</f>
        <v>170.22</v>
      </c>
      <c r="J351" s="320">
        <f>[1]Output_Pricing_Proposal!J102</f>
        <v>176.03</v>
      </c>
    </row>
    <row r="352" spans="2:11" ht="26" x14ac:dyDescent="0.2">
      <c r="D352" s="183" t="str">
        <v>Notices of arrangement and completion notices</v>
      </c>
      <c r="E352" s="182" t="s">
        <v>545</v>
      </c>
      <c r="F352" s="320">
        <f>[1]Output_Pricing_Proposal!F103</f>
        <v>87.19</v>
      </c>
      <c r="G352" s="355">
        <f>[1]Output_Pricing_Proposal!G103</f>
        <v>89.3</v>
      </c>
      <c r="H352" s="320">
        <f>[1]Output_Pricing_Proposal!H103</f>
        <v>92.21</v>
      </c>
      <c r="I352" s="320">
        <f>[1]Output_Pricing_Proposal!I103</f>
        <v>95.36</v>
      </c>
      <c r="J352" s="320">
        <f>[1]Output_Pricing_Proposal!J103</f>
        <v>98.61</v>
      </c>
    </row>
    <row r="353" spans="2:10" ht="26" x14ac:dyDescent="0.2">
      <c r="D353" s="183" t="str">
        <v>Network related property services</v>
      </c>
      <c r="E353" s="182" t="s">
        <v>545</v>
      </c>
      <c r="F353" s="320">
        <f>[1]Output_Pricing_Proposal!F104</f>
        <v>87.19</v>
      </c>
      <c r="G353" s="355">
        <f>[1]Output_Pricing_Proposal!G104</f>
        <v>89.3</v>
      </c>
      <c r="H353" s="320">
        <f>[1]Output_Pricing_Proposal!H104</f>
        <v>92.21</v>
      </c>
      <c r="I353" s="320">
        <f>[1]Output_Pricing_Proposal!I104</f>
        <v>95.36</v>
      </c>
      <c r="J353" s="320">
        <f>[1]Output_Pricing_Proposal!J104</f>
        <v>98.61</v>
      </c>
    </row>
    <row r="354" spans="2:10" x14ac:dyDescent="0.2">
      <c r="D354" s="183" t="str">
        <v>Site establishment services</v>
      </c>
      <c r="E354" s="182" t="s">
        <v>545</v>
      </c>
      <c r="F354" s="320">
        <f>[1]Output_Pricing_Proposal!F105</f>
        <v>87.19</v>
      </c>
      <c r="G354" s="355">
        <f>[1]Output_Pricing_Proposal!G105</f>
        <v>89.3</v>
      </c>
      <c r="H354" s="320">
        <f>[1]Output_Pricing_Proposal!H105</f>
        <v>92.21</v>
      </c>
      <c r="I354" s="320">
        <f>[1]Output_Pricing_Proposal!I105</f>
        <v>95.36</v>
      </c>
      <c r="J354" s="320">
        <f>[1]Output_Pricing_Proposal!J105</f>
        <v>98.61</v>
      </c>
    </row>
    <row r="355" spans="2:10" x14ac:dyDescent="0.2">
      <c r="D355" s="183" t="str">
        <v>Network safety services</v>
      </c>
      <c r="E355" s="182" t="s">
        <v>545</v>
      </c>
      <c r="F355" s="320">
        <f>[1]Output_Pricing_Proposal!F106</f>
        <v>132.71</v>
      </c>
      <c r="G355" s="355">
        <f>[1]Output_Pricing_Proposal!G106</f>
        <v>135.91999999999999</v>
      </c>
      <c r="H355" s="320">
        <f>[1]Output_Pricing_Proposal!H106</f>
        <v>140.36000000000001</v>
      </c>
      <c r="I355" s="320">
        <f>[1]Output_Pricing_Proposal!I106</f>
        <v>145.16</v>
      </c>
      <c r="J355" s="320">
        <f>[1]Output_Pricing_Proposal!J106</f>
        <v>150.11000000000001</v>
      </c>
    </row>
    <row r="356" spans="2:10" x14ac:dyDescent="0.2">
      <c r="D356" s="183" t="str">
        <v>Network tariff change request</v>
      </c>
      <c r="E356" s="182" t="s">
        <v>545</v>
      </c>
      <c r="F356" s="320">
        <f>[1]Output_Pricing_Proposal!F107</f>
        <v>87.19</v>
      </c>
      <c r="G356" s="355">
        <f>[1]Output_Pricing_Proposal!G107</f>
        <v>89.3</v>
      </c>
      <c r="H356" s="320">
        <f>[1]Output_Pricing_Proposal!H107</f>
        <v>92.21</v>
      </c>
      <c r="I356" s="320">
        <f>[1]Output_Pricing_Proposal!I107</f>
        <v>95.36</v>
      </c>
      <c r="J356" s="320">
        <f>[1]Output_Pricing_Proposal!J107</f>
        <v>98.61</v>
      </c>
    </row>
    <row r="357" spans="2:10" ht="26" x14ac:dyDescent="0.2">
      <c r="D357" s="183" t="str">
        <v>Planned interruption - customer request</v>
      </c>
      <c r="E357" s="182" t="s">
        <v>545</v>
      </c>
      <c r="F357" s="320">
        <f>[1]Output_Pricing_Proposal!F108</f>
        <v>132.71</v>
      </c>
      <c r="G357" s="355">
        <f>[1]Output_Pricing_Proposal!G108</f>
        <v>135.91999999999999</v>
      </c>
      <c r="H357" s="320">
        <f>[1]Output_Pricing_Proposal!H108</f>
        <v>140.36000000000001</v>
      </c>
      <c r="I357" s="320">
        <f>[1]Output_Pricing_Proposal!I108</f>
        <v>145.16</v>
      </c>
      <c r="J357" s="320">
        <f>[1]Output_Pricing_Proposal!J108</f>
        <v>150.11000000000001</v>
      </c>
    </row>
    <row r="358" spans="2:10" ht="26" x14ac:dyDescent="0.2">
      <c r="D358" s="183" t="str">
        <v>Performance of a statutory right (access prevented)</v>
      </c>
      <c r="E358" s="182" t="s">
        <v>545</v>
      </c>
      <c r="F358" s="320">
        <f>[1]Output_Pricing_Proposal!F109</f>
        <v>132.71</v>
      </c>
      <c r="G358" s="355">
        <f>[1]Output_Pricing_Proposal!G109</f>
        <v>135.91999999999999</v>
      </c>
      <c r="H358" s="320">
        <f>[1]Output_Pricing_Proposal!H109</f>
        <v>140.36000000000001</v>
      </c>
      <c r="I358" s="320">
        <f>[1]Output_Pricing_Proposal!I109</f>
        <v>145.16</v>
      </c>
      <c r="J358" s="320">
        <f>[1]Output_Pricing_Proposal!J109</f>
        <v>150.11000000000001</v>
      </c>
    </row>
    <row r="359" spans="2:10" ht="26" x14ac:dyDescent="0.2">
      <c r="D359" s="183" t="str">
        <v>Provision of network related training to third parties</v>
      </c>
      <c r="E359" s="182" t="s">
        <v>545</v>
      </c>
      <c r="F359" s="320">
        <f>[1]Output_Pricing_Proposal!F110</f>
        <v>87.19</v>
      </c>
      <c r="G359" s="355">
        <f>[1]Output_Pricing_Proposal!G110</f>
        <v>89.3</v>
      </c>
      <c r="H359" s="320">
        <f>[1]Output_Pricing_Proposal!H110</f>
        <v>92.21</v>
      </c>
      <c r="I359" s="320">
        <f>[1]Output_Pricing_Proposal!I110</f>
        <v>95.36</v>
      </c>
      <c r="J359" s="320">
        <f>[1]Output_Pricing_Proposal!J110</f>
        <v>98.61</v>
      </c>
    </row>
    <row r="360" spans="2:10" ht="26" x14ac:dyDescent="0.2">
      <c r="D360" s="183" t="str">
        <v>Non-standard reporting services</v>
      </c>
      <c r="E360" s="182" t="s">
        <v>545</v>
      </c>
      <c r="F360" s="320">
        <f>[1]Output_Pricing_Proposal!F111</f>
        <v>87.19</v>
      </c>
      <c r="G360" s="355">
        <f>[1]Output_Pricing_Proposal!G111</f>
        <v>89.3</v>
      </c>
      <c r="H360" s="320">
        <f>[1]Output_Pricing_Proposal!H111</f>
        <v>92.21</v>
      </c>
      <c r="I360" s="320">
        <f>[1]Output_Pricing_Proposal!I111</f>
        <v>95.36</v>
      </c>
      <c r="J360" s="320">
        <f>[1]Output_Pricing_Proposal!J111</f>
        <v>98.61</v>
      </c>
    </row>
    <row r="361" spans="2:10" ht="26" x14ac:dyDescent="0.2">
      <c r="D361" s="183" t="str">
        <v xml:space="preserve">Services provided for retailer of last resort event </v>
      </c>
      <c r="E361" s="182" t="s">
        <v>545</v>
      </c>
      <c r="F361" s="320">
        <f>[1]Output_Pricing_Proposal!F112</f>
        <v>87.19</v>
      </c>
      <c r="G361" s="355">
        <f>[1]Output_Pricing_Proposal!G112</f>
        <v>89.3</v>
      </c>
      <c r="H361" s="320">
        <f>[1]Output_Pricing_Proposal!H112</f>
        <v>92.21</v>
      </c>
      <c r="I361" s="320">
        <f>[1]Output_Pricing_Proposal!I112</f>
        <v>95.36</v>
      </c>
      <c r="J361" s="320">
        <f>[1]Output_Pricing_Proposal!J112</f>
        <v>98.61</v>
      </c>
    </row>
    <row r="362" spans="2:10" ht="26" x14ac:dyDescent="0.2">
      <c r="D362" s="183" t="str">
        <v>Rectification of illegal connections service</v>
      </c>
      <c r="E362" s="182" t="s">
        <v>545</v>
      </c>
      <c r="F362" s="320">
        <f>[1]Output_Pricing_Proposal!F113</f>
        <v>132.71</v>
      </c>
      <c r="G362" s="355">
        <f>[1]Output_Pricing_Proposal!G113</f>
        <v>135.91999999999999</v>
      </c>
      <c r="H362" s="320">
        <f>[1]Output_Pricing_Proposal!H113</f>
        <v>140.36000000000001</v>
      </c>
      <c r="I362" s="320">
        <f>[1]Output_Pricing_Proposal!I113</f>
        <v>145.16</v>
      </c>
      <c r="J362" s="320">
        <f>[1]Output_Pricing_Proposal!J113</f>
        <v>150.11000000000001</v>
      </c>
    </row>
    <row r="363" spans="2:10" ht="26" x14ac:dyDescent="0.2">
      <c r="D363" s="183" t="str">
        <v>Network changes at customer or retailer's request</v>
      </c>
      <c r="E363" s="182" t="s">
        <v>545</v>
      </c>
      <c r="F363" s="320">
        <f>[1]Output_Pricing_Proposal!F114</f>
        <v>132.71</v>
      </c>
      <c r="G363" s="355">
        <f>[1]Output_Pricing_Proposal!G114</f>
        <v>135.91999999999999</v>
      </c>
      <c r="H363" s="320">
        <f>[1]Output_Pricing_Proposal!H114</f>
        <v>140.36000000000001</v>
      </c>
      <c r="I363" s="320">
        <f>[1]Output_Pricing_Proposal!I114</f>
        <v>145.16</v>
      </c>
      <c r="J363" s="320">
        <f>[1]Output_Pricing_Proposal!J114</f>
        <v>150.11000000000001</v>
      </c>
    </row>
    <row r="364" spans="2:10" ht="26.5" thickBot="1" x14ac:dyDescent="0.25">
      <c r="D364" s="181" t="str">
        <v>Annual prepayment meter licensing fee *</v>
      </c>
      <c r="E364" s="180" t="s">
        <v>545</v>
      </c>
      <c r="F364" s="321">
        <f>[1]Output_Pricing_Proposal!F115</f>
        <v>87.19</v>
      </c>
      <c r="G364" s="354">
        <f>[1]Output_Pricing_Proposal!G115</f>
        <v>89.3</v>
      </c>
      <c r="H364" s="321">
        <f>[1]Output_Pricing_Proposal!H115</f>
        <v>92.21</v>
      </c>
      <c r="I364" s="321">
        <f>[1]Output_Pricing_Proposal!I115</f>
        <v>95.36</v>
      </c>
      <c r="J364" s="321">
        <f>[1]Output_Pricing_Proposal!J115</f>
        <v>98.61</v>
      </c>
    </row>
    <row r="365" spans="2:10" ht="14.5" x14ac:dyDescent="0.2">
      <c r="D365" s="317" t="s">
        <v>546</v>
      </c>
      <c r="E365" s="318"/>
      <c r="F365" s="318"/>
    </row>
    <row r="368" spans="2:10" s="200" customFormat="1" x14ac:dyDescent="0.2">
      <c r="B368" s="200" t="s">
        <v>561</v>
      </c>
    </row>
    <row r="370" spans="4:10" x14ac:dyDescent="0.2">
      <c r="D370" s="338" t="s">
        <v>341</v>
      </c>
      <c r="E370" s="334" t="s">
        <v>347</v>
      </c>
      <c r="F370" s="334" t="s">
        <v>341</v>
      </c>
      <c r="G370" s="334" t="s">
        <v>341</v>
      </c>
      <c r="H370" s="334" t="s">
        <v>551</v>
      </c>
      <c r="I370" s="334" t="s">
        <v>551</v>
      </c>
      <c r="J370" s="334" t="s">
        <v>551</v>
      </c>
    </row>
    <row r="371" spans="4:10" x14ac:dyDescent="0.2">
      <c r="D371" s="338"/>
      <c r="E371" s="334"/>
      <c r="F371" s="334" t="s">
        <v>342</v>
      </c>
      <c r="G371" s="334" t="s">
        <v>343</v>
      </c>
      <c r="H371" s="334" t="s">
        <v>344</v>
      </c>
      <c r="I371" s="334" t="s">
        <v>345</v>
      </c>
      <c r="J371" s="334" t="s">
        <v>346</v>
      </c>
    </row>
    <row r="372" spans="4:10" x14ac:dyDescent="0.2">
      <c r="D372" s="183" t="str">
        <f t="array" ref="D372:D398">LU_Fee_Based_Services</f>
        <v>Disconnection (and final read)</v>
      </c>
      <c r="E372" s="182" t="s">
        <v>542</v>
      </c>
      <c r="F372" s="320">
        <f>[1]Output_Pricing_Proposal!F123</f>
        <v>66.989999999999995</v>
      </c>
      <c r="G372" s="355">
        <f>[1]Output_Pricing_Proposal!G123</f>
        <v>65.349999999999994</v>
      </c>
      <c r="H372" s="320">
        <f>[1]Output_Pricing_Proposal!H123</f>
        <v>64</v>
      </c>
      <c r="I372" s="320">
        <f>[1]Output_Pricing_Proposal!I123</f>
        <v>62.64</v>
      </c>
      <c r="J372" s="320">
        <f>[1]Output_Pricing_Proposal!J123</f>
        <v>61.24</v>
      </c>
    </row>
    <row r="373" spans="4:10" x14ac:dyDescent="0.2">
      <c r="D373" s="183" t="str">
        <v>Reconnection</v>
      </c>
      <c r="E373" s="182" t="s">
        <v>542</v>
      </c>
      <c r="F373" s="320">
        <f>[1]Output_Pricing_Proposal!F124</f>
        <v>66.989999999999995</v>
      </c>
      <c r="G373" s="355">
        <f>[1]Output_Pricing_Proposal!G124</f>
        <v>65.349999999999994</v>
      </c>
      <c r="H373" s="320">
        <f>[1]Output_Pricing_Proposal!H124</f>
        <v>64</v>
      </c>
      <c r="I373" s="320">
        <f>[1]Output_Pricing_Proposal!I124</f>
        <v>62.64</v>
      </c>
      <c r="J373" s="320">
        <f>[1]Output_Pricing_Proposal!J124</f>
        <v>61.24</v>
      </c>
    </row>
    <row r="374" spans="4:10" x14ac:dyDescent="0.2">
      <c r="D374" s="183" t="str">
        <v>Reconnection - after hours</v>
      </c>
      <c r="E374" s="182" t="s">
        <v>542</v>
      </c>
      <c r="F374" s="320">
        <f>[1]Output_Pricing_Proposal!F125</f>
        <v>124.43</v>
      </c>
      <c r="G374" s="355">
        <f>[1]Output_Pricing_Proposal!G125</f>
        <v>121.39</v>
      </c>
      <c r="H374" s="320">
        <f>[1]Output_Pricing_Proposal!H125</f>
        <v>118.88</v>
      </c>
      <c r="I374" s="320">
        <f>[1]Output_Pricing_Proposal!I125</f>
        <v>116.35</v>
      </c>
      <c r="J374" s="320">
        <f>[1]Output_Pricing_Proposal!J125</f>
        <v>113.75</v>
      </c>
    </row>
    <row r="375" spans="4:10" ht="39" x14ac:dyDescent="0.2">
      <c r="D375" s="183" t="str">
        <v>Temporary disconnection and reconnection - physical dismantling</v>
      </c>
      <c r="E375" s="182" t="s">
        <v>542</v>
      </c>
      <c r="F375" s="320">
        <f>[1]Output_Pricing_Proposal!F126</f>
        <v>737.3</v>
      </c>
      <c r="G375" s="355">
        <f>[1]Output_Pricing_Proposal!G126</f>
        <v>755.16</v>
      </c>
      <c r="H375" s="320">
        <f>[1]Output_Pricing_Proposal!H126</f>
        <v>779.8</v>
      </c>
      <c r="I375" s="320">
        <f>[1]Output_Pricing_Proposal!I126</f>
        <v>806.48</v>
      </c>
      <c r="J375" s="320">
        <f>[1]Output_Pricing_Proposal!J126</f>
        <v>834</v>
      </c>
    </row>
    <row r="376" spans="4:10" x14ac:dyDescent="0.2">
      <c r="D376" s="183" t="str">
        <v>Provision of 3 phase service</v>
      </c>
      <c r="E376" s="182" t="s">
        <v>542</v>
      </c>
      <c r="F376" s="320">
        <f>[1]Output_Pricing_Proposal!F127</f>
        <v>1400.88</v>
      </c>
      <c r="G376" s="355">
        <f>[1]Output_Pricing_Proposal!G127</f>
        <v>1434.81</v>
      </c>
      <c r="H376" s="320">
        <f>[1]Output_Pricing_Proposal!H127</f>
        <v>1481.63</v>
      </c>
      <c r="I376" s="320">
        <f>[1]Output_Pricing_Proposal!I127</f>
        <v>1532.31</v>
      </c>
      <c r="J376" s="320">
        <f>[1]Output_Pricing_Proposal!J127</f>
        <v>1584.6</v>
      </c>
    </row>
    <row r="377" spans="4:10" ht="26" x14ac:dyDescent="0.2">
      <c r="D377" s="183" t="str">
        <v>Standard temporary builder’s connection</v>
      </c>
      <c r="E377" s="182" t="s">
        <v>542</v>
      </c>
      <c r="F377" s="320">
        <f>[1]Output_Pricing_Proposal!F128</f>
        <v>657.68</v>
      </c>
      <c r="G377" s="355">
        <f>[1]Output_Pricing_Proposal!G128</f>
        <v>673.61</v>
      </c>
      <c r="H377" s="320">
        <f>[1]Output_Pricing_Proposal!H128</f>
        <v>695.59</v>
      </c>
      <c r="I377" s="320">
        <f>[1]Output_Pricing_Proposal!I128</f>
        <v>719.39</v>
      </c>
      <c r="J377" s="320">
        <f>[1]Output_Pricing_Proposal!J128</f>
        <v>743.94</v>
      </c>
    </row>
    <row r="378" spans="4:10" ht="26" x14ac:dyDescent="0.2">
      <c r="D378" s="183" t="str">
        <v>Temporary disconnection and reconnection - no dismantling</v>
      </c>
      <c r="E378" s="182" t="s">
        <v>542</v>
      </c>
      <c r="F378" s="320">
        <f>[1]Output_Pricing_Proposal!F129</f>
        <v>286.07</v>
      </c>
      <c r="G378" s="355">
        <f>[1]Output_Pricing_Proposal!G129</f>
        <v>293</v>
      </c>
      <c r="H378" s="320">
        <f>[1]Output_Pricing_Proposal!H129</f>
        <v>302.56</v>
      </c>
      <c r="I378" s="320">
        <f>[1]Output_Pricing_Proposal!I129</f>
        <v>312.91000000000003</v>
      </c>
      <c r="J378" s="320">
        <f>[1]Output_Pricing_Proposal!J129</f>
        <v>323.58999999999997</v>
      </c>
    </row>
    <row r="379" spans="4:10" x14ac:dyDescent="0.2">
      <c r="D379" s="183" t="str">
        <v>Complex disconnection</v>
      </c>
      <c r="E379" s="182" t="s">
        <v>542</v>
      </c>
      <c r="F379" s="320">
        <f>[1]Output_Pricing_Proposal!F130</f>
        <v>312.62</v>
      </c>
      <c r="G379" s="355">
        <f>[1]Output_Pricing_Proposal!G130</f>
        <v>320.19</v>
      </c>
      <c r="H379" s="320">
        <f>[1]Output_Pricing_Proposal!H130</f>
        <v>330.64</v>
      </c>
      <c r="I379" s="320">
        <f>[1]Output_Pricing_Proposal!I130</f>
        <v>341.95</v>
      </c>
      <c r="J379" s="320">
        <f>[1]Output_Pricing_Proposal!J130</f>
        <v>353.62</v>
      </c>
    </row>
    <row r="380" spans="4:10" x14ac:dyDescent="0.2">
      <c r="D380" s="183" t="str">
        <v>Wasted visit fee</v>
      </c>
      <c r="E380" s="182" t="s">
        <v>542</v>
      </c>
      <c r="F380" s="320">
        <f>[1]Output_Pricing_Proposal!F131</f>
        <v>153.36000000000001</v>
      </c>
      <c r="G380" s="355">
        <f>[1]Output_Pricing_Proposal!G131</f>
        <v>157.07</v>
      </c>
      <c r="H380" s="320">
        <f>[1]Output_Pricing_Proposal!H131</f>
        <v>162.19999999999999</v>
      </c>
      <c r="I380" s="320">
        <f>[1]Output_Pricing_Proposal!I131</f>
        <v>167.75</v>
      </c>
      <c r="J380" s="320">
        <f>[1]Output_Pricing_Proposal!J131</f>
        <v>173.47</v>
      </c>
    </row>
    <row r="381" spans="4:10" x14ac:dyDescent="0.2">
      <c r="D381" s="183" t="str">
        <v>Special meter test</v>
      </c>
      <c r="E381" s="182" t="s">
        <v>542</v>
      </c>
      <c r="F381" s="320">
        <f>[1]Output_Pricing_Proposal!F132</f>
        <v>299.35000000000002</v>
      </c>
      <c r="G381" s="355">
        <f>[1]Output_Pricing_Proposal!G132</f>
        <v>306.60000000000002</v>
      </c>
      <c r="H381" s="320">
        <f>[1]Output_Pricing_Proposal!H132</f>
        <v>316.61</v>
      </c>
      <c r="I381" s="320">
        <f>[1]Output_Pricing_Proposal!I132</f>
        <v>327.44</v>
      </c>
      <c r="J381" s="320">
        <f>[1]Output_Pricing_Proposal!J132</f>
        <v>338.61</v>
      </c>
    </row>
    <row r="382" spans="4:10" ht="26" x14ac:dyDescent="0.2">
      <c r="D382" s="183" t="str">
        <v>Exchange or replace meter – three phase</v>
      </c>
      <c r="E382" s="182" t="s">
        <v>542</v>
      </c>
      <c r="F382" s="320">
        <f>[1]Output_Pricing_Proposal!F133</f>
        <v>660.39</v>
      </c>
      <c r="G382" s="355">
        <f>[1]Output_Pricing_Proposal!G133</f>
        <v>676.38</v>
      </c>
      <c r="H382" s="320">
        <f>[1]Output_Pricing_Proposal!H133</f>
        <v>698.45</v>
      </c>
      <c r="I382" s="320">
        <f>[1]Output_Pricing_Proposal!I133</f>
        <v>722.34</v>
      </c>
      <c r="J382" s="320">
        <f>[1]Output_Pricing_Proposal!J133</f>
        <v>746.99</v>
      </c>
    </row>
    <row r="383" spans="4:10" ht="26" x14ac:dyDescent="0.2">
      <c r="D383" s="183" t="str">
        <v>Exchange or replace meter - single phase</v>
      </c>
      <c r="E383" s="182" t="s">
        <v>542</v>
      </c>
      <c r="F383" s="320">
        <f>[1]Output_Pricing_Proposal!F134</f>
        <v>552.87</v>
      </c>
      <c r="G383" s="355">
        <f>[1]Output_Pricing_Proposal!G134</f>
        <v>566.26</v>
      </c>
      <c r="H383" s="320">
        <f>[1]Output_Pricing_Proposal!H134</f>
        <v>584.74</v>
      </c>
      <c r="I383" s="320">
        <f>[1]Output_Pricing_Proposal!I134</f>
        <v>604.74</v>
      </c>
      <c r="J383" s="320">
        <f>[1]Output_Pricing_Proposal!J134</f>
        <v>625.38</v>
      </c>
    </row>
    <row r="384" spans="4:10" x14ac:dyDescent="0.2">
      <c r="D384" s="183" t="str">
        <v>Relocation of meter</v>
      </c>
      <c r="E384" s="182" t="s">
        <v>542</v>
      </c>
      <c r="F384" s="320">
        <f>[1]Output_Pricing_Proposal!F135</f>
        <v>312.62</v>
      </c>
      <c r="G384" s="355">
        <f>[1]Output_Pricing_Proposal!G135</f>
        <v>320.19</v>
      </c>
      <c r="H384" s="320">
        <f>[1]Output_Pricing_Proposal!H135</f>
        <v>330.64</v>
      </c>
      <c r="I384" s="320">
        <f>[1]Output_Pricing_Proposal!I135</f>
        <v>341.95</v>
      </c>
      <c r="J384" s="320">
        <f>[1]Output_Pricing_Proposal!J135</f>
        <v>353.62</v>
      </c>
    </row>
    <row r="385" spans="4:10" x14ac:dyDescent="0.2">
      <c r="D385" s="183" t="str">
        <v>Remove meter</v>
      </c>
      <c r="E385" s="182" t="s">
        <v>542</v>
      </c>
      <c r="F385" s="320">
        <f>[1]Output_Pricing_Proposal!F136</f>
        <v>312.62</v>
      </c>
      <c r="G385" s="355">
        <f>[1]Output_Pricing_Proposal!G136</f>
        <v>320.19</v>
      </c>
      <c r="H385" s="320">
        <f>[1]Output_Pricing_Proposal!H136</f>
        <v>330.64</v>
      </c>
      <c r="I385" s="320">
        <f>[1]Output_Pricing_Proposal!I136</f>
        <v>341.95</v>
      </c>
      <c r="J385" s="320">
        <f>[1]Output_Pricing_Proposal!J136</f>
        <v>353.62</v>
      </c>
    </row>
    <row r="386" spans="4:10" x14ac:dyDescent="0.2">
      <c r="D386" s="183" t="str">
        <v>General meter inspection</v>
      </c>
      <c r="E386" s="182" t="s">
        <v>542</v>
      </c>
      <c r="F386" s="320">
        <f>[1]Output_Pricing_Proposal!F137</f>
        <v>140.09</v>
      </c>
      <c r="G386" s="355">
        <f>[1]Output_Pricing_Proposal!G137</f>
        <v>143.47999999999999</v>
      </c>
      <c r="H386" s="320">
        <f>[1]Output_Pricing_Proposal!H137</f>
        <v>148.16</v>
      </c>
      <c r="I386" s="320">
        <f>[1]Output_Pricing_Proposal!I137</f>
        <v>153.22999999999999</v>
      </c>
      <c r="J386" s="320">
        <f>[1]Output_Pricing_Proposal!J137</f>
        <v>158.46</v>
      </c>
    </row>
    <row r="387" spans="4:10" ht="26" x14ac:dyDescent="0.2">
      <c r="D387" s="183" t="str">
        <v>Special meter read - no appointment</v>
      </c>
      <c r="E387" s="182" t="s">
        <v>542</v>
      </c>
      <c r="F387" s="320">
        <f>[1]Output_Pricing_Proposal!F138</f>
        <v>35.6</v>
      </c>
      <c r="G387" s="355">
        <f>[1]Output_Pricing_Proposal!G138</f>
        <v>36.46</v>
      </c>
      <c r="H387" s="320">
        <f>[1]Output_Pricing_Proposal!H138</f>
        <v>37.65</v>
      </c>
      <c r="I387" s="320">
        <f>[1]Output_Pricing_Proposal!I138</f>
        <v>38.94</v>
      </c>
      <c r="J387" s="320">
        <f>[1]Output_Pricing_Proposal!J138</f>
        <v>40.270000000000003</v>
      </c>
    </row>
    <row r="388" spans="4:10" ht="26" x14ac:dyDescent="0.2">
      <c r="D388" s="183" t="str">
        <v>Special meter read - appointment</v>
      </c>
      <c r="E388" s="182" t="s">
        <v>542</v>
      </c>
      <c r="F388" s="320">
        <f>[1]Output_Pricing_Proposal!F139</f>
        <v>77</v>
      </c>
      <c r="G388" s="355">
        <f>[1]Output_Pricing_Proposal!G139</f>
        <v>78.86</v>
      </c>
      <c r="H388" s="320">
        <f>[1]Output_Pricing_Proposal!H139</f>
        <v>81.430000000000007</v>
      </c>
      <c r="I388" s="320">
        <f>[1]Output_Pricing_Proposal!I139</f>
        <v>84.22</v>
      </c>
      <c r="J388" s="320">
        <f>[1]Output_Pricing_Proposal!J139</f>
        <v>87.09</v>
      </c>
    </row>
    <row r="389" spans="4:10" x14ac:dyDescent="0.2">
      <c r="D389" s="183" t="str">
        <v>Class 3 PV Assessment</v>
      </c>
      <c r="E389" s="182" t="s">
        <v>542</v>
      </c>
      <c r="F389" s="320">
        <f>[1]Output_Pricing_Proposal!F140</f>
        <v>1187.82</v>
      </c>
      <c r="G389" s="355">
        <f>[1]Output_Pricing_Proposal!G140</f>
        <v>1216.5899999999999</v>
      </c>
      <c r="H389" s="320">
        <f>[1]Output_Pricing_Proposal!H140</f>
        <v>1256.29</v>
      </c>
      <c r="I389" s="320">
        <f>[1]Output_Pricing_Proposal!I140</f>
        <v>1299.27</v>
      </c>
      <c r="J389" s="320">
        <f>[1]Output_Pricing_Proposal!J140</f>
        <v>1343.61</v>
      </c>
    </row>
    <row r="390" spans="4:10" x14ac:dyDescent="0.2">
      <c r="D390" s="183" t="str">
        <v>Meter program change</v>
      </c>
      <c r="E390" s="182" t="s">
        <v>542</v>
      </c>
      <c r="F390" s="320">
        <f>[1]Output_Pricing_Proposal!F141</f>
        <v>161.61000000000001</v>
      </c>
      <c r="G390" s="355">
        <f>[1]Output_Pricing_Proposal!G141</f>
        <v>165.52</v>
      </c>
      <c r="H390" s="320">
        <f>[1]Output_Pricing_Proposal!H141</f>
        <v>170.92</v>
      </c>
      <c r="I390" s="320">
        <f>[1]Output_Pricing_Proposal!I141</f>
        <v>176.77</v>
      </c>
      <c r="J390" s="320">
        <f>[1]Output_Pricing_Proposal!J141</f>
        <v>182.8</v>
      </c>
    </row>
    <row r="391" spans="4:10" x14ac:dyDescent="0.2">
      <c r="D391" s="183" t="str">
        <v>Historical data requests</v>
      </c>
      <c r="E391" s="182" t="s">
        <v>542</v>
      </c>
      <c r="F391" s="320">
        <f>[1]Output_Pricing_Proposal!F142</f>
        <v>197.14</v>
      </c>
      <c r="G391" s="355">
        <f>[1]Output_Pricing_Proposal!G142</f>
        <v>201.91</v>
      </c>
      <c r="H391" s="320">
        <f>[1]Output_Pricing_Proposal!H142</f>
        <v>208.5</v>
      </c>
      <c r="I391" s="320">
        <f>[1]Output_Pricing_Proposal!I142</f>
        <v>215.63</v>
      </c>
      <c r="J391" s="320">
        <f>[1]Output_Pricing_Proposal!J142</f>
        <v>222.99</v>
      </c>
    </row>
    <row r="392" spans="4:10" x14ac:dyDescent="0.2">
      <c r="D392" s="183" t="str">
        <v>Standing data requests</v>
      </c>
      <c r="E392" s="182" t="s">
        <v>542</v>
      </c>
      <c r="F392" s="320">
        <f>[1]Output_Pricing_Proposal!F143</f>
        <v>43.59</v>
      </c>
      <c r="G392" s="355">
        <f>[1]Output_Pricing_Proposal!G143</f>
        <v>44.65</v>
      </c>
      <c r="H392" s="320">
        <f>[1]Output_Pricing_Proposal!H143</f>
        <v>46.11</v>
      </c>
      <c r="I392" s="320">
        <f>[1]Output_Pricing_Proposal!I143</f>
        <v>47.69</v>
      </c>
      <c r="J392" s="320">
        <f>[1]Output_Pricing_Proposal!J143</f>
        <v>49.32</v>
      </c>
    </row>
    <row r="393" spans="4:10" x14ac:dyDescent="0.2">
      <c r="D393" s="183" t="str">
        <v>Customer transfers</v>
      </c>
      <c r="E393" s="182" t="s">
        <v>542</v>
      </c>
      <c r="F393" s="320">
        <f>[1]Output_Pricing_Proposal!F144</f>
        <v>174.37</v>
      </c>
      <c r="G393" s="355">
        <f>[1]Output_Pricing_Proposal!G144</f>
        <v>178.59</v>
      </c>
      <c r="H393" s="320">
        <f>[1]Output_Pricing_Proposal!H144</f>
        <v>184.42</v>
      </c>
      <c r="I393" s="320">
        <f>[1]Output_Pricing_Proposal!I144</f>
        <v>190.73</v>
      </c>
      <c r="J393" s="320">
        <f>[1]Output_Pricing_Proposal!J144</f>
        <v>197.24</v>
      </c>
    </row>
    <row r="394" spans="4:10" x14ac:dyDescent="0.2">
      <c r="D394" s="183" t="str">
        <v>Network tariff change request</v>
      </c>
      <c r="E394" s="182" t="s">
        <v>542</v>
      </c>
      <c r="F394" s="320">
        <f>[1]Output_Pricing_Proposal!F145</f>
        <v>43.59</v>
      </c>
      <c r="G394" s="355">
        <f>[1]Output_Pricing_Proposal!G145</f>
        <v>44.65</v>
      </c>
      <c r="H394" s="320">
        <f>[1]Output_Pricing_Proposal!H145</f>
        <v>46.11</v>
      </c>
      <c r="I394" s="320">
        <f>[1]Output_Pricing_Proposal!I145</f>
        <v>47.69</v>
      </c>
      <c r="J394" s="320">
        <f>[1]Output_Pricing_Proposal!J145</f>
        <v>49.32</v>
      </c>
    </row>
    <row r="395" spans="4:10" x14ac:dyDescent="0.2">
      <c r="D395" s="183" t="str">
        <v>Prepayment Vending Charge</v>
      </c>
      <c r="E395" s="182" t="s">
        <v>542</v>
      </c>
      <c r="F395" s="320">
        <f>[1]Output_Pricing_Proposal!F146</f>
        <v>0.48</v>
      </c>
      <c r="G395" s="355">
        <f>[1]Output_Pricing_Proposal!G146</f>
        <v>0.49</v>
      </c>
      <c r="H395" s="320">
        <f>[1]Output_Pricing_Proposal!H146</f>
        <v>0.51</v>
      </c>
      <c r="I395" s="320">
        <f>[1]Output_Pricing_Proposal!I146</f>
        <v>0.53</v>
      </c>
      <c r="J395" s="320">
        <f>[1]Output_Pricing_Proposal!J146</f>
        <v>0.55000000000000004</v>
      </c>
    </row>
    <row r="396" spans="4:10" ht="26" x14ac:dyDescent="0.2">
      <c r="D396" s="183" t="str">
        <v>Prepayment Meter Support Charge</v>
      </c>
      <c r="E396" s="182" t="s">
        <v>542</v>
      </c>
      <c r="F396" s="320">
        <f>[1]Output_Pricing_Proposal!F147</f>
        <v>66.36</v>
      </c>
      <c r="G396" s="355">
        <f>[1]Output_Pricing_Proposal!G147</f>
        <v>67.97</v>
      </c>
      <c r="H396" s="320">
        <f>[1]Output_Pricing_Proposal!H147</f>
        <v>70.19</v>
      </c>
      <c r="I396" s="320">
        <f>[1]Output_Pricing_Proposal!I147</f>
        <v>72.59</v>
      </c>
      <c r="J396" s="320">
        <f>[1]Output_Pricing_Proposal!J147</f>
        <v>75.069999999999993</v>
      </c>
    </row>
    <row r="397" spans="4:10" ht="26" x14ac:dyDescent="0.2">
      <c r="D397" s="183" t="str">
        <v xml:space="preserve">Installation of Minor Apparatus </v>
      </c>
      <c r="E397" s="182" t="s">
        <v>542</v>
      </c>
      <c r="F397" s="320">
        <f>[1]Output_Pricing_Proposal!F148</f>
        <v>624.5</v>
      </c>
      <c r="G397" s="355">
        <f>[1]Output_Pricing_Proposal!G148</f>
        <v>639.62</v>
      </c>
      <c r="H397" s="320">
        <f>[1]Output_Pricing_Proposal!H148</f>
        <v>660.49</v>
      </c>
      <c r="I397" s="320">
        <f>[1]Output_Pricing_Proposal!I148</f>
        <v>683.08</v>
      </c>
      <c r="J397" s="320">
        <f>[1]Output_Pricing_Proposal!J148</f>
        <v>706.39</v>
      </c>
    </row>
    <row r="398" spans="4:10" ht="13.5" thickBot="1" x14ac:dyDescent="0.25">
      <c r="D398" s="181" t="str">
        <v>Class 1 &amp; 2 PV service</v>
      </c>
      <c r="E398" s="180" t="s">
        <v>542</v>
      </c>
      <c r="F398" s="321">
        <f>[1]Output_Pricing_Proposal!F149</f>
        <v>87.19</v>
      </c>
      <c r="G398" s="354">
        <f>[1]Output_Pricing_Proposal!G149</f>
        <v>89.3</v>
      </c>
      <c r="H398" s="321">
        <f>[1]Output_Pricing_Proposal!H149</f>
        <v>92.21</v>
      </c>
      <c r="I398" s="321">
        <f>[1]Output_Pricing_Proposal!I149</f>
        <v>95.36</v>
      </c>
      <c r="J398" s="321">
        <f>[1]Output_Pricing_Proposal!J149</f>
        <v>98.61</v>
      </c>
    </row>
    <row r="401" spans="2:2" s="167" customFormat="1" x14ac:dyDescent="0.2">
      <c r="B401" s="167" t="s">
        <v>33</v>
      </c>
    </row>
    <row r="402" spans="2:2" x14ac:dyDescent="0.2">
      <c r="B402" s="166" t="s">
        <v>353</v>
      </c>
    </row>
  </sheetData>
  <mergeCells count="35">
    <mergeCell ref="N231:O231"/>
    <mergeCell ref="F55:K55"/>
    <mergeCell ref="F48:K48"/>
    <mergeCell ref="F52:K52"/>
    <mergeCell ref="F53:K53"/>
    <mergeCell ref="F54:K54"/>
    <mergeCell ref="F180:G180"/>
    <mergeCell ref="F157:G157"/>
    <mergeCell ref="D8:D9"/>
    <mergeCell ref="E8:F8"/>
    <mergeCell ref="G8:H8"/>
    <mergeCell ref="D213:D214"/>
    <mergeCell ref="E213:G213"/>
    <mergeCell ref="D102:D103"/>
    <mergeCell ref="D104:D106"/>
    <mergeCell ref="E110:F110"/>
    <mergeCell ref="G110:H110"/>
    <mergeCell ref="D127:D128"/>
    <mergeCell ref="E127:E128"/>
    <mergeCell ref="D49:D52"/>
    <mergeCell ref="D54:D55"/>
    <mergeCell ref="F49:K49"/>
    <mergeCell ref="F50:K50"/>
    <mergeCell ref="F51:K51"/>
    <mergeCell ref="D231:D233"/>
    <mergeCell ref="E231:G231"/>
    <mergeCell ref="H231:J231"/>
    <mergeCell ref="D309:D310"/>
    <mergeCell ref="E309:E310"/>
    <mergeCell ref="P149:Q149"/>
    <mergeCell ref="N149:O149"/>
    <mergeCell ref="W8:X8"/>
    <mergeCell ref="L8:N8"/>
    <mergeCell ref="O8:R8"/>
    <mergeCell ref="S8:V8"/>
  </mergeCells>
  <conditionalFormatting sqref="B2">
    <cfRule type="cellIs" dxfId="2" priority="2" operator="notEqual">
      <formula>"No Errors Found"</formula>
    </cfRule>
  </conditionalFormatting>
  <hyperlinks>
    <hyperlink ref="B3:D3" location="Cover!A1" display="Go to Cover Sheet"/>
    <hyperlink ref="D96" location="_ftnref1" display="_ftnref1"/>
  </hyperlink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Lookup!$O$19:$S$19</xm:f>
          </x14:formula1>
          <xm:sqref>J4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A112"/>
  <sheetViews>
    <sheetView showGridLines="0" topLeftCell="E1" workbookViewId="0">
      <pane ySplit="5" topLeftCell="A13" activePane="bottomLeft" state="frozen"/>
      <selection pane="bottomLeft" activeCell="D84" sqref="D84"/>
    </sheetView>
  </sheetViews>
  <sheetFormatPr defaultColWidth="9.33203125" defaultRowHeight="10" outlineLevelRow="1" x14ac:dyDescent="0.2"/>
  <cols>
    <col min="1" max="3" width="2.77734375" style="1" customWidth="1"/>
    <col min="4" max="4" width="34" style="1" customWidth="1"/>
    <col min="5" max="6" width="30.77734375" style="1" customWidth="1"/>
    <col min="7" max="9" width="10.77734375" style="1" customWidth="1"/>
    <col min="10" max="19" width="12.77734375" style="1" customWidth="1"/>
    <col min="20" max="20" width="10.77734375" style="1" customWidth="1"/>
    <col min="21" max="22" width="12.77734375" style="1" customWidth="1"/>
    <col min="23" max="26" width="10.77734375" style="1" customWidth="1"/>
    <col min="27" max="16379" width="9.33203125" style="1"/>
    <col min="16380" max="16381" width="34.44140625" style="1" bestFit="1" customWidth="1"/>
    <col min="16382" max="16384" width="9.33203125" style="1"/>
  </cols>
  <sheetData>
    <row r="1" spans="1:19" ht="19" x14ac:dyDescent="0.2">
      <c r="A1" s="70">
        <f>IF(SUM($A6:$A112)&gt;0,1,0)</f>
        <v>0</v>
      </c>
      <c r="B1" s="5" t="s">
        <v>46</v>
      </c>
    </row>
    <row r="2" spans="1:19" x14ac:dyDescent="0.2">
      <c r="B2" s="18" t="str">
        <f>Title_Msg</f>
        <v>No Errors Found</v>
      </c>
    </row>
    <row r="3" spans="1:19" s="7" customFormat="1" x14ac:dyDescent="0.2">
      <c r="B3" s="57" t="str">
        <f>TOC!B1</f>
        <v>Table of Contents</v>
      </c>
      <c r="C3" s="51"/>
      <c r="D3" s="51"/>
      <c r="E3" s="51"/>
    </row>
    <row r="4" spans="1:19" s="7" customFormat="1" ht="13" x14ac:dyDescent="0.2">
      <c r="B4" s="48" t="str">
        <f>Model_Name</f>
        <v>Pricing Model - Power and Water Corporation</v>
      </c>
    </row>
    <row r="5" spans="1:19" s="7" customFormat="1" x14ac:dyDescent="0.2"/>
    <row r="6" spans="1:19" s="4" customFormat="1" ht="15.5" x14ac:dyDescent="0.2">
      <c r="B6" s="4" t="s">
        <v>31</v>
      </c>
    </row>
    <row r="7" spans="1:19" s="2" customFormat="1" ht="6.75" customHeight="1" x14ac:dyDescent="0.2"/>
    <row r="8" spans="1:19" s="13" customFormat="1" ht="14" x14ac:dyDescent="0.2">
      <c r="C8" s="13" t="s">
        <v>59</v>
      </c>
    </row>
    <row r="9" spans="1:19" s="2" customFormat="1" x14ac:dyDescent="0.2">
      <c r="D9" s="3"/>
    </row>
    <row r="10" spans="1:19" s="6" customFormat="1" ht="12.5" x14ac:dyDescent="0.2">
      <c r="D10" s="16" t="s">
        <v>58</v>
      </c>
      <c r="E10" s="58">
        <v>41821</v>
      </c>
    </row>
    <row r="11" spans="1:19" s="7" customFormat="1" ht="12.5" x14ac:dyDescent="0.2">
      <c r="D11" s="16" t="s">
        <v>61</v>
      </c>
      <c r="E11" s="17">
        <v>2018</v>
      </c>
      <c r="L11" s="22"/>
      <c r="M11" s="23"/>
      <c r="N11" s="23"/>
      <c r="O11" s="23"/>
    </row>
    <row r="12" spans="1:19" s="7" customFormat="1" x14ac:dyDescent="0.2">
      <c r="L12" s="22"/>
      <c r="M12" s="23"/>
      <c r="N12" s="23"/>
      <c r="O12" s="23"/>
    </row>
    <row r="13" spans="1:19" s="13" customFormat="1" ht="14" x14ac:dyDescent="0.2">
      <c r="C13" s="13" t="s">
        <v>60</v>
      </c>
    </row>
    <row r="14" spans="1:19" s="7" customFormat="1" x14ac:dyDescent="0.2">
      <c r="L14" s="22"/>
      <c r="M14" s="23"/>
      <c r="N14" s="23"/>
      <c r="O14" s="23"/>
    </row>
    <row r="15" spans="1:19" s="7" customFormat="1" ht="12.5" hidden="1" outlineLevel="1" x14ac:dyDescent="0.2">
      <c r="B15" s="16" t="s">
        <v>56</v>
      </c>
      <c r="J15" s="59">
        <f t="shared" ref="J15:S15" si="0">IF(J17=1,Model_Start_Date,I16+1)</f>
        <v>41821</v>
      </c>
      <c r="K15" s="59">
        <f t="shared" si="0"/>
        <v>42186</v>
      </c>
      <c r="L15" s="59">
        <f t="shared" si="0"/>
        <v>42552</v>
      </c>
      <c r="M15" s="59">
        <f t="shared" si="0"/>
        <v>42917</v>
      </c>
      <c r="N15" s="59">
        <f t="shared" si="0"/>
        <v>43282</v>
      </c>
      <c r="O15" s="59">
        <f t="shared" si="0"/>
        <v>43647</v>
      </c>
      <c r="P15" s="59">
        <f t="shared" si="0"/>
        <v>44013</v>
      </c>
      <c r="Q15" s="59">
        <f t="shared" si="0"/>
        <v>44378</v>
      </c>
      <c r="R15" s="59">
        <f t="shared" si="0"/>
        <v>44743</v>
      </c>
      <c r="S15" s="59">
        <f t="shared" si="0"/>
        <v>45108</v>
      </c>
    </row>
    <row r="16" spans="1:19" s="7" customFormat="1" ht="12.5" hidden="1" outlineLevel="1" x14ac:dyDescent="0.2">
      <c r="B16" s="16" t="s">
        <v>57</v>
      </c>
      <c r="J16" s="59">
        <f t="shared" ref="J16:S16" si="1">EOMONTH(J15,Mths_In_Yr-1)</f>
        <v>42185</v>
      </c>
      <c r="K16" s="59">
        <f t="shared" si="1"/>
        <v>42551</v>
      </c>
      <c r="L16" s="59">
        <f t="shared" si="1"/>
        <v>42916</v>
      </c>
      <c r="M16" s="59">
        <f t="shared" si="1"/>
        <v>43281</v>
      </c>
      <c r="N16" s="59">
        <f t="shared" si="1"/>
        <v>43646</v>
      </c>
      <c r="O16" s="59">
        <f t="shared" si="1"/>
        <v>44012</v>
      </c>
      <c r="P16" s="59">
        <f t="shared" si="1"/>
        <v>44377</v>
      </c>
      <c r="Q16" s="59">
        <f t="shared" si="1"/>
        <v>44742</v>
      </c>
      <c r="R16" s="59">
        <f t="shared" si="1"/>
        <v>45107</v>
      </c>
      <c r="S16" s="59">
        <f t="shared" si="1"/>
        <v>45473</v>
      </c>
    </row>
    <row r="17" spans="2:22" s="7" customFormat="1" ht="12.5" hidden="1" outlineLevel="1" x14ac:dyDescent="0.2">
      <c r="B17" s="16" t="s">
        <v>55</v>
      </c>
      <c r="J17" s="27">
        <f>N(I17)+1</f>
        <v>1</v>
      </c>
      <c r="K17" s="27">
        <f t="shared" ref="K17:S17" si="2">N(J17)+1</f>
        <v>2</v>
      </c>
      <c r="L17" s="27">
        <f t="shared" si="2"/>
        <v>3</v>
      </c>
      <c r="M17" s="27">
        <f t="shared" si="2"/>
        <v>4</v>
      </c>
      <c r="N17" s="27">
        <f t="shared" si="2"/>
        <v>5</v>
      </c>
      <c r="O17" s="27">
        <f t="shared" si="2"/>
        <v>6</v>
      </c>
      <c r="P17" s="27">
        <f t="shared" si="2"/>
        <v>7</v>
      </c>
      <c r="Q17" s="27">
        <f t="shared" si="2"/>
        <v>8</v>
      </c>
      <c r="R17" s="27">
        <f t="shared" si="2"/>
        <v>9</v>
      </c>
      <c r="S17" s="27">
        <f t="shared" si="2"/>
        <v>10</v>
      </c>
    </row>
    <row r="18" spans="2:22" s="7" customFormat="1" ht="12.5" hidden="1" outlineLevel="1" x14ac:dyDescent="0.2">
      <c r="B18" s="16" t="s">
        <v>62</v>
      </c>
      <c r="J18" s="12">
        <f>YEAR(J16)</f>
        <v>2015</v>
      </c>
      <c r="K18" s="12">
        <f t="shared" ref="K18:S18" si="3">YEAR(K16)</f>
        <v>2016</v>
      </c>
      <c r="L18" s="12">
        <f t="shared" si="3"/>
        <v>2017</v>
      </c>
      <c r="M18" s="12">
        <f t="shared" si="3"/>
        <v>2018</v>
      </c>
      <c r="N18" s="12">
        <f t="shared" si="3"/>
        <v>2019</v>
      </c>
      <c r="O18" s="12">
        <f t="shared" si="3"/>
        <v>2020</v>
      </c>
      <c r="P18" s="12">
        <f t="shared" si="3"/>
        <v>2021</v>
      </c>
      <c r="Q18" s="12">
        <f t="shared" si="3"/>
        <v>2022</v>
      </c>
      <c r="R18" s="12">
        <f t="shared" si="3"/>
        <v>2023</v>
      </c>
      <c r="S18" s="12">
        <f t="shared" si="3"/>
        <v>2024</v>
      </c>
    </row>
    <row r="19" spans="2:22" s="7" customFormat="1" ht="13" collapsed="1" x14ac:dyDescent="0.2">
      <c r="B19" s="14" t="s">
        <v>208</v>
      </c>
      <c r="E19" s="19" t="s">
        <v>64</v>
      </c>
      <c r="F19" s="19" t="s">
        <v>65</v>
      </c>
      <c r="G19" s="19" t="s">
        <v>66</v>
      </c>
      <c r="H19" s="19" t="s">
        <v>67</v>
      </c>
      <c r="J19" s="60" t="str">
        <f>"FY"&amp;RIGHT(J18,2)</f>
        <v>FY15</v>
      </c>
      <c r="K19" s="60" t="str">
        <f t="shared" ref="K19:S19" si="4">"FY"&amp;RIGHT(K18,2)</f>
        <v>FY16</v>
      </c>
      <c r="L19" s="60" t="str">
        <f t="shared" si="4"/>
        <v>FY17</v>
      </c>
      <c r="M19" s="60" t="str">
        <f t="shared" si="4"/>
        <v>FY18</v>
      </c>
      <c r="N19" s="60" t="str">
        <f t="shared" si="4"/>
        <v>FY19</v>
      </c>
      <c r="O19" s="60" t="str">
        <f t="shared" si="4"/>
        <v>FY20</v>
      </c>
      <c r="P19" s="60" t="str">
        <f t="shared" si="4"/>
        <v>FY21</v>
      </c>
      <c r="Q19" s="60" t="str">
        <f t="shared" si="4"/>
        <v>FY22</v>
      </c>
      <c r="R19" s="60" t="str">
        <f t="shared" si="4"/>
        <v>FY23</v>
      </c>
      <c r="S19" s="60" t="str">
        <f t="shared" si="4"/>
        <v>FY24</v>
      </c>
      <c r="U19" s="60" t="str">
        <f>J19&amp;"-"&amp;N19</f>
        <v>FY15-FY19</v>
      </c>
      <c r="V19" s="60" t="str">
        <f>O19&amp;"-"&amp;S19</f>
        <v>FY20-FY24</v>
      </c>
    </row>
    <row r="20" spans="2:22" s="7" customFormat="1" x14ac:dyDescent="0.2">
      <c r="L20" s="22"/>
      <c r="M20" s="23"/>
      <c r="N20" s="23"/>
      <c r="O20" s="23"/>
    </row>
    <row r="21" spans="2:22" s="4" customFormat="1" ht="15.5" x14ac:dyDescent="0.2">
      <c r="B21" s="4" t="s">
        <v>46</v>
      </c>
    </row>
    <row r="22" spans="2:22" s="7" customFormat="1" x14ac:dyDescent="0.2">
      <c r="L22" s="22"/>
      <c r="M22" s="23"/>
      <c r="N22" s="23"/>
      <c r="O22" s="23"/>
    </row>
    <row r="23" spans="2:22" ht="13" x14ac:dyDescent="0.2">
      <c r="C23" s="8" t="s">
        <v>0</v>
      </c>
      <c r="E23" s="19" t="s">
        <v>1</v>
      </c>
    </row>
    <row r="24" spans="2:22" x14ac:dyDescent="0.2">
      <c r="E24" s="20"/>
    </row>
    <row r="25" spans="2:22" ht="12.5" x14ac:dyDescent="0.2">
      <c r="D25" s="17">
        <v>1</v>
      </c>
      <c r="E25" s="21" t="s">
        <v>2</v>
      </c>
    </row>
    <row r="26" spans="2:22" ht="12.5" x14ac:dyDescent="0.2">
      <c r="D26" s="17">
        <v>3</v>
      </c>
      <c r="E26" s="21" t="s">
        <v>3</v>
      </c>
    </row>
    <row r="27" spans="2:22" s="7" customFormat="1" ht="12.5" x14ac:dyDescent="0.2">
      <c r="D27" s="17">
        <v>4</v>
      </c>
      <c r="E27" s="21" t="s">
        <v>34</v>
      </c>
    </row>
    <row r="28" spans="2:22" ht="12.5" x14ac:dyDescent="0.2">
      <c r="D28" s="17">
        <v>12</v>
      </c>
      <c r="E28" s="21" t="s">
        <v>4</v>
      </c>
    </row>
    <row r="29" spans="2:22" s="7" customFormat="1" ht="12.5" x14ac:dyDescent="0.2">
      <c r="D29" s="17">
        <v>7</v>
      </c>
      <c r="E29" s="21" t="s">
        <v>13</v>
      </c>
    </row>
    <row r="30" spans="2:22" s="7" customFormat="1" ht="12.5" x14ac:dyDescent="0.2">
      <c r="D30" s="17">
        <v>365</v>
      </c>
      <c r="E30" s="21" t="s">
        <v>47</v>
      </c>
    </row>
    <row r="31" spans="2:22" s="7" customFormat="1" ht="12.5" x14ac:dyDescent="0.2">
      <c r="D31" s="17">
        <v>0.5</v>
      </c>
      <c r="E31" s="21" t="s">
        <v>8</v>
      </c>
    </row>
    <row r="32" spans="2:22" s="7" customFormat="1" ht="12.5" x14ac:dyDescent="0.2">
      <c r="D32" s="17">
        <v>0.01</v>
      </c>
      <c r="E32" s="21" t="s">
        <v>145</v>
      </c>
    </row>
    <row r="33" spans="3:5" s="7" customFormat="1" ht="12.5" x14ac:dyDescent="0.2">
      <c r="D33" s="17">
        <v>1E-3</v>
      </c>
      <c r="E33" s="21" t="s">
        <v>144</v>
      </c>
    </row>
    <row r="34" spans="3:5" ht="12.5" x14ac:dyDescent="0.2">
      <c r="D34" s="17" t="s">
        <v>6</v>
      </c>
      <c r="E34" s="21" t="s">
        <v>6</v>
      </c>
    </row>
    <row r="35" spans="3:5" s="7" customFormat="1" ht="12.5" x14ac:dyDescent="0.2">
      <c r="D35" s="17" t="s">
        <v>35</v>
      </c>
      <c r="E35" s="21" t="s">
        <v>36</v>
      </c>
    </row>
    <row r="36" spans="3:5" ht="12.5" x14ac:dyDescent="0.2">
      <c r="D36" s="17" t="s">
        <v>7</v>
      </c>
      <c r="E36" s="21" t="s">
        <v>7</v>
      </c>
    </row>
    <row r="37" spans="3:5" x14ac:dyDescent="0.2">
      <c r="E37" s="20"/>
    </row>
    <row r="38" spans="3:5" s="7" customFormat="1" ht="13" x14ac:dyDescent="0.2">
      <c r="C38" s="8" t="s">
        <v>0</v>
      </c>
      <c r="E38" s="19" t="s">
        <v>1</v>
      </c>
    </row>
    <row r="39" spans="3:5" s="7" customFormat="1" ht="12.5" x14ac:dyDescent="0.2">
      <c r="E39" s="21" t="s">
        <v>11</v>
      </c>
    </row>
    <row r="40" spans="3:5" s="7" customFormat="1" ht="12.5" x14ac:dyDescent="0.2">
      <c r="D40" s="17" t="s">
        <v>9</v>
      </c>
      <c r="E40" s="21" t="s">
        <v>9</v>
      </c>
    </row>
    <row r="41" spans="3:5" s="7" customFormat="1" ht="12.5" x14ac:dyDescent="0.2">
      <c r="D41" s="17" t="s">
        <v>10</v>
      </c>
      <c r="E41" s="21" t="s">
        <v>10</v>
      </c>
    </row>
    <row r="42" spans="3:5" s="7" customFormat="1" x14ac:dyDescent="0.2">
      <c r="E42" s="20"/>
    </row>
    <row r="43" spans="3:5" s="7" customFormat="1" ht="13" x14ac:dyDescent="0.2">
      <c r="C43" s="8" t="s">
        <v>71</v>
      </c>
      <c r="E43" s="19" t="s">
        <v>1</v>
      </c>
    </row>
    <row r="44" spans="3:5" s="7" customFormat="1" ht="12.5" x14ac:dyDescent="0.2">
      <c r="E44" s="21" t="s">
        <v>79</v>
      </c>
    </row>
    <row r="45" spans="3:5" s="7" customFormat="1" ht="12.5" x14ac:dyDescent="0.2">
      <c r="D45" s="17" t="s">
        <v>72</v>
      </c>
      <c r="E45" s="21" t="s">
        <v>72</v>
      </c>
    </row>
    <row r="46" spans="3:5" s="7" customFormat="1" ht="12.5" x14ac:dyDescent="0.2">
      <c r="D46" s="17" t="s">
        <v>73</v>
      </c>
      <c r="E46" s="21" t="s">
        <v>73</v>
      </c>
    </row>
    <row r="47" spans="3:5" s="7" customFormat="1" ht="12.5" x14ac:dyDescent="0.2">
      <c r="D47" s="17" t="s">
        <v>75</v>
      </c>
      <c r="E47" s="21" t="s">
        <v>77</v>
      </c>
    </row>
    <row r="48" spans="3:5" s="7" customFormat="1" ht="12.5" x14ac:dyDescent="0.2">
      <c r="D48" s="17" t="s">
        <v>76</v>
      </c>
      <c r="E48" s="21" t="s">
        <v>78</v>
      </c>
    </row>
    <row r="49" spans="3:5" s="7" customFormat="1" ht="12.5" x14ac:dyDescent="0.2">
      <c r="D49" s="17" t="s">
        <v>74</v>
      </c>
      <c r="E49" s="21" t="s">
        <v>74</v>
      </c>
    </row>
    <row r="50" spans="3:5" s="7" customFormat="1" ht="12.5" x14ac:dyDescent="0.2">
      <c r="D50" s="17" t="s">
        <v>91</v>
      </c>
      <c r="E50" s="21" t="s">
        <v>91</v>
      </c>
    </row>
    <row r="51" spans="3:5" s="7" customFormat="1" ht="12.5" x14ac:dyDescent="0.2">
      <c r="D51" s="17" t="s">
        <v>432</v>
      </c>
      <c r="E51" s="69" t="str">
        <f t="shared" ref="E51:E60" si="5">NA</f>
        <v>N/A</v>
      </c>
    </row>
    <row r="52" spans="3:5" s="7" customFormat="1" ht="12.5" x14ac:dyDescent="0.2">
      <c r="D52" s="17" t="s">
        <v>118</v>
      </c>
      <c r="E52" s="69" t="str">
        <f t="shared" si="5"/>
        <v>N/A</v>
      </c>
    </row>
    <row r="53" spans="3:5" s="7" customFormat="1" ht="12.5" x14ac:dyDescent="0.2">
      <c r="D53" s="17" t="s">
        <v>119</v>
      </c>
      <c r="E53" s="69" t="str">
        <f t="shared" si="5"/>
        <v>N/A</v>
      </c>
    </row>
    <row r="54" spans="3:5" s="7" customFormat="1" ht="12.5" x14ac:dyDescent="0.2">
      <c r="D54" s="17" t="s">
        <v>121</v>
      </c>
      <c r="E54" s="69" t="str">
        <f t="shared" si="5"/>
        <v>N/A</v>
      </c>
    </row>
    <row r="55" spans="3:5" s="7" customFormat="1" ht="12.5" x14ac:dyDescent="0.2">
      <c r="D55" s="17" t="s">
        <v>123</v>
      </c>
      <c r="E55" s="69" t="str">
        <f t="shared" si="5"/>
        <v>N/A</v>
      </c>
    </row>
    <row r="56" spans="3:5" s="7" customFormat="1" ht="12.5" x14ac:dyDescent="0.2">
      <c r="D56" s="17" t="s">
        <v>126</v>
      </c>
      <c r="E56" s="69" t="str">
        <f t="shared" si="5"/>
        <v>N/A</v>
      </c>
    </row>
    <row r="57" spans="3:5" s="7" customFormat="1" ht="12.5" x14ac:dyDescent="0.2">
      <c r="D57" s="17" t="s">
        <v>127</v>
      </c>
      <c r="E57" s="69" t="str">
        <f t="shared" si="5"/>
        <v>N/A</v>
      </c>
    </row>
    <row r="58" spans="3:5" s="7" customFormat="1" ht="12.5" x14ac:dyDescent="0.2">
      <c r="D58" s="17" t="s">
        <v>128</v>
      </c>
      <c r="E58" s="69" t="str">
        <f t="shared" si="5"/>
        <v>N/A</v>
      </c>
    </row>
    <row r="59" spans="3:5" s="7" customFormat="1" ht="12.5" x14ac:dyDescent="0.2">
      <c r="D59" s="17" t="s">
        <v>129</v>
      </c>
      <c r="E59" s="69" t="str">
        <f t="shared" si="5"/>
        <v>N/A</v>
      </c>
    </row>
    <row r="60" spans="3:5" s="7" customFormat="1" ht="12.5" x14ac:dyDescent="0.2">
      <c r="D60" s="17" t="s">
        <v>130</v>
      </c>
      <c r="E60" s="69" t="str">
        <f t="shared" si="5"/>
        <v>N/A</v>
      </c>
    </row>
    <row r="61" spans="3:5" s="7" customFormat="1" ht="12.5" x14ac:dyDescent="0.2">
      <c r="D61" s="17" t="s">
        <v>93</v>
      </c>
      <c r="E61" s="69" t="s">
        <v>94</v>
      </c>
    </row>
    <row r="62" spans="3:5" s="7" customFormat="1" ht="12.5" x14ac:dyDescent="0.2">
      <c r="D62" s="17" t="str">
        <f>NA</f>
        <v>N/A</v>
      </c>
      <c r="E62" s="21" t="s">
        <v>90</v>
      </c>
    </row>
    <row r="63" spans="3:5" s="7" customFormat="1" x14ac:dyDescent="0.2">
      <c r="E63" s="20"/>
    </row>
    <row r="64" spans="3:5" s="7" customFormat="1" ht="13" x14ac:dyDescent="0.2">
      <c r="C64" s="8" t="s">
        <v>66</v>
      </c>
      <c r="E64" s="19" t="s">
        <v>1</v>
      </c>
    </row>
    <row r="65" spans="3:6" s="7" customFormat="1" ht="12.5" x14ac:dyDescent="0.2">
      <c r="E65" s="21" t="s">
        <v>70</v>
      </c>
    </row>
    <row r="66" spans="3:6" s="7" customFormat="1" ht="12.5" x14ac:dyDescent="0.2">
      <c r="D66" s="17" t="s">
        <v>68</v>
      </c>
      <c r="E66" s="21" t="s">
        <v>175</v>
      </c>
    </row>
    <row r="67" spans="3:6" s="7" customFormat="1" ht="12.5" x14ac:dyDescent="0.2">
      <c r="D67" s="17" t="s">
        <v>174</v>
      </c>
      <c r="E67" s="21" t="s">
        <v>176</v>
      </c>
    </row>
    <row r="68" spans="3:6" s="7" customFormat="1" ht="12.5" x14ac:dyDescent="0.2">
      <c r="D68" s="17" t="s">
        <v>173</v>
      </c>
      <c r="E68" s="21" t="s">
        <v>177</v>
      </c>
    </row>
    <row r="69" spans="3:6" s="7" customFormat="1" ht="12.5" x14ac:dyDescent="0.2">
      <c r="D69" s="17" t="s">
        <v>434</v>
      </c>
      <c r="E69" s="21"/>
    </row>
    <row r="70" spans="3:6" s="7" customFormat="1" ht="12.5" x14ac:dyDescent="0.2">
      <c r="D70" s="17" t="str">
        <f>NA</f>
        <v>N/A</v>
      </c>
      <c r="E70" s="21" t="s">
        <v>90</v>
      </c>
    </row>
    <row r="71" spans="3:6" s="7" customFormat="1" ht="12.5" x14ac:dyDescent="0.2">
      <c r="D71" s="17" t="s">
        <v>69</v>
      </c>
      <c r="E71" s="21" t="s">
        <v>69</v>
      </c>
    </row>
    <row r="72" spans="3:6" s="7" customFormat="1" x14ac:dyDescent="0.2">
      <c r="E72" s="20"/>
    </row>
    <row r="73" spans="3:6" s="7" customFormat="1" ht="13" x14ac:dyDescent="0.2">
      <c r="C73" s="8" t="s">
        <v>67</v>
      </c>
      <c r="E73" s="19"/>
      <c r="F73" s="19" t="s">
        <v>1</v>
      </c>
    </row>
    <row r="74" spans="3:6" s="7" customFormat="1" ht="12.5" x14ac:dyDescent="0.2">
      <c r="D74" s="21" t="s">
        <v>83</v>
      </c>
      <c r="E74" s="21" t="s">
        <v>84</v>
      </c>
    </row>
    <row r="75" spans="3:6" s="7" customFormat="1" ht="12.5" x14ac:dyDescent="0.2">
      <c r="D75" s="17" t="s">
        <v>80</v>
      </c>
      <c r="E75" s="17">
        <v>0</v>
      </c>
      <c r="F75" s="21" t="s">
        <v>87</v>
      </c>
    </row>
    <row r="76" spans="3:6" s="7" customFormat="1" ht="12.5" x14ac:dyDescent="0.2">
      <c r="D76" s="17" t="s">
        <v>81</v>
      </c>
      <c r="E76" s="17">
        <v>0.5</v>
      </c>
      <c r="F76" s="21" t="s">
        <v>86</v>
      </c>
    </row>
    <row r="77" spans="3:6" s="7" customFormat="1" ht="12.5" x14ac:dyDescent="0.2">
      <c r="D77" s="17" t="s">
        <v>82</v>
      </c>
      <c r="E77" s="17">
        <v>1</v>
      </c>
      <c r="F77" s="21" t="s">
        <v>85</v>
      </c>
    </row>
    <row r="78" spans="3:6" s="7" customFormat="1" ht="12.5" x14ac:dyDescent="0.2">
      <c r="D78" s="17" t="str">
        <f>NA</f>
        <v>N/A</v>
      </c>
      <c r="E78" s="17" t="str">
        <f>NA</f>
        <v>N/A</v>
      </c>
      <c r="F78" s="21"/>
    </row>
    <row r="79" spans="3:6" s="7" customFormat="1" x14ac:dyDescent="0.2">
      <c r="E79" s="20"/>
    </row>
    <row r="80" spans="3:6" s="7" customFormat="1" ht="13" x14ac:dyDescent="0.2">
      <c r="C80" s="8" t="s">
        <v>480</v>
      </c>
      <c r="E80" s="19" t="s">
        <v>1</v>
      </c>
    </row>
    <row r="81" spans="3:5" s="7" customFormat="1" ht="12.5" x14ac:dyDescent="0.2">
      <c r="E81" s="21" t="s">
        <v>482</v>
      </c>
    </row>
    <row r="82" spans="3:5" s="7" customFormat="1" ht="12.5" x14ac:dyDescent="0.2">
      <c r="D82" s="17" t="s">
        <v>63</v>
      </c>
      <c r="E82" s="21"/>
    </row>
    <row r="83" spans="3:5" s="7" customFormat="1" ht="12.5" x14ac:dyDescent="0.2">
      <c r="D83" s="17" t="s">
        <v>481</v>
      </c>
      <c r="E83" s="21"/>
    </row>
    <row r="84" spans="3:5" s="7" customFormat="1" ht="12.5" x14ac:dyDescent="0.2">
      <c r="D84" s="17" t="s">
        <v>483</v>
      </c>
      <c r="E84" s="21" t="s">
        <v>484</v>
      </c>
    </row>
    <row r="85" spans="3:5" s="7" customFormat="1" x14ac:dyDescent="0.2">
      <c r="E85" s="20"/>
    </row>
    <row r="86" spans="3:5" x14ac:dyDescent="0.2">
      <c r="E86" s="7"/>
    </row>
    <row r="87" spans="3:5" s="13" customFormat="1" ht="14" x14ac:dyDescent="0.2">
      <c r="C87" s="13" t="s">
        <v>48</v>
      </c>
    </row>
    <row r="89" spans="3:5" ht="13" x14ac:dyDescent="0.2">
      <c r="C89" s="8" t="s">
        <v>131</v>
      </c>
      <c r="D89" s="7"/>
      <c r="E89" s="19" t="s">
        <v>1</v>
      </c>
    </row>
    <row r="90" spans="3:5" ht="12.5" x14ac:dyDescent="0.2">
      <c r="C90" s="7"/>
      <c r="D90" s="7"/>
      <c r="E90" s="21" t="s">
        <v>132</v>
      </c>
    </row>
    <row r="91" spans="3:5" ht="12.5" x14ac:dyDescent="0.2">
      <c r="C91" s="7"/>
      <c r="D91" s="17" t="s">
        <v>104</v>
      </c>
      <c r="E91" s="7"/>
    </row>
    <row r="92" spans="3:5" ht="12.5" x14ac:dyDescent="0.2">
      <c r="C92" s="7"/>
      <c r="D92" s="17" t="s">
        <v>114</v>
      </c>
      <c r="E92" s="7"/>
    </row>
    <row r="93" spans="3:5" ht="12.5" x14ac:dyDescent="0.2">
      <c r="C93" s="7"/>
      <c r="D93" s="17" t="s">
        <v>113</v>
      </c>
      <c r="E93" s="7"/>
    </row>
    <row r="94" spans="3:5" ht="12.5" x14ac:dyDescent="0.2">
      <c r="D94" s="17" t="s">
        <v>35</v>
      </c>
    </row>
    <row r="96" spans="3:5" s="7" customFormat="1" ht="13" x14ac:dyDescent="0.2">
      <c r="C96" s="8" t="s">
        <v>136</v>
      </c>
      <c r="E96" s="19" t="s">
        <v>1</v>
      </c>
    </row>
    <row r="97" spans="2:5 16380:16381" s="7" customFormat="1" ht="12.5" x14ac:dyDescent="0.2">
      <c r="D97" s="21" t="s">
        <v>137</v>
      </c>
      <c r="E97" s="21" t="s">
        <v>161</v>
      </c>
      <c r="XEZ97" s="21" t="s">
        <v>137</v>
      </c>
      <c r="XFA97" s="21" t="s">
        <v>161</v>
      </c>
    </row>
    <row r="98" spans="2:5 16380:16381" s="7" customFormat="1" ht="12.5" x14ac:dyDescent="0.2">
      <c r="D98" s="17" t="s">
        <v>102</v>
      </c>
      <c r="E98" s="17" t="s">
        <v>102</v>
      </c>
      <c r="XEZ98" s="17" t="s">
        <v>102</v>
      </c>
      <c r="XFA98" s="17" t="s">
        <v>102</v>
      </c>
    </row>
    <row r="99" spans="2:5 16380:16381" s="7" customFormat="1" ht="12.5" x14ac:dyDescent="0.2">
      <c r="D99" s="17" t="s">
        <v>105</v>
      </c>
      <c r="E99" s="17" t="s">
        <v>105</v>
      </c>
      <c r="XEZ99" s="17" t="s">
        <v>105</v>
      </c>
      <c r="XFA99" s="17" t="s">
        <v>105</v>
      </c>
    </row>
    <row r="100" spans="2:5 16380:16381" s="7" customFormat="1" ht="12.5" x14ac:dyDescent="0.2">
      <c r="D100" s="17" t="s">
        <v>133</v>
      </c>
      <c r="E100" s="17" t="s">
        <v>107</v>
      </c>
      <c r="XEZ100" s="17" t="s">
        <v>133</v>
      </c>
      <c r="XFA100" s="17" t="s">
        <v>107</v>
      </c>
    </row>
    <row r="101" spans="2:5 16380:16381" s="7" customFormat="1" ht="12.5" x14ac:dyDescent="0.2">
      <c r="D101" s="17" t="s">
        <v>134</v>
      </c>
      <c r="E101" s="17" t="s">
        <v>107</v>
      </c>
      <c r="XEZ101" s="17" t="s">
        <v>134</v>
      </c>
      <c r="XFA101" s="17" t="s">
        <v>107</v>
      </c>
    </row>
    <row r="102" spans="2:5 16380:16381" s="7" customFormat="1" ht="12.5" x14ac:dyDescent="0.2">
      <c r="D102" s="17" t="s">
        <v>135</v>
      </c>
      <c r="E102" s="17" t="s">
        <v>162</v>
      </c>
      <c r="XEZ102" s="17" t="s">
        <v>135</v>
      </c>
      <c r="XFA102" s="17" t="s">
        <v>162</v>
      </c>
    </row>
    <row r="103" spans="2:5 16380:16381" s="7" customFormat="1" ht="12.5" x14ac:dyDescent="0.2">
      <c r="D103" s="17" t="s">
        <v>124</v>
      </c>
      <c r="E103" s="17" t="s">
        <v>162</v>
      </c>
      <c r="XEZ103" s="17" t="s">
        <v>124</v>
      </c>
      <c r="XFA103" s="17" t="s">
        <v>162</v>
      </c>
    </row>
    <row r="104" spans="2:5 16380:16381" s="7" customFormat="1" ht="12.5" x14ac:dyDescent="0.2">
      <c r="D104" s="17" t="s">
        <v>111</v>
      </c>
      <c r="E104" s="17" t="s">
        <v>111</v>
      </c>
      <c r="XEZ104" s="17" t="s">
        <v>111</v>
      </c>
      <c r="XFA104" s="17" t="s">
        <v>111</v>
      </c>
    </row>
    <row r="105" spans="2:5 16380:16381" s="7" customFormat="1" ht="12.5" x14ac:dyDescent="0.2">
      <c r="D105" s="17" t="s">
        <v>114</v>
      </c>
      <c r="E105" s="17" t="s">
        <v>114</v>
      </c>
      <c r="XEZ105" s="17" t="s">
        <v>114</v>
      </c>
      <c r="XFA105" s="17" t="s">
        <v>114</v>
      </c>
    </row>
    <row r="106" spans="2:5 16380:16381" s="7" customFormat="1" ht="12.5" x14ac:dyDescent="0.2">
      <c r="D106" s="17" t="s">
        <v>116</v>
      </c>
      <c r="E106" s="17" t="s">
        <v>116</v>
      </c>
      <c r="XEZ106" s="17" t="s">
        <v>116</v>
      </c>
      <c r="XFA106" s="17" t="s">
        <v>116</v>
      </c>
    </row>
    <row r="107" spans="2:5 16380:16381" s="7" customFormat="1" ht="12.5" x14ac:dyDescent="0.2">
      <c r="D107" s="17" t="s">
        <v>109</v>
      </c>
      <c r="E107" s="17" t="s">
        <v>162</v>
      </c>
      <c r="XEZ107" s="17" t="s">
        <v>109</v>
      </c>
      <c r="XFA107" s="17" t="s">
        <v>162</v>
      </c>
    </row>
    <row r="108" spans="2:5 16380:16381" s="7" customFormat="1" ht="12.5" x14ac:dyDescent="0.2">
      <c r="D108" s="17" t="s">
        <v>107</v>
      </c>
      <c r="E108" s="17" t="s">
        <v>107</v>
      </c>
      <c r="XEZ108" s="17" t="s">
        <v>107</v>
      </c>
      <c r="XFA108" s="17" t="s">
        <v>107</v>
      </c>
    </row>
    <row r="109" spans="2:5 16380:16381" s="7" customFormat="1" ht="12.5" x14ac:dyDescent="0.2">
      <c r="D109" s="17" t="s">
        <v>35</v>
      </c>
      <c r="E109" s="17" t="s">
        <v>35</v>
      </c>
      <c r="XEZ109" s="17" t="s">
        <v>35</v>
      </c>
      <c r="XFA109" s="17" t="s">
        <v>35</v>
      </c>
    </row>
    <row r="110" spans="2:5 16380:16381" s="7" customFormat="1" x14ac:dyDescent="0.2"/>
    <row r="111" spans="2:5 16380:16381" s="7" customFormat="1" x14ac:dyDescent="0.2"/>
    <row r="112" spans="2:5 16380:16381" s="4" customFormat="1" ht="15.5" x14ac:dyDescent="0.2">
      <c r="B112" s="4" t="s">
        <v>33</v>
      </c>
    </row>
  </sheetData>
  <conditionalFormatting sqref="B2">
    <cfRule type="cellIs" dxfId="1"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showGridLines="0" workbookViewId="0">
      <pane ySplit="5" topLeftCell="A6" activePane="bottomLeft" state="frozen"/>
      <selection pane="bottomLeft" activeCell="H25" sqref="H25"/>
    </sheetView>
  </sheetViews>
  <sheetFormatPr defaultRowHeight="10" x14ac:dyDescent="0.2"/>
  <cols>
    <col min="1" max="3" width="2.77734375" customWidth="1"/>
    <col min="4" max="4" width="25.77734375" customWidth="1"/>
    <col min="5" max="7" width="3.77734375" customWidth="1"/>
  </cols>
  <sheetData>
    <row r="1" spans="1:16384" ht="19" x14ac:dyDescent="0.2">
      <c r="A1" s="7"/>
      <c r="B1" s="5" t="s">
        <v>16</v>
      </c>
      <c r="C1" s="7"/>
      <c r="D1" s="7"/>
      <c r="E1" s="7"/>
      <c r="F1" s="7"/>
      <c r="G1" s="7"/>
      <c r="H1" s="7"/>
      <c r="I1" s="7"/>
    </row>
    <row r="2" spans="1:16384" s="9" customFormat="1" x14ac:dyDescent="0.2">
      <c r="A2" s="7"/>
      <c r="B2" s="18" t="str">
        <f>Title_Msg</f>
        <v>No Errors Found</v>
      </c>
      <c r="C2" s="7"/>
      <c r="D2" s="7"/>
      <c r="E2" s="7"/>
      <c r="F2" s="7"/>
      <c r="G2" s="7"/>
      <c r="H2" s="7"/>
      <c r="I2" s="7"/>
    </row>
    <row r="3" spans="1:16384" s="7" customFormat="1" x14ac:dyDescent="0.2">
      <c r="B3" s="57" t="str">
        <f>TOC!B1</f>
        <v>Table of Contents</v>
      </c>
      <c r="C3" s="51"/>
      <c r="D3" s="51"/>
      <c r="E3" s="51"/>
    </row>
    <row r="4" spans="1:16384" s="7" customFormat="1" ht="13" x14ac:dyDescent="0.2">
      <c r="B4" s="48" t="str">
        <f>Model_Name</f>
        <v>Pricing Model - Power and Water Corporation</v>
      </c>
    </row>
    <row r="5" spans="1:16384" s="9" customFormat="1" x14ac:dyDescent="0.2">
      <c r="A5" s="7"/>
      <c r="B5" s="7"/>
      <c r="C5" s="7"/>
      <c r="D5" s="7"/>
      <c r="E5" s="7"/>
      <c r="F5" s="7"/>
      <c r="G5" s="7"/>
      <c r="H5" s="7"/>
      <c r="I5" s="7"/>
    </row>
    <row r="6" spans="1:16384" s="25" customFormat="1" ht="15.5" x14ac:dyDescent="0.2">
      <c r="B6" s="4" t="s">
        <v>18</v>
      </c>
    </row>
    <row r="7" spans="1:16384" s="9" customFormat="1" x14ac:dyDescent="0.2">
      <c r="A7" s="7"/>
      <c r="B7" s="7"/>
      <c r="C7" s="7"/>
      <c r="D7" s="7"/>
      <c r="E7" s="7"/>
      <c r="F7" s="7"/>
      <c r="G7" s="7"/>
      <c r="H7" s="7"/>
      <c r="I7" s="7"/>
    </row>
    <row r="8" spans="1:16384" s="9" customFormat="1" ht="12.5" x14ac:dyDescent="0.2">
      <c r="A8" s="7"/>
      <c r="D8" s="11" t="s">
        <v>17</v>
      </c>
      <c r="E8" s="7"/>
      <c r="F8" s="7"/>
      <c r="G8" s="7"/>
      <c r="H8" s="12" t="str">
        <f>IF(H30=0,"No Errors Found","Errors Found")</f>
        <v>No Errors Found</v>
      </c>
      <c r="I8" s="7"/>
    </row>
    <row r="9" spans="1:16384" s="9" customFormat="1" ht="12.5" x14ac:dyDescent="0.2">
      <c r="A9" s="7"/>
      <c r="D9" s="11" t="s">
        <v>19</v>
      </c>
      <c r="E9" s="7"/>
      <c r="F9" s="7"/>
      <c r="G9" s="7"/>
      <c r="H9" s="11"/>
      <c r="I9" s="7"/>
    </row>
    <row r="10" spans="1:16384" s="9" customFormat="1" ht="12.5" x14ac:dyDescent="0.2">
      <c r="A10" s="7"/>
      <c r="D10" s="11" t="s">
        <v>20</v>
      </c>
      <c r="E10" s="7"/>
      <c r="F10" s="7"/>
      <c r="G10" s="7"/>
      <c r="H10" s="30" t="str">
        <f>H8&amp;IF(H9="","",", " &amp;H9)</f>
        <v>No Errors Found</v>
      </c>
      <c r="I10" s="7"/>
    </row>
    <row r="11" spans="1:16384" s="9" customFormat="1" x14ac:dyDescent="0.2">
      <c r="A11" s="7"/>
      <c r="B11" s="7"/>
      <c r="C11" s="7"/>
      <c r="D11" s="7"/>
      <c r="E11" s="7"/>
      <c r="F11" s="7"/>
      <c r="G11" s="7"/>
      <c r="H11" s="7"/>
      <c r="I11" s="7"/>
    </row>
    <row r="12" spans="1:16384" s="25" customFormat="1" ht="15.5" x14ac:dyDescent="0.2">
      <c r="B12" s="4" t="s">
        <v>32</v>
      </c>
    </row>
    <row r="13" spans="1:16384" s="9" customFormat="1" x14ac:dyDescent="0.2">
      <c r="A13" s="7"/>
      <c r="B13" s="7"/>
      <c r="C13" s="7"/>
      <c r="D13" s="7"/>
      <c r="E13" s="7"/>
      <c r="F13" s="7"/>
      <c r="G13" s="7"/>
      <c r="H13" s="7"/>
      <c r="I13" s="7"/>
    </row>
    <row r="14" spans="1:16384" s="13" customFormat="1" ht="14" x14ac:dyDescent="0.2">
      <c r="C14" s="13" t="s">
        <v>12</v>
      </c>
    </row>
    <row r="15" spans="1:16384" s="25" customFormat="1" ht="15.5"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c r="XFB15" s="7"/>
      <c r="XFC15" s="7"/>
      <c r="XFD15" s="7"/>
    </row>
    <row r="16" spans="1:16384" ht="12.5" x14ac:dyDescent="0.2">
      <c r="A16" s="7"/>
      <c r="D16" s="11" t="str">
        <f>Inputs_Prices!$B$1</f>
        <v>Inputs - Prices</v>
      </c>
      <c r="E16" s="7"/>
      <c r="F16" s="7"/>
      <c r="G16" s="7"/>
      <c r="H16" s="70">
        <f>Inputs_Prices!$A$1</f>
        <v>0</v>
      </c>
      <c r="I16" s="7"/>
    </row>
    <row r="17" spans="1:10" ht="12.5" x14ac:dyDescent="0.2">
      <c r="A17" s="7"/>
      <c r="D17" s="11" t="str">
        <f>Inputs_Volumes!$B$1</f>
        <v>Inputs - Volumes</v>
      </c>
      <c r="E17" s="7"/>
      <c r="F17" s="7"/>
      <c r="G17" s="7"/>
      <c r="H17" s="70">
        <f>Inputs_Volumes!$A$1</f>
        <v>0</v>
      </c>
      <c r="I17" s="7"/>
      <c r="J17" s="9"/>
    </row>
    <row r="18" spans="1:10" ht="12.5" x14ac:dyDescent="0.2">
      <c r="A18" s="7"/>
      <c r="D18" s="11" t="str">
        <f>Inputs_Other!$B$1</f>
        <v>Inputs - Other</v>
      </c>
      <c r="E18" s="7"/>
      <c r="F18" s="7"/>
      <c r="G18" s="7"/>
      <c r="H18" s="70">
        <f>Inputs_Other!$A$1</f>
        <v>0</v>
      </c>
      <c r="I18" s="7"/>
      <c r="J18" s="9"/>
    </row>
    <row r="19" spans="1:10" s="9" customFormat="1" ht="12.5" x14ac:dyDescent="0.2">
      <c r="A19" s="7"/>
      <c r="B19" s="24"/>
      <c r="C19" s="7"/>
      <c r="D19" s="11" t="str">
        <f>Calc_Revenue!$B$1</f>
        <v>Calculation - Cost of Supply - Revenue</v>
      </c>
      <c r="E19" s="7"/>
      <c r="F19" s="7"/>
      <c r="G19" s="7"/>
      <c r="H19" s="70">
        <f>Calc_Revenue!$A$1</f>
        <v>0</v>
      </c>
      <c r="I19" s="7"/>
    </row>
    <row r="20" spans="1:10" s="9" customFormat="1" ht="13" x14ac:dyDescent="0.2">
      <c r="A20" s="7"/>
      <c r="C20" s="14"/>
      <c r="D20" s="11" t="str">
        <f>Calc_A_SA_Cost!$B$1</f>
        <v>Calculation - Avoidable and Stand-alone Cost</v>
      </c>
      <c r="E20" s="7"/>
      <c r="F20" s="7"/>
      <c r="G20" s="7"/>
      <c r="H20" s="70">
        <f>Calc_A_SA_Cost!$A$1</f>
        <v>0</v>
      </c>
      <c r="I20" s="7"/>
    </row>
    <row r="21" spans="1:10" s="9" customFormat="1" ht="12.5" x14ac:dyDescent="0.2">
      <c r="A21" s="7"/>
      <c r="B21" s="24"/>
      <c r="C21" s="7"/>
      <c r="D21" s="11" t="str">
        <f>Calc_LRMC_Tariff!$B$1</f>
        <v>Calculation - LRMC by Tariff</v>
      </c>
      <c r="E21" s="7"/>
      <c r="F21" s="7"/>
      <c r="G21" s="7"/>
      <c r="H21" s="70">
        <f>Calc_LRMC_Tariff!$A$1</f>
        <v>0</v>
      </c>
      <c r="I21" s="7"/>
    </row>
    <row r="22" spans="1:10" s="9" customFormat="1" ht="12.5" x14ac:dyDescent="0.2">
      <c r="A22" s="7"/>
      <c r="B22" s="24"/>
      <c r="C22" s="7"/>
      <c r="D22" s="11" t="str">
        <f>Calc_Residual_Tariff!$B$1</f>
        <v>Calculation - Residual Cost</v>
      </c>
      <c r="E22" s="7"/>
      <c r="F22" s="7"/>
      <c r="G22" s="7"/>
      <c r="H22" s="70">
        <f>Calc_Residual_Tariff!$A$1</f>
        <v>0</v>
      </c>
      <c r="I22" s="7"/>
    </row>
    <row r="23" spans="1:10" s="9" customFormat="1" ht="12.5" x14ac:dyDescent="0.2">
      <c r="D23" s="11" t="str">
        <f>Output_Revenue!$B$1</f>
        <v>Output - Forecast Revenue</v>
      </c>
      <c r="E23" s="7"/>
      <c r="F23" s="7"/>
      <c r="G23" s="7"/>
      <c r="H23" s="70">
        <f>Output_Revenue!$A$1</f>
        <v>0</v>
      </c>
    </row>
    <row r="24" spans="1:10" ht="12.5" x14ac:dyDescent="0.2">
      <c r="C24" s="9"/>
      <c r="D24" s="11" t="str">
        <f>Calc_Allocated_Tariff!$B$1</f>
        <v>Calculation - Allocated Cost</v>
      </c>
      <c r="E24" s="7"/>
      <c r="F24" s="7"/>
      <c r="G24" s="7"/>
      <c r="H24" s="70">
        <f>Calc_Allocated_Tariff!$A$1</f>
        <v>0</v>
      </c>
    </row>
    <row r="25" spans="1:10" ht="12.5" x14ac:dyDescent="0.2">
      <c r="C25" s="9"/>
      <c r="D25" s="16" t="str">
        <f>Output_AER_Compliance!$B$1</f>
        <v>Output - AER Compliance</v>
      </c>
      <c r="E25" s="6"/>
      <c r="F25" s="6"/>
      <c r="G25" s="6"/>
      <c r="H25" s="116">
        <f>Output_AER_Compliance!$A$1</f>
        <v>0</v>
      </c>
    </row>
    <row r="26" spans="1:10" s="9" customFormat="1" ht="12.5" x14ac:dyDescent="0.2">
      <c r="D26" s="16" t="str">
        <f>Output_Charts!$B$1</f>
        <v>Output - Charts</v>
      </c>
      <c r="E26" s="6"/>
      <c r="F26" s="6"/>
      <c r="G26" s="6"/>
      <c r="H26" s="116">
        <f>Output_Charts!$A$1</f>
        <v>0</v>
      </c>
    </row>
    <row r="27" spans="1:10" s="9" customFormat="1" ht="12.5" x14ac:dyDescent="0.2">
      <c r="D27" s="16" t="str">
        <f>Output_Tariffs!$B$1</f>
        <v>Output - Tariffs</v>
      </c>
      <c r="E27" s="6"/>
      <c r="F27" s="6"/>
      <c r="G27" s="6"/>
      <c r="H27" s="116">
        <f>Output_Tariffs!A1</f>
        <v>0</v>
      </c>
    </row>
    <row r="28" spans="1:10" s="9" customFormat="1" ht="12.5" x14ac:dyDescent="0.2">
      <c r="D28" s="16" t="str">
        <f>Output_Pricing_Proposal!$B$1</f>
        <v>Output - Pricing Proposal</v>
      </c>
      <c r="E28" s="6"/>
      <c r="F28" s="6"/>
      <c r="G28" s="6"/>
      <c r="H28" s="116">
        <f>Output_Pricing_Proposal!$A$1</f>
        <v>0</v>
      </c>
    </row>
    <row r="29" spans="1:10" s="9" customFormat="1" ht="12.5" x14ac:dyDescent="0.2">
      <c r="C29" s="26"/>
      <c r="D29" s="46"/>
      <c r="H29" s="28"/>
    </row>
    <row r="30" spans="1:10" ht="13" x14ac:dyDescent="0.2">
      <c r="C30" s="14" t="s">
        <v>49</v>
      </c>
      <c r="H30" s="29">
        <f>IF(SUM($H$16:$H$28)&gt;0,1,0)</f>
        <v>0</v>
      </c>
    </row>
    <row r="32" spans="1:10" s="25" customFormat="1" ht="15.5" x14ac:dyDescent="0.2">
      <c r="B32" s="4" t="s">
        <v>33</v>
      </c>
    </row>
  </sheetData>
  <conditionalFormatting sqref="B2">
    <cfRule type="cellIs" dxfId="0" priority="3" operator="notEqual">
      <formula>"No Errors Found"</formula>
    </cfRule>
  </conditionalFormatting>
  <hyperlinks>
    <hyperlink ref="B3:E3" location="TOC!A1" display="TOC!A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6C1900038C414F9012297B45E5396B" ma:contentTypeVersion="6" ma:contentTypeDescription="Create a new document." ma:contentTypeScope="" ma:versionID="87b6d9504abcbe955e2d8d77c56f8af4">
  <xsd:schema xmlns:xsd="http://www.w3.org/2001/XMLSchema" xmlns:xs="http://www.w3.org/2001/XMLSchema" xmlns:p="http://schemas.microsoft.com/office/2006/metadata/properties" xmlns:ns2="d47eef4c-2025-4143-bb08-348a407e1d53" xmlns:ns3="4eb6023d-658b-4527-be73-24b0518f0bf9" targetNamespace="http://schemas.microsoft.com/office/2006/metadata/properties" ma:root="true" ma:fieldsID="df2659fce804e293023b5cd7ca0d4ce6" ns2:_="" ns3:_="">
    <xsd:import namespace="d47eef4c-2025-4143-bb08-348a407e1d53"/>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ef4c-2025-4143-bb08-348a407e1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9930B7-FF09-44B0-B2D6-7AB20BAE38C7}">
  <ds:schemaRefs>
    <ds:schemaRef ds:uri="http://schemas.microsoft.com/sharepoint/v3/contenttype/forms"/>
  </ds:schemaRefs>
</ds:datastoreItem>
</file>

<file path=customXml/itemProps2.xml><?xml version="1.0" encoding="utf-8"?>
<ds:datastoreItem xmlns:ds="http://schemas.openxmlformats.org/officeDocument/2006/customXml" ds:itemID="{B04FDB81-64CF-40B7-A464-CACA6FBCA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ef4c-2025-4143-bb08-348a407e1d53"/>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8D96C7-4ED0-4DE7-8CDA-AE28CBF240FF}">
  <ds:schemaRefs>
    <ds:schemaRef ds:uri="http://schemas.microsoft.com/PowerBIAddIn"/>
  </ds:schemaRefs>
</ds:datastoreItem>
</file>

<file path=customXml/itemProps4.xml><?xml version="1.0" encoding="utf-8"?>
<ds:datastoreItem xmlns:ds="http://schemas.openxmlformats.org/officeDocument/2006/customXml" ds:itemID="{4150D141-EA43-4C22-B987-F759E1B563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eb6023d-658b-4527-be73-24b0518f0bf9"/>
    <ds:schemaRef ds:uri="d47eef4c-2025-4143-bb08-348a407e1d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45</vt:i4>
      </vt:variant>
    </vt:vector>
  </HeadingPairs>
  <TitlesOfParts>
    <vt:vector size="63" baseType="lpstr">
      <vt:lpstr>Cover</vt:lpstr>
      <vt:lpstr>TOC</vt:lpstr>
      <vt:lpstr>Diagram</vt:lpstr>
      <vt:lpstr>Inputs_Prices</vt:lpstr>
      <vt:lpstr>Inputs_Volumes</vt:lpstr>
      <vt:lpstr>Inputs_Other</vt:lpstr>
      <vt:lpstr>Calc_Revenue</vt:lpstr>
      <vt:lpstr>Calc_A_SA_Cost</vt:lpstr>
      <vt:lpstr>Calc_LRMC_Tariff</vt:lpstr>
      <vt:lpstr>Calc_Residual_Tariff</vt:lpstr>
      <vt:lpstr>Calc_Allocated_Tariff</vt:lpstr>
      <vt:lpstr>Output_Revenue</vt:lpstr>
      <vt:lpstr>Output_AER_Compliance</vt:lpstr>
      <vt:lpstr>Output_Charts</vt:lpstr>
      <vt:lpstr>Output_Tariffs</vt:lpstr>
      <vt:lpstr>Output_Pricing_Proposal</vt:lpstr>
      <vt:lpstr>Lookup</vt:lpstr>
      <vt:lpstr>Checks</vt:lpstr>
      <vt:lpstr>Base_Year</vt:lpstr>
      <vt:lpstr>Cents_to_Dollars</vt:lpstr>
      <vt:lpstr>Days_In_Wk</vt:lpstr>
      <vt:lpstr>Days_In_Yr</vt:lpstr>
      <vt:lpstr>Dollars</vt:lpstr>
      <vt:lpstr>Dollars_to_Thousands</vt:lpstr>
      <vt:lpstr>End_year</vt:lpstr>
      <vt:lpstr>Error</vt:lpstr>
      <vt:lpstr>Factor</vt:lpstr>
      <vt:lpstr>Half</vt:lpstr>
      <vt:lpstr>Kilometres</vt:lpstr>
      <vt:lpstr>LU_Basis</vt:lpstr>
      <vt:lpstr>LU_Revenue_Input</vt:lpstr>
      <vt:lpstr>LU_Tariff_Assignments</vt:lpstr>
      <vt:lpstr>LU_Tariff_Classes</vt:lpstr>
      <vt:lpstr>LU_Tariff_Type</vt:lpstr>
      <vt:lpstr>LU_Timing</vt:lpstr>
      <vt:lpstr>LU_Timing_Value</vt:lpstr>
      <vt:lpstr>LU_Units</vt:lpstr>
      <vt:lpstr>Mid_year</vt:lpstr>
      <vt:lpstr>Millions</vt:lpstr>
      <vt:lpstr>Model_Name</vt:lpstr>
      <vt:lpstr>Model_Start_Date</vt:lpstr>
      <vt:lpstr>Mths_In_Mth</vt:lpstr>
      <vt:lpstr>Mths_In_Qtr</vt:lpstr>
      <vt:lpstr>Mths_In_Yr</vt:lpstr>
      <vt:lpstr>NA</vt:lpstr>
      <vt:lpstr>Network_Cost_Allocators</vt:lpstr>
      <vt:lpstr>Network_Element</vt:lpstr>
      <vt:lpstr>No</vt:lpstr>
      <vt:lpstr>No_Input</vt:lpstr>
      <vt:lpstr>Nominal</vt:lpstr>
      <vt:lpstr>Number</vt:lpstr>
      <vt:lpstr>Ok</vt:lpstr>
      <vt:lpstr>Percent</vt:lpstr>
      <vt:lpstr>Qtrs_In_Yr</vt:lpstr>
      <vt:lpstr>Real2018</vt:lpstr>
      <vt:lpstr>Real2019</vt:lpstr>
      <vt:lpstr>Real2020</vt:lpstr>
      <vt:lpstr>Start_year</vt:lpstr>
      <vt:lpstr>Tariff_Assignment</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Meher-Homji, Zubin</cp:lastModifiedBy>
  <cp:lastPrinted>2019-05-17T00:55:10Z</cp:lastPrinted>
  <dcterms:created xsi:type="dcterms:W3CDTF">2012-02-19T06:14:59Z</dcterms:created>
  <dcterms:modified xsi:type="dcterms:W3CDTF">2020-03-31T04:56:18Z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0x010100476C1900038C414F9012297B45E5396B</vt:lpwstr>
  </property>
</Properties>
</file>