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0" yWindow="0" windowWidth="25600" windowHeight="15520" tabRatio="500" activeTab="2"/>
  </bookViews>
  <sheets>
    <sheet name="Energex" sheetId="1" r:id="rId1"/>
    <sheet name="Ergon Energy" sheetId="4" r:id="rId2"/>
    <sheet name="Forecasting errors" sheetId="5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2" i="5" l="1"/>
  <c r="O52" i="5"/>
  <c r="P52" i="5"/>
  <c r="Q52" i="5"/>
  <c r="N53" i="5"/>
  <c r="O53" i="5"/>
  <c r="P53" i="5"/>
  <c r="Q53" i="5"/>
  <c r="M53" i="5"/>
  <c r="M52" i="5"/>
  <c r="D54" i="5"/>
  <c r="E54" i="5"/>
  <c r="F54" i="5"/>
  <c r="G54" i="5"/>
  <c r="H54" i="5"/>
  <c r="I54" i="5"/>
  <c r="J54" i="5"/>
  <c r="K54" i="5"/>
  <c r="L54" i="5"/>
  <c r="C54" i="5"/>
  <c r="I51" i="5"/>
  <c r="J51" i="5"/>
  <c r="K51" i="5"/>
  <c r="L51" i="5"/>
  <c r="H51" i="5"/>
  <c r="D50" i="5"/>
  <c r="E50" i="5"/>
  <c r="F50" i="5"/>
  <c r="G50" i="5"/>
  <c r="C50" i="5"/>
  <c r="D12" i="5"/>
  <c r="E12" i="5"/>
  <c r="F12" i="5"/>
  <c r="G12" i="5"/>
  <c r="H12" i="5"/>
  <c r="I12" i="5"/>
  <c r="J12" i="5"/>
  <c r="K12" i="5"/>
  <c r="L12" i="5"/>
  <c r="C12" i="5"/>
  <c r="C8" i="5"/>
  <c r="D8" i="5"/>
  <c r="E8" i="5"/>
  <c r="C24" i="5"/>
  <c r="C27" i="5"/>
  <c r="Q75" i="5"/>
  <c r="Q11" i="5"/>
  <c r="Q81" i="5"/>
  <c r="Q87" i="5"/>
  <c r="P75" i="5"/>
  <c r="P11" i="5"/>
  <c r="P81" i="5"/>
  <c r="P87" i="5"/>
  <c r="O75" i="5"/>
  <c r="O11" i="5"/>
  <c r="O81" i="5"/>
  <c r="O87" i="5"/>
  <c r="N75" i="5"/>
  <c r="N11" i="5"/>
  <c r="N81" i="5"/>
  <c r="N87" i="5"/>
  <c r="M75" i="5"/>
  <c r="M11" i="5"/>
  <c r="M81" i="5"/>
  <c r="M87" i="5"/>
  <c r="Q10" i="5"/>
  <c r="Q80" i="5"/>
  <c r="Q86" i="5"/>
  <c r="P10" i="5"/>
  <c r="P80" i="5"/>
  <c r="P86" i="5"/>
  <c r="O10" i="5"/>
  <c r="O80" i="5"/>
  <c r="O86" i="5"/>
  <c r="N10" i="5"/>
  <c r="N80" i="5"/>
  <c r="N86" i="5"/>
  <c r="M10" i="5"/>
  <c r="M80" i="5"/>
  <c r="M86" i="5"/>
  <c r="K75" i="5"/>
  <c r="L75" i="5"/>
  <c r="L82" i="5"/>
  <c r="L88" i="5"/>
  <c r="K82" i="5"/>
  <c r="K88" i="5"/>
  <c r="J75" i="5"/>
  <c r="J82" i="5"/>
  <c r="J88" i="5"/>
  <c r="I75" i="5"/>
  <c r="I82" i="5"/>
  <c r="I88" i="5"/>
  <c r="H75" i="5"/>
  <c r="H82" i="5"/>
  <c r="H88" i="5"/>
  <c r="L79" i="5"/>
  <c r="L85" i="5"/>
  <c r="K79" i="5"/>
  <c r="K85" i="5"/>
  <c r="J79" i="5"/>
  <c r="J85" i="5"/>
  <c r="I79" i="5"/>
  <c r="I85" i="5"/>
  <c r="H79" i="5"/>
  <c r="H85" i="5"/>
  <c r="G75" i="5"/>
  <c r="G82" i="5"/>
  <c r="G88" i="5"/>
  <c r="F75" i="5"/>
  <c r="F82" i="5"/>
  <c r="F88" i="5"/>
  <c r="E75" i="5"/>
  <c r="E82" i="5"/>
  <c r="E88" i="5"/>
  <c r="D75" i="5"/>
  <c r="D82" i="5"/>
  <c r="D88" i="5"/>
  <c r="C75" i="5"/>
  <c r="C82" i="5"/>
  <c r="C88" i="5"/>
  <c r="D78" i="5"/>
  <c r="D84" i="5"/>
  <c r="E78" i="5"/>
  <c r="E84" i="5"/>
  <c r="F8" i="5"/>
  <c r="F78" i="5"/>
  <c r="F84" i="5"/>
  <c r="G8" i="5"/>
  <c r="G78" i="5"/>
  <c r="G84" i="5"/>
  <c r="C78" i="5"/>
  <c r="C84" i="5"/>
  <c r="Q58" i="5"/>
  <c r="Q64" i="5"/>
  <c r="Q70" i="5"/>
  <c r="P58" i="5"/>
  <c r="P64" i="5"/>
  <c r="P70" i="5"/>
  <c r="O58" i="5"/>
  <c r="O64" i="5"/>
  <c r="O70" i="5"/>
  <c r="N58" i="5"/>
  <c r="N64" i="5"/>
  <c r="N70" i="5"/>
  <c r="M58" i="5"/>
  <c r="M64" i="5"/>
  <c r="M70" i="5"/>
  <c r="Q63" i="5"/>
  <c r="Q69" i="5"/>
  <c r="P63" i="5"/>
  <c r="P69" i="5"/>
  <c r="O63" i="5"/>
  <c r="O69" i="5"/>
  <c r="N63" i="5"/>
  <c r="N69" i="5"/>
  <c r="M63" i="5"/>
  <c r="M69" i="5"/>
  <c r="L58" i="5"/>
  <c r="L65" i="5"/>
  <c r="L71" i="5"/>
  <c r="K58" i="5"/>
  <c r="K65" i="5"/>
  <c r="K71" i="5"/>
  <c r="J58" i="5"/>
  <c r="J65" i="5"/>
  <c r="J71" i="5"/>
  <c r="I58" i="5"/>
  <c r="I65" i="5"/>
  <c r="I71" i="5"/>
  <c r="H58" i="5"/>
  <c r="H65" i="5"/>
  <c r="H71" i="5"/>
  <c r="L62" i="5"/>
  <c r="L68" i="5"/>
  <c r="K62" i="5"/>
  <c r="K68" i="5"/>
  <c r="J62" i="5"/>
  <c r="J68" i="5"/>
  <c r="I62" i="5"/>
  <c r="I68" i="5"/>
  <c r="H62" i="5"/>
  <c r="H68" i="5"/>
  <c r="G58" i="5"/>
  <c r="G65" i="5"/>
  <c r="G71" i="5"/>
  <c r="F58" i="5"/>
  <c r="F65" i="5"/>
  <c r="F71" i="5"/>
  <c r="E58" i="5"/>
  <c r="E65" i="5"/>
  <c r="E71" i="5"/>
  <c r="D58" i="5"/>
  <c r="D65" i="5"/>
  <c r="D71" i="5"/>
  <c r="C58" i="5"/>
  <c r="C65" i="5"/>
  <c r="C71" i="5"/>
  <c r="D61" i="5"/>
  <c r="D67" i="5"/>
  <c r="E61" i="5"/>
  <c r="E67" i="5"/>
  <c r="F61" i="5"/>
  <c r="F67" i="5"/>
  <c r="G61" i="5"/>
  <c r="G67" i="5"/>
  <c r="C61" i="5"/>
  <c r="C67" i="5"/>
  <c r="Q41" i="5"/>
  <c r="Q18" i="5"/>
  <c r="Q47" i="5"/>
  <c r="P41" i="5"/>
  <c r="P18" i="5"/>
  <c r="P47" i="5"/>
  <c r="O41" i="5"/>
  <c r="O18" i="5"/>
  <c r="O47" i="5"/>
  <c r="N41" i="5"/>
  <c r="N18" i="5"/>
  <c r="N47" i="5"/>
  <c r="M41" i="5"/>
  <c r="M18" i="5"/>
  <c r="M47" i="5"/>
  <c r="Q17" i="5"/>
  <c r="Q46" i="5"/>
  <c r="P17" i="5"/>
  <c r="P46" i="5"/>
  <c r="O17" i="5"/>
  <c r="O46" i="5"/>
  <c r="N17" i="5"/>
  <c r="N46" i="5"/>
  <c r="M17" i="5"/>
  <c r="M46" i="5"/>
  <c r="L41" i="5"/>
  <c r="L48" i="5"/>
  <c r="K41" i="5"/>
  <c r="K48" i="5"/>
  <c r="J41" i="5"/>
  <c r="J48" i="5"/>
  <c r="I41" i="5"/>
  <c r="I48" i="5"/>
  <c r="H41" i="5"/>
  <c r="H48" i="5"/>
  <c r="L45" i="5"/>
  <c r="K45" i="5"/>
  <c r="J45" i="5"/>
  <c r="I45" i="5"/>
  <c r="H45" i="5"/>
  <c r="G41" i="5"/>
  <c r="G48" i="5"/>
  <c r="F41" i="5"/>
  <c r="F48" i="5"/>
  <c r="E41" i="5"/>
  <c r="E48" i="5"/>
  <c r="D41" i="5"/>
  <c r="D48" i="5"/>
  <c r="C41" i="5"/>
  <c r="C48" i="5"/>
  <c r="D44" i="5"/>
  <c r="E44" i="5"/>
  <c r="F44" i="5"/>
  <c r="G44" i="5"/>
  <c r="C44" i="5"/>
  <c r="Q24" i="5"/>
  <c r="Q30" i="5"/>
  <c r="Q36" i="5"/>
  <c r="P24" i="5"/>
  <c r="P30" i="5"/>
  <c r="P36" i="5"/>
  <c r="O24" i="5"/>
  <c r="O30" i="5"/>
  <c r="O36" i="5"/>
  <c r="N24" i="5"/>
  <c r="N30" i="5"/>
  <c r="N36" i="5"/>
  <c r="M24" i="5"/>
  <c r="M30" i="5"/>
  <c r="M36" i="5"/>
  <c r="Q29" i="5"/>
  <c r="Q35" i="5"/>
  <c r="P29" i="5"/>
  <c r="P35" i="5"/>
  <c r="O29" i="5"/>
  <c r="O35" i="5"/>
  <c r="N29" i="5"/>
  <c r="N35" i="5"/>
  <c r="M29" i="5"/>
  <c r="M35" i="5"/>
  <c r="L24" i="5"/>
  <c r="L28" i="5"/>
  <c r="L34" i="5"/>
  <c r="K24" i="5"/>
  <c r="K28" i="5"/>
  <c r="K34" i="5"/>
  <c r="J24" i="5"/>
  <c r="J28" i="5"/>
  <c r="J34" i="5"/>
  <c r="I24" i="5"/>
  <c r="I28" i="5"/>
  <c r="I34" i="5"/>
  <c r="H24" i="5"/>
  <c r="H28" i="5"/>
  <c r="H34" i="5"/>
  <c r="L31" i="5"/>
  <c r="L37" i="5"/>
  <c r="K31" i="5"/>
  <c r="K37" i="5"/>
  <c r="J31" i="5"/>
  <c r="J37" i="5"/>
  <c r="I31" i="5"/>
  <c r="I37" i="5"/>
  <c r="H31" i="5"/>
  <c r="H37" i="5"/>
  <c r="G24" i="5"/>
  <c r="G31" i="5"/>
  <c r="G37" i="5"/>
  <c r="F24" i="5"/>
  <c r="F31" i="5"/>
  <c r="F37" i="5"/>
  <c r="E24" i="5"/>
  <c r="E31" i="5"/>
  <c r="E37" i="5"/>
  <c r="D24" i="5"/>
  <c r="D31" i="5"/>
  <c r="D37" i="5"/>
  <c r="C31" i="5"/>
  <c r="C37" i="5"/>
  <c r="D27" i="5"/>
  <c r="D33" i="5"/>
  <c r="E27" i="5"/>
  <c r="E33" i="5"/>
  <c r="F27" i="5"/>
  <c r="F33" i="5"/>
  <c r="G27" i="5"/>
  <c r="G33" i="5"/>
  <c r="C33" i="5"/>
  <c r="N5" i="5"/>
  <c r="O5" i="5"/>
  <c r="L53" i="4"/>
  <c r="N4" i="5"/>
  <c r="O4" i="5"/>
  <c r="C96" i="1"/>
  <c r="D96" i="1"/>
  <c r="E96" i="1"/>
  <c r="F96" i="1"/>
  <c r="G96" i="1"/>
  <c r="C96" i="4"/>
  <c r="D96" i="4"/>
  <c r="E96" i="4"/>
  <c r="F96" i="4"/>
  <c r="G96" i="4"/>
  <c r="D25" i="4"/>
  <c r="D98" i="4"/>
  <c r="E25" i="4"/>
  <c r="E98" i="4"/>
  <c r="F25" i="4"/>
  <c r="F98" i="4"/>
  <c r="G25" i="4"/>
  <c r="G98" i="4"/>
  <c r="H25" i="4"/>
  <c r="H98" i="4"/>
  <c r="I25" i="4"/>
  <c r="I98" i="4"/>
  <c r="J25" i="4"/>
  <c r="J98" i="4"/>
  <c r="K25" i="4"/>
  <c r="K98" i="4"/>
  <c r="L25" i="4"/>
  <c r="L98" i="4"/>
  <c r="C25" i="4"/>
  <c r="C98" i="4"/>
  <c r="D25" i="1"/>
  <c r="D98" i="1"/>
  <c r="E25" i="1"/>
  <c r="E98" i="1"/>
  <c r="F25" i="1"/>
  <c r="F98" i="1"/>
  <c r="G25" i="1"/>
  <c r="G98" i="1"/>
  <c r="H25" i="1"/>
  <c r="H98" i="1"/>
  <c r="I25" i="1"/>
  <c r="I98" i="1"/>
  <c r="J25" i="1"/>
  <c r="J98" i="1"/>
  <c r="K25" i="1"/>
  <c r="K98" i="1"/>
  <c r="L25" i="1"/>
  <c r="L98" i="1"/>
  <c r="C25" i="1"/>
  <c r="C98" i="1"/>
  <c r="M75" i="4"/>
  <c r="M73" i="4"/>
  <c r="M71" i="4"/>
  <c r="C71" i="4"/>
  <c r="L71" i="4"/>
  <c r="K71" i="4"/>
  <c r="L72" i="4"/>
  <c r="J71" i="4"/>
  <c r="K72" i="4"/>
  <c r="I71" i="4"/>
  <c r="J72" i="4"/>
  <c r="H71" i="4"/>
  <c r="I72" i="4"/>
  <c r="G71" i="4"/>
  <c r="H72" i="4"/>
  <c r="F71" i="4"/>
  <c r="G72" i="4"/>
  <c r="E71" i="4"/>
  <c r="F72" i="4"/>
  <c r="D71" i="4"/>
  <c r="E72" i="4"/>
  <c r="D72" i="4"/>
  <c r="L73" i="4"/>
  <c r="K73" i="4"/>
  <c r="L74" i="4"/>
  <c r="J73" i="4"/>
  <c r="K74" i="4"/>
  <c r="I73" i="4"/>
  <c r="J74" i="4"/>
  <c r="H73" i="4"/>
  <c r="I74" i="4"/>
  <c r="G73" i="4"/>
  <c r="H74" i="4"/>
  <c r="F73" i="4"/>
  <c r="G74" i="4"/>
  <c r="E73" i="4"/>
  <c r="F74" i="4"/>
  <c r="D73" i="4"/>
  <c r="E74" i="4"/>
  <c r="C73" i="4"/>
  <c r="D74" i="4"/>
  <c r="L75" i="4"/>
  <c r="K75" i="4"/>
  <c r="L76" i="4"/>
  <c r="J75" i="4"/>
  <c r="K76" i="4"/>
  <c r="I75" i="4"/>
  <c r="J76" i="4"/>
  <c r="H75" i="4"/>
  <c r="I76" i="4"/>
  <c r="G75" i="4"/>
  <c r="H76" i="4"/>
  <c r="F75" i="4"/>
  <c r="G76" i="4"/>
  <c r="E75" i="4"/>
  <c r="F76" i="4"/>
  <c r="D75" i="4"/>
  <c r="E76" i="4"/>
  <c r="C75" i="4"/>
  <c r="D76" i="4"/>
  <c r="C77" i="4"/>
  <c r="D77" i="4"/>
  <c r="E77" i="4"/>
  <c r="F77" i="4"/>
  <c r="G77" i="4"/>
  <c r="H77" i="4"/>
  <c r="I77" i="4"/>
  <c r="J77" i="4"/>
  <c r="K77" i="4"/>
  <c r="L77" i="4"/>
  <c r="N77" i="4"/>
  <c r="O77" i="4"/>
  <c r="P77" i="4"/>
  <c r="Q77" i="4"/>
  <c r="M77" i="4"/>
  <c r="N79" i="4"/>
  <c r="O79" i="4"/>
  <c r="P79" i="4"/>
  <c r="Q79" i="4"/>
  <c r="M79" i="4"/>
  <c r="D79" i="4"/>
  <c r="E79" i="4"/>
  <c r="F79" i="4"/>
  <c r="G79" i="4"/>
  <c r="H79" i="4"/>
  <c r="I79" i="4"/>
  <c r="J79" i="4"/>
  <c r="K79" i="4"/>
  <c r="L79" i="4"/>
  <c r="C79" i="4"/>
  <c r="M93" i="4"/>
  <c r="N93" i="4"/>
  <c r="N73" i="4"/>
  <c r="O73" i="4"/>
  <c r="P73" i="4"/>
  <c r="Q73" i="4"/>
  <c r="M91" i="4"/>
  <c r="N91" i="4"/>
  <c r="M89" i="4"/>
  <c r="N89" i="4"/>
  <c r="M85" i="4"/>
  <c r="N85" i="4"/>
  <c r="C53" i="4"/>
  <c r="M25" i="4"/>
  <c r="N25" i="4"/>
  <c r="O25" i="4"/>
  <c r="P25" i="4"/>
  <c r="Q25" i="4"/>
  <c r="D53" i="4"/>
  <c r="E53" i="4"/>
  <c r="F53" i="4"/>
  <c r="G53" i="4"/>
  <c r="H53" i="4"/>
  <c r="I53" i="4"/>
  <c r="J53" i="4"/>
  <c r="K53" i="4"/>
  <c r="C5" i="4"/>
  <c r="O87" i="1"/>
  <c r="P87" i="1"/>
  <c r="P86" i="1"/>
  <c r="Q87" i="1"/>
  <c r="Q86" i="1"/>
  <c r="N87" i="1"/>
  <c r="J46" i="4"/>
  <c r="Q39" i="4"/>
  <c r="Q11" i="4"/>
  <c r="P39" i="4"/>
  <c r="P11" i="4"/>
  <c r="O39" i="4"/>
  <c r="O11" i="4"/>
  <c r="N39" i="4"/>
  <c r="N11" i="4"/>
  <c r="M39" i="4"/>
  <c r="M11" i="4"/>
  <c r="Q10" i="4"/>
  <c r="P10" i="4"/>
  <c r="O10" i="4"/>
  <c r="N10" i="4"/>
  <c r="M10" i="4"/>
  <c r="L9" i="4"/>
  <c r="K9" i="4"/>
  <c r="J9" i="4"/>
  <c r="I9" i="4"/>
  <c r="H9" i="4"/>
  <c r="G9" i="4"/>
  <c r="F9" i="4"/>
  <c r="E9" i="4"/>
  <c r="D9" i="4"/>
  <c r="C9" i="4"/>
  <c r="Q67" i="4"/>
  <c r="Q7" i="4"/>
  <c r="P67" i="4"/>
  <c r="P7" i="4"/>
  <c r="O67" i="4"/>
  <c r="O7" i="4"/>
  <c r="N67" i="4"/>
  <c r="N7" i="4"/>
  <c r="M67" i="4"/>
  <c r="M7" i="4"/>
  <c r="Q53" i="4"/>
  <c r="Q6" i="4"/>
  <c r="P53" i="4"/>
  <c r="P6" i="4"/>
  <c r="O53" i="4"/>
  <c r="O6" i="4"/>
  <c r="N53" i="4"/>
  <c r="N6" i="4"/>
  <c r="M53" i="4"/>
  <c r="M6" i="4"/>
  <c r="L5" i="4"/>
  <c r="K5" i="4"/>
  <c r="J5" i="4"/>
  <c r="I5" i="4"/>
  <c r="H5" i="4"/>
  <c r="G5" i="4"/>
  <c r="F5" i="4"/>
  <c r="E5" i="4"/>
  <c r="D5" i="4"/>
  <c r="Q70" i="4"/>
  <c r="Q3" i="4"/>
  <c r="P70" i="4"/>
  <c r="P3" i="4"/>
  <c r="O70" i="4"/>
  <c r="O3" i="4"/>
  <c r="N70" i="4"/>
  <c r="N3" i="4"/>
  <c r="M70" i="4"/>
  <c r="M3" i="4"/>
  <c r="Q93" i="4"/>
  <c r="P93" i="4"/>
  <c r="O93" i="4"/>
  <c r="Q91" i="4"/>
  <c r="P91" i="4"/>
  <c r="O91" i="4"/>
  <c r="Q89" i="4"/>
  <c r="P89" i="4"/>
  <c r="O89" i="4"/>
  <c r="Q87" i="4"/>
  <c r="P87" i="4"/>
  <c r="O87" i="4"/>
  <c r="N87" i="4"/>
  <c r="M87" i="4"/>
  <c r="Q85" i="4"/>
  <c r="P85" i="4"/>
  <c r="O85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Q75" i="4"/>
  <c r="P75" i="4"/>
  <c r="Q76" i="4"/>
  <c r="O75" i="4"/>
  <c r="P76" i="4"/>
  <c r="N75" i="4"/>
  <c r="O76" i="4"/>
  <c r="N76" i="4"/>
  <c r="M76" i="4"/>
  <c r="Q74" i="4"/>
  <c r="P74" i="4"/>
  <c r="O74" i="4"/>
  <c r="N74" i="4"/>
  <c r="M74" i="4"/>
  <c r="Q71" i="4"/>
  <c r="P71" i="4"/>
  <c r="Q72" i="4"/>
  <c r="O71" i="4"/>
  <c r="P72" i="4"/>
  <c r="N71" i="4"/>
  <c r="O72" i="4"/>
  <c r="N72" i="4"/>
  <c r="M72" i="4"/>
  <c r="Q66" i="4"/>
  <c r="P66" i="4"/>
  <c r="O66" i="4"/>
  <c r="N66" i="4"/>
  <c r="M66" i="4"/>
  <c r="Q64" i="4"/>
  <c r="P64" i="4"/>
  <c r="O64" i="4"/>
  <c r="N64" i="4"/>
  <c r="M64" i="4"/>
  <c r="Q62" i="4"/>
  <c r="P62" i="4"/>
  <c r="O62" i="4"/>
  <c r="N62" i="4"/>
  <c r="M62" i="4"/>
  <c r="Q60" i="4"/>
  <c r="P60" i="4"/>
  <c r="O60" i="4"/>
  <c r="N60" i="4"/>
  <c r="M60" i="4"/>
  <c r="Q58" i="4"/>
  <c r="P58" i="4"/>
  <c r="O58" i="4"/>
  <c r="N58" i="4"/>
  <c r="M58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Q46" i="4"/>
  <c r="P46" i="4"/>
  <c r="O46" i="4"/>
  <c r="N46" i="4"/>
  <c r="M46" i="4"/>
  <c r="L46" i="4"/>
  <c r="K46" i="4"/>
  <c r="I46" i="4"/>
  <c r="H46" i="4"/>
  <c r="G46" i="4"/>
  <c r="F46" i="4"/>
  <c r="E46" i="4"/>
  <c r="D46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Q38" i="4"/>
  <c r="P38" i="4"/>
  <c r="O38" i="4"/>
  <c r="N38" i="4"/>
  <c r="M38" i="4"/>
  <c r="Q36" i="4"/>
  <c r="P36" i="4"/>
  <c r="O36" i="4"/>
  <c r="N36" i="4"/>
  <c r="M36" i="4"/>
  <c r="Q34" i="4"/>
  <c r="P34" i="4"/>
  <c r="O34" i="4"/>
  <c r="N34" i="4"/>
  <c r="M34" i="4"/>
  <c r="Q32" i="4"/>
  <c r="P32" i="4"/>
  <c r="O32" i="4"/>
  <c r="N32" i="4"/>
  <c r="M32" i="4"/>
  <c r="Q30" i="4"/>
  <c r="P30" i="4"/>
  <c r="O30" i="4"/>
  <c r="N30" i="4"/>
  <c r="M30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J46" i="1"/>
  <c r="M59" i="1"/>
  <c r="N59" i="1"/>
  <c r="O59" i="1"/>
  <c r="P59" i="1"/>
  <c r="Q59" i="1"/>
  <c r="M67" i="1"/>
  <c r="M7" i="1"/>
  <c r="M37" i="1"/>
  <c r="N29" i="1"/>
  <c r="N31" i="1"/>
  <c r="N33" i="1"/>
  <c r="N35" i="1"/>
  <c r="N37" i="1"/>
  <c r="N39" i="1"/>
  <c r="N11" i="1"/>
  <c r="O29" i="1"/>
  <c r="O33" i="1"/>
  <c r="O35" i="1"/>
  <c r="O37" i="1"/>
  <c r="P29" i="1"/>
  <c r="P31" i="1"/>
  <c r="P33" i="1"/>
  <c r="P35" i="1"/>
  <c r="P37" i="1"/>
  <c r="P39" i="1"/>
  <c r="P11" i="1"/>
  <c r="Q29" i="1"/>
  <c r="Q31" i="1"/>
  <c r="Q33" i="1"/>
  <c r="Q35" i="1"/>
  <c r="Q37" i="1"/>
  <c r="Q39" i="1"/>
  <c r="Q11" i="1"/>
  <c r="M29" i="1"/>
  <c r="M31" i="1"/>
  <c r="M33" i="1"/>
  <c r="M35" i="1"/>
  <c r="M39" i="1"/>
  <c r="M11" i="1"/>
  <c r="D9" i="1"/>
  <c r="E9" i="1"/>
  <c r="F9" i="1"/>
  <c r="G9" i="1"/>
  <c r="H9" i="1"/>
  <c r="I9" i="1"/>
  <c r="J9" i="1"/>
  <c r="K9" i="1"/>
  <c r="L9" i="1"/>
  <c r="M25" i="1"/>
  <c r="M10" i="1"/>
  <c r="N25" i="1"/>
  <c r="N10" i="1"/>
  <c r="O25" i="1"/>
  <c r="O10" i="1"/>
  <c r="P25" i="1"/>
  <c r="P10" i="1"/>
  <c r="Q25" i="1"/>
  <c r="Q10" i="1"/>
  <c r="C9" i="1"/>
  <c r="L53" i="1"/>
  <c r="L5" i="1"/>
  <c r="N67" i="1"/>
  <c r="N7" i="1"/>
  <c r="O67" i="1"/>
  <c r="O7" i="1"/>
  <c r="P67" i="1"/>
  <c r="P7" i="1"/>
  <c r="Q67" i="1"/>
  <c r="Q7" i="1"/>
  <c r="N53" i="1"/>
  <c r="N6" i="1"/>
  <c r="O53" i="1"/>
  <c r="O6" i="1"/>
  <c r="P53" i="1"/>
  <c r="P6" i="1"/>
  <c r="Q53" i="1"/>
  <c r="Q6" i="1"/>
  <c r="M53" i="1"/>
  <c r="M6" i="1"/>
  <c r="D53" i="1"/>
  <c r="D5" i="1"/>
  <c r="E53" i="1"/>
  <c r="E5" i="1"/>
  <c r="F53" i="1"/>
  <c r="F5" i="1"/>
  <c r="G53" i="1"/>
  <c r="G5" i="1"/>
  <c r="H53" i="1"/>
  <c r="H5" i="1"/>
  <c r="I53" i="1"/>
  <c r="I5" i="1"/>
  <c r="J53" i="1"/>
  <c r="J5" i="1"/>
  <c r="K53" i="1"/>
  <c r="K5" i="1"/>
  <c r="C5" i="1"/>
  <c r="M70" i="1"/>
  <c r="M3" i="1"/>
  <c r="N70" i="1"/>
  <c r="N3" i="1"/>
  <c r="O70" i="1"/>
  <c r="O3" i="1"/>
  <c r="P70" i="1"/>
  <c r="P3" i="1"/>
  <c r="Q70" i="1"/>
  <c r="Q3" i="1"/>
  <c r="Q38" i="1"/>
  <c r="P38" i="1"/>
  <c r="O38" i="1"/>
  <c r="N38" i="1"/>
  <c r="M38" i="1"/>
  <c r="Q36" i="1"/>
  <c r="P36" i="1"/>
  <c r="O36" i="1"/>
  <c r="N36" i="1"/>
  <c r="M36" i="1"/>
  <c r="Q34" i="1"/>
  <c r="P34" i="1"/>
  <c r="O34" i="1"/>
  <c r="N34" i="1"/>
  <c r="M34" i="1"/>
  <c r="Q32" i="1"/>
  <c r="N32" i="1"/>
  <c r="M32" i="1"/>
  <c r="M30" i="1"/>
  <c r="Q66" i="1"/>
  <c r="P66" i="1"/>
  <c r="O66" i="1"/>
  <c r="N66" i="1"/>
  <c r="M66" i="1"/>
  <c r="Q64" i="1"/>
  <c r="P64" i="1"/>
  <c r="O64" i="1"/>
  <c r="N64" i="1"/>
  <c r="M64" i="1"/>
  <c r="Q62" i="1"/>
  <c r="P62" i="1"/>
  <c r="O62" i="1"/>
  <c r="N62" i="1"/>
  <c r="M62" i="1"/>
  <c r="Q60" i="1"/>
  <c r="P60" i="1"/>
  <c r="O60" i="1"/>
  <c r="N60" i="1"/>
  <c r="M60" i="1"/>
  <c r="M58" i="1"/>
  <c r="N58" i="1"/>
  <c r="L52" i="1"/>
  <c r="L50" i="1"/>
  <c r="L48" i="1"/>
  <c r="L46" i="1"/>
  <c r="Q58" i="1"/>
  <c r="P58" i="1"/>
  <c r="O58" i="1"/>
  <c r="L44" i="1"/>
  <c r="L24" i="1"/>
  <c r="L22" i="1"/>
  <c r="L20" i="1"/>
  <c r="L18" i="1"/>
  <c r="Q30" i="1"/>
  <c r="P30" i="1"/>
  <c r="O30" i="1"/>
  <c r="N30" i="1"/>
  <c r="L16" i="1"/>
  <c r="M93" i="1"/>
  <c r="L77" i="1"/>
  <c r="M91" i="1"/>
  <c r="L75" i="1"/>
  <c r="M89" i="1"/>
  <c r="L73" i="1"/>
  <c r="M87" i="1"/>
  <c r="L71" i="1"/>
  <c r="M85" i="1"/>
  <c r="C75" i="1"/>
  <c r="M71" i="1"/>
  <c r="N71" i="1"/>
  <c r="O71" i="1"/>
  <c r="P71" i="1"/>
  <c r="Q71" i="1"/>
  <c r="M72" i="1"/>
  <c r="N72" i="1"/>
  <c r="O72" i="1"/>
  <c r="P72" i="1"/>
  <c r="Q72" i="1"/>
  <c r="M73" i="1"/>
  <c r="N73" i="1"/>
  <c r="O73" i="1"/>
  <c r="P73" i="1"/>
  <c r="Q73" i="1"/>
  <c r="M74" i="1"/>
  <c r="N74" i="1"/>
  <c r="O74" i="1"/>
  <c r="P74" i="1"/>
  <c r="Q74" i="1"/>
  <c r="M75" i="1"/>
  <c r="N75" i="1"/>
  <c r="O75" i="1"/>
  <c r="P75" i="1"/>
  <c r="Q75" i="1"/>
  <c r="M76" i="1"/>
  <c r="N76" i="1"/>
  <c r="O76" i="1"/>
  <c r="P76" i="1"/>
  <c r="Q76" i="1"/>
  <c r="M77" i="1"/>
  <c r="N77" i="1"/>
  <c r="O77" i="1"/>
  <c r="P77" i="1"/>
  <c r="Q77" i="1"/>
  <c r="M78" i="1"/>
  <c r="N78" i="1"/>
  <c r="O78" i="1"/>
  <c r="P78" i="1"/>
  <c r="Q78" i="1"/>
  <c r="M80" i="1"/>
  <c r="N80" i="1"/>
  <c r="O80" i="1"/>
  <c r="P80" i="1"/>
  <c r="Q80" i="1"/>
  <c r="M44" i="1"/>
  <c r="N44" i="1"/>
  <c r="O44" i="1"/>
  <c r="P44" i="1"/>
  <c r="Q44" i="1"/>
  <c r="M46" i="1"/>
  <c r="N46" i="1"/>
  <c r="O46" i="1"/>
  <c r="P46" i="1"/>
  <c r="Q46" i="1"/>
  <c r="M52" i="1"/>
  <c r="N52" i="1"/>
  <c r="O52" i="1"/>
  <c r="P52" i="1"/>
  <c r="Q52" i="1"/>
  <c r="M50" i="1"/>
  <c r="N50" i="1"/>
  <c r="O50" i="1"/>
  <c r="P50" i="1"/>
  <c r="Q50" i="1"/>
  <c r="M48" i="1"/>
  <c r="N48" i="1"/>
  <c r="O48" i="1"/>
  <c r="P48" i="1"/>
  <c r="Q48" i="1"/>
  <c r="M24" i="1"/>
  <c r="N24" i="1"/>
  <c r="O24" i="1"/>
  <c r="P24" i="1"/>
  <c r="Q24" i="1"/>
  <c r="M22" i="1"/>
  <c r="N22" i="1"/>
  <c r="O22" i="1"/>
  <c r="P22" i="1"/>
  <c r="Q22" i="1"/>
  <c r="M20" i="1"/>
  <c r="N20" i="1"/>
  <c r="O20" i="1"/>
  <c r="P20" i="1"/>
  <c r="Q20" i="1"/>
  <c r="M18" i="1"/>
  <c r="N18" i="1"/>
  <c r="O18" i="1"/>
  <c r="P18" i="1"/>
  <c r="Q18" i="1"/>
  <c r="M16" i="1"/>
  <c r="N16" i="1"/>
  <c r="O16" i="1"/>
  <c r="P16" i="1"/>
  <c r="Q16" i="1"/>
  <c r="D18" i="1"/>
  <c r="D22" i="1"/>
  <c r="D24" i="1"/>
  <c r="D20" i="1"/>
  <c r="K24" i="1"/>
  <c r="J24" i="1"/>
  <c r="I24" i="1"/>
  <c r="H24" i="1"/>
  <c r="G24" i="1"/>
  <c r="F24" i="1"/>
  <c r="E24" i="1"/>
  <c r="K22" i="1"/>
  <c r="J22" i="1"/>
  <c r="I22" i="1"/>
  <c r="H22" i="1"/>
  <c r="G22" i="1"/>
  <c r="F22" i="1"/>
  <c r="E22" i="1"/>
  <c r="K20" i="1"/>
  <c r="J20" i="1"/>
  <c r="I20" i="1"/>
  <c r="H20" i="1"/>
  <c r="G20" i="1"/>
  <c r="F20" i="1"/>
  <c r="E20" i="1"/>
  <c r="K18" i="1"/>
  <c r="J18" i="1"/>
  <c r="I18" i="1"/>
  <c r="H18" i="1"/>
  <c r="G18" i="1"/>
  <c r="F18" i="1"/>
  <c r="E18" i="1"/>
  <c r="K16" i="1"/>
  <c r="J16" i="1"/>
  <c r="I16" i="1"/>
  <c r="H16" i="1"/>
  <c r="G16" i="1"/>
  <c r="F16" i="1"/>
  <c r="E16" i="1"/>
  <c r="D16" i="1"/>
  <c r="D44" i="1"/>
  <c r="K44" i="1"/>
  <c r="J44" i="1"/>
  <c r="I44" i="1"/>
  <c r="H44" i="1"/>
  <c r="G44" i="1"/>
  <c r="F44" i="1"/>
  <c r="E44" i="1"/>
  <c r="K46" i="1"/>
  <c r="I46" i="1"/>
  <c r="H46" i="1"/>
  <c r="G46" i="1"/>
  <c r="F46" i="1"/>
  <c r="E46" i="1"/>
  <c r="K48" i="1"/>
  <c r="J48" i="1"/>
  <c r="I48" i="1"/>
  <c r="H48" i="1"/>
  <c r="G48" i="1"/>
  <c r="F48" i="1"/>
  <c r="E48" i="1"/>
  <c r="K50" i="1"/>
  <c r="J50" i="1"/>
  <c r="I50" i="1"/>
  <c r="H50" i="1"/>
  <c r="G50" i="1"/>
  <c r="F50" i="1"/>
  <c r="E50" i="1"/>
  <c r="K52" i="1"/>
  <c r="J52" i="1"/>
  <c r="I52" i="1"/>
  <c r="H52" i="1"/>
  <c r="G52" i="1"/>
  <c r="F52" i="1"/>
  <c r="E52" i="1"/>
  <c r="Q93" i="1"/>
  <c r="P93" i="1"/>
  <c r="O93" i="1"/>
  <c r="N93" i="1"/>
  <c r="Q91" i="1"/>
  <c r="P91" i="1"/>
  <c r="O91" i="1"/>
  <c r="N91" i="1"/>
  <c r="Q89" i="1"/>
  <c r="P89" i="1"/>
  <c r="O89" i="1"/>
  <c r="N89" i="1"/>
  <c r="Q85" i="1"/>
  <c r="P85" i="1"/>
  <c r="O85" i="1"/>
  <c r="N85" i="1"/>
  <c r="L80" i="1"/>
  <c r="K80" i="1"/>
  <c r="J80" i="1"/>
  <c r="I80" i="1"/>
  <c r="H80" i="1"/>
  <c r="G80" i="1"/>
  <c r="F80" i="1"/>
  <c r="E80" i="1"/>
  <c r="D80" i="1"/>
  <c r="K77" i="1"/>
  <c r="L78" i="1"/>
  <c r="J77" i="1"/>
  <c r="K78" i="1"/>
  <c r="I77" i="1"/>
  <c r="J78" i="1"/>
  <c r="H77" i="1"/>
  <c r="I78" i="1"/>
  <c r="G77" i="1"/>
  <c r="H78" i="1"/>
  <c r="F77" i="1"/>
  <c r="G78" i="1"/>
  <c r="E77" i="1"/>
  <c r="F78" i="1"/>
  <c r="D77" i="1"/>
  <c r="E78" i="1"/>
  <c r="K75" i="1"/>
  <c r="L76" i="1"/>
  <c r="J75" i="1"/>
  <c r="K76" i="1"/>
  <c r="I75" i="1"/>
  <c r="J76" i="1"/>
  <c r="H75" i="1"/>
  <c r="I76" i="1"/>
  <c r="G75" i="1"/>
  <c r="H76" i="1"/>
  <c r="F75" i="1"/>
  <c r="G76" i="1"/>
  <c r="E75" i="1"/>
  <c r="F76" i="1"/>
  <c r="D75" i="1"/>
  <c r="E76" i="1"/>
  <c r="K73" i="1"/>
  <c r="L74" i="1"/>
  <c r="J73" i="1"/>
  <c r="K74" i="1"/>
  <c r="I73" i="1"/>
  <c r="J74" i="1"/>
  <c r="H73" i="1"/>
  <c r="I74" i="1"/>
  <c r="G73" i="1"/>
  <c r="H74" i="1"/>
  <c r="F73" i="1"/>
  <c r="G74" i="1"/>
  <c r="E73" i="1"/>
  <c r="F74" i="1"/>
  <c r="D73" i="1"/>
  <c r="E74" i="1"/>
  <c r="E71" i="1"/>
  <c r="D71" i="1"/>
  <c r="E72" i="1"/>
  <c r="F71" i="1"/>
  <c r="F72" i="1"/>
  <c r="G71" i="1"/>
  <c r="G72" i="1"/>
  <c r="H71" i="1"/>
  <c r="H72" i="1"/>
  <c r="I71" i="1"/>
  <c r="I72" i="1"/>
  <c r="J71" i="1"/>
  <c r="J72" i="1"/>
  <c r="K71" i="1"/>
  <c r="K72" i="1"/>
  <c r="L72" i="1"/>
  <c r="D52" i="1"/>
  <c r="D50" i="1"/>
  <c r="C77" i="1"/>
  <c r="D78" i="1"/>
  <c r="D48" i="1"/>
  <c r="D76" i="1"/>
  <c r="D46" i="1"/>
  <c r="C73" i="1"/>
  <c r="C71" i="1"/>
  <c r="D72" i="1"/>
  <c r="O31" i="1"/>
  <c r="O39" i="1"/>
  <c r="O11" i="1"/>
  <c r="P32" i="1"/>
  <c r="O32" i="1"/>
</calcChain>
</file>

<file path=xl/sharedStrings.xml><?xml version="1.0" encoding="utf-8"?>
<sst xmlns="http://schemas.openxmlformats.org/spreadsheetml/2006/main" count="653" uniqueCount="92">
  <si>
    <t>Energex</t>
  </si>
  <si>
    <t>2015-16</t>
  </si>
  <si>
    <t>2016-17</t>
  </si>
  <si>
    <t>2017-18</t>
  </si>
  <si>
    <t>2018-19</t>
  </si>
  <si>
    <t>2019-20</t>
  </si>
  <si>
    <t>Total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</si>
  <si>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</si>
  <si>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</si>
  <si>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</si>
  <si>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</si>
  <si>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</si>
  <si>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</si>
  <si>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</si>
  <si>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</si>
  <si>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</si>
  <si>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</si>
  <si>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Residential</t>
  </si>
  <si>
    <t>GWh</t>
  </si>
  <si>
    <t>Small business</t>
  </si>
  <si>
    <t>Large business</t>
  </si>
  <si>
    <t>Industrial</t>
  </si>
  <si>
    <t>Other</t>
  </si>
  <si>
    <t>Total energy sales</t>
  </si>
  <si>
    <t>number</t>
  </si>
  <si>
    <t>Total customers</t>
  </si>
  <si>
    <t>kWh</t>
  </si>
  <si>
    <t>% change</t>
  </si>
  <si>
    <t>Small Business</t>
  </si>
  <si>
    <t>Large Business</t>
  </si>
  <si>
    <t>Indsutrial</t>
  </si>
  <si>
    <t>Energex: Customer numbers customer class (Energex)</t>
  </si>
  <si>
    <t>Energex: Energy sold by customer class (Energex)</t>
  </si>
  <si>
    <t>Energex: Average consumption by customer class (Energex)</t>
  </si>
  <si>
    <t>Historic</t>
  </si>
  <si>
    <t>Energex Proposed</t>
  </si>
  <si>
    <t>Energex Forecast</t>
  </si>
  <si>
    <t>Alliance Forecast</t>
  </si>
  <si>
    <t>Alliance: Customer numbers customer class (Energex)</t>
  </si>
  <si>
    <t>Energex Forecasts</t>
  </si>
  <si>
    <t xml:space="preserve">Alliance </t>
  </si>
  <si>
    <t>Number</t>
  </si>
  <si>
    <t>Total Energy</t>
  </si>
  <si>
    <t>Ergon Energy: Energy sold by customer class (Ergon Energy)</t>
  </si>
  <si>
    <t>Ergon Energy Forecast</t>
  </si>
  <si>
    <t>Ergon Energy: Customer numbers customer class (Ergon Energy)</t>
  </si>
  <si>
    <t>Alliance: Customer numbers customer class (Ergon Energy)</t>
  </si>
  <si>
    <t>Ergon Energy: Average consumption by customer class (Ergon Energy)</t>
  </si>
  <si>
    <t>Ergon Energy Forecasts</t>
  </si>
  <si>
    <t>Ergon Energy</t>
  </si>
  <si>
    <t xml:space="preserve">Alliance: Energy sold by customer class (Energex) </t>
  </si>
  <si>
    <t xml:space="preserve">Alliance: Average consumption by customer class (Energex)  </t>
  </si>
  <si>
    <t xml:space="preserve">Alliance: Energy sold by customer class (Ergon Energy)  </t>
  </si>
  <si>
    <t xml:space="preserve">Alliance: Average consumption by customer class (Ergon Energy) </t>
  </si>
  <si>
    <t>AER Approved</t>
  </si>
  <si>
    <t>Actual</t>
  </si>
  <si>
    <t>Energex: Previous energy forecasts overestimated</t>
  </si>
  <si>
    <t>Ergon Energy: Previous energy forecasts overestimated</t>
  </si>
  <si>
    <t>QCA Approved</t>
  </si>
  <si>
    <t>$million, nominal</t>
  </si>
  <si>
    <t>R Proposal</t>
  </si>
  <si>
    <t>Per connection</t>
  </si>
  <si>
    <t xml:space="preserve">Cost of DUOS Under Recoveries </t>
  </si>
  <si>
    <t>Alliance Proposed</t>
  </si>
  <si>
    <t>Ergon Energy Proposed</t>
  </si>
  <si>
    <t>Ergon Energy: Total Energy Forecasts</t>
  </si>
  <si>
    <t>Energex: Total Energy Forecasts</t>
  </si>
  <si>
    <t>%</t>
  </si>
  <si>
    <t>Proportion Energy Residential</t>
  </si>
  <si>
    <t>Number of Residential Customers</t>
  </si>
  <si>
    <t>Revenue from Residential Customer</t>
  </si>
  <si>
    <t>AER Preliminary Decision</t>
  </si>
  <si>
    <t>c/kWh nominal</t>
  </si>
  <si>
    <t>Forecast Prices (Future based on AER Preliminary Decision Revenue)</t>
  </si>
  <si>
    <t>Proportion Energy Small Business</t>
  </si>
  <si>
    <t>Number of Small Business Customers</t>
  </si>
  <si>
    <t>Revenue from Small Business Customer</t>
  </si>
  <si>
    <t>$, nominal</t>
  </si>
  <si>
    <t>Residential price impact (Energex)</t>
  </si>
  <si>
    <t>Small business price impact (Energex)</t>
  </si>
  <si>
    <t>Irrigator price impact (Ergon Energy)</t>
  </si>
  <si>
    <t>Proportion Energy Large Business</t>
  </si>
  <si>
    <t>Number of Large Business Customers</t>
  </si>
  <si>
    <t>Revenue from Large Business Customer</t>
  </si>
  <si>
    <t>Industrial price impact (Ergon Energy)</t>
  </si>
  <si>
    <t>Proportion Energy Industrial</t>
  </si>
  <si>
    <t>Number of Industrial Customers</t>
  </si>
  <si>
    <t>Revenue from Industrial Customer</t>
  </si>
  <si>
    <t>Industrial (Ergon Energy) Forecast Bill Impact (assumed 74,000,000 kWh annual consumption)</t>
  </si>
  <si>
    <t>Irrigator (Ergon Energy) Forecast Bill Impact (assumed 230,000 kWh annual consumption)</t>
  </si>
  <si>
    <t>Residential Forecast Bill Impact (assumed 5,800 kWh annual consumption)</t>
  </si>
  <si>
    <t>Small Business Forecast Bill Impact (assumed 17,800 kWh annual consumption)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</si>
</sst>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_ ;[Red]\-#,##0\ "/>
    <numFmt numFmtId="167" formatCode="_-&quot;$&quot;* #,##0_-;\-&quot;$&quot;* #,##0_-;_-&quot;$&quot;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Book"/>
    </font>
    <font>
      <b/>
      <sz val="10"/>
      <name val="Avenir Book"/>
    </font>
    <font>
      <sz val="10"/>
      <name val="Avenir Book"/>
    </font>
    <font>
      <b/>
      <sz val="10"/>
      <name val="Avenir Black"/>
    </font>
    <font>
      <sz val="10"/>
      <color rgb="FF000000"/>
      <name val="Avenir Book"/>
    </font>
    <font>
      <sz val="10"/>
      <color theme="1"/>
      <name val="Avenir Black"/>
    </font>
    <font>
      <sz val="10"/>
      <color rgb="FFFBB625"/>
      <name val="Avenir Black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Protection="1">
      <protection locked="0"/>
    </xf>
    <xf numFmtId="164" fontId="6" fillId="0" borderId="0" xfId="1" applyNumberFormat="1" applyFont="1" applyFill="1" applyBorder="1"/>
    <xf numFmtId="164" fontId="6" fillId="0" borderId="3" xfId="1" applyNumberFormat="1" applyFont="1" applyFill="1" applyBorder="1"/>
    <xf numFmtId="164" fontId="6" fillId="0" borderId="4" xfId="1" applyNumberFormat="1" applyFont="1" applyFill="1" applyBorder="1"/>
    <xf numFmtId="164" fontId="6" fillId="0" borderId="5" xfId="1" applyNumberFormat="1" applyFont="1" applyFill="1" applyBorder="1"/>
    <xf numFmtId="164" fontId="6" fillId="0" borderId="5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166" fontId="5" fillId="0" borderId="7" xfId="1" applyNumberFormat="1" applyFont="1" applyFill="1" applyBorder="1" applyAlignment="1" applyProtection="1">
      <alignment horizontal="right"/>
    </xf>
    <xf numFmtId="0" fontId="5" fillId="0" borderId="0" xfId="0" applyFont="1" applyFill="1" applyBorder="1"/>
    <xf numFmtId="166" fontId="5" fillId="0" borderId="0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164" fontId="5" fillId="0" borderId="8" xfId="1" applyNumberFormat="1" applyFont="1" applyFill="1" applyBorder="1"/>
    <xf numFmtId="164" fontId="5" fillId="0" borderId="0" xfId="1" applyNumberFormat="1" applyFont="1" applyFill="1" applyBorder="1"/>
    <xf numFmtId="164" fontId="4" fillId="0" borderId="0" xfId="1" applyNumberFormat="1" applyFont="1" applyFill="1"/>
    <xf numFmtId="9" fontId="4" fillId="0" borderId="0" xfId="3" applyFont="1" applyFill="1"/>
    <xf numFmtId="164" fontId="4" fillId="0" borderId="0" xfId="1" applyNumberFormat="1" applyFont="1" applyFill="1" applyBorder="1"/>
    <xf numFmtId="9" fontId="4" fillId="0" borderId="0" xfId="3" applyFont="1" applyFill="1" applyBorder="1"/>
    <xf numFmtId="0" fontId="4" fillId="0" borderId="0" xfId="0" applyFont="1" applyFill="1" applyAlignment="1">
      <alignment horizontal="left" vertical="center"/>
    </xf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0" fontId="4" fillId="0" borderId="1" xfId="0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9" fontId="4" fillId="0" borderId="2" xfId="3" applyFont="1" applyFill="1" applyBorder="1"/>
    <xf numFmtId="0" fontId="4" fillId="0" borderId="7" xfId="0" applyFont="1" applyFill="1" applyBorder="1"/>
    <xf numFmtId="9" fontId="6" fillId="0" borderId="7" xfId="0" applyNumberFormat="1" applyFont="1" applyFill="1" applyBorder="1" applyAlignment="1">
      <alignment horizontal="right" vertical="center" wrapText="1"/>
    </xf>
    <xf numFmtId="9" fontId="4" fillId="0" borderId="7" xfId="3" applyFont="1" applyFill="1" applyBorder="1"/>
    <xf numFmtId="9" fontId="4" fillId="0" borderId="6" xfId="3" applyFont="1" applyFill="1" applyBorder="1"/>
    <xf numFmtId="9" fontId="4" fillId="0" borderId="8" xfId="3" applyFont="1" applyFill="1" applyBorder="1"/>
    <xf numFmtId="164" fontId="4" fillId="0" borderId="2" xfId="1" applyNumberFormat="1" applyFont="1" applyFill="1" applyBorder="1"/>
    <xf numFmtId="0" fontId="4" fillId="0" borderId="2" xfId="0" applyFont="1" applyFill="1" applyBorder="1"/>
    <xf numFmtId="164" fontId="4" fillId="0" borderId="4" xfId="1" applyNumberFormat="1" applyFont="1" applyFill="1" applyBorder="1"/>
    <xf numFmtId="9" fontId="4" fillId="0" borderId="4" xfId="3" applyFont="1" applyFill="1" applyBorder="1"/>
    <xf numFmtId="164" fontId="4" fillId="0" borderId="3" xfId="1" applyNumberFormat="1" applyFont="1" applyFill="1" applyBorder="1"/>
    <xf numFmtId="164" fontId="4" fillId="0" borderId="5" xfId="1" applyNumberFormat="1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164" fontId="4" fillId="0" borderId="3" xfId="0" applyNumberFormat="1" applyFont="1" applyFill="1" applyBorder="1"/>
    <xf numFmtId="164" fontId="4" fillId="0" borderId="4" xfId="0" applyNumberFormat="1" applyFont="1" applyFill="1" applyBorder="1"/>
    <xf numFmtId="164" fontId="4" fillId="0" borderId="5" xfId="0" applyNumberFormat="1" applyFont="1" applyFill="1" applyBorder="1"/>
    <xf numFmtId="0" fontId="4" fillId="0" borderId="8" xfId="0" applyFont="1" applyFill="1" applyBorder="1"/>
    <xf numFmtId="0" fontId="8" fillId="0" borderId="5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4" fillId="0" borderId="2" xfId="0" applyFont="1" applyBorder="1"/>
    <xf numFmtId="164" fontId="4" fillId="0" borderId="7" xfId="1" applyNumberFormat="1" applyFont="1" applyFill="1" applyBorder="1"/>
    <xf numFmtId="0" fontId="4" fillId="0" borderId="1" xfId="0" applyFont="1" applyBorder="1"/>
    <xf numFmtId="164" fontId="4" fillId="0" borderId="10" xfId="1" applyNumberFormat="1" applyFont="1" applyFill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6" fontId="4" fillId="0" borderId="10" xfId="0" applyNumberFormat="1" applyFont="1" applyFill="1" applyBorder="1"/>
    <xf numFmtId="0" fontId="4" fillId="0" borderId="9" xfId="0" applyFont="1" applyBorder="1"/>
    <xf numFmtId="0" fontId="4" fillId="0" borderId="11" xfId="0" applyFont="1" applyBorder="1"/>
    <xf numFmtId="0" fontId="4" fillId="0" borderId="9" xfId="0" applyFont="1" applyFill="1" applyBorder="1" applyAlignment="1">
      <alignment horizontal="left" vertical="center" indent="1"/>
    </xf>
    <xf numFmtId="0" fontId="4" fillId="0" borderId="11" xfId="0" applyFont="1" applyFill="1" applyBorder="1"/>
    <xf numFmtId="164" fontId="4" fillId="0" borderId="9" xfId="1" applyNumberFormat="1" applyFont="1" applyFill="1" applyBorder="1"/>
    <xf numFmtId="164" fontId="4" fillId="0" borderId="11" xfId="1" applyNumberFormat="1" applyFont="1" applyFill="1" applyBorder="1"/>
    <xf numFmtId="9" fontId="4" fillId="0" borderId="5" xfId="3" applyFont="1" applyFill="1" applyBorder="1"/>
    <xf numFmtId="164" fontId="4" fillId="0" borderId="6" xfId="1" applyNumberFormat="1" applyFont="1" applyFill="1" applyBorder="1"/>
    <xf numFmtId="0" fontId="6" fillId="0" borderId="7" xfId="0" applyFont="1" applyFill="1" applyBorder="1"/>
    <xf numFmtId="164" fontId="6" fillId="0" borderId="4" xfId="1" applyNumberFormat="1" applyFont="1" applyFill="1" applyBorder="1" applyAlignment="1">
      <alignment horizontal="right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165" fontId="7" fillId="0" borderId="9" xfId="0" applyNumberFormat="1" applyFont="1" applyFill="1" applyBorder="1" applyAlignment="1" applyProtection="1">
      <alignment horizontal="right"/>
    </xf>
    <xf numFmtId="165" fontId="7" fillId="0" borderId="10" xfId="0" applyNumberFormat="1" applyFont="1" applyFill="1" applyBorder="1" applyAlignment="1" applyProtection="1">
      <alignment horizontal="right"/>
    </xf>
    <xf numFmtId="165" fontId="7" fillId="0" borderId="11" xfId="0" applyNumberFormat="1" applyFont="1" applyFill="1" applyBorder="1" applyAlignment="1" applyProtection="1">
      <alignment horizontal="right"/>
    </xf>
    <xf numFmtId="0" fontId="4" fillId="0" borderId="9" xfId="0" applyFont="1" applyBorder="1" applyAlignment="1">
      <alignment horizontal="left" indent="1"/>
    </xf>
    <xf numFmtId="165" fontId="7" fillId="0" borderId="1" xfId="0" applyNumberFormat="1" applyFont="1" applyFill="1" applyBorder="1" applyAlignment="1" applyProtection="1">
      <alignment horizontal="right"/>
    </xf>
    <xf numFmtId="165" fontId="7" fillId="0" borderId="2" xfId="0" applyNumberFormat="1" applyFont="1" applyFill="1" applyBorder="1" applyAlignment="1" applyProtection="1">
      <alignment horizontal="right"/>
    </xf>
    <xf numFmtId="164" fontId="6" fillId="0" borderId="7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7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 applyProtection="1">
      <alignment horizontal="right"/>
    </xf>
    <xf numFmtId="165" fontId="7" fillId="0" borderId="7" xfId="0" applyNumberFormat="1" applyFont="1" applyFill="1" applyBorder="1" applyAlignment="1" applyProtection="1">
      <alignment horizontal="right"/>
    </xf>
    <xf numFmtId="165" fontId="7" fillId="0" borderId="8" xfId="0" applyNumberFormat="1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9" fillId="0" borderId="0" xfId="0" applyFont="1" applyFill="1" applyBorder="1"/>
    <xf numFmtId="0" fontId="4" fillId="0" borderId="9" xfId="0" applyFont="1" applyFill="1" applyBorder="1" applyAlignment="1">
      <alignment horizontal="left" indent="1"/>
    </xf>
    <xf numFmtId="0" fontId="4" fillId="0" borderId="6" xfId="0" applyFont="1" applyFill="1" applyBorder="1"/>
    <xf numFmtId="164" fontId="4" fillId="0" borderId="9" xfId="0" applyNumberFormat="1" applyFont="1" applyFill="1" applyBorder="1"/>
    <xf numFmtId="164" fontId="4" fillId="0" borderId="10" xfId="0" applyNumberFormat="1" applyFont="1" applyFill="1" applyBorder="1"/>
    <xf numFmtId="164" fontId="4" fillId="0" borderId="11" xfId="0" applyNumberFormat="1" applyFont="1" applyFill="1" applyBorder="1"/>
    <xf numFmtId="43" fontId="4" fillId="0" borderId="4" xfId="1" applyNumberFormat="1" applyFont="1" applyFill="1" applyBorder="1"/>
    <xf numFmtId="0" fontId="10" fillId="0" borderId="3" xfId="0" applyFont="1" applyBorder="1" applyAlignment="1"/>
    <xf numFmtId="0" fontId="10" fillId="0" borderId="5" xfId="0" applyFont="1" applyBorder="1" applyAlignment="1"/>
    <xf numFmtId="164" fontId="4" fillId="0" borderId="0" xfId="1" applyNumberFormat="1" applyFont="1" applyBorder="1"/>
    <xf numFmtId="43" fontId="4" fillId="0" borderId="0" xfId="0" applyNumberFormat="1" applyFont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166" fontId="4" fillId="0" borderId="10" xfId="0" applyNumberFormat="1" applyFont="1" applyBorder="1"/>
    <xf numFmtId="166" fontId="4" fillId="0" borderId="11" xfId="0" applyNumberFormat="1" applyFont="1" applyBorder="1"/>
    <xf numFmtId="0" fontId="5" fillId="0" borderId="9" xfId="0" applyFont="1" applyFill="1" applyBorder="1" applyAlignment="1">
      <alignment horizontal="left" vertical="center" wrapText="1"/>
    </xf>
    <xf numFmtId="166" fontId="4" fillId="0" borderId="9" xfId="0" applyNumberFormat="1" applyFont="1" applyBorder="1"/>
    <xf numFmtId="0" fontId="4" fillId="0" borderId="5" xfId="0" applyFont="1" applyBorder="1"/>
    <xf numFmtId="164" fontId="4" fillId="0" borderId="9" xfId="1" applyNumberFormat="1" applyFont="1" applyBorder="1"/>
    <xf numFmtId="165" fontId="7" fillId="0" borderId="4" xfId="0" applyNumberFormat="1" applyFont="1" applyFill="1" applyBorder="1" applyAlignment="1" applyProtection="1">
      <alignment horizontal="right"/>
    </xf>
    <xf numFmtId="165" fontId="7" fillId="0" borderId="12" xfId="0" applyNumberFormat="1" applyFont="1" applyFill="1" applyBorder="1" applyAlignment="1" applyProtection="1">
      <alignment horizontal="right"/>
    </xf>
    <xf numFmtId="167" fontId="4" fillId="0" borderId="12" xfId="2" applyNumberFormat="1" applyFont="1" applyBorder="1"/>
    <xf numFmtId="164" fontId="4" fillId="0" borderId="10" xfId="1" applyNumberFormat="1" applyFont="1" applyBorder="1"/>
    <xf numFmtId="164" fontId="4" fillId="0" borderId="13" xfId="1" applyNumberFormat="1" applyFont="1" applyBorder="1"/>
    <xf numFmtId="164" fontId="4" fillId="0" borderId="12" xfId="1" applyNumberFormat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2" xfId="1" applyNumberFormat="1" applyFont="1" applyBorder="1"/>
    <xf numFmtId="9" fontId="4" fillId="0" borderId="0" xfId="0" applyNumberFormat="1" applyFont="1" applyBorder="1"/>
    <xf numFmtId="9" fontId="4" fillId="0" borderId="0" xfId="3" applyFont="1" applyBorder="1"/>
    <xf numFmtId="0" fontId="4" fillId="0" borderId="1" xfId="0" applyFont="1" applyBorder="1" applyAlignment="1">
      <alignment horizontal="left" indent="1"/>
    </xf>
    <xf numFmtId="43" fontId="4" fillId="0" borderId="0" xfId="1" applyNumberFormat="1" applyFont="1" applyBorder="1"/>
    <xf numFmtId="9" fontId="4" fillId="0" borderId="0" xfId="0" applyNumberFormat="1" applyFont="1" applyFill="1" applyBorder="1"/>
    <xf numFmtId="43" fontId="4" fillId="0" borderId="0" xfId="1" applyNumberFormat="1" applyFont="1" applyFill="1" applyBorder="1"/>
    <xf numFmtId="0" fontId="4" fillId="0" borderId="1" xfId="0" applyFont="1" applyFill="1" applyBorder="1" applyAlignment="1">
      <alignment horizontal="left" indent="1"/>
    </xf>
    <xf numFmtId="43" fontId="4" fillId="0" borderId="2" xfId="1" applyNumberFormat="1" applyFont="1" applyFill="1" applyBorder="1"/>
    <xf numFmtId="0" fontId="4" fillId="0" borderId="6" xfId="0" applyFont="1" applyFill="1" applyBorder="1" applyAlignment="1">
      <alignment horizontal="left" indent="1"/>
    </xf>
    <xf numFmtId="43" fontId="4" fillId="0" borderId="7" xfId="1" applyNumberFormat="1" applyFont="1" applyFill="1" applyBorder="1"/>
    <xf numFmtId="43" fontId="4" fillId="0" borderId="8" xfId="1" applyNumberFormat="1" applyFont="1" applyFill="1" applyBorder="1"/>
    <xf numFmtId="9" fontId="4" fillId="0" borderId="2" xfId="3" applyFont="1" applyBorder="1"/>
    <xf numFmtId="43" fontId="4" fillId="0" borderId="2" xfId="1" applyNumberFormat="1" applyFont="1" applyBorder="1"/>
    <xf numFmtId="0" fontId="4" fillId="0" borderId="6" xfId="0" applyFont="1" applyBorder="1" applyAlignment="1">
      <alignment horizontal="left" indent="1"/>
    </xf>
    <xf numFmtId="43" fontId="4" fillId="0" borderId="7" xfId="1" applyNumberFormat="1" applyFont="1" applyBorder="1"/>
    <xf numFmtId="43" fontId="4" fillId="0" borderId="8" xfId="1" applyNumberFormat="1" applyFont="1" applyBorder="1"/>
    <xf numFmtId="0" fontId="4" fillId="0" borderId="3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308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colors>
    <mruColors>
      <color rgb="FFFEE046"/>
      <color rgb="FFF9A81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Energex Forecasts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355600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5626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Ergon Energy Forecasts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355600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6032500" y="38100"/>
          <a:ext cx="69088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Impact of Forecasting</a:t>
          </a:r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 Errors</a:t>
          </a: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workbookViewId="0">
      <selection activeCell="D22" sqref="D22"/>
    </sheetView>
  </sheetViews>
  <sheetFormatPr baseColWidth="10" defaultRowHeight="15" x14ac:dyDescent="0"/>
  <cols>
    <col min="1" max="1" width="18" style="30" customWidth="1"/>
    <col min="2" max="12" width="10.83203125" style="30"/>
    <col min="13" max="13" width="10.83203125" style="30" customWidth="1"/>
    <col min="14" max="16384" width="10.83203125" style="30"/>
  </cols>
  <sheetData>
    <row r="1" spans="1:27" ht="65" customHeight="1"/>
    <row r="2" spans="1:27">
      <c r="A2" s="75"/>
    </row>
    <row r="3" spans="1:27" ht="16" customHeight="1">
      <c r="A3" s="157" t="s">
        <v>39</v>
      </c>
      <c r="B3" s="158"/>
      <c r="C3" s="76" t="s">
        <v>7</v>
      </c>
      <c r="D3" s="77" t="s">
        <v>8</v>
      </c>
      <c r="E3" s="77" t="s">
        <v>9</v>
      </c>
      <c r="F3" s="77" t="s">
        <v>10</v>
      </c>
      <c r="G3" s="77" t="s">
        <v>11</v>
      </c>
      <c r="H3" s="77" t="s">
        <v>12</v>
      </c>
      <c r="I3" s="77" t="s">
        <v>13</v>
      </c>
      <c r="J3" s="77" t="s">
        <v>14</v>
      </c>
      <c r="K3" s="77" t="s">
        <v>15</v>
      </c>
      <c r="L3" s="77" t="s">
        <v>16</v>
      </c>
      <c r="M3" s="76" t="str">
        <f>M70</f>
        <v>2015-16</v>
      </c>
      <c r="N3" s="77" t="str">
        <f>N70</f>
        <v>2016-17</v>
      </c>
      <c r="O3" s="77" t="str">
        <f>O70</f>
        <v>2017-18</v>
      </c>
      <c r="P3" s="77" t="str">
        <f>P70</f>
        <v>2018-19</v>
      </c>
      <c r="Q3" s="78" t="str">
        <f>Q70</f>
        <v>2019-20</v>
      </c>
    </row>
    <row r="4" spans="1:27">
      <c r="A4" s="142" t="s">
        <v>25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1:27">
      <c r="A5" s="79" t="s">
        <v>34</v>
      </c>
      <c r="B5" s="65" t="s">
        <v>41</v>
      </c>
      <c r="C5" s="63">
        <f t="shared" ref="C5:L5" si="0">C53</f>
        <v>1182974.4639999999</v>
      </c>
      <c r="D5" s="63">
        <f t="shared" si="0"/>
        <v>1212064</v>
      </c>
      <c r="E5" s="63">
        <f t="shared" si="0"/>
        <v>1236101</v>
      </c>
      <c r="F5" s="63">
        <f t="shared" si="0"/>
        <v>1263763</v>
      </c>
      <c r="G5" s="63">
        <f t="shared" si="0"/>
        <v>1287436</v>
      </c>
      <c r="H5" s="63">
        <f t="shared" si="0"/>
        <v>1307553</v>
      </c>
      <c r="I5" s="63">
        <f t="shared" si="0"/>
        <v>1326563</v>
      </c>
      <c r="J5" s="63">
        <f t="shared" si="0"/>
        <v>1343864</v>
      </c>
      <c r="K5" s="63">
        <f t="shared" si="0"/>
        <v>1359711</v>
      </c>
      <c r="L5" s="63">
        <f t="shared" si="0"/>
        <v>1407331</v>
      </c>
      <c r="M5" s="60"/>
      <c r="N5" s="61"/>
      <c r="O5" s="61"/>
      <c r="P5" s="61"/>
      <c r="Q5" s="62"/>
    </row>
    <row r="6" spans="1:27">
      <c r="A6" s="66" t="s">
        <v>0</v>
      </c>
      <c r="B6" s="65" t="s">
        <v>41</v>
      </c>
      <c r="C6" s="42"/>
      <c r="D6" s="41"/>
      <c r="E6" s="41"/>
      <c r="F6" s="41"/>
      <c r="G6" s="41"/>
      <c r="H6" s="41"/>
      <c r="I6" s="41"/>
      <c r="J6" s="41"/>
      <c r="K6" s="41"/>
      <c r="L6" s="70"/>
      <c r="M6" s="57">
        <f>M53</f>
        <v>1416045</v>
      </c>
      <c r="N6" s="58">
        <f>N53</f>
        <v>1433673</v>
      </c>
      <c r="O6" s="58">
        <f>O53</f>
        <v>1451219</v>
      </c>
      <c r="P6" s="58">
        <f>P53</f>
        <v>1468801</v>
      </c>
      <c r="Q6" s="59">
        <f>Q53</f>
        <v>1486510</v>
      </c>
    </row>
    <row r="7" spans="1:27">
      <c r="A7" s="79" t="s">
        <v>40</v>
      </c>
      <c r="B7" s="65" t="s">
        <v>41</v>
      </c>
      <c r="C7" s="71"/>
      <c r="D7" s="35"/>
      <c r="E7" s="35"/>
      <c r="F7" s="35"/>
      <c r="G7" s="35"/>
      <c r="H7" s="35"/>
      <c r="I7" s="35"/>
      <c r="J7" s="35"/>
      <c r="K7" s="35"/>
      <c r="L7" s="37"/>
      <c r="M7" s="57">
        <f>M67</f>
        <v>1395229.6002246947</v>
      </c>
      <c r="N7" s="58">
        <f>N67</f>
        <v>1412707.2345062052</v>
      </c>
      <c r="O7" s="58">
        <f>O67</f>
        <v>1430614.1894949775</v>
      </c>
      <c r="P7" s="58">
        <f>P67</f>
        <v>1448631.12961959</v>
      </c>
      <c r="Q7" s="59">
        <f>Q67</f>
        <v>1466910.8505969869</v>
      </c>
    </row>
    <row r="8" spans="1:27">
      <c r="A8" s="145" t="s">
        <v>42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</row>
    <row r="9" spans="1:27">
      <c r="A9" s="79" t="s">
        <v>34</v>
      </c>
      <c r="B9" s="67" t="s">
        <v>18</v>
      </c>
      <c r="C9" s="56">
        <f t="shared" ref="C9:L9" si="1">C25</f>
        <v>19773.620999999999</v>
      </c>
      <c r="D9" s="56">
        <f t="shared" si="1"/>
        <v>20619</v>
      </c>
      <c r="E9" s="56">
        <f t="shared" si="1"/>
        <v>20707</v>
      </c>
      <c r="F9" s="56">
        <f t="shared" si="1"/>
        <v>21155</v>
      </c>
      <c r="G9" s="56">
        <f t="shared" si="1"/>
        <v>21994</v>
      </c>
      <c r="H9" s="56">
        <f t="shared" si="1"/>
        <v>22193</v>
      </c>
      <c r="I9" s="56">
        <f t="shared" si="1"/>
        <v>21454</v>
      </c>
      <c r="J9" s="56">
        <f t="shared" si="1"/>
        <v>21211</v>
      </c>
      <c r="K9" s="56">
        <f t="shared" si="1"/>
        <v>21055</v>
      </c>
      <c r="L9" s="56">
        <f t="shared" si="1"/>
        <v>20628</v>
      </c>
      <c r="M9" s="60"/>
      <c r="N9" s="61"/>
      <c r="O9" s="61"/>
      <c r="P9" s="61"/>
      <c r="Q9" s="62"/>
    </row>
    <row r="10" spans="1:27">
      <c r="A10" s="66" t="s">
        <v>0</v>
      </c>
      <c r="B10" s="67" t="s">
        <v>18</v>
      </c>
      <c r="C10" s="42"/>
      <c r="D10" s="41"/>
      <c r="E10" s="41"/>
      <c r="F10" s="41"/>
      <c r="G10" s="41"/>
      <c r="H10" s="41"/>
      <c r="I10" s="41"/>
      <c r="J10" s="41"/>
      <c r="K10" s="41"/>
      <c r="L10" s="70"/>
      <c r="M10" s="68">
        <f>M25</f>
        <v>20568</v>
      </c>
      <c r="N10" s="56">
        <f>N25</f>
        <v>20505</v>
      </c>
      <c r="O10" s="56">
        <f>O25</f>
        <v>20547</v>
      </c>
      <c r="P10" s="56">
        <f>P25</f>
        <v>20680</v>
      </c>
      <c r="Q10" s="69">
        <f>Q25</f>
        <v>21122</v>
      </c>
    </row>
    <row r="11" spans="1:27">
      <c r="A11" s="79" t="s">
        <v>40</v>
      </c>
      <c r="B11" s="67" t="s">
        <v>18</v>
      </c>
      <c r="C11" s="71"/>
      <c r="D11" s="35"/>
      <c r="E11" s="35"/>
      <c r="F11" s="35"/>
      <c r="G11" s="35"/>
      <c r="H11" s="35"/>
      <c r="I11" s="35"/>
      <c r="J11" s="35"/>
      <c r="K11" s="35"/>
      <c r="L11" s="37"/>
      <c r="M11" s="57">
        <f>M39</f>
        <v>19596.777083811987</v>
      </c>
      <c r="N11" s="58">
        <f>N39</f>
        <v>18887.939487368127</v>
      </c>
      <c r="O11" s="58">
        <f>O39</f>
        <v>18118.143802310467</v>
      </c>
      <c r="P11" s="58">
        <f>P39</f>
        <v>17422.104303471115</v>
      </c>
      <c r="Q11" s="59">
        <f>Q39</f>
        <v>16775.232550485533</v>
      </c>
    </row>
    <row r="12" spans="1:27">
      <c r="A12" s="75"/>
    </row>
    <row r="13" spans="1:27">
      <c r="A13" s="157" t="s">
        <v>32</v>
      </c>
      <c r="B13" s="158"/>
      <c r="C13" s="149" t="s">
        <v>34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8" t="s">
        <v>36</v>
      </c>
      <c r="N13" s="149"/>
      <c r="O13" s="149"/>
      <c r="P13" s="149"/>
      <c r="Q13" s="150"/>
    </row>
    <row r="14" spans="1:27">
      <c r="A14" s="159"/>
      <c r="B14" s="160"/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80" t="s">
        <v>1</v>
      </c>
      <c r="N14" s="18" t="s">
        <v>2</v>
      </c>
      <c r="O14" s="18" t="s">
        <v>3</v>
      </c>
      <c r="P14" s="18" t="s">
        <v>4</v>
      </c>
      <c r="Q14" s="81" t="s">
        <v>5</v>
      </c>
    </row>
    <row r="15" spans="1:27" s="11" customFormat="1" ht="16" customHeight="1">
      <c r="A15" s="163" t="s">
        <v>17</v>
      </c>
      <c r="B15" s="52" t="s">
        <v>18</v>
      </c>
      <c r="C15" s="4">
        <v>7971.7889999999998</v>
      </c>
      <c r="D15" s="4">
        <v>8193</v>
      </c>
      <c r="E15" s="4">
        <v>8060</v>
      </c>
      <c r="F15" s="4">
        <v>8375</v>
      </c>
      <c r="G15" s="4">
        <v>8498</v>
      </c>
      <c r="H15" s="4">
        <v>8652</v>
      </c>
      <c r="I15" s="4">
        <v>8245</v>
      </c>
      <c r="J15" s="4">
        <v>7910</v>
      </c>
      <c r="K15" s="5">
        <v>7610</v>
      </c>
      <c r="L15" s="8">
        <v>7233</v>
      </c>
      <c r="M15" s="7">
        <v>7144</v>
      </c>
      <c r="N15" s="8">
        <v>7100</v>
      </c>
      <c r="O15" s="8">
        <v>7101</v>
      </c>
      <c r="P15" s="8">
        <v>7154</v>
      </c>
      <c r="Q15" s="9">
        <v>7234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s="11" customFormat="1" ht="16" customHeight="1">
      <c r="A16" s="164"/>
      <c r="B16" s="50" t="s">
        <v>27</v>
      </c>
      <c r="C16" s="72"/>
      <c r="D16" s="35">
        <f>D15/C15-1</f>
        <v>2.7749229188078095E-2</v>
      </c>
      <c r="E16" s="35">
        <f t="shared" ref="E16" si="2">E15/D15-1</f>
        <v>-1.6233369949957277E-2</v>
      </c>
      <c r="F16" s="35">
        <f t="shared" ref="F16" si="3">F15/E15-1</f>
        <v>3.9081885856079301E-2</v>
      </c>
      <c r="G16" s="35">
        <f t="shared" ref="G16" si="4">G15/F15-1</f>
        <v>1.4686567164179154E-2</v>
      </c>
      <c r="H16" s="35">
        <f t="shared" ref="H16" si="5">H15/G15-1</f>
        <v>1.8121911037891181E-2</v>
      </c>
      <c r="I16" s="35">
        <f t="shared" ref="I16" si="6">I15/H15-1</f>
        <v>-4.7041146555709679E-2</v>
      </c>
      <c r="J16" s="35">
        <f t="shared" ref="J16" si="7">J15/I15-1</f>
        <v>-4.0630685263796207E-2</v>
      </c>
      <c r="K16" s="35">
        <f t="shared" ref="K16" si="8">K15/J15-1</f>
        <v>-3.7926675094816731E-2</v>
      </c>
      <c r="L16" s="35">
        <f t="shared" ref="L16" si="9">L15/K15-1</f>
        <v>-4.9540078843626767E-2</v>
      </c>
      <c r="M16" s="36">
        <f t="shared" ref="M16" si="10">M15/L15-1</f>
        <v>-1.2304714502972436E-2</v>
      </c>
      <c r="N16" s="35">
        <f t="shared" ref="N16" si="11">N15/M15-1</f>
        <v>-6.1590145576707611E-3</v>
      </c>
      <c r="O16" s="35">
        <f t="shared" ref="O16" si="12">O15/N15-1</f>
        <v>1.4084507042255723E-4</v>
      </c>
      <c r="P16" s="35">
        <f t="shared" ref="P16" si="13">P15/O15-1</f>
        <v>7.4637375017603258E-3</v>
      </c>
      <c r="Q16" s="37">
        <f t="shared" ref="Q16" si="14">Q15/P15-1</f>
        <v>1.1182555213866463E-2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s="11" customFormat="1" ht="16" customHeight="1">
      <c r="A17" s="163" t="s">
        <v>19</v>
      </c>
      <c r="B17" s="52" t="s">
        <v>18</v>
      </c>
      <c r="C17" s="73">
        <v>3951.3529999999996</v>
      </c>
      <c r="D17" s="4">
        <v>4061</v>
      </c>
      <c r="E17" s="4">
        <v>3773</v>
      </c>
      <c r="F17" s="4">
        <v>3511</v>
      </c>
      <c r="G17" s="4">
        <v>3624</v>
      </c>
      <c r="H17" s="4">
        <v>3109</v>
      </c>
      <c r="I17" s="4">
        <v>2675</v>
      </c>
      <c r="J17" s="4">
        <v>2405</v>
      </c>
      <c r="K17" s="5">
        <v>2182</v>
      </c>
      <c r="L17" s="8">
        <v>2145</v>
      </c>
      <c r="M17" s="7">
        <v>2125</v>
      </c>
      <c r="N17" s="8">
        <v>2095</v>
      </c>
      <c r="O17" s="8">
        <v>2075</v>
      </c>
      <c r="P17" s="8">
        <v>2067</v>
      </c>
      <c r="Q17" s="9">
        <v>2060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11" customFormat="1" ht="16" customHeight="1">
      <c r="A18" s="164"/>
      <c r="B18" s="50" t="s">
        <v>27</v>
      </c>
      <c r="C18" s="72"/>
      <c r="D18" s="35">
        <f t="shared" ref="D18:E18" si="15">D17/C17-1</f>
        <v>2.7749229188078317E-2</v>
      </c>
      <c r="E18" s="35">
        <f t="shared" si="15"/>
        <v>-7.0918492982024128E-2</v>
      </c>
      <c r="F18" s="35">
        <f t="shared" ref="F18" si="16">F17/E17-1</f>
        <v>-6.9440763318314391E-2</v>
      </c>
      <c r="G18" s="35">
        <f t="shared" ref="G18" si="17">G17/F17-1</f>
        <v>3.2184562802620276E-2</v>
      </c>
      <c r="H18" s="35">
        <f t="shared" ref="H18" si="18">H17/G17-1</f>
        <v>-0.14210816777041946</v>
      </c>
      <c r="I18" s="35">
        <f t="shared" ref="I18" si="19">I17/H17-1</f>
        <v>-0.1395947249919588</v>
      </c>
      <c r="J18" s="35">
        <f t="shared" ref="J18" si="20">J17/I17-1</f>
        <v>-0.10093457943925233</v>
      </c>
      <c r="K18" s="35">
        <f t="shared" ref="K18" si="21">K17/J17-1</f>
        <v>-9.2723492723492673E-2</v>
      </c>
      <c r="L18" s="35">
        <f t="shared" ref="L18" si="22">L17/K17-1</f>
        <v>-1.6956920256645303E-2</v>
      </c>
      <c r="M18" s="36">
        <f t="shared" ref="M18" si="23">M17/L17-1</f>
        <v>-9.3240093240093413E-3</v>
      </c>
      <c r="N18" s="35">
        <f t="shared" ref="N18" si="24">N17/M17-1</f>
        <v>-1.4117647058823568E-2</v>
      </c>
      <c r="O18" s="35">
        <f t="shared" ref="O18" si="25">O17/N17-1</f>
        <v>-9.5465393794749165E-3</v>
      </c>
      <c r="P18" s="35">
        <f t="shared" ref="P18" si="26">P17/O17-1</f>
        <v>-3.8554216867470181E-3</v>
      </c>
      <c r="Q18" s="37">
        <f t="shared" ref="Q18" si="27">Q17/P17-1</f>
        <v>-3.3865505563618337E-3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1" customFormat="1" ht="16" customHeight="1">
      <c r="A19" s="163" t="s">
        <v>20</v>
      </c>
      <c r="B19" s="52" t="s">
        <v>18</v>
      </c>
      <c r="C19" s="4">
        <v>3154.4659999999999</v>
      </c>
      <c r="D19" s="4">
        <v>3242</v>
      </c>
      <c r="E19" s="4">
        <v>3556</v>
      </c>
      <c r="F19" s="4">
        <v>3844</v>
      </c>
      <c r="G19" s="4">
        <v>4148</v>
      </c>
      <c r="H19" s="4">
        <v>4456</v>
      </c>
      <c r="I19" s="4">
        <v>4660</v>
      </c>
      <c r="J19" s="4">
        <v>5005</v>
      </c>
      <c r="K19" s="4">
        <v>5301</v>
      </c>
      <c r="L19" s="8">
        <v>5310</v>
      </c>
      <c r="M19" s="7">
        <v>5358</v>
      </c>
      <c r="N19" s="8">
        <v>5370</v>
      </c>
      <c r="O19" s="8">
        <v>5402</v>
      </c>
      <c r="P19" s="8">
        <v>5455</v>
      </c>
      <c r="Q19" s="9">
        <v>5509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1" customFormat="1" ht="16" customHeight="1">
      <c r="A20" s="164"/>
      <c r="B20" s="50" t="s">
        <v>27</v>
      </c>
      <c r="C20" s="72"/>
      <c r="D20" s="35">
        <f t="shared" ref="D20:E20" si="28">D19/C19-1</f>
        <v>2.7749229188078095E-2</v>
      </c>
      <c r="E20" s="35">
        <f t="shared" si="28"/>
        <v>9.6853793954349232E-2</v>
      </c>
      <c r="F20" s="35">
        <f t="shared" ref="F20" si="29">F19/E19-1</f>
        <v>8.0989876265466831E-2</v>
      </c>
      <c r="G20" s="35">
        <f t="shared" ref="G20" si="30">G19/F19-1</f>
        <v>7.9084287200832382E-2</v>
      </c>
      <c r="H20" s="35">
        <f t="shared" ref="H20" si="31">H19/G19-1</f>
        <v>7.4252651880424292E-2</v>
      </c>
      <c r="I20" s="35">
        <f t="shared" ref="I20" si="32">I19/H19-1</f>
        <v>4.5780969479353617E-2</v>
      </c>
      <c r="J20" s="35">
        <f t="shared" ref="J20" si="33">J19/I19-1</f>
        <v>7.4034334763948495E-2</v>
      </c>
      <c r="K20" s="35">
        <f t="shared" ref="K20" si="34">K19/J19-1</f>
        <v>5.9140859140859092E-2</v>
      </c>
      <c r="L20" s="35">
        <f t="shared" ref="L20" si="35">L19/K19-1</f>
        <v>1.6977928692698541E-3</v>
      </c>
      <c r="M20" s="36">
        <f t="shared" ref="M20" si="36">M19/L19-1</f>
        <v>9.0395480225988756E-3</v>
      </c>
      <c r="N20" s="35">
        <f t="shared" ref="N20" si="37">N19/M19-1</f>
        <v>2.2396416573349232E-3</v>
      </c>
      <c r="O20" s="35">
        <f t="shared" ref="O20" si="38">O19/N19-1</f>
        <v>5.9590316573556734E-3</v>
      </c>
      <c r="P20" s="35">
        <f t="shared" ref="P20" si="39">P19/O19-1</f>
        <v>9.8111810440577596E-3</v>
      </c>
      <c r="Q20" s="37">
        <f t="shared" ref="Q20" si="40">Q19/P19-1</f>
        <v>9.8991750687442703E-3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s="11" customFormat="1" ht="16" customHeight="1">
      <c r="A21" s="165" t="s">
        <v>21</v>
      </c>
      <c r="B21" s="52" t="s">
        <v>18</v>
      </c>
      <c r="C21" s="73">
        <v>4792.9979999999996</v>
      </c>
      <c r="D21" s="4">
        <v>4926</v>
      </c>
      <c r="E21" s="4">
        <v>5118</v>
      </c>
      <c r="F21" s="4">
        <v>5219</v>
      </c>
      <c r="G21" s="4">
        <v>5504</v>
      </c>
      <c r="H21" s="4">
        <v>5748</v>
      </c>
      <c r="I21" s="4">
        <v>5639</v>
      </c>
      <c r="J21" s="4">
        <v>5651</v>
      </c>
      <c r="K21" s="5">
        <v>5715</v>
      </c>
      <c r="L21" s="8">
        <v>5696</v>
      </c>
      <c r="M21" s="7">
        <v>5696</v>
      </c>
      <c r="N21" s="8">
        <v>5693</v>
      </c>
      <c r="O21" s="8">
        <v>5720</v>
      </c>
      <c r="P21" s="8">
        <v>5753</v>
      </c>
      <c r="Q21" s="9">
        <v>6066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s="11" customFormat="1" ht="16" customHeight="1">
      <c r="A22" s="166"/>
      <c r="B22" s="50" t="s">
        <v>27</v>
      </c>
      <c r="C22" s="74"/>
      <c r="D22" s="35">
        <f t="shared" ref="D22:E22" si="41">D21/C21-1</f>
        <v>2.7749229188078095E-2</v>
      </c>
      <c r="E22" s="35">
        <f t="shared" si="41"/>
        <v>3.897685749086488E-2</v>
      </c>
      <c r="F22" s="35">
        <f t="shared" ref="F22" si="42">F21/E21-1</f>
        <v>1.9734271199687292E-2</v>
      </c>
      <c r="G22" s="35">
        <f t="shared" ref="G22" si="43">G21/F21-1</f>
        <v>5.4608162483234413E-2</v>
      </c>
      <c r="H22" s="35">
        <f t="shared" ref="H22" si="44">H21/G21-1</f>
        <v>4.4331395348837122E-2</v>
      </c>
      <c r="I22" s="35">
        <f t="shared" ref="I22" si="45">I21/H21-1</f>
        <v>-1.8963117606123903E-2</v>
      </c>
      <c r="J22" s="35">
        <f t="shared" ref="J22" si="46">J21/I21-1</f>
        <v>2.1280368859726284E-3</v>
      </c>
      <c r="K22" s="35">
        <f t="shared" ref="K22" si="47">K21/J21-1</f>
        <v>1.1325429127587938E-2</v>
      </c>
      <c r="L22" s="35">
        <f t="shared" ref="L22" si="48">L21/K21-1</f>
        <v>-3.3245844269466085E-3</v>
      </c>
      <c r="M22" s="36">
        <f t="shared" ref="M22" si="49">M21/L21-1</f>
        <v>0</v>
      </c>
      <c r="N22" s="35">
        <f t="shared" ref="N22" si="50">N21/M21-1</f>
        <v>-5.2668539325839703E-4</v>
      </c>
      <c r="O22" s="35">
        <f t="shared" ref="O22" si="51">O21/N21-1</f>
        <v>4.7426664324610179E-3</v>
      </c>
      <c r="P22" s="35">
        <f t="shared" ref="P22" si="52">P21/O21-1</f>
        <v>5.7692307692307487E-3</v>
      </c>
      <c r="Q22" s="37">
        <f t="shared" ref="Q22" si="53">Q21/P21-1</f>
        <v>5.4406396662610712E-2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s="11" customFormat="1" ht="16" customHeight="1">
      <c r="A23" s="163" t="s">
        <v>22</v>
      </c>
      <c r="B23" s="52" t="s">
        <v>18</v>
      </c>
      <c r="C23" s="4">
        <v>189</v>
      </c>
      <c r="D23" s="4">
        <v>197</v>
      </c>
      <c r="E23" s="4">
        <v>200</v>
      </c>
      <c r="F23" s="4">
        <v>206</v>
      </c>
      <c r="G23" s="4">
        <v>220</v>
      </c>
      <c r="H23" s="4">
        <v>228</v>
      </c>
      <c r="I23" s="4">
        <v>235</v>
      </c>
      <c r="J23" s="4">
        <v>240</v>
      </c>
      <c r="K23" s="5">
        <v>247</v>
      </c>
      <c r="L23" s="8">
        <v>244</v>
      </c>
      <c r="M23" s="7">
        <v>245</v>
      </c>
      <c r="N23" s="8">
        <v>247</v>
      </c>
      <c r="O23" s="8">
        <v>249</v>
      </c>
      <c r="P23" s="8">
        <v>251</v>
      </c>
      <c r="Q23" s="9">
        <v>253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s="11" customFormat="1" ht="16" customHeight="1">
      <c r="A24" s="164"/>
      <c r="B24" s="50" t="s">
        <v>27</v>
      </c>
      <c r="C24" s="82"/>
      <c r="D24" s="35">
        <f t="shared" ref="D24:E24" si="54">D23/C23-1</f>
        <v>4.2328042328042326E-2</v>
      </c>
      <c r="E24" s="35">
        <f t="shared" si="54"/>
        <v>1.5228426395939021E-2</v>
      </c>
      <c r="F24" s="35">
        <f t="shared" ref="F24" si="55">F23/E23-1</f>
        <v>3.0000000000000027E-2</v>
      </c>
      <c r="G24" s="35">
        <f t="shared" ref="G24" si="56">G23/F23-1</f>
        <v>6.7961165048543659E-2</v>
      </c>
      <c r="H24" s="35">
        <f t="shared" ref="H24" si="57">H23/G23-1</f>
        <v>3.6363636363636376E-2</v>
      </c>
      <c r="I24" s="35">
        <f t="shared" ref="I24" si="58">I23/H23-1</f>
        <v>3.0701754385964897E-2</v>
      </c>
      <c r="J24" s="35">
        <f t="shared" ref="J24" si="59">J23/I23-1</f>
        <v>2.1276595744680771E-2</v>
      </c>
      <c r="K24" s="35">
        <f t="shared" ref="K24" si="60">K23/J23-1</f>
        <v>2.9166666666666563E-2</v>
      </c>
      <c r="L24" s="35">
        <f t="shared" ref="L24" si="61">L23/K23-1</f>
        <v>-1.2145748987854255E-2</v>
      </c>
      <c r="M24" s="36">
        <f t="shared" ref="M24" si="62">M23/L23-1</f>
        <v>4.098360655737654E-3</v>
      </c>
      <c r="N24" s="35">
        <f t="shared" ref="N24" si="63">N23/M23-1</f>
        <v>8.1632653061225469E-3</v>
      </c>
      <c r="O24" s="35">
        <f t="shared" ref="O24" si="64">O23/N23-1</f>
        <v>8.0971659919029104E-3</v>
      </c>
      <c r="P24" s="35">
        <f t="shared" ref="P24" si="65">P23/O23-1</f>
        <v>8.0321285140563248E-3</v>
      </c>
      <c r="Q24" s="37">
        <f t="shared" ref="Q24" si="66">Q23/P23-1</f>
        <v>7.9681274900398336E-3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s="15" customFormat="1" ht="16" customHeight="1">
      <c r="A25" s="83" t="s">
        <v>23</v>
      </c>
      <c r="B25" s="84" t="s">
        <v>18</v>
      </c>
      <c r="C25" s="14">
        <f>D25*0.959</f>
        <v>19773.620999999999</v>
      </c>
      <c r="D25" s="14">
        <f>D15+D17+D19+D21+D23</f>
        <v>20619</v>
      </c>
      <c r="E25" s="14">
        <f t="shared" ref="E25:Q25" si="67">E15+E17+E19+E21+E23</f>
        <v>20707</v>
      </c>
      <c r="F25" s="14">
        <f t="shared" si="67"/>
        <v>21155</v>
      </c>
      <c r="G25" s="14">
        <f t="shared" si="67"/>
        <v>21994</v>
      </c>
      <c r="H25" s="14">
        <f t="shared" si="67"/>
        <v>22193</v>
      </c>
      <c r="I25" s="14">
        <f t="shared" si="67"/>
        <v>21454</v>
      </c>
      <c r="J25" s="14">
        <f t="shared" si="67"/>
        <v>21211</v>
      </c>
      <c r="K25" s="19">
        <f t="shared" si="67"/>
        <v>21055</v>
      </c>
      <c r="L25" s="85">
        <f t="shared" si="67"/>
        <v>20628</v>
      </c>
      <c r="M25" s="86">
        <f t="shared" si="67"/>
        <v>20568</v>
      </c>
      <c r="N25" s="28">
        <f t="shared" si="67"/>
        <v>20505</v>
      </c>
      <c r="O25" s="28">
        <f t="shared" si="67"/>
        <v>20547</v>
      </c>
      <c r="P25" s="28">
        <f t="shared" si="67"/>
        <v>20680</v>
      </c>
      <c r="Q25" s="20">
        <f t="shared" si="67"/>
        <v>21122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s="15" customFormat="1" ht="16" customHeight="1">
      <c r="A26" s="87"/>
      <c r="B26" s="88"/>
      <c r="C26" s="16"/>
      <c r="D26" s="16"/>
      <c r="E26" s="16"/>
      <c r="F26" s="16"/>
      <c r="G26" s="16"/>
      <c r="H26" s="16"/>
      <c r="I26" s="16"/>
      <c r="J26" s="16"/>
      <c r="K26" s="17"/>
      <c r="L26" s="89"/>
      <c r="M26" s="89"/>
      <c r="N26" s="21"/>
      <c r="O26" s="21"/>
      <c r="P26" s="21"/>
      <c r="Q26" s="21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s="15" customFormat="1" ht="16" customHeight="1">
      <c r="A27" s="153" t="s">
        <v>50</v>
      </c>
      <c r="B27" s="154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148" t="s">
        <v>37</v>
      </c>
      <c r="N27" s="149"/>
      <c r="O27" s="149"/>
      <c r="P27" s="149"/>
      <c r="Q27" s="15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s="15" customFormat="1" ht="16" customHeight="1">
      <c r="A28" s="155"/>
      <c r="B28" s="15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90" t="s">
        <v>1</v>
      </c>
      <c r="N28" s="91" t="s">
        <v>2</v>
      </c>
      <c r="O28" s="91" t="s">
        <v>3</v>
      </c>
      <c r="P28" s="91" t="s">
        <v>4</v>
      </c>
      <c r="Q28" s="92" t="s">
        <v>5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s="15" customFormat="1" ht="16" customHeight="1">
      <c r="A29" s="151" t="s">
        <v>17</v>
      </c>
      <c r="B29" s="93" t="s">
        <v>18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42">
        <f>M57*M84/1000000</f>
        <v>6998.7619823128425</v>
      </c>
      <c r="N29" s="40">
        <f t="shared" ref="N29:Q29" si="68">N57*N84/1000000</f>
        <v>6718.9860320050811</v>
      </c>
      <c r="O29" s="40">
        <f t="shared" si="68"/>
        <v>6445.8031192577064</v>
      </c>
      <c r="P29" s="40">
        <f t="shared" si="68"/>
        <v>6186.3116094932402</v>
      </c>
      <c r="Q29" s="43">
        <f t="shared" si="68"/>
        <v>5937.0222431280354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15" customFormat="1" ht="16" customHeight="1">
      <c r="A30" s="152"/>
      <c r="B30" s="39" t="s">
        <v>27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36">
        <f>M29/L15-1</f>
        <v>-3.238462846497403E-2</v>
      </c>
      <c r="N30" s="35">
        <f>N29/M29-1</f>
        <v>-3.9975062877521284E-2</v>
      </c>
      <c r="O30" s="35">
        <f t="shared" ref="O30" si="69">O29/N29-1</f>
        <v>-4.0658354020398413E-2</v>
      </c>
      <c r="P30" s="35">
        <f t="shared" ref="P30" si="70">P29/O29-1</f>
        <v>-4.0257436499914201E-2</v>
      </c>
      <c r="Q30" s="37">
        <f t="shared" ref="Q30" si="71">Q29/P29-1</f>
        <v>-4.029693007747237E-2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s="15" customFormat="1" ht="16" customHeight="1">
      <c r="A31" s="151" t="s">
        <v>28</v>
      </c>
      <c r="B31" s="93" t="s">
        <v>18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42">
        <f>M59*M86/1000000</f>
        <v>1700.1511544543118</v>
      </c>
      <c r="N31" s="40">
        <f t="shared" ref="N31:Q31" si="72">N59*N86/1000000</f>
        <v>1437.8877088709603</v>
      </c>
      <c r="O31" s="40">
        <f t="shared" si="72"/>
        <v>1174.8826382901184</v>
      </c>
      <c r="P31" s="40">
        <f t="shared" si="72"/>
        <v>959.98401352175779</v>
      </c>
      <c r="Q31" s="43">
        <f t="shared" si="72"/>
        <v>784.39265011061968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s="15" customFormat="1" ht="16" customHeight="1">
      <c r="A32" s="152"/>
      <c r="B32" s="39" t="s">
        <v>27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36">
        <f>M31/L17-1</f>
        <v>-0.20738873918213896</v>
      </c>
      <c r="N32" s="35">
        <f>N31/M31-1</f>
        <v>-0.15425889921389302</v>
      </c>
      <c r="O32" s="35">
        <f t="shared" ref="O32" si="73">O31/N31-1</f>
        <v>-0.18291071615554411</v>
      </c>
      <c r="P32" s="35">
        <f t="shared" ref="P32" si="74">P31/O31-1</f>
        <v>-0.18291071615554411</v>
      </c>
      <c r="Q32" s="37">
        <f t="shared" ref="Q32" si="75">Q31/P31-1</f>
        <v>-0.182910716155544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s="15" customFormat="1" ht="16" customHeight="1">
      <c r="A33" s="151" t="s">
        <v>29</v>
      </c>
      <c r="B33" s="52" t="s">
        <v>18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42">
        <f>M61*M88/1000000</f>
        <v>5342.5405711286776</v>
      </c>
      <c r="N33" s="40">
        <f t="shared" ref="N33:Q33" si="76">N61*N88/1000000</f>
        <v>5221.0388916589827</v>
      </c>
      <c r="O33" s="40">
        <f t="shared" si="76"/>
        <v>5080.5013801526684</v>
      </c>
      <c r="P33" s="40">
        <f t="shared" si="76"/>
        <v>4959.7863379693435</v>
      </c>
      <c r="Q33" s="43">
        <f t="shared" si="76"/>
        <v>4837.2832578768985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s="15" customFormat="1" ht="16" customHeight="1">
      <c r="A34" s="152"/>
      <c r="B34" s="50" t="s">
        <v>27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36">
        <f>M33/L19-1</f>
        <v>6.1281678208431334E-3</v>
      </c>
      <c r="N34" s="35">
        <f>N33/M33-1</f>
        <v>-2.2742303563644484E-2</v>
      </c>
      <c r="O34" s="35">
        <f t="shared" ref="O34" si="77">O33/N33-1</f>
        <v>-2.6917537758784693E-2</v>
      </c>
      <c r="P34" s="35">
        <f t="shared" ref="P34" si="78">P33/O33-1</f>
        <v>-2.376045849626307E-2</v>
      </c>
      <c r="Q34" s="37">
        <f t="shared" ref="Q34" si="79">Q33/P33-1</f>
        <v>-2.469926560235669E-2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s="15" customFormat="1" ht="16" customHeight="1">
      <c r="A35" s="151" t="s">
        <v>30</v>
      </c>
      <c r="B35" s="52" t="s">
        <v>18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42">
        <f>M63*M90/1000000</f>
        <v>5477.7701230228467</v>
      </c>
      <c r="N35" s="40">
        <f t="shared" ref="N35:Q35" si="80">N63*N90/1000000</f>
        <v>5433.4534411247805</v>
      </c>
      <c r="O35" s="40">
        <f t="shared" si="80"/>
        <v>5342.7716195430585</v>
      </c>
      <c r="P35" s="40">
        <f t="shared" si="80"/>
        <v>5243.8715831339196</v>
      </c>
      <c r="Q35" s="43">
        <f t="shared" si="80"/>
        <v>5146.0970544517404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s="15" customFormat="1" ht="16" customHeight="1">
      <c r="A36" s="152"/>
      <c r="B36" s="50" t="s">
        <v>27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6">
        <f>M35/L21-1</f>
        <v>-3.8312829525483316E-2</v>
      </c>
      <c r="N36" s="35">
        <f>N35/M35-1</f>
        <v>-8.0902777777777102E-3</v>
      </c>
      <c r="O36" s="35">
        <f t="shared" ref="O36" si="81">O35/N35-1</f>
        <v>-1.668953687821606E-2</v>
      </c>
      <c r="P36" s="35">
        <f t="shared" ref="P36" si="82">P35/O35-1</f>
        <v>-1.8510998307952664E-2</v>
      </c>
      <c r="Q36" s="37">
        <f t="shared" ref="Q36" si="83">Q35/P35-1</f>
        <v>-1.8645484949832758E-2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s="15" customFormat="1" ht="16" customHeight="1">
      <c r="A37" s="151" t="s">
        <v>22</v>
      </c>
      <c r="B37" s="52" t="s">
        <v>18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2">
        <f>M65*M92/1000000</f>
        <v>77.553252893307757</v>
      </c>
      <c r="N37" s="40">
        <f t="shared" ref="N37:Q37" si="84">N65*N92/1000000</f>
        <v>76.573413708322946</v>
      </c>
      <c r="O37" s="40">
        <f t="shared" si="84"/>
        <v>74.185045066916359</v>
      </c>
      <c r="P37" s="40">
        <f t="shared" si="84"/>
        <v>72.150759352854351</v>
      </c>
      <c r="Q37" s="43">
        <f t="shared" si="84"/>
        <v>70.43734491823983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s="15" customFormat="1" ht="16" customHeight="1">
      <c r="A38" s="152"/>
      <c r="B38" s="50" t="s">
        <v>27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6">
        <f>M37/L23-1</f>
        <v>-0.68215879961759118</v>
      </c>
      <c r="N38" s="35">
        <f>N37/M37-1</f>
        <v>-1.2634404727456139E-2</v>
      </c>
      <c r="O38" s="35">
        <f t="shared" ref="O38" si="85">O37/N37-1</f>
        <v>-3.1190572886095391E-2</v>
      </c>
      <c r="P38" s="35">
        <f t="shared" ref="P38" si="86">P37/O37-1</f>
        <v>-2.742177634625742E-2</v>
      </c>
      <c r="Q38" s="37">
        <f t="shared" ref="Q38" si="87">Q37/P37-1</f>
        <v>-2.3747697875708296E-2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s="15" customFormat="1" ht="16" customHeight="1">
      <c r="A39" s="83" t="s">
        <v>23</v>
      </c>
      <c r="B39" s="84" t="s">
        <v>18</v>
      </c>
      <c r="C39" s="14"/>
      <c r="D39" s="14"/>
      <c r="E39" s="14"/>
      <c r="F39" s="14"/>
      <c r="G39" s="14"/>
      <c r="H39" s="14"/>
      <c r="I39" s="14"/>
      <c r="J39" s="14"/>
      <c r="K39" s="19"/>
      <c r="L39" s="28"/>
      <c r="M39" s="27">
        <f>M29+M31+M33+M35+M37</f>
        <v>19596.777083811987</v>
      </c>
      <c r="N39" s="28">
        <f t="shared" ref="N39:Q39" si="88">N29+N31+N33+N35+N37</f>
        <v>18887.939487368127</v>
      </c>
      <c r="O39" s="28">
        <f t="shared" si="88"/>
        <v>18118.143802310467</v>
      </c>
      <c r="P39" s="28">
        <f t="shared" si="88"/>
        <v>17422.104303471115</v>
      </c>
      <c r="Q39" s="20">
        <f t="shared" si="88"/>
        <v>16775.232550485533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s="15" customFormat="1" ht="16" customHeight="1">
      <c r="A40" s="87"/>
      <c r="B40" s="88"/>
      <c r="C40" s="16"/>
      <c r="D40" s="16"/>
      <c r="E40" s="16"/>
      <c r="F40" s="16"/>
      <c r="G40" s="16"/>
      <c r="H40" s="16"/>
      <c r="I40" s="16"/>
      <c r="J40" s="16"/>
      <c r="K40" s="17"/>
      <c r="L40" s="89"/>
      <c r="M40" s="89"/>
      <c r="N40" s="21"/>
      <c r="O40" s="21"/>
      <c r="P40" s="21"/>
      <c r="Q40" s="21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>
      <c r="A41" s="153" t="s">
        <v>31</v>
      </c>
      <c r="B41" s="154"/>
      <c r="C41" s="149" t="s">
        <v>34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48" t="s">
        <v>36</v>
      </c>
      <c r="N41" s="149"/>
      <c r="O41" s="149"/>
      <c r="P41" s="149"/>
      <c r="Q41" s="150"/>
    </row>
    <row r="42" spans="1:27">
      <c r="A42" s="161"/>
      <c r="B42" s="162"/>
      <c r="C42" s="18" t="s">
        <v>7</v>
      </c>
      <c r="D42" s="18" t="s">
        <v>8</v>
      </c>
      <c r="E42" s="18" t="s">
        <v>9</v>
      </c>
      <c r="F42" s="18" t="s">
        <v>10</v>
      </c>
      <c r="G42" s="18" t="s">
        <v>11</v>
      </c>
      <c r="H42" s="18" t="s">
        <v>12</v>
      </c>
      <c r="I42" s="18" t="s">
        <v>13</v>
      </c>
      <c r="J42" s="18" t="s">
        <v>14</v>
      </c>
      <c r="K42" s="18" t="s">
        <v>15</v>
      </c>
      <c r="L42" s="18" t="s">
        <v>16</v>
      </c>
      <c r="M42" s="80" t="s">
        <v>1</v>
      </c>
      <c r="N42" s="18" t="s">
        <v>2</v>
      </c>
      <c r="O42" s="18" t="s">
        <v>3</v>
      </c>
      <c r="P42" s="18" t="s">
        <v>4</v>
      </c>
      <c r="Q42" s="81" t="s">
        <v>5</v>
      </c>
    </row>
    <row r="43" spans="1:27" ht="15" customHeight="1">
      <c r="A43" s="163" t="s">
        <v>17</v>
      </c>
      <c r="B43" s="52" t="s">
        <v>24</v>
      </c>
      <c r="C43" s="4">
        <v>1069155.2959999999</v>
      </c>
      <c r="D43" s="4">
        <v>1095446</v>
      </c>
      <c r="E43" s="4">
        <v>1119015</v>
      </c>
      <c r="F43" s="4">
        <v>1143910</v>
      </c>
      <c r="G43" s="4">
        <v>1166386</v>
      </c>
      <c r="H43" s="4">
        <v>1186164</v>
      </c>
      <c r="I43" s="4">
        <v>1204327</v>
      </c>
      <c r="J43" s="4">
        <v>1220644</v>
      </c>
      <c r="K43" s="5">
        <v>1236601</v>
      </c>
      <c r="L43" s="4">
        <v>1270722</v>
      </c>
      <c r="M43" s="3">
        <v>1287746</v>
      </c>
      <c r="N43" s="4">
        <v>1303776</v>
      </c>
      <c r="O43" s="4">
        <v>1319733</v>
      </c>
      <c r="P43" s="4">
        <v>1335722</v>
      </c>
      <c r="Q43" s="10">
        <v>1351827</v>
      </c>
    </row>
    <row r="44" spans="1:27" ht="15" customHeight="1">
      <c r="A44" s="164"/>
      <c r="B44" s="50" t="s">
        <v>27</v>
      </c>
      <c r="C44" s="34"/>
      <c r="D44" s="35">
        <f>D43/C43-1</f>
        <v>2.4590163934426368E-2</v>
      </c>
      <c r="E44" s="35">
        <f t="shared" ref="E44" si="89">E43/D43-1</f>
        <v>2.1515437547811489E-2</v>
      </c>
      <c r="F44" s="35">
        <f t="shared" ref="F44" si="90">F43/E43-1</f>
        <v>2.2247244228182916E-2</v>
      </c>
      <c r="G44" s="35">
        <f t="shared" ref="G44" si="91">G43/F43-1</f>
        <v>1.9648398912501808E-2</v>
      </c>
      <c r="H44" s="35">
        <f t="shared" ref="H44" si="92">H43/G43-1</f>
        <v>1.695665071425756E-2</v>
      </c>
      <c r="I44" s="35">
        <f t="shared" ref="I44" si="93">I43/H43-1</f>
        <v>1.5312385133927409E-2</v>
      </c>
      <c r="J44" s="35">
        <f t="shared" ref="J44" si="94">J43/I43-1</f>
        <v>1.3548645841204188E-2</v>
      </c>
      <c r="K44" s="35">
        <f t="shared" ref="K44" si="95">K43/J43-1</f>
        <v>1.3072607574362349E-2</v>
      </c>
      <c r="L44" s="35">
        <f t="shared" ref="L44" si="96">L43/K43-1</f>
        <v>2.7592570279338258E-2</v>
      </c>
      <c r="M44" s="36">
        <f t="shared" ref="M44" si="97">M43/L43-1</f>
        <v>1.3397108100749122E-2</v>
      </c>
      <c r="N44" s="35">
        <f t="shared" ref="N44" si="98">N43/M43-1</f>
        <v>1.244810700246779E-2</v>
      </c>
      <c r="O44" s="35">
        <f t="shared" ref="O44" si="99">O43/N43-1</f>
        <v>1.2239065606361788E-2</v>
      </c>
      <c r="P44" s="35">
        <f t="shared" ref="P44" si="100">P43/O43-1</f>
        <v>1.2115329388596052E-2</v>
      </c>
      <c r="Q44" s="37">
        <f t="shared" ref="Q44" si="101">Q43/P43-1</f>
        <v>1.2057149616462093E-2</v>
      </c>
    </row>
    <row r="45" spans="1:27" ht="15" customHeight="1">
      <c r="A45" s="163" t="s">
        <v>19</v>
      </c>
      <c r="B45" s="52" t="s">
        <v>24</v>
      </c>
      <c r="C45" s="4">
        <v>105481.2</v>
      </c>
      <c r="D45" s="4">
        <v>108075</v>
      </c>
      <c r="E45" s="4">
        <v>108135</v>
      </c>
      <c r="F45" s="4">
        <v>110585</v>
      </c>
      <c r="G45" s="4">
        <v>111489</v>
      </c>
      <c r="H45" s="4">
        <v>111087</v>
      </c>
      <c r="I45" s="4">
        <v>110837</v>
      </c>
      <c r="J45" s="4">
        <v>110993</v>
      </c>
      <c r="K45" s="5">
        <v>110126</v>
      </c>
      <c r="L45" s="4">
        <v>122758</v>
      </c>
      <c r="M45" s="3">
        <v>114264</v>
      </c>
      <c r="N45" s="4">
        <v>115687</v>
      </c>
      <c r="O45" s="4">
        <v>117102</v>
      </c>
      <c r="P45" s="4">
        <v>118521</v>
      </c>
      <c r="Q45" s="10">
        <v>119950</v>
      </c>
    </row>
    <row r="46" spans="1:27" ht="15" customHeight="1">
      <c r="A46" s="164"/>
      <c r="B46" s="50" t="s">
        <v>27</v>
      </c>
      <c r="C46" s="34"/>
      <c r="D46" s="35">
        <f>D45/C45-1</f>
        <v>2.4590163934426368E-2</v>
      </c>
      <c r="E46" s="35">
        <f t="shared" ref="E46" si="102">E45/D45-1</f>
        <v>5.5517002081884037E-4</v>
      </c>
      <c r="F46" s="35">
        <f t="shared" ref="F46" si="103">F45/E45-1</f>
        <v>2.2656864105053964E-2</v>
      </c>
      <c r="G46" s="35">
        <f t="shared" ref="G46" si="104">G45/F45-1</f>
        <v>8.1747072387756692E-3</v>
      </c>
      <c r="H46" s="35">
        <f t="shared" ref="H46" si="105">H45/G45-1</f>
        <v>-3.6057368888410268E-3</v>
      </c>
      <c r="I46" s="35">
        <f t="shared" ref="I46" si="106">I45/H45-1</f>
        <v>-2.2504883559733013E-3</v>
      </c>
      <c r="J46" s="35">
        <f t="shared" ref="J46" si="107">J45/I45-1</f>
        <v>1.4074722340011725E-3</v>
      </c>
      <c r="K46" s="35">
        <f t="shared" ref="K46" si="108">K45/J45-1</f>
        <v>-7.8113034155307126E-3</v>
      </c>
      <c r="L46" s="35">
        <f t="shared" ref="L46" si="109">L45/K45-1</f>
        <v>0.11470497430216309</v>
      </c>
      <c r="M46" s="36">
        <f t="shared" ref="M46" si="110">M45/L45-1</f>
        <v>-6.9193046481695664E-2</v>
      </c>
      <c r="N46" s="35">
        <f t="shared" ref="N46" si="111">N45/M45-1</f>
        <v>1.2453616187075633E-2</v>
      </c>
      <c r="O46" s="35">
        <f t="shared" ref="O46" si="112">O45/N45-1</f>
        <v>1.2231279227570946E-2</v>
      </c>
      <c r="P46" s="35">
        <f t="shared" ref="P46" si="113">P45/O45-1</f>
        <v>1.2117641030896076E-2</v>
      </c>
      <c r="Q46" s="37">
        <f t="shared" ref="Q46" si="114">Q45/P45-1</f>
        <v>1.2056935057922269E-2</v>
      </c>
    </row>
    <row r="47" spans="1:27" ht="15" customHeight="1">
      <c r="A47" s="163" t="s">
        <v>20</v>
      </c>
      <c r="B47" s="52" t="s">
        <v>24</v>
      </c>
      <c r="C47" s="4">
        <v>5127.9039999999995</v>
      </c>
      <c r="D47" s="4">
        <v>5254</v>
      </c>
      <c r="E47" s="4">
        <v>5659</v>
      </c>
      <c r="F47" s="4">
        <v>5983</v>
      </c>
      <c r="G47" s="4">
        <v>6261</v>
      </c>
      <c r="H47" s="4">
        <v>6980</v>
      </c>
      <c r="I47" s="4">
        <v>8070</v>
      </c>
      <c r="J47" s="4">
        <v>8906</v>
      </c>
      <c r="K47" s="5">
        <v>9656</v>
      </c>
      <c r="L47" s="4">
        <v>10435</v>
      </c>
      <c r="M47" s="3">
        <v>10574</v>
      </c>
      <c r="N47" s="4">
        <v>10706</v>
      </c>
      <c r="O47" s="4">
        <v>10837</v>
      </c>
      <c r="P47" s="4">
        <v>10968</v>
      </c>
      <c r="Q47" s="10">
        <v>11100</v>
      </c>
    </row>
    <row r="48" spans="1:27" ht="15" customHeight="1">
      <c r="A48" s="164"/>
      <c r="B48" s="50" t="s">
        <v>27</v>
      </c>
      <c r="C48" s="34"/>
      <c r="D48" s="35">
        <f>D47/C47-1</f>
        <v>2.4590163934426368E-2</v>
      </c>
      <c r="E48" s="35">
        <f t="shared" ref="E48" si="115">E47/D47-1</f>
        <v>7.7084126379900919E-2</v>
      </c>
      <c r="F48" s="35">
        <f t="shared" ref="F48" si="116">F47/E47-1</f>
        <v>5.7253931790068879E-2</v>
      </c>
      <c r="G48" s="35">
        <f t="shared" ref="G48" si="117">G47/F47-1</f>
        <v>4.6464984121677988E-2</v>
      </c>
      <c r="H48" s="35">
        <f t="shared" ref="H48" si="118">H47/G47-1</f>
        <v>0.11483788532183348</v>
      </c>
      <c r="I48" s="35">
        <f t="shared" ref="I48" si="119">I47/H47-1</f>
        <v>0.15616045845272208</v>
      </c>
      <c r="J48" s="35">
        <f t="shared" ref="J48" si="120">J47/I47-1</f>
        <v>0.10359355638166057</v>
      </c>
      <c r="K48" s="35">
        <f t="shared" ref="K48" si="121">K47/J47-1</f>
        <v>8.421289018639122E-2</v>
      </c>
      <c r="L48" s="35">
        <f t="shared" ref="L48" si="122">L47/K47-1</f>
        <v>8.0675227837613939E-2</v>
      </c>
      <c r="M48" s="36">
        <f t="shared" ref="M48" si="123">M47/L47-1</f>
        <v>1.3320555821753732E-2</v>
      </c>
      <c r="N48" s="35">
        <f t="shared" ref="N48" si="124">N47/M47-1</f>
        <v>1.2483449971628424E-2</v>
      </c>
      <c r="O48" s="35">
        <f t="shared" ref="O48" si="125">O47/N47-1</f>
        <v>1.2236129273304641E-2</v>
      </c>
      <c r="P48" s="35">
        <f t="shared" ref="P48" si="126">P47/O47-1</f>
        <v>1.2088216296022969E-2</v>
      </c>
      <c r="Q48" s="37">
        <f t="shared" ref="Q48" si="127">Q47/P47-1</f>
        <v>1.2035010940919078E-2</v>
      </c>
    </row>
    <row r="49" spans="1:17" ht="15" customHeight="1">
      <c r="A49" s="165" t="s">
        <v>21</v>
      </c>
      <c r="B49" s="52" t="s">
        <v>24</v>
      </c>
      <c r="C49" s="4">
        <v>446.03199999999993</v>
      </c>
      <c r="D49" s="4">
        <v>457</v>
      </c>
      <c r="E49" s="4">
        <v>462</v>
      </c>
      <c r="F49" s="4">
        <v>458</v>
      </c>
      <c r="G49" s="4">
        <v>475</v>
      </c>
      <c r="H49" s="4">
        <v>500</v>
      </c>
      <c r="I49" s="4">
        <v>508</v>
      </c>
      <c r="J49" s="4">
        <v>506</v>
      </c>
      <c r="K49" s="5">
        <v>525</v>
      </c>
      <c r="L49" s="4">
        <v>569</v>
      </c>
      <c r="M49" s="3">
        <v>576</v>
      </c>
      <c r="N49" s="4">
        <v>583</v>
      </c>
      <c r="O49" s="4">
        <v>591</v>
      </c>
      <c r="P49" s="4">
        <v>598</v>
      </c>
      <c r="Q49" s="10">
        <v>605</v>
      </c>
    </row>
    <row r="50" spans="1:17" ht="15" customHeight="1">
      <c r="A50" s="166"/>
      <c r="B50" s="50" t="s">
        <v>27</v>
      </c>
      <c r="C50" s="34"/>
      <c r="D50" s="35">
        <f>D49/C49-1</f>
        <v>2.4590163934426368E-2</v>
      </c>
      <c r="E50" s="35">
        <f t="shared" ref="E50" si="128">E49/D49-1</f>
        <v>1.0940919037199182E-2</v>
      </c>
      <c r="F50" s="35">
        <f t="shared" ref="F50" si="129">F49/E49-1</f>
        <v>-8.6580086580086979E-3</v>
      </c>
      <c r="G50" s="35">
        <f t="shared" ref="G50" si="130">G49/F49-1</f>
        <v>3.7117903930131035E-2</v>
      </c>
      <c r="H50" s="35">
        <f t="shared" ref="H50" si="131">H49/G49-1</f>
        <v>5.2631578947368363E-2</v>
      </c>
      <c r="I50" s="35">
        <f t="shared" ref="I50" si="132">I49/H49-1</f>
        <v>1.6000000000000014E-2</v>
      </c>
      <c r="J50" s="35">
        <f t="shared" ref="J50" si="133">J49/I49-1</f>
        <v>-3.937007874015741E-3</v>
      </c>
      <c r="K50" s="35">
        <f t="shared" ref="K50" si="134">K49/J49-1</f>
        <v>3.7549407114624511E-2</v>
      </c>
      <c r="L50" s="35">
        <f t="shared" ref="L50" si="135">L49/K49-1</f>
        <v>8.3809523809523778E-2</v>
      </c>
      <c r="M50" s="36">
        <f t="shared" ref="M50" si="136">M49/L49-1</f>
        <v>1.2302284710017597E-2</v>
      </c>
      <c r="N50" s="35">
        <f t="shared" ref="N50" si="137">N49/M49-1</f>
        <v>1.2152777777777679E-2</v>
      </c>
      <c r="O50" s="35">
        <f t="shared" ref="O50" si="138">O49/N49-1</f>
        <v>1.3722126929674117E-2</v>
      </c>
      <c r="P50" s="35">
        <f t="shared" ref="P50" si="139">P49/O49-1</f>
        <v>1.1844331641285955E-2</v>
      </c>
      <c r="Q50" s="37">
        <f t="shared" ref="Q50" si="140">Q49/P49-1</f>
        <v>1.17056856187292E-2</v>
      </c>
    </row>
    <row r="51" spans="1:17" ht="15" customHeight="1">
      <c r="A51" s="163" t="s">
        <v>22</v>
      </c>
      <c r="B51" s="52" t="s">
        <v>24</v>
      </c>
      <c r="C51" s="4">
        <v>2764.0320000000002</v>
      </c>
      <c r="D51" s="4">
        <v>2832</v>
      </c>
      <c r="E51" s="4">
        <v>2830</v>
      </c>
      <c r="F51" s="4">
        <v>2827</v>
      </c>
      <c r="G51" s="4">
        <v>2825</v>
      </c>
      <c r="H51" s="4">
        <v>2822</v>
      </c>
      <c r="I51" s="4">
        <v>2821</v>
      </c>
      <c r="J51" s="4">
        <v>2815</v>
      </c>
      <c r="K51" s="5">
        <v>2803</v>
      </c>
      <c r="L51" s="4">
        <v>2847</v>
      </c>
      <c r="M51" s="3">
        <v>2885</v>
      </c>
      <c r="N51" s="4">
        <v>2921</v>
      </c>
      <c r="O51" s="4">
        <v>2956</v>
      </c>
      <c r="P51" s="4">
        <v>2992</v>
      </c>
      <c r="Q51" s="10">
        <v>3028</v>
      </c>
    </row>
    <row r="52" spans="1:17" ht="15" customHeight="1">
      <c r="A52" s="164"/>
      <c r="B52" s="50" t="s">
        <v>27</v>
      </c>
      <c r="C52" s="34"/>
      <c r="D52" s="35">
        <f>D51/C51-1</f>
        <v>2.4590163934426146E-2</v>
      </c>
      <c r="E52" s="35">
        <f t="shared" ref="E52" si="141">E51/D51-1</f>
        <v>-7.0621468926557185E-4</v>
      </c>
      <c r="F52" s="35">
        <f t="shared" ref="F52" si="142">F51/E51-1</f>
        <v>-1.0600706713781438E-3</v>
      </c>
      <c r="G52" s="35">
        <f t="shared" ref="G52" si="143">G51/F51-1</f>
        <v>-7.0746374248320532E-4</v>
      </c>
      <c r="H52" s="35">
        <f t="shared" ref="H52" si="144">H51/G51-1</f>
        <v>-1.0619469026548201E-3</v>
      </c>
      <c r="I52" s="35">
        <f t="shared" ref="I52" si="145">I51/H51-1</f>
        <v>-3.5435861091426268E-4</v>
      </c>
      <c r="J52" s="35">
        <f t="shared" ref="J52" si="146">J51/I51-1</f>
        <v>-2.126905352711761E-3</v>
      </c>
      <c r="K52" s="35">
        <f t="shared" ref="K52" si="147">K51/J51-1</f>
        <v>-4.2628774422734939E-3</v>
      </c>
      <c r="L52" s="35">
        <f t="shared" ref="L52" si="148">L51/K51-1</f>
        <v>1.569746699964325E-2</v>
      </c>
      <c r="M52" s="36">
        <f t="shared" ref="M52" si="149">M51/L51-1</f>
        <v>1.3347383210396968E-2</v>
      </c>
      <c r="N52" s="35">
        <f t="shared" ref="N52" si="150">N51/M51-1</f>
        <v>1.2478336221837028E-2</v>
      </c>
      <c r="O52" s="35">
        <f t="shared" ref="O52" si="151">O51/N51-1</f>
        <v>1.198219787743926E-2</v>
      </c>
      <c r="P52" s="35">
        <f t="shared" ref="P52" si="152">P51/O51-1</f>
        <v>1.2178619756427533E-2</v>
      </c>
      <c r="Q52" s="37">
        <f t="shared" ref="Q52" si="153">Q51/P51-1</f>
        <v>1.2032085561497263E-2</v>
      </c>
    </row>
    <row r="53" spans="1:17" ht="15" customHeight="1">
      <c r="A53" s="83" t="s">
        <v>25</v>
      </c>
      <c r="B53" s="84" t="s">
        <v>24</v>
      </c>
      <c r="C53" s="14">
        <v>1182974.4639999999</v>
      </c>
      <c r="D53" s="14">
        <f>D43+D45+D47+D49+D51</f>
        <v>1212064</v>
      </c>
      <c r="E53" s="14">
        <f t="shared" ref="E53:Q53" si="154">E43+E45+E47+E49+E51</f>
        <v>1236101</v>
      </c>
      <c r="F53" s="14">
        <f t="shared" si="154"/>
        <v>1263763</v>
      </c>
      <c r="G53" s="14">
        <f t="shared" si="154"/>
        <v>1287436</v>
      </c>
      <c r="H53" s="14">
        <f t="shared" si="154"/>
        <v>1307553</v>
      </c>
      <c r="I53" s="14">
        <f t="shared" si="154"/>
        <v>1326563</v>
      </c>
      <c r="J53" s="14">
        <f t="shared" si="154"/>
        <v>1343864</v>
      </c>
      <c r="K53" s="19">
        <f t="shared" si="154"/>
        <v>1359711</v>
      </c>
      <c r="L53" s="28">
        <f t="shared" si="154"/>
        <v>1407331</v>
      </c>
      <c r="M53" s="27">
        <f t="shared" si="154"/>
        <v>1416045</v>
      </c>
      <c r="N53" s="28">
        <f t="shared" si="154"/>
        <v>1433673</v>
      </c>
      <c r="O53" s="28">
        <f t="shared" si="154"/>
        <v>1451219</v>
      </c>
      <c r="P53" s="28">
        <f t="shared" si="154"/>
        <v>1468801</v>
      </c>
      <c r="Q53" s="20">
        <f t="shared" si="154"/>
        <v>1486510</v>
      </c>
    </row>
    <row r="54" spans="1:17" ht="15" customHeight="1">
      <c r="A54" s="87"/>
      <c r="B54" s="88"/>
      <c r="C54" s="16"/>
      <c r="D54" s="16"/>
      <c r="E54" s="16"/>
      <c r="F54" s="16"/>
      <c r="G54" s="16"/>
      <c r="H54" s="16"/>
      <c r="I54" s="16"/>
      <c r="J54" s="16"/>
      <c r="K54" s="17"/>
      <c r="L54" s="21"/>
      <c r="M54" s="21"/>
      <c r="N54" s="21"/>
      <c r="O54" s="21"/>
      <c r="P54" s="21"/>
      <c r="Q54" s="21"/>
    </row>
    <row r="55" spans="1:17" ht="16" customHeight="1">
      <c r="A55" s="153" t="s">
        <v>38</v>
      </c>
      <c r="B55" s="154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148" t="s">
        <v>37</v>
      </c>
      <c r="N55" s="149"/>
      <c r="O55" s="149"/>
      <c r="P55" s="149"/>
      <c r="Q55" s="150"/>
    </row>
    <row r="56" spans="1:17">
      <c r="A56" s="161"/>
      <c r="B56" s="162"/>
      <c r="C56" s="2"/>
      <c r="D56" s="2"/>
      <c r="E56" s="2"/>
      <c r="F56" s="2"/>
      <c r="G56" s="2"/>
      <c r="H56" s="2"/>
      <c r="I56" s="2"/>
      <c r="J56" s="2"/>
      <c r="K56" s="2"/>
      <c r="L56" s="2"/>
      <c r="M56" s="80" t="s">
        <v>1</v>
      </c>
      <c r="N56" s="18" t="s">
        <v>2</v>
      </c>
      <c r="O56" s="18" t="s">
        <v>3</v>
      </c>
      <c r="P56" s="18" t="s">
        <v>4</v>
      </c>
      <c r="Q56" s="81" t="s">
        <v>5</v>
      </c>
    </row>
    <row r="57" spans="1:17">
      <c r="A57" s="151" t="s">
        <v>17</v>
      </c>
      <c r="B57" s="52" t="s">
        <v>24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2">
        <v>1270854.9553956462</v>
      </c>
      <c r="N57" s="40">
        <v>1288046.8827253503</v>
      </c>
      <c r="O57" s="40">
        <v>1305666.8349632679</v>
      </c>
      <c r="P57" s="40">
        <v>1323397.9983225581</v>
      </c>
      <c r="Q57" s="43">
        <v>1341390.7375770437</v>
      </c>
    </row>
    <row r="58" spans="1:17">
      <c r="A58" s="152"/>
      <c r="B58" s="50" t="s">
        <v>27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6">
        <f>M57/L43-1</f>
        <v>1.0462980545411504E-4</v>
      </c>
      <c r="N58" s="35">
        <f>N57/M57-1</f>
        <v>1.3527843800516193E-2</v>
      </c>
      <c r="O58" s="35">
        <f t="shared" ref="O58" si="155">O57/N57-1</f>
        <v>1.3679589209234289E-2</v>
      </c>
      <c r="P58" s="35">
        <f t="shared" ref="P58" si="156">P57/O57-1</f>
        <v>1.3580159106812983E-2</v>
      </c>
      <c r="Q58" s="37">
        <f t="shared" ref="Q58" si="157">Q57/P57-1</f>
        <v>1.3595864038854488E-2</v>
      </c>
    </row>
    <row r="59" spans="1:17">
      <c r="A59" s="151" t="s">
        <v>28</v>
      </c>
      <c r="B59" s="52" t="s">
        <v>24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7">
        <f>K45*(1+J46*2)</f>
        <v>110435.99857448322</v>
      </c>
      <c r="N59" s="48">
        <f>M59*(1+$J$46)</f>
        <v>110591.434176111</v>
      </c>
      <c r="O59" s="48">
        <f t="shared" ref="O59:Q59" si="158">N59*(1+$J$46)</f>
        <v>110747.08854903224</v>
      </c>
      <c r="P59" s="48">
        <f t="shared" si="158"/>
        <v>110902.96200116148</v>
      </c>
      <c r="Q59" s="49">
        <f t="shared" si="158"/>
        <v>111059.0548408466</v>
      </c>
    </row>
    <row r="60" spans="1:17">
      <c r="A60" s="152"/>
      <c r="B60" s="50" t="s">
        <v>27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6">
        <f>M59/L45-1</f>
        <v>-0.10037636182991561</v>
      </c>
      <c r="N60" s="35">
        <f>N59/M59-1</f>
        <v>1.4074722340011725E-3</v>
      </c>
      <c r="O60" s="35">
        <f t="shared" ref="O60" si="159">O59/N59-1</f>
        <v>1.4074722340011725E-3</v>
      </c>
      <c r="P60" s="35">
        <f t="shared" ref="P60" si="160">P59/O59-1</f>
        <v>1.4074722340011725E-3</v>
      </c>
      <c r="Q60" s="37">
        <f t="shared" ref="Q60" si="161">Q59/P59-1</f>
        <v>1.4074722340011725E-3</v>
      </c>
    </row>
    <row r="61" spans="1:17">
      <c r="A61" s="151" t="s">
        <v>29</v>
      </c>
      <c r="B61" s="52" t="s">
        <v>24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4">
        <v>10574</v>
      </c>
      <c r="N61" s="45">
        <v>10706</v>
      </c>
      <c r="O61" s="45">
        <v>10837</v>
      </c>
      <c r="P61" s="45">
        <v>10968</v>
      </c>
      <c r="Q61" s="46">
        <v>11100</v>
      </c>
    </row>
    <row r="62" spans="1:17">
      <c r="A62" s="152"/>
      <c r="B62" s="50" t="s">
        <v>27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6">
        <f>M61/L47-1</f>
        <v>1.3320555821753732E-2</v>
      </c>
      <c r="N62" s="35">
        <f>N61/M61-1</f>
        <v>1.2483449971628424E-2</v>
      </c>
      <c r="O62" s="35">
        <f t="shared" ref="O62" si="162">O61/N61-1</f>
        <v>1.2236129273304641E-2</v>
      </c>
      <c r="P62" s="35">
        <f t="shared" ref="P62" si="163">P61/O61-1</f>
        <v>1.2088216296022969E-2</v>
      </c>
      <c r="Q62" s="37">
        <f t="shared" ref="Q62" si="164">Q61/P61-1</f>
        <v>1.2035010940919078E-2</v>
      </c>
    </row>
    <row r="63" spans="1:17">
      <c r="A63" s="151" t="s">
        <v>30</v>
      </c>
      <c r="B63" s="52" t="s">
        <v>24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4">
        <v>576</v>
      </c>
      <c r="N63" s="45">
        <v>583</v>
      </c>
      <c r="O63" s="45">
        <v>591</v>
      </c>
      <c r="P63" s="45">
        <v>598</v>
      </c>
      <c r="Q63" s="46">
        <v>605</v>
      </c>
    </row>
    <row r="64" spans="1:17">
      <c r="A64" s="152"/>
      <c r="B64" s="50" t="s">
        <v>27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6">
        <f>M63/L49-1</f>
        <v>1.2302284710017597E-2</v>
      </c>
      <c r="N64" s="35">
        <f>N63/M63-1</f>
        <v>1.2152777777777679E-2</v>
      </c>
      <c r="O64" s="35">
        <f t="shared" ref="O64" si="165">O63/N63-1</f>
        <v>1.3722126929674117E-2</v>
      </c>
      <c r="P64" s="35">
        <f t="shared" ref="P64" si="166">P63/O63-1</f>
        <v>1.1844331641285955E-2</v>
      </c>
      <c r="Q64" s="37">
        <f t="shared" ref="Q64" si="167">Q63/P63-1</f>
        <v>1.17056856187292E-2</v>
      </c>
    </row>
    <row r="65" spans="1:17">
      <c r="A65" s="151" t="s">
        <v>22</v>
      </c>
      <c r="B65" s="52" t="s">
        <v>24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2">
        <v>2788.6462545653812</v>
      </c>
      <c r="N65" s="40">
        <v>2779.9176047438605</v>
      </c>
      <c r="O65" s="40">
        <v>2772.2659826772524</v>
      </c>
      <c r="P65" s="40">
        <v>2764.1692958704607</v>
      </c>
      <c r="Q65" s="43">
        <v>2756.0581790964766</v>
      </c>
    </row>
    <row r="66" spans="1:17">
      <c r="A66" s="152"/>
      <c r="B66" s="50" t="s">
        <v>27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6">
        <f>M65/L51-1</f>
        <v>-2.0496573738889579E-2</v>
      </c>
      <c r="N66" s="35">
        <f>N65/M65-1</f>
        <v>-3.1300670736673641E-3</v>
      </c>
      <c r="O66" s="35">
        <f t="shared" ref="O66" si="168">O65/N65-1</f>
        <v>-2.7524636174650619E-3</v>
      </c>
      <c r="P66" s="35">
        <f t="shared" ref="P66" si="169">P65/O65-1</f>
        <v>-2.9206024448535928E-3</v>
      </c>
      <c r="Q66" s="37">
        <f t="shared" ref="Q66" si="170">Q65/P65-1</f>
        <v>-2.9343777119953396E-3</v>
      </c>
    </row>
    <row r="67" spans="1:17">
      <c r="A67" s="83" t="s">
        <v>25</v>
      </c>
      <c r="B67" s="84" t="s">
        <v>24</v>
      </c>
      <c r="C67" s="14"/>
      <c r="D67" s="14"/>
      <c r="E67" s="14"/>
      <c r="F67" s="14"/>
      <c r="G67" s="14"/>
      <c r="H67" s="14"/>
      <c r="I67" s="14"/>
      <c r="J67" s="14"/>
      <c r="K67" s="19"/>
      <c r="L67" s="28"/>
      <c r="M67" s="27">
        <f>M57+M59+M61+M63+M65</f>
        <v>1395229.6002246947</v>
      </c>
      <c r="N67" s="28">
        <f t="shared" ref="N67:Q67" si="171">N57+N59+N61+N63+N65</f>
        <v>1412707.2345062052</v>
      </c>
      <c r="O67" s="28">
        <f t="shared" si="171"/>
        <v>1430614.1894949775</v>
      </c>
      <c r="P67" s="28">
        <f t="shared" si="171"/>
        <v>1448631.12961959</v>
      </c>
      <c r="Q67" s="20">
        <f t="shared" si="171"/>
        <v>1466910.8505969869</v>
      </c>
    </row>
    <row r="68" spans="1:17" ht="15" customHeight="1">
      <c r="A68" s="87"/>
      <c r="B68" s="88"/>
      <c r="C68" s="16"/>
      <c r="D68" s="16"/>
      <c r="E68" s="16"/>
      <c r="F68" s="16"/>
      <c r="G68" s="16"/>
      <c r="H68" s="16"/>
      <c r="I68" s="16"/>
      <c r="J68" s="16"/>
      <c r="K68" s="17"/>
      <c r="L68" s="21"/>
      <c r="M68" s="2"/>
      <c r="N68" s="2"/>
      <c r="O68" s="2"/>
      <c r="P68" s="2"/>
      <c r="Q68" s="2"/>
    </row>
    <row r="69" spans="1:17">
      <c r="A69" s="153" t="s">
        <v>33</v>
      </c>
      <c r="B69" s="154"/>
      <c r="C69" s="149" t="s">
        <v>34</v>
      </c>
      <c r="D69" s="149"/>
      <c r="E69" s="149"/>
      <c r="F69" s="149"/>
      <c r="G69" s="149"/>
      <c r="H69" s="149"/>
      <c r="I69" s="149"/>
      <c r="J69" s="149"/>
      <c r="K69" s="149"/>
      <c r="L69" s="149"/>
      <c r="M69" s="148" t="s">
        <v>36</v>
      </c>
      <c r="N69" s="149"/>
      <c r="O69" s="149"/>
      <c r="P69" s="149"/>
      <c r="Q69" s="150"/>
    </row>
    <row r="70" spans="1:17">
      <c r="A70" s="155"/>
      <c r="B70" s="156"/>
      <c r="C70" s="91" t="s">
        <v>7</v>
      </c>
      <c r="D70" s="91" t="s">
        <v>8</v>
      </c>
      <c r="E70" s="91" t="s">
        <v>9</v>
      </c>
      <c r="F70" s="91" t="s">
        <v>10</v>
      </c>
      <c r="G70" s="91" t="s">
        <v>11</v>
      </c>
      <c r="H70" s="91" t="s">
        <v>12</v>
      </c>
      <c r="I70" s="91" t="s">
        <v>13</v>
      </c>
      <c r="J70" s="91" t="s">
        <v>14</v>
      </c>
      <c r="K70" s="91" t="s">
        <v>15</v>
      </c>
      <c r="L70" s="91" t="s">
        <v>16</v>
      </c>
      <c r="M70" s="90" t="str">
        <f>M42</f>
        <v>2015-16</v>
      </c>
      <c r="N70" s="91" t="str">
        <f t="shared" ref="N70:Q70" si="172">N42</f>
        <v>2016-17</v>
      </c>
      <c r="O70" s="91" t="str">
        <f t="shared" si="172"/>
        <v>2017-18</v>
      </c>
      <c r="P70" s="91" t="str">
        <f t="shared" si="172"/>
        <v>2018-19</v>
      </c>
      <c r="Q70" s="92" t="str">
        <f t="shared" si="172"/>
        <v>2019-20</v>
      </c>
    </row>
    <row r="71" spans="1:17">
      <c r="A71" s="151" t="s">
        <v>17</v>
      </c>
      <c r="B71" s="46" t="s">
        <v>26</v>
      </c>
      <c r="C71" s="48">
        <f t="shared" ref="C71:Q71" si="173">(C15*1000000)/C43</f>
        <v>7456.1563037891938</v>
      </c>
      <c r="D71" s="48">
        <f t="shared" si="173"/>
        <v>7479.1454804709683</v>
      </c>
      <c r="E71" s="48">
        <f t="shared" si="173"/>
        <v>7202.7631443725058</v>
      </c>
      <c r="F71" s="48">
        <f t="shared" si="173"/>
        <v>7321.380178510547</v>
      </c>
      <c r="G71" s="48">
        <f t="shared" si="173"/>
        <v>7285.752743945829</v>
      </c>
      <c r="H71" s="48">
        <f t="shared" si="173"/>
        <v>7294.1009843495503</v>
      </c>
      <c r="I71" s="48">
        <f t="shared" si="173"/>
        <v>6846.1472673119506</v>
      </c>
      <c r="J71" s="48">
        <f t="shared" si="173"/>
        <v>6480.1858690986073</v>
      </c>
      <c r="K71" s="48">
        <f t="shared" si="173"/>
        <v>6153.9655879301408</v>
      </c>
      <c r="L71" s="48">
        <f t="shared" si="173"/>
        <v>5692.0396436041874</v>
      </c>
      <c r="M71" s="47">
        <f t="shared" si="173"/>
        <v>5547.6778805758277</v>
      </c>
      <c r="N71" s="48">
        <f t="shared" si="173"/>
        <v>5445.7207373045676</v>
      </c>
      <c r="O71" s="48">
        <f t="shared" si="173"/>
        <v>5380.6338100206631</v>
      </c>
      <c r="P71" s="48">
        <f t="shared" si="173"/>
        <v>5355.9048963781388</v>
      </c>
      <c r="Q71" s="49">
        <f t="shared" si="173"/>
        <v>5351.2764577124144</v>
      </c>
    </row>
    <row r="72" spans="1:17">
      <c r="A72" s="152"/>
      <c r="B72" s="50" t="s">
        <v>27</v>
      </c>
      <c r="C72" s="54"/>
      <c r="D72" s="35">
        <f>D71/C71-1</f>
        <v>3.0832476875641834E-3</v>
      </c>
      <c r="E72" s="35">
        <f t="shared" ref="E72:L72" si="174">E71/D71-1</f>
        <v>-3.6953731789297728E-2</v>
      </c>
      <c r="F72" s="35">
        <f t="shared" si="174"/>
        <v>1.6468268046647694E-2</v>
      </c>
      <c r="G72" s="35">
        <f t="shared" si="174"/>
        <v>-4.866218349006135E-3</v>
      </c>
      <c r="H72" s="35">
        <f t="shared" si="174"/>
        <v>1.1458308697969155E-3</v>
      </c>
      <c r="I72" s="35">
        <f t="shared" si="174"/>
        <v>-6.1413149886290763E-2</v>
      </c>
      <c r="J72" s="35">
        <f t="shared" si="174"/>
        <v>-5.3455087061986761E-2</v>
      </c>
      <c r="K72" s="35">
        <f t="shared" si="174"/>
        <v>-5.0341192021062131E-2</v>
      </c>
      <c r="L72" s="35">
        <f t="shared" si="174"/>
        <v>-7.5061509156296724E-2</v>
      </c>
      <c r="M72" s="36">
        <f t="shared" ref="M72" si="175">M71/L71-1</f>
        <v>-2.5362044551212937E-2</v>
      </c>
      <c r="N72" s="35">
        <f t="shared" ref="N72" si="176">N71/M71-1</f>
        <v>-1.8378345943308005E-2</v>
      </c>
      <c r="O72" s="35">
        <f t="shared" ref="O72" si="177">O71/N71-1</f>
        <v>-1.195193995866195E-2</v>
      </c>
      <c r="P72" s="35">
        <f t="shared" ref="P72" si="178">P71/O71-1</f>
        <v>-4.5959109122926112E-3</v>
      </c>
      <c r="Q72" s="37">
        <f t="shared" ref="Q72" si="179">Q71/P71-1</f>
        <v>-8.6417491633472565E-4</v>
      </c>
    </row>
    <row r="73" spans="1:17">
      <c r="A73" s="151" t="s">
        <v>28</v>
      </c>
      <c r="B73" s="46" t="s">
        <v>26</v>
      </c>
      <c r="C73" s="48">
        <f>(C19*1000000)/C45</f>
        <v>29905.480787097607</v>
      </c>
      <c r="D73" s="48">
        <f t="shared" ref="D73:Q73" si="180">(D17*1000000)/D45</f>
        <v>37575.757575757576</v>
      </c>
      <c r="E73" s="48">
        <f t="shared" si="180"/>
        <v>34891.570721782955</v>
      </c>
      <c r="F73" s="48">
        <f t="shared" si="180"/>
        <v>31749.333092191526</v>
      </c>
      <c r="G73" s="48">
        <f t="shared" si="180"/>
        <v>32505.448968059631</v>
      </c>
      <c r="H73" s="48">
        <f t="shared" si="180"/>
        <v>27987.073194883291</v>
      </c>
      <c r="I73" s="48">
        <f t="shared" si="180"/>
        <v>24134.539909957864</v>
      </c>
      <c r="J73" s="48">
        <f t="shared" si="180"/>
        <v>21668.033119205717</v>
      </c>
      <c r="K73" s="48">
        <f t="shared" si="180"/>
        <v>19813.667980313458</v>
      </c>
      <c r="L73" s="48">
        <f t="shared" si="180"/>
        <v>17473.402955408201</v>
      </c>
      <c r="M73" s="47">
        <f t="shared" si="180"/>
        <v>18597.283483861935</v>
      </c>
      <c r="N73" s="48">
        <f t="shared" si="180"/>
        <v>18109.208467675711</v>
      </c>
      <c r="O73" s="48">
        <f t="shared" si="180"/>
        <v>17719.59488309337</v>
      </c>
      <c r="P73" s="48">
        <f t="shared" si="180"/>
        <v>17439.947351102335</v>
      </c>
      <c r="Q73" s="49">
        <f t="shared" si="180"/>
        <v>17173.822426010836</v>
      </c>
    </row>
    <row r="74" spans="1:17">
      <c r="A74" s="152"/>
      <c r="B74" s="50" t="s">
        <v>27</v>
      </c>
      <c r="C74" s="54"/>
      <c r="D74" s="35">
        <v>0</v>
      </c>
      <c r="E74" s="35">
        <f t="shared" ref="E74" si="181">E73/D73-1</f>
        <v>-7.1434004984808452E-2</v>
      </c>
      <c r="F74" s="35">
        <f t="shared" ref="F74" si="182">F73/E73-1</f>
        <v>-9.0057213378178957E-2</v>
      </c>
      <c r="G74" s="35">
        <f t="shared" ref="G74" si="183">G73/F73-1</f>
        <v>2.3815173492701236E-2</v>
      </c>
      <c r="H74" s="35">
        <f t="shared" ref="H74" si="184">H73/G73-1</f>
        <v>-0.13900364143919897</v>
      </c>
      <c r="I74" s="35">
        <f t="shared" ref="I74" si="185">I73/H73-1</f>
        <v>-0.13765402541734029</v>
      </c>
      <c r="J74" s="35">
        <f t="shared" ref="J74" si="186">J73/I73-1</f>
        <v>-0.10219821052956857</v>
      </c>
      <c r="K74" s="35">
        <f t="shared" ref="K74" si="187">K73/J73-1</f>
        <v>-8.5580686012918239E-2</v>
      </c>
      <c r="L74" s="35">
        <f t="shared" ref="L74" si="188">L73/K73-1</f>
        <v>-0.11811366917173072</v>
      </c>
      <c r="M74" s="36">
        <f t="shared" ref="M74" si="189">M73/L73-1</f>
        <v>6.4319499259637869E-2</v>
      </c>
      <c r="N74" s="35">
        <f t="shared" ref="N74" si="190">N73/M73-1</f>
        <v>-2.6244425246824798E-2</v>
      </c>
      <c r="O74" s="35">
        <f t="shared" ref="O74" si="191">O73/N73-1</f>
        <v>-2.1514666711015429E-2</v>
      </c>
      <c r="P74" s="35">
        <f t="shared" ref="P74" si="192">P73/O73-1</f>
        <v>-1.5781824236729691E-2</v>
      </c>
      <c r="Q74" s="37">
        <f t="shared" ref="Q74" si="193">Q73/P73-1</f>
        <v>-1.5259502780246459E-2</v>
      </c>
    </row>
    <row r="75" spans="1:17">
      <c r="A75" s="151" t="s">
        <v>29</v>
      </c>
      <c r="B75" s="46" t="s">
        <v>26</v>
      </c>
      <c r="C75" s="48">
        <f t="shared" ref="C75:Q75" si="194">(C19*1000000)/C47</f>
        <v>615156.99201857136</v>
      </c>
      <c r="D75" s="48">
        <f t="shared" si="194"/>
        <v>617053.67339170154</v>
      </c>
      <c r="E75" s="48">
        <f t="shared" si="194"/>
        <v>628379.57236260828</v>
      </c>
      <c r="F75" s="48">
        <f t="shared" si="194"/>
        <v>642487.04663212434</v>
      </c>
      <c r="G75" s="48">
        <f t="shared" si="194"/>
        <v>662513.97540329024</v>
      </c>
      <c r="H75" s="48">
        <f t="shared" si="194"/>
        <v>638395.41547277942</v>
      </c>
      <c r="I75" s="48">
        <f t="shared" si="194"/>
        <v>577447.33581164805</v>
      </c>
      <c r="J75" s="48">
        <f t="shared" si="194"/>
        <v>561980.68717718392</v>
      </c>
      <c r="K75" s="48">
        <f t="shared" si="194"/>
        <v>548985.08699254354</v>
      </c>
      <c r="L75" s="48">
        <f t="shared" si="194"/>
        <v>508864.39865836129</v>
      </c>
      <c r="M75" s="47">
        <f t="shared" si="194"/>
        <v>506714.58293928503</v>
      </c>
      <c r="N75" s="48">
        <f t="shared" si="194"/>
        <v>501587.89463852043</v>
      </c>
      <c r="O75" s="48">
        <f t="shared" si="194"/>
        <v>498477.43840546277</v>
      </c>
      <c r="P75" s="48">
        <f t="shared" si="194"/>
        <v>497355.94456601021</v>
      </c>
      <c r="Q75" s="49">
        <f t="shared" si="194"/>
        <v>496306.30630630633</v>
      </c>
    </row>
    <row r="76" spans="1:17">
      <c r="A76" s="152"/>
      <c r="B76" s="50" t="s">
        <v>27</v>
      </c>
      <c r="C76" s="54"/>
      <c r="D76" s="35">
        <f>D75/C75-1</f>
        <v>3.0832476875641834E-3</v>
      </c>
      <c r="E76" s="35">
        <f t="shared" ref="E76" si="195">E75/D75-1</f>
        <v>1.8354803575923562E-2</v>
      </c>
      <c r="F76" s="35">
        <f t="shared" ref="F76" si="196">F75/E75-1</f>
        <v>2.2450561555453108E-2</v>
      </c>
      <c r="G76" s="35">
        <f t="shared" ref="G76" si="197">G75/F75-1</f>
        <v>3.1170945587379206E-2</v>
      </c>
      <c r="H76" s="35">
        <f t="shared" ref="H76" si="198">H75/G75-1</f>
        <v>-3.6404605526742628E-2</v>
      </c>
      <c r="I76" s="35">
        <f t="shared" ref="I76" si="199">I75/H75-1</f>
        <v>-9.5470735196296452E-2</v>
      </c>
      <c r="J76" s="35">
        <f t="shared" ref="J76" si="200">J75/I75-1</f>
        <v>-2.6784518128782353E-2</v>
      </c>
      <c r="K76" s="35">
        <f t="shared" ref="K76" si="201">K75/J75-1</f>
        <v>-2.3124638410470966E-2</v>
      </c>
      <c r="L76" s="35">
        <f t="shared" ref="L76" si="202">L75/K75-1</f>
        <v>-7.3081563205973143E-2</v>
      </c>
      <c r="M76" s="36">
        <f t="shared" ref="M76" si="203">M75/L75-1</f>
        <v>-4.2247320204445993E-3</v>
      </c>
      <c r="N76" s="35">
        <f t="shared" ref="N76" si="204">N75/M75-1</f>
        <v>-1.0117506922785569E-2</v>
      </c>
      <c r="O76" s="35">
        <f t="shared" ref="O76" si="205">O75/N75-1</f>
        <v>-6.201218702256095E-3</v>
      </c>
      <c r="P76" s="35">
        <f t="shared" ref="P76" si="206">P75/O75-1</f>
        <v>-2.2498387149476606E-3</v>
      </c>
      <c r="Q76" s="37">
        <f t="shared" ref="Q76" si="207">Q75/P75-1</f>
        <v>-2.1104367428840254E-3</v>
      </c>
    </row>
    <row r="77" spans="1:17">
      <c r="A77" s="151" t="s">
        <v>30</v>
      </c>
      <c r="B77" s="51" t="s">
        <v>26</v>
      </c>
      <c r="C77" s="48">
        <f>(C23*1000000)/C49</f>
        <v>423736.41353086784</v>
      </c>
      <c r="D77" s="48">
        <f t="shared" ref="D77:Q77" si="208">(D21*1000000)/D49</f>
        <v>10778993.435448578</v>
      </c>
      <c r="E77" s="48">
        <f t="shared" si="208"/>
        <v>11077922.077922078</v>
      </c>
      <c r="F77" s="48">
        <f t="shared" si="208"/>
        <v>11395196.506550219</v>
      </c>
      <c r="G77" s="48">
        <f t="shared" si="208"/>
        <v>11587368.421052631</v>
      </c>
      <c r="H77" s="48">
        <f t="shared" si="208"/>
        <v>11496000</v>
      </c>
      <c r="I77" s="48">
        <f t="shared" si="208"/>
        <v>11100393.700787401</v>
      </c>
      <c r="J77" s="48">
        <f t="shared" si="208"/>
        <v>11167984.18972332</v>
      </c>
      <c r="K77" s="48">
        <f t="shared" si="208"/>
        <v>10885714.285714285</v>
      </c>
      <c r="L77" s="48">
        <f t="shared" si="208"/>
        <v>10010544.81546573</v>
      </c>
      <c r="M77" s="47">
        <f t="shared" si="208"/>
        <v>9888888.8888888881</v>
      </c>
      <c r="N77" s="48">
        <f t="shared" si="208"/>
        <v>9765008.5763293318</v>
      </c>
      <c r="O77" s="48">
        <f t="shared" si="208"/>
        <v>9678510.9983079527</v>
      </c>
      <c r="P77" s="48">
        <f t="shared" si="208"/>
        <v>9620401.3377926424</v>
      </c>
      <c r="Q77" s="49">
        <f t="shared" si="208"/>
        <v>10026446.280991735</v>
      </c>
    </row>
    <row r="78" spans="1:17">
      <c r="A78" s="152"/>
      <c r="B78" s="50" t="s">
        <v>27</v>
      </c>
      <c r="C78" s="54"/>
      <c r="D78" s="35">
        <f>D77/C77-1</f>
        <v>24.437968253968247</v>
      </c>
      <c r="E78" s="35">
        <f t="shared" ref="E78" si="209">E77/D77-1</f>
        <v>2.7732519206331574E-2</v>
      </c>
      <c r="F78" s="35">
        <f t="shared" ref="F78" si="210">F77/E77-1</f>
        <v>2.8640247367370364E-2</v>
      </c>
      <c r="G78" s="35">
        <f t="shared" ref="G78" si="211">G77/F77-1</f>
        <v>1.6864291404886878E-2</v>
      </c>
      <c r="H78" s="35">
        <f t="shared" ref="H78" si="212">H77/G77-1</f>
        <v>-7.8851744186045902E-3</v>
      </c>
      <c r="I78" s="35">
        <f t="shared" ref="I78" si="213">I77/H77-1</f>
        <v>-3.4412517328862191E-2</v>
      </c>
      <c r="J78" s="35">
        <f t="shared" ref="J78" si="214">J77/I77-1</f>
        <v>6.089017268921193E-3</v>
      </c>
      <c r="K78" s="35">
        <f t="shared" ref="K78" si="215">K77/J77-1</f>
        <v>-2.5274919736077095E-2</v>
      </c>
      <c r="L78" s="35">
        <f t="shared" ref="L78" si="216">L77/K77-1</f>
        <v>-8.0396145560890919E-2</v>
      </c>
      <c r="M78" s="36">
        <f t="shared" ref="M78" si="217">M77/L77-1</f>
        <v>-1.2152777777777901E-2</v>
      </c>
      <c r="N78" s="35">
        <f t="shared" ref="N78" si="218">N77/M77-1</f>
        <v>-1.2527222618382128E-2</v>
      </c>
      <c r="O78" s="35">
        <f t="shared" ref="O78" si="219">O77/N77-1</f>
        <v>-8.857911116540329E-3</v>
      </c>
      <c r="P78" s="35">
        <f t="shared" ref="P78" si="220">P77/O77-1</f>
        <v>-6.0039876511448487E-3</v>
      </c>
      <c r="Q78" s="37">
        <f t="shared" ref="Q78" si="221">Q77/P77-1</f>
        <v>4.2206653230150826E-2</v>
      </c>
    </row>
    <row r="79" spans="1:17">
      <c r="A79" s="151" t="s">
        <v>22</v>
      </c>
      <c r="B79" s="51" t="s">
        <v>26</v>
      </c>
      <c r="C79" s="48">
        <v>27295.170970162428</v>
      </c>
      <c r="D79" s="48">
        <v>27379.328742937858</v>
      </c>
      <c r="E79" s="48">
        <v>28244.646068238359</v>
      </c>
      <c r="F79" s="48">
        <v>28845.548284400429</v>
      </c>
      <c r="G79" s="48">
        <v>27602.651327433628</v>
      </c>
      <c r="H79" s="48">
        <v>34247.957357492422</v>
      </c>
      <c r="I79" s="48">
        <v>32385.342176953836</v>
      </c>
      <c r="J79" s="48">
        <v>28691.157927886328</v>
      </c>
      <c r="K79" s="48">
        <v>30051.494077060288</v>
      </c>
      <c r="L79" s="48">
        <v>28838.989147670251</v>
      </c>
      <c r="M79" s="47">
        <v>28839.989147670301</v>
      </c>
      <c r="N79" s="48">
        <v>28840.989147670301</v>
      </c>
      <c r="O79" s="48">
        <v>28841.989147670301</v>
      </c>
      <c r="P79" s="48">
        <v>28842.989147670301</v>
      </c>
      <c r="Q79" s="49">
        <v>28843.989147670301</v>
      </c>
    </row>
    <row r="80" spans="1:17">
      <c r="A80" s="152"/>
      <c r="B80" s="50" t="s">
        <v>27</v>
      </c>
      <c r="C80" s="54"/>
      <c r="D80" s="35">
        <f>D79/C79-1</f>
        <v>3.0832476875644055E-3</v>
      </c>
      <c r="E80" s="35">
        <f t="shared" ref="E80" si="222">E79/D79-1</f>
        <v>3.1604767721841842E-2</v>
      </c>
      <c r="F80" s="35">
        <f t="shared" ref="F80" si="223">F79/E79-1</f>
        <v>2.1274906922547521E-2</v>
      </c>
      <c r="G80" s="35">
        <f t="shared" ref="G80" si="224">G79/F79-1</f>
        <v>-4.3087999046249936E-2</v>
      </c>
      <c r="H80" s="35">
        <f t="shared" ref="H80" si="225">H79/G79-1</f>
        <v>0.24074883065505293</v>
      </c>
      <c r="I80" s="35">
        <f t="shared" ref="I80" si="226">I79/H79-1</f>
        <v>-5.4386168526664003E-2</v>
      </c>
      <c r="J80" s="35">
        <f t="shared" ref="J80" si="227">J79/I79-1</f>
        <v>-0.11406963770468903</v>
      </c>
      <c r="K80" s="35">
        <f t="shared" ref="K80" si="228">K79/J79-1</f>
        <v>4.7413079409101888E-2</v>
      </c>
      <c r="L80" s="35">
        <f t="shared" ref="L80" si="229">L79/K79-1</f>
        <v>-4.0347575607417085E-2</v>
      </c>
      <c r="M80" s="36">
        <f t="shared" ref="M80" si="230">M79/L79-1</f>
        <v>3.467527918310509E-5</v>
      </c>
      <c r="N80" s="35">
        <f t="shared" ref="N80" si="231">N79/M79-1</f>
        <v>3.4674076847984736E-5</v>
      </c>
      <c r="O80" s="35">
        <f t="shared" ref="O80" si="232">O79/N79-1</f>
        <v>3.4672874598129511E-5</v>
      </c>
      <c r="P80" s="35">
        <f t="shared" ref="P80" si="233">P79/O79-1</f>
        <v>3.4671672431541012E-5</v>
      </c>
      <c r="Q80" s="37">
        <f t="shared" ref="Q80" si="234">Q79/P79-1</f>
        <v>3.467047034821924E-5</v>
      </c>
    </row>
    <row r="81" spans="1:17">
      <c r="A81" s="26"/>
      <c r="B81" s="1"/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5"/>
      <c r="N81" s="25"/>
      <c r="O81" s="25"/>
      <c r="P81" s="25"/>
      <c r="Q81" s="25"/>
    </row>
    <row r="82" spans="1:17" ht="16" customHeight="1">
      <c r="A82" s="153" t="s">
        <v>51</v>
      </c>
      <c r="B82" s="154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148" t="s">
        <v>37</v>
      </c>
      <c r="N82" s="149"/>
      <c r="O82" s="149"/>
      <c r="P82" s="149"/>
      <c r="Q82" s="150"/>
    </row>
    <row r="83" spans="1:17">
      <c r="A83" s="155"/>
      <c r="B83" s="156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90" t="s">
        <v>1</v>
      </c>
      <c r="N83" s="91" t="s">
        <v>2</v>
      </c>
      <c r="O83" s="91" t="s">
        <v>3</v>
      </c>
      <c r="P83" s="91" t="s">
        <v>4</v>
      </c>
      <c r="Q83" s="92" t="s">
        <v>5</v>
      </c>
    </row>
    <row r="84" spans="1:17">
      <c r="A84" s="151" t="s">
        <v>17</v>
      </c>
      <c r="B84" s="46" t="s">
        <v>26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42">
        <v>5507.1288447185289</v>
      </c>
      <c r="N84" s="40">
        <v>5216.4141865616921</v>
      </c>
      <c r="O84" s="40">
        <v>4936.7901111151723</v>
      </c>
      <c r="P84" s="40">
        <v>4674.566243363337</v>
      </c>
      <c r="Q84" s="43">
        <v>4426.0200080493241</v>
      </c>
    </row>
    <row r="85" spans="1:17">
      <c r="A85" s="152"/>
      <c r="B85" s="50" t="s">
        <v>27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36">
        <f>M84/L71-1</f>
        <v>-3.2485859281291551E-2</v>
      </c>
      <c r="N85" s="35">
        <f>N84/M84-1</f>
        <v>-5.2788788196891256E-2</v>
      </c>
      <c r="O85" s="35">
        <f t="shared" ref="O85" si="235">O84/N84-1</f>
        <v>-5.360465358883415E-2</v>
      </c>
      <c r="P85" s="35">
        <f t="shared" ref="P85" si="236">P84/O84-1</f>
        <v>-5.3116268232963559E-2</v>
      </c>
      <c r="Q85" s="37">
        <f t="shared" ref="Q85" si="237">Q84/P84-1</f>
        <v>-5.3169903339563063E-2</v>
      </c>
    </row>
    <row r="86" spans="1:17">
      <c r="A86" s="151" t="s">
        <v>28</v>
      </c>
      <c r="B86" s="46" t="s">
        <v>26</v>
      </c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47">
        <v>15394.900000000001</v>
      </c>
      <c r="N86" s="48">
        <v>13001.800000000003</v>
      </c>
      <c r="O86" s="48">
        <v>10608.7</v>
      </c>
      <c r="P86" s="48">
        <f>O86*(1+P87)</f>
        <v>8656.0719046593549</v>
      </c>
      <c r="Q86" s="48">
        <f>P86*(1+Q87)</f>
        <v>7062.842838296212</v>
      </c>
    </row>
    <row r="87" spans="1:17">
      <c r="A87" s="152"/>
      <c r="B87" s="50" t="s">
        <v>27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36">
        <f>M86/L73-1</f>
        <v>-0.11895238498834482</v>
      </c>
      <c r="N87" s="35">
        <f>N86/M86-1</f>
        <v>-0.15544758329057018</v>
      </c>
      <c r="O87" s="35">
        <f t="shared" ref="O87" si="238">O86/N86-1</f>
        <v>-0.18405913027426979</v>
      </c>
      <c r="P87" s="35">
        <f>O87</f>
        <v>-0.18405913027426979</v>
      </c>
      <c r="Q87" s="37">
        <f>P87</f>
        <v>-0.18405913027426979</v>
      </c>
    </row>
    <row r="88" spans="1:17">
      <c r="A88" s="151" t="s">
        <v>29</v>
      </c>
      <c r="B88" s="46" t="s">
        <v>26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42">
        <v>505252.56015970092</v>
      </c>
      <c r="N88" s="40">
        <v>487674.09785718122</v>
      </c>
      <c r="O88" s="40">
        <v>468810.68378265831</v>
      </c>
      <c r="P88" s="40">
        <v>452205.17304607434</v>
      </c>
      <c r="Q88" s="43">
        <v>435791.28449341428</v>
      </c>
    </row>
    <row r="89" spans="1:17">
      <c r="A89" s="152"/>
      <c r="B89" s="50" t="s">
        <v>27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36">
        <f>M88/L75-1</f>
        <v>-7.0978408161056494E-3</v>
      </c>
      <c r="N89" s="35">
        <f>N88/M88-1</f>
        <v>-3.479143637978499E-2</v>
      </c>
      <c r="O89" s="35">
        <f t="shared" ref="O89" si="239">O88/N88-1</f>
        <v>-3.8680369036223072E-2</v>
      </c>
      <c r="P89" s="35">
        <f t="shared" ref="P89" si="240">P88/O88-1</f>
        <v>-3.5420504077680826E-2</v>
      </c>
      <c r="Q89" s="37">
        <f t="shared" ref="Q89" si="241">Q88/P88-1</f>
        <v>-3.6297436497896296E-2</v>
      </c>
    </row>
    <row r="90" spans="1:17">
      <c r="A90" s="151" t="s">
        <v>30</v>
      </c>
      <c r="B90" s="51" t="s">
        <v>26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42">
        <v>9510017.574692443</v>
      </c>
      <c r="N90" s="40">
        <v>9319817.2231985945</v>
      </c>
      <c r="O90" s="40">
        <v>9040222.7065026369</v>
      </c>
      <c r="P90" s="40">
        <v>8769016.0253075585</v>
      </c>
      <c r="Q90" s="43">
        <v>8505945.5445483308</v>
      </c>
    </row>
    <row r="91" spans="1:17">
      <c r="A91" s="152"/>
      <c r="B91" s="50" t="s">
        <v>27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36">
        <f>M90/L77-1</f>
        <v>-5.0000000000000044E-2</v>
      </c>
      <c r="N91" s="35">
        <f>N90/M90-1</f>
        <v>-1.9999999999999907E-2</v>
      </c>
      <c r="O91" s="35">
        <f t="shared" ref="O91" si="242">O90/N90-1</f>
        <v>-3.0000000000000027E-2</v>
      </c>
      <c r="P91" s="35">
        <f t="shared" ref="P91" si="243">P90/O90-1</f>
        <v>-2.9999999999999916E-2</v>
      </c>
      <c r="Q91" s="37">
        <f t="shared" ref="Q91" si="244">Q90/P90-1</f>
        <v>-3.0000000000000138E-2</v>
      </c>
    </row>
    <row r="92" spans="1:17">
      <c r="A92" s="151" t="s">
        <v>22</v>
      </c>
      <c r="B92" s="51" t="s">
        <v>26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42">
        <v>27810.358795542055</v>
      </c>
      <c r="N92" s="40">
        <v>27545.209821202006</v>
      </c>
      <c r="O92" s="40">
        <v>26759.714086046624</v>
      </c>
      <c r="P92" s="40">
        <v>26102.149192035457</v>
      </c>
      <c r="Q92" s="43">
        <v>25557.277945900049</v>
      </c>
    </row>
    <row r="93" spans="1:17">
      <c r="A93" s="152"/>
      <c r="B93" s="50" t="s">
        <v>27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36">
        <f>M92/L79-1</f>
        <v>-3.5668044634334706E-2</v>
      </c>
      <c r="N93" s="35">
        <f>N92/M92-1</f>
        <v>-9.5341802775500417E-3</v>
      </c>
      <c r="O93" s="35">
        <f t="shared" ref="O93" si="245">O92/N92-1</f>
        <v>-2.8516600173100648E-2</v>
      </c>
      <c r="P93" s="35">
        <f t="shared" ref="P93" si="246">P92/O92-1</f>
        <v>-2.4572941694995243E-2</v>
      </c>
      <c r="Q93" s="37">
        <f t="shared" ref="Q93" si="247">Q92/P92-1</f>
        <v>-2.0874574048548644E-2</v>
      </c>
    </row>
    <row r="95" spans="1:17" ht="15" customHeight="1">
      <c r="A95" s="102" t="s">
        <v>56</v>
      </c>
      <c r="B95" s="103"/>
      <c r="C95" s="94"/>
      <c r="D95" s="94"/>
      <c r="E95" s="94"/>
      <c r="F95" s="94"/>
      <c r="G95" s="94"/>
      <c r="H95" s="94"/>
      <c r="I95" s="94"/>
      <c r="J95" s="94"/>
      <c r="K95" s="94"/>
      <c r="L95" s="114"/>
    </row>
    <row r="96" spans="1:17">
      <c r="A96" s="64" t="s">
        <v>58</v>
      </c>
      <c r="B96" s="109" t="s">
        <v>18</v>
      </c>
      <c r="C96" s="110">
        <f>18990*1.041</f>
        <v>19768.59</v>
      </c>
      <c r="D96" s="110">
        <f>C96*1.041</f>
        <v>20579.102189999998</v>
      </c>
      <c r="E96" s="110">
        <f t="shared" ref="E96:G96" si="248">D96*1.041</f>
        <v>21422.845379789997</v>
      </c>
      <c r="F96" s="110">
        <f t="shared" si="248"/>
        <v>22301.182040361386</v>
      </c>
      <c r="G96" s="111">
        <f t="shared" si="248"/>
        <v>23215.530504016202</v>
      </c>
      <c r="L96" s="53"/>
    </row>
    <row r="97" spans="1:13">
      <c r="A97" s="112" t="s">
        <v>54</v>
      </c>
      <c r="B97" s="109" t="s">
        <v>18</v>
      </c>
      <c r="H97" s="113">
        <v>22416</v>
      </c>
      <c r="I97" s="110">
        <v>23138</v>
      </c>
      <c r="J97" s="110">
        <v>24042</v>
      </c>
      <c r="K97" s="110">
        <v>24794</v>
      </c>
      <c r="L97" s="111">
        <v>25845</v>
      </c>
    </row>
    <row r="98" spans="1:13">
      <c r="A98" s="83" t="s">
        <v>55</v>
      </c>
      <c r="B98" s="108" t="s">
        <v>18</v>
      </c>
      <c r="C98" s="113">
        <f t="shared" ref="C98:L98" si="249">C25</f>
        <v>19773.620999999999</v>
      </c>
      <c r="D98" s="110">
        <f t="shared" si="249"/>
        <v>20619</v>
      </c>
      <c r="E98" s="110">
        <f t="shared" si="249"/>
        <v>20707</v>
      </c>
      <c r="F98" s="110">
        <f t="shared" si="249"/>
        <v>21155</v>
      </c>
      <c r="G98" s="110">
        <f t="shared" si="249"/>
        <v>21994</v>
      </c>
      <c r="H98" s="110">
        <f t="shared" si="249"/>
        <v>22193</v>
      </c>
      <c r="I98" s="110">
        <f t="shared" si="249"/>
        <v>21454</v>
      </c>
      <c r="J98" s="110">
        <f t="shared" si="249"/>
        <v>21211</v>
      </c>
      <c r="K98" s="110">
        <f t="shared" si="249"/>
        <v>21055</v>
      </c>
      <c r="L98" s="111">
        <f t="shared" si="249"/>
        <v>20628</v>
      </c>
    </row>
    <row r="104" spans="1:13">
      <c r="A104" s="26"/>
      <c r="B104" s="1"/>
      <c r="C104" s="22"/>
      <c r="D104" s="23"/>
      <c r="E104" s="23"/>
      <c r="F104" s="23"/>
      <c r="G104" s="23"/>
      <c r="H104" s="23"/>
      <c r="I104" s="23"/>
      <c r="J104" s="23"/>
      <c r="K104" s="23"/>
      <c r="L104" s="23"/>
      <c r="M104" s="105"/>
    </row>
  </sheetData>
  <mergeCells count="46">
    <mergeCell ref="A3:B3"/>
    <mergeCell ref="A75:A76"/>
    <mergeCell ref="A77:A78"/>
    <mergeCell ref="A79:A80"/>
    <mergeCell ref="A82:B83"/>
    <mergeCell ref="A43:A44"/>
    <mergeCell ref="A45:A46"/>
    <mergeCell ref="A47:A48"/>
    <mergeCell ref="A49:A50"/>
    <mergeCell ref="A51:A52"/>
    <mergeCell ref="A71:A72"/>
    <mergeCell ref="A55:B56"/>
    <mergeCell ref="A15:A16"/>
    <mergeCell ref="A17:A18"/>
    <mergeCell ref="A19:A20"/>
    <mergeCell ref="A21:A22"/>
    <mergeCell ref="A84:A85"/>
    <mergeCell ref="A86:A87"/>
    <mergeCell ref="A88:A89"/>
    <mergeCell ref="A90:A91"/>
    <mergeCell ref="A92:A93"/>
    <mergeCell ref="A35:A36"/>
    <mergeCell ref="C13:L13"/>
    <mergeCell ref="M13:Q13"/>
    <mergeCell ref="A13:B14"/>
    <mergeCell ref="A41:B42"/>
    <mergeCell ref="C41:L41"/>
    <mergeCell ref="M41:Q41"/>
    <mergeCell ref="A37:A38"/>
    <mergeCell ref="A23:A24"/>
    <mergeCell ref="A27:B28"/>
    <mergeCell ref="M27:Q27"/>
    <mergeCell ref="A29:A30"/>
    <mergeCell ref="A31:A32"/>
    <mergeCell ref="A33:A34"/>
    <mergeCell ref="A65:A66"/>
    <mergeCell ref="C69:L69"/>
    <mergeCell ref="M69:Q69"/>
    <mergeCell ref="A69:B70"/>
    <mergeCell ref="M82:Q82"/>
    <mergeCell ref="A73:A74"/>
    <mergeCell ref="M55:Q55"/>
    <mergeCell ref="A57:A58"/>
    <mergeCell ref="A59:A60"/>
    <mergeCell ref="A61:A62"/>
    <mergeCell ref="A63:A6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workbookViewId="0">
      <selection activeCell="A3" sqref="A3:Q11"/>
    </sheetView>
  </sheetViews>
  <sheetFormatPr baseColWidth="10" defaultRowHeight="15" x14ac:dyDescent="0"/>
  <cols>
    <col min="1" max="1" width="19.33203125" style="30" customWidth="1"/>
    <col min="2" max="2" width="10.83203125" style="30"/>
    <col min="3" max="3" width="12.33203125" style="30" bestFit="1" customWidth="1"/>
    <col min="4" max="4" width="12.33203125" style="30" customWidth="1"/>
    <col min="5" max="5" width="11.83203125" style="30" customWidth="1"/>
    <col min="6" max="8" width="11.6640625" style="30" customWidth="1"/>
    <col min="9" max="11" width="12.1640625" style="30" bestFit="1" customWidth="1"/>
    <col min="12" max="12" width="13.1640625" style="30" bestFit="1" customWidth="1"/>
    <col min="13" max="13" width="10.83203125" style="30" customWidth="1"/>
    <col min="14" max="17" width="12.1640625" style="30" bestFit="1" customWidth="1"/>
    <col min="18" max="16384" width="10.83203125" style="30"/>
  </cols>
  <sheetData>
    <row r="1" spans="1:27" ht="65" customHeight="1"/>
    <row r="2" spans="1:27">
      <c r="A2" s="9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7" ht="16" customHeight="1">
      <c r="A3" s="167" t="s">
        <v>48</v>
      </c>
      <c r="B3" s="168"/>
      <c r="C3" s="76" t="s">
        <v>7</v>
      </c>
      <c r="D3" s="77" t="s">
        <v>8</v>
      </c>
      <c r="E3" s="77" t="s">
        <v>9</v>
      </c>
      <c r="F3" s="77" t="s">
        <v>10</v>
      </c>
      <c r="G3" s="77" t="s">
        <v>11</v>
      </c>
      <c r="H3" s="77" t="s">
        <v>12</v>
      </c>
      <c r="I3" s="77" t="s">
        <v>13</v>
      </c>
      <c r="J3" s="77" t="s">
        <v>14</v>
      </c>
      <c r="K3" s="77" t="s">
        <v>15</v>
      </c>
      <c r="L3" s="77" t="s">
        <v>16</v>
      </c>
      <c r="M3" s="76" t="str">
        <f>M70</f>
        <v>2015-16</v>
      </c>
      <c r="N3" s="77" t="str">
        <f>N70</f>
        <v>2016-17</v>
      </c>
      <c r="O3" s="77" t="str">
        <f>O70</f>
        <v>2017-18</v>
      </c>
      <c r="P3" s="77" t="str">
        <f>P70</f>
        <v>2018-19</v>
      </c>
      <c r="Q3" s="78" t="str">
        <f>Q70</f>
        <v>2019-20</v>
      </c>
    </row>
    <row r="4" spans="1:27">
      <c r="A4" s="142" t="s">
        <v>25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1:27">
      <c r="A5" s="96" t="s">
        <v>34</v>
      </c>
      <c r="B5" s="67" t="s">
        <v>41</v>
      </c>
      <c r="C5" s="63">
        <f t="shared" ref="C5:L5" si="0">C53</f>
        <v>612895.66000000015</v>
      </c>
      <c r="D5" s="63">
        <f t="shared" si="0"/>
        <v>624130</v>
      </c>
      <c r="E5" s="63">
        <f t="shared" si="0"/>
        <v>635123</v>
      </c>
      <c r="F5" s="63">
        <f t="shared" si="0"/>
        <v>647729</v>
      </c>
      <c r="G5" s="63">
        <f t="shared" si="0"/>
        <v>663216</v>
      </c>
      <c r="H5" s="63">
        <f t="shared" si="0"/>
        <v>676960</v>
      </c>
      <c r="I5" s="63">
        <f t="shared" si="0"/>
        <v>688959</v>
      </c>
      <c r="J5" s="63">
        <f t="shared" si="0"/>
        <v>699264</v>
      </c>
      <c r="K5" s="63">
        <f t="shared" si="0"/>
        <v>721930</v>
      </c>
      <c r="L5" s="63">
        <f t="shared" si="0"/>
        <v>736371.92446206999</v>
      </c>
      <c r="M5" s="97"/>
      <c r="N5" s="33"/>
      <c r="O5" s="33"/>
      <c r="P5" s="33"/>
      <c r="Q5" s="50"/>
    </row>
    <row r="6" spans="1:27">
      <c r="A6" s="66" t="s">
        <v>49</v>
      </c>
      <c r="B6" s="67" t="s">
        <v>41</v>
      </c>
      <c r="C6" s="42"/>
      <c r="D6" s="41"/>
      <c r="E6" s="41"/>
      <c r="F6" s="41"/>
      <c r="G6" s="41"/>
      <c r="H6" s="41"/>
      <c r="I6" s="41"/>
      <c r="J6" s="41"/>
      <c r="K6" s="41"/>
      <c r="L6" s="70"/>
      <c r="M6" s="98">
        <f>M53</f>
        <v>747564.52745260624</v>
      </c>
      <c r="N6" s="99">
        <f>N53</f>
        <v>759880.48402165389</v>
      </c>
      <c r="O6" s="99">
        <f>O53</f>
        <v>772137.56636626227</v>
      </c>
      <c r="P6" s="99">
        <f>P53</f>
        <v>784588.96125044744</v>
      </c>
      <c r="Q6" s="100">
        <f>Q53</f>
        <v>797305.99029930646</v>
      </c>
    </row>
    <row r="7" spans="1:27">
      <c r="A7" s="96" t="s">
        <v>40</v>
      </c>
      <c r="B7" s="67" t="s">
        <v>41</v>
      </c>
      <c r="C7" s="71"/>
      <c r="D7" s="35"/>
      <c r="E7" s="35"/>
      <c r="F7" s="35"/>
      <c r="G7" s="35"/>
      <c r="H7" s="35"/>
      <c r="I7" s="35"/>
      <c r="J7" s="35"/>
      <c r="K7" s="35"/>
      <c r="L7" s="37"/>
      <c r="M7" s="98">
        <f>M67</f>
        <v>754036.0751907482</v>
      </c>
      <c r="N7" s="99">
        <f>N67</f>
        <v>773198.59783372167</v>
      </c>
      <c r="O7" s="99">
        <f>O67</f>
        <v>791099.72357999056</v>
      </c>
      <c r="P7" s="99">
        <f>P67</f>
        <v>809914.71600010747</v>
      </c>
      <c r="Q7" s="100">
        <f>Q67</f>
        <v>829471.07592925359</v>
      </c>
    </row>
    <row r="8" spans="1:27">
      <c r="A8" s="145" t="s">
        <v>42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</row>
    <row r="9" spans="1:27">
      <c r="A9" s="96" t="s">
        <v>34</v>
      </c>
      <c r="B9" s="67" t="s">
        <v>18</v>
      </c>
      <c r="C9" s="56">
        <f t="shared" ref="C9:L9" si="1">C25</f>
        <v>13122.044967636783</v>
      </c>
      <c r="D9" s="56">
        <f t="shared" si="1"/>
        <v>13486.171600860001</v>
      </c>
      <c r="E9" s="56">
        <f t="shared" si="1"/>
        <v>13576.439851973002</v>
      </c>
      <c r="F9" s="56">
        <f t="shared" si="1"/>
        <v>13813.451682567</v>
      </c>
      <c r="G9" s="56">
        <f t="shared" si="1"/>
        <v>14130.074513784002</v>
      </c>
      <c r="H9" s="56">
        <f t="shared" si="1"/>
        <v>14256.528267667116</v>
      </c>
      <c r="I9" s="56">
        <f t="shared" si="1"/>
        <v>13227.153751657472</v>
      </c>
      <c r="J9" s="56">
        <f t="shared" si="1"/>
        <v>13691.72651412282</v>
      </c>
      <c r="K9" s="56">
        <f t="shared" si="1"/>
        <v>13716.244895035561</v>
      </c>
      <c r="L9" s="56">
        <f t="shared" si="1"/>
        <v>14253.464715403064</v>
      </c>
      <c r="M9" s="97"/>
      <c r="N9" s="33"/>
      <c r="O9" s="33"/>
      <c r="P9" s="33"/>
      <c r="Q9" s="50"/>
    </row>
    <row r="10" spans="1:27">
      <c r="A10" s="66" t="s">
        <v>49</v>
      </c>
      <c r="B10" s="67" t="s">
        <v>18</v>
      </c>
      <c r="C10" s="42"/>
      <c r="D10" s="41"/>
      <c r="E10" s="41"/>
      <c r="F10" s="41"/>
      <c r="G10" s="41"/>
      <c r="H10" s="41"/>
      <c r="I10" s="41"/>
      <c r="J10" s="41"/>
      <c r="K10" s="41"/>
      <c r="L10" s="70"/>
      <c r="M10" s="68">
        <f>M25</f>
        <v>14366.549727583028</v>
      </c>
      <c r="N10" s="56">
        <f>N25</f>
        <v>14510.938309415524</v>
      </c>
      <c r="O10" s="56">
        <f>O25</f>
        <v>14662.206987237209</v>
      </c>
      <c r="P10" s="56">
        <f>P25</f>
        <v>14807.140275325815</v>
      </c>
      <c r="Q10" s="69">
        <f>Q25</f>
        <v>14955.439111303156</v>
      </c>
    </row>
    <row r="11" spans="1:27">
      <c r="A11" s="96" t="s">
        <v>40</v>
      </c>
      <c r="B11" s="67" t="s">
        <v>18</v>
      </c>
      <c r="C11" s="71"/>
      <c r="D11" s="35"/>
      <c r="E11" s="35"/>
      <c r="F11" s="35"/>
      <c r="G11" s="35"/>
      <c r="H11" s="35"/>
      <c r="I11" s="35"/>
      <c r="J11" s="35"/>
      <c r="K11" s="35"/>
      <c r="L11" s="37"/>
      <c r="M11" s="98">
        <f>M39</f>
        <v>12500.366932990039</v>
      </c>
      <c r="N11" s="99">
        <f>N39</f>
        <v>11972.440062772872</v>
      </c>
      <c r="O11" s="99">
        <f>O39</f>
        <v>11513.448241748452</v>
      </c>
      <c r="P11" s="99">
        <f>P39</f>
        <v>11129.973517813511</v>
      </c>
      <c r="Q11" s="100">
        <f>Q39</f>
        <v>10741.66719537791</v>
      </c>
    </row>
    <row r="12" spans="1:27">
      <c r="A12" s="9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7">
      <c r="A13" s="167" t="s">
        <v>43</v>
      </c>
      <c r="B13" s="168"/>
      <c r="C13" s="149" t="s">
        <v>34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8" t="s">
        <v>44</v>
      </c>
      <c r="N13" s="149"/>
      <c r="O13" s="149"/>
      <c r="P13" s="149"/>
      <c r="Q13" s="150"/>
    </row>
    <row r="14" spans="1:27">
      <c r="A14" s="175"/>
      <c r="B14" s="176"/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80" t="s">
        <v>1</v>
      </c>
      <c r="N14" s="18" t="s">
        <v>2</v>
      </c>
      <c r="O14" s="18" t="s">
        <v>3</v>
      </c>
      <c r="P14" s="18" t="s">
        <v>4</v>
      </c>
      <c r="Q14" s="81" t="s">
        <v>5</v>
      </c>
    </row>
    <row r="15" spans="1:27" s="11" customFormat="1" ht="16" customHeight="1">
      <c r="A15" s="163" t="s">
        <v>17</v>
      </c>
      <c r="B15" s="52" t="s">
        <v>18</v>
      </c>
      <c r="C15" s="4">
        <v>4342.0986093639067</v>
      </c>
      <c r="D15" s="4">
        <v>4462.5884988323814</v>
      </c>
      <c r="E15" s="4">
        <v>4458.9892853868523</v>
      </c>
      <c r="F15" s="4">
        <v>4727.5877410000003</v>
      </c>
      <c r="G15" s="4">
        <v>4584.0738709999996</v>
      </c>
      <c r="H15" s="4">
        <v>4867.1654521459213</v>
      </c>
      <c r="I15" s="4">
        <v>4581.598199044508</v>
      </c>
      <c r="J15" s="4">
        <v>4703.4207021327402</v>
      </c>
      <c r="K15" s="5">
        <v>4305.233243373561</v>
      </c>
      <c r="L15" s="8">
        <v>3967.7902007422576</v>
      </c>
      <c r="M15" s="7">
        <v>3961.2009772637684</v>
      </c>
      <c r="N15" s="8">
        <v>3955.323139360165</v>
      </c>
      <c r="O15" s="8">
        <v>3948.3141533898142</v>
      </c>
      <c r="P15" s="8">
        <v>3940.1121423559598</v>
      </c>
      <c r="Q15" s="9">
        <v>3931.8098823205291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s="11" customFormat="1" ht="16" customHeight="1">
      <c r="A16" s="164"/>
      <c r="B16" s="50" t="s">
        <v>27</v>
      </c>
      <c r="C16" s="72"/>
      <c r="D16" s="35">
        <f>D15/C15-1</f>
        <v>2.7749229188078317E-2</v>
      </c>
      <c r="E16" s="35">
        <f t="shared" ref="E16:Q16" si="2">E15/D15-1</f>
        <v>-8.0653043552436632E-4</v>
      </c>
      <c r="F16" s="35">
        <f t="shared" si="2"/>
        <v>6.0237519855319555E-2</v>
      </c>
      <c r="G16" s="35">
        <f t="shared" si="2"/>
        <v>-3.0356680375358658E-2</v>
      </c>
      <c r="H16" s="35">
        <f t="shared" si="2"/>
        <v>6.1755457942514802E-2</v>
      </c>
      <c r="I16" s="35">
        <f t="shared" si="2"/>
        <v>-5.8672189369586292E-2</v>
      </c>
      <c r="J16" s="35">
        <f t="shared" si="2"/>
        <v>2.6589521340749211E-2</v>
      </c>
      <c r="K16" s="35">
        <f t="shared" si="2"/>
        <v>-8.4659120239578667E-2</v>
      </c>
      <c r="L16" s="35">
        <f t="shared" si="2"/>
        <v>-7.8379735441902465E-2</v>
      </c>
      <c r="M16" s="36">
        <f t="shared" si="2"/>
        <v>-1.6606783990888996E-3</v>
      </c>
      <c r="N16" s="35">
        <f t="shared" si="2"/>
        <v>-1.483852482451864E-3</v>
      </c>
      <c r="O16" s="35">
        <f t="shared" si="2"/>
        <v>-1.7720387749367017E-3</v>
      </c>
      <c r="P16" s="35">
        <f t="shared" si="2"/>
        <v>-2.0773450934273852E-3</v>
      </c>
      <c r="Q16" s="37">
        <f t="shared" si="2"/>
        <v>-2.107112624075258E-3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s="11" customFormat="1" ht="16" customHeight="1">
      <c r="A17" s="163" t="s">
        <v>19</v>
      </c>
      <c r="B17" s="52" t="s">
        <v>18</v>
      </c>
      <c r="C17" s="73">
        <v>897.00122444100009</v>
      </c>
      <c r="D17" s="4">
        <v>921.89231700000016</v>
      </c>
      <c r="E17" s="4">
        <v>962.830290512587</v>
      </c>
      <c r="F17" s="4">
        <v>921.47188799999992</v>
      </c>
      <c r="G17" s="4">
        <v>1131.285674</v>
      </c>
      <c r="H17" s="4">
        <v>986.61125699815</v>
      </c>
      <c r="I17" s="4">
        <v>764.28232907054974</v>
      </c>
      <c r="J17" s="4">
        <v>806.49803044525993</v>
      </c>
      <c r="K17" s="5">
        <v>1001.22799051193</v>
      </c>
      <c r="L17" s="8">
        <v>1383.2320759756653</v>
      </c>
      <c r="M17" s="7">
        <v>1386.1649689343274</v>
      </c>
      <c r="N17" s="8">
        <v>1389.2992351780319</v>
      </c>
      <c r="O17" s="8">
        <v>1391.8099237258989</v>
      </c>
      <c r="P17" s="8">
        <v>1393.6710104360138</v>
      </c>
      <c r="Q17" s="9">
        <v>1395.3761063663596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11" customFormat="1" ht="16" customHeight="1">
      <c r="A18" s="164"/>
      <c r="B18" s="50" t="s">
        <v>27</v>
      </c>
      <c r="C18" s="72"/>
      <c r="D18" s="35">
        <f t="shared" ref="D18:Q18" si="3">D17/C17-1</f>
        <v>2.7749229188078095E-2</v>
      </c>
      <c r="E18" s="35">
        <f t="shared" si="3"/>
        <v>4.4406459146775656E-2</v>
      </c>
      <c r="F18" s="35">
        <f t="shared" si="3"/>
        <v>-4.2955028440753495E-2</v>
      </c>
      <c r="G18" s="35">
        <f t="shared" si="3"/>
        <v>0.22769418007465037</v>
      </c>
      <c r="H18" s="35">
        <f t="shared" si="3"/>
        <v>-0.12788495454937576</v>
      </c>
      <c r="I18" s="35">
        <f t="shared" si="3"/>
        <v>-0.22534602798274894</v>
      </c>
      <c r="J18" s="35">
        <f t="shared" si="3"/>
        <v>5.5235741778890901E-2</v>
      </c>
      <c r="K18" s="35">
        <f t="shared" si="3"/>
        <v>0.24145125309129578</v>
      </c>
      <c r="L18" s="35">
        <f t="shared" si="3"/>
        <v>0.38153556341190176</v>
      </c>
      <c r="M18" s="36">
        <f t="shared" si="3"/>
        <v>2.1203187878602314E-3</v>
      </c>
      <c r="N18" s="35">
        <f t="shared" si="3"/>
        <v>2.2611062275756932E-3</v>
      </c>
      <c r="O18" s="35">
        <f t="shared" si="3"/>
        <v>1.8071618297157421E-3</v>
      </c>
      <c r="P18" s="35">
        <f t="shared" si="3"/>
        <v>1.337170168418389E-3</v>
      </c>
      <c r="Q18" s="37">
        <f t="shared" si="3"/>
        <v>1.2234565529294361E-3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1" customFormat="1" ht="16" customHeight="1">
      <c r="A19" s="163" t="s">
        <v>20</v>
      </c>
      <c r="B19" s="52" t="s">
        <v>18</v>
      </c>
      <c r="C19" s="4">
        <v>2563.497190193933</v>
      </c>
      <c r="D19" s="4">
        <v>2634.6322612476188</v>
      </c>
      <c r="E19" s="4">
        <v>2622.903677804125</v>
      </c>
      <c r="F19" s="4">
        <v>2593.4212520040001</v>
      </c>
      <c r="G19" s="4">
        <v>2816.9734236989998</v>
      </c>
      <c r="H19" s="4">
        <v>2799.9432302796699</v>
      </c>
      <c r="I19" s="4">
        <v>2823.5752567620998</v>
      </c>
      <c r="J19" s="4">
        <v>2910.4027166230403</v>
      </c>
      <c r="K19" s="4">
        <v>3089.9068066793598</v>
      </c>
      <c r="L19" s="8">
        <v>3136.508063211149</v>
      </c>
      <c r="M19" s="7">
        <v>3195.7355251980393</v>
      </c>
      <c r="N19" s="8">
        <v>3268.3777711428729</v>
      </c>
      <c r="O19" s="8">
        <v>3343.2860108682703</v>
      </c>
      <c r="P19" s="8">
        <v>3413.7686999054658</v>
      </c>
      <c r="Q19" s="9">
        <v>3485.2053868818734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1" customFormat="1" ht="16" customHeight="1">
      <c r="A20" s="164"/>
      <c r="B20" s="50" t="s">
        <v>27</v>
      </c>
      <c r="C20" s="72"/>
      <c r="D20" s="35">
        <f t="shared" ref="D20:Q20" si="4">D19/C19-1</f>
        <v>2.7749229188078095E-2</v>
      </c>
      <c r="E20" s="35">
        <f t="shared" si="4"/>
        <v>-4.4516965862779756E-3</v>
      </c>
      <c r="F20" s="35">
        <f t="shared" si="4"/>
        <v>-1.1240376857760692E-2</v>
      </c>
      <c r="G20" s="35">
        <f t="shared" si="4"/>
        <v>8.6199714574813235E-2</v>
      </c>
      <c r="H20" s="35">
        <f t="shared" si="4"/>
        <v>-6.0455641065180199E-3</v>
      </c>
      <c r="I20" s="35">
        <f t="shared" si="4"/>
        <v>8.4401805818290487E-3</v>
      </c>
      <c r="J20" s="35">
        <f t="shared" si="4"/>
        <v>3.0750892738913072E-2</v>
      </c>
      <c r="K20" s="35">
        <f t="shared" si="4"/>
        <v>6.1676718837247124E-2</v>
      </c>
      <c r="L20" s="35">
        <f t="shared" si="4"/>
        <v>1.5081767654303579E-2</v>
      </c>
      <c r="M20" s="36">
        <f t="shared" si="4"/>
        <v>1.8883248757298965E-2</v>
      </c>
      <c r="N20" s="35">
        <f t="shared" si="4"/>
        <v>2.2730994280364181E-2</v>
      </c>
      <c r="O20" s="35">
        <f t="shared" si="4"/>
        <v>2.2919088603152504E-2</v>
      </c>
      <c r="P20" s="35">
        <f t="shared" si="4"/>
        <v>2.1081860423568966E-2</v>
      </c>
      <c r="Q20" s="37">
        <f t="shared" si="4"/>
        <v>2.0926047795325475E-2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s="11" customFormat="1" ht="16" customHeight="1">
      <c r="A21" s="165" t="s">
        <v>21</v>
      </c>
      <c r="B21" s="52" t="s">
        <v>18</v>
      </c>
      <c r="C21" s="73">
        <v>5244.0032176309405</v>
      </c>
      <c r="D21" s="4">
        <v>5389.5202647800006</v>
      </c>
      <c r="E21" s="4">
        <v>5451.7842498963246</v>
      </c>
      <c r="F21" s="4">
        <v>5489.4244365629984</v>
      </c>
      <c r="G21" s="4">
        <v>5519.764055085001</v>
      </c>
      <c r="H21" s="4">
        <v>5506.1605925805306</v>
      </c>
      <c r="I21" s="4">
        <v>4966.3389164991286</v>
      </c>
      <c r="J21" s="4">
        <v>5190.6394553547798</v>
      </c>
      <c r="K21" s="5">
        <v>5235.6425165727096</v>
      </c>
      <c r="L21" s="8">
        <v>5671.8298769965713</v>
      </c>
      <c r="M21" s="12">
        <v>5728.4234266061339</v>
      </c>
      <c r="N21" s="6">
        <v>5801.9834093273603</v>
      </c>
      <c r="O21" s="6">
        <v>5881.9025522630127</v>
      </c>
      <c r="P21" s="6">
        <v>5961.743944766511</v>
      </c>
      <c r="Q21" s="13">
        <v>6044.2435332778814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s="11" customFormat="1" ht="16" customHeight="1">
      <c r="A22" s="166"/>
      <c r="B22" s="50" t="s">
        <v>27</v>
      </c>
      <c r="C22" s="74"/>
      <c r="D22" s="35">
        <f t="shared" ref="D22:Q22" si="5">D21/C21-1</f>
        <v>2.7749229188078095E-2</v>
      </c>
      <c r="E22" s="35">
        <f t="shared" si="5"/>
        <v>1.1552788014030257E-2</v>
      </c>
      <c r="F22" s="35">
        <f t="shared" si="5"/>
        <v>6.9041959368421058E-3</v>
      </c>
      <c r="G22" s="35">
        <f t="shared" si="5"/>
        <v>5.5269216058284609E-3</v>
      </c>
      <c r="H22" s="35">
        <f t="shared" si="5"/>
        <v>-2.464500722986207E-3</v>
      </c>
      <c r="I22" s="35">
        <f t="shared" si="5"/>
        <v>-9.8039580757743217E-2</v>
      </c>
      <c r="J22" s="35">
        <f t="shared" si="5"/>
        <v>4.5164162701518906E-2</v>
      </c>
      <c r="K22" s="35">
        <f t="shared" si="5"/>
        <v>8.6700418329967999E-3</v>
      </c>
      <c r="L22" s="35">
        <f t="shared" si="5"/>
        <v>8.3311142623502255E-2</v>
      </c>
      <c r="M22" s="36">
        <f t="shared" si="5"/>
        <v>9.9780054826910103E-3</v>
      </c>
      <c r="N22" s="35">
        <f t="shared" si="5"/>
        <v>1.2841226502142034E-2</v>
      </c>
      <c r="O22" s="35">
        <f t="shared" si="5"/>
        <v>1.3774452165301376E-2</v>
      </c>
      <c r="P22" s="35">
        <f t="shared" si="5"/>
        <v>1.3574076039865712E-2</v>
      </c>
      <c r="Q22" s="37">
        <f t="shared" si="5"/>
        <v>1.3838163677558191E-2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s="11" customFormat="1" ht="16" customHeight="1">
      <c r="A23" s="163" t="s">
        <v>22</v>
      </c>
      <c r="B23" s="52" t="s">
        <v>18</v>
      </c>
      <c r="C23" s="4">
        <v>75.444726007</v>
      </c>
      <c r="D23" s="4">
        <v>77.538259000000011</v>
      </c>
      <c r="E23" s="4">
        <v>79.93234837311455</v>
      </c>
      <c r="F23" s="4">
        <v>81.546365000000009</v>
      </c>
      <c r="G23" s="4">
        <v>77.977490000000003</v>
      </c>
      <c r="H23" s="4">
        <v>96.647735662843616</v>
      </c>
      <c r="I23" s="4">
        <v>91.359050281186768</v>
      </c>
      <c r="J23" s="4">
        <v>80.765609567000013</v>
      </c>
      <c r="K23" s="5">
        <v>84.234337897999993</v>
      </c>
      <c r="L23" s="8">
        <v>94.104498477419725</v>
      </c>
      <c r="M23" s="12">
        <v>95.024829580759373</v>
      </c>
      <c r="N23" s="6">
        <v>95.954754407093262</v>
      </c>
      <c r="O23" s="6">
        <v>96.894346990211446</v>
      </c>
      <c r="P23" s="6">
        <v>97.844477861865357</v>
      </c>
      <c r="Q23" s="13">
        <v>98.804202456513508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s="11" customFormat="1" ht="16" customHeight="1">
      <c r="A24" s="164"/>
      <c r="B24" s="50" t="s">
        <v>27</v>
      </c>
      <c r="C24" s="82"/>
      <c r="D24" s="35">
        <f t="shared" ref="D24:Q24" si="6">D23/C23-1</f>
        <v>2.7749229188078317E-2</v>
      </c>
      <c r="E24" s="35">
        <f t="shared" si="6"/>
        <v>3.0876233281360355E-2</v>
      </c>
      <c r="F24" s="35">
        <f t="shared" si="6"/>
        <v>2.0192283346304629E-2</v>
      </c>
      <c r="G24" s="35">
        <f t="shared" si="6"/>
        <v>-4.3764979591671582E-2</v>
      </c>
      <c r="H24" s="35">
        <f t="shared" si="6"/>
        <v>0.23943122127736616</v>
      </c>
      <c r="I24" s="35">
        <f t="shared" si="6"/>
        <v>-5.4721254930446217E-2</v>
      </c>
      <c r="J24" s="35">
        <f t="shared" si="6"/>
        <v>-0.11595392773438473</v>
      </c>
      <c r="K24" s="35">
        <f t="shared" si="6"/>
        <v>4.2948085820146753E-2</v>
      </c>
      <c r="L24" s="35">
        <f t="shared" si="6"/>
        <v>0.11717502417329606</v>
      </c>
      <c r="M24" s="36">
        <f t="shared" si="6"/>
        <v>9.7798842587795143E-3</v>
      </c>
      <c r="N24" s="35">
        <f t="shared" si="6"/>
        <v>9.7861246417028092E-3</v>
      </c>
      <c r="O24" s="35">
        <f t="shared" si="6"/>
        <v>9.7920378091107541E-3</v>
      </c>
      <c r="P24" s="35">
        <f t="shared" si="6"/>
        <v>9.8058442124584477E-3</v>
      </c>
      <c r="Q24" s="37">
        <f t="shared" si="6"/>
        <v>9.8086740879037571E-3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s="15" customFormat="1" ht="16" customHeight="1">
      <c r="A25" s="83" t="s">
        <v>23</v>
      </c>
      <c r="B25" s="84" t="s">
        <v>18</v>
      </c>
      <c r="C25" s="14">
        <f>C23+C21+C19+C17+C15</f>
        <v>13122.044967636783</v>
      </c>
      <c r="D25" s="14">
        <f t="shared" ref="D25:Q25" si="7">D23+D21+D19+D17+D15</f>
        <v>13486.171600860001</v>
      </c>
      <c r="E25" s="14">
        <f t="shared" si="7"/>
        <v>13576.439851973002</v>
      </c>
      <c r="F25" s="14">
        <f t="shared" si="7"/>
        <v>13813.451682567</v>
      </c>
      <c r="G25" s="14">
        <f t="shared" si="7"/>
        <v>14130.074513784002</v>
      </c>
      <c r="H25" s="14">
        <f t="shared" si="7"/>
        <v>14256.528267667116</v>
      </c>
      <c r="I25" s="14">
        <f t="shared" si="7"/>
        <v>13227.153751657472</v>
      </c>
      <c r="J25" s="14">
        <f t="shared" si="7"/>
        <v>13691.72651412282</v>
      </c>
      <c r="K25" s="19">
        <f t="shared" si="7"/>
        <v>13716.244895035561</v>
      </c>
      <c r="L25" s="85">
        <f t="shared" si="7"/>
        <v>14253.464715403064</v>
      </c>
      <c r="M25" s="86">
        <f t="shared" si="7"/>
        <v>14366.549727583028</v>
      </c>
      <c r="N25" s="28">
        <f t="shared" si="7"/>
        <v>14510.938309415524</v>
      </c>
      <c r="O25" s="28">
        <f t="shared" si="7"/>
        <v>14662.206987237209</v>
      </c>
      <c r="P25" s="28">
        <f t="shared" si="7"/>
        <v>14807.140275325815</v>
      </c>
      <c r="Q25" s="20">
        <f t="shared" si="7"/>
        <v>14955.439111303156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s="15" customFormat="1" ht="16" customHeight="1">
      <c r="A26" s="87"/>
      <c r="B26" s="88"/>
      <c r="C26" s="16"/>
      <c r="D26" s="16"/>
      <c r="E26" s="16"/>
      <c r="F26" s="16"/>
      <c r="G26" s="16"/>
      <c r="H26" s="16"/>
      <c r="I26" s="16"/>
      <c r="J26" s="16"/>
      <c r="K26" s="17"/>
      <c r="L26" s="89"/>
      <c r="M26" s="89"/>
      <c r="N26" s="21"/>
      <c r="O26" s="21"/>
      <c r="P26" s="21"/>
      <c r="Q26" s="21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s="15" customFormat="1" ht="16" customHeight="1">
      <c r="A27" s="169" t="s">
        <v>52</v>
      </c>
      <c r="B27" s="170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148" t="s">
        <v>37</v>
      </c>
      <c r="N27" s="149"/>
      <c r="O27" s="149"/>
      <c r="P27" s="149"/>
      <c r="Q27" s="15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s="15" customFormat="1" ht="16" customHeight="1">
      <c r="A28" s="171"/>
      <c r="B28" s="17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90" t="s">
        <v>1</v>
      </c>
      <c r="N28" s="91" t="s">
        <v>2</v>
      </c>
      <c r="O28" s="91" t="s">
        <v>3</v>
      </c>
      <c r="P28" s="91" t="s">
        <v>4</v>
      </c>
      <c r="Q28" s="92" t="s">
        <v>5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s="15" customFormat="1" ht="16" customHeight="1">
      <c r="A29" s="151" t="s">
        <v>17</v>
      </c>
      <c r="B29" s="93" t="s">
        <v>18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2">
        <v>4008.695911624051</v>
      </c>
      <c r="N29" s="40">
        <v>3802.7103632072449</v>
      </c>
      <c r="O29" s="40">
        <v>3648.8042862521652</v>
      </c>
      <c r="P29" s="40">
        <v>3498.6335801133223</v>
      </c>
      <c r="Q29" s="43">
        <v>3343.5404077667949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15" customFormat="1" ht="16" customHeight="1">
      <c r="A30" s="152"/>
      <c r="B30" s="39" t="s">
        <v>27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6">
        <f>M29/L15-1</f>
        <v>1.0309444000880186E-2</v>
      </c>
      <c r="N30" s="35">
        <f>N29/M29-1</f>
        <v>-5.1384677949631419E-2</v>
      </c>
      <c r="O30" s="35">
        <f t="shared" ref="O30:Q30" si="8">O29/N29-1</f>
        <v>-4.0472731882023716E-2</v>
      </c>
      <c r="P30" s="35">
        <f t="shared" si="8"/>
        <v>-4.1156141672122781E-2</v>
      </c>
      <c r="Q30" s="37">
        <f t="shared" si="8"/>
        <v>-4.4329641500069239E-2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s="15" customFormat="1" ht="16" customHeight="1">
      <c r="A31" s="151" t="s">
        <v>28</v>
      </c>
      <c r="B31" s="93" t="s">
        <v>18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2">
        <v>899.75364822691097</v>
      </c>
      <c r="N31" s="40">
        <v>898.82829136670273</v>
      </c>
      <c r="O31" s="40">
        <v>900.35479277671573</v>
      </c>
      <c r="P31" s="40">
        <v>900.27127618416739</v>
      </c>
      <c r="Q31" s="43">
        <v>899.89165934501875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s="15" customFormat="1" ht="16" customHeight="1">
      <c r="A32" s="152"/>
      <c r="B32" s="39" t="s">
        <v>27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6">
        <f>M31/L17-1</f>
        <v>-0.34952806267721337</v>
      </c>
      <c r="N32" s="35">
        <f>N31/M31-1</f>
        <v>-1.0284558023541113E-3</v>
      </c>
      <c r="O32" s="35">
        <f t="shared" ref="O32:Q32" si="9">O31/N31-1</f>
        <v>1.6983237228680448E-3</v>
      </c>
      <c r="P32" s="35">
        <f t="shared" si="9"/>
        <v>-9.2759646773021842E-5</v>
      </c>
      <c r="Q32" s="37">
        <f t="shared" si="9"/>
        <v>-4.2166938920640273E-4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s="15" customFormat="1" ht="16" customHeight="1">
      <c r="A33" s="151" t="s">
        <v>29</v>
      </c>
      <c r="B33" s="52" t="s">
        <v>18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2">
        <v>3159.7784488378711</v>
      </c>
      <c r="N33" s="40">
        <v>3209.3056217060393</v>
      </c>
      <c r="O33" s="40">
        <v>3250.130014050038</v>
      </c>
      <c r="P33" s="40">
        <v>3294.2591596715097</v>
      </c>
      <c r="Q33" s="43">
        <v>3340.3486359096382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s="15" customFormat="1" ht="16" customHeight="1">
      <c r="A34" s="152"/>
      <c r="B34" s="50" t="s">
        <v>27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6">
        <f>M33/L19-1</f>
        <v>7.4192015954512858E-3</v>
      </c>
      <c r="N34" s="35">
        <f>N33/M33-1</f>
        <v>1.5674254910619911E-2</v>
      </c>
      <c r="O34" s="35">
        <f t="shared" ref="O34:Q34" si="10">O33/N33-1</f>
        <v>1.272063092647957E-2</v>
      </c>
      <c r="P34" s="35">
        <f t="shared" si="10"/>
        <v>1.357765548784351E-2</v>
      </c>
      <c r="Q34" s="37">
        <f t="shared" si="10"/>
        <v>1.3990847108314552E-2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s="15" customFormat="1" ht="16" customHeight="1">
      <c r="A35" s="151" t="s">
        <v>30</v>
      </c>
      <c r="B35" s="52" t="s">
        <v>18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2">
        <v>4360.3988539386128</v>
      </c>
      <c r="N35" s="40">
        <v>3990.7212175672598</v>
      </c>
      <c r="O35" s="40">
        <v>3646.8344058542157</v>
      </c>
      <c r="P35" s="40">
        <v>3371.5205339018303</v>
      </c>
      <c r="Q35" s="43">
        <v>3094.5543694241555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s="15" customFormat="1" ht="16" customHeight="1">
      <c r="A36" s="152"/>
      <c r="B36" s="50" t="s">
        <v>27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6">
        <f>M35/L21-1</f>
        <v>-0.23121832838759371</v>
      </c>
      <c r="N36" s="35">
        <f>N35/M35-1</f>
        <v>-8.4780692949094516E-2</v>
      </c>
      <c r="O36" s="35">
        <f t="shared" ref="O36:Q36" si="11">O35/N35-1</f>
        <v>-8.6171594798264861E-2</v>
      </c>
      <c r="P36" s="35">
        <f t="shared" si="11"/>
        <v>-7.5493932905324024E-2</v>
      </c>
      <c r="Q36" s="37">
        <f t="shared" si="11"/>
        <v>-8.2148740217561245E-2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s="15" customFormat="1" ht="16" customHeight="1">
      <c r="A37" s="151" t="s">
        <v>22</v>
      </c>
      <c r="B37" s="52" t="s">
        <v>18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2">
        <v>71.740070362591794</v>
      </c>
      <c r="N37" s="40">
        <v>70.874568925625653</v>
      </c>
      <c r="O37" s="40">
        <v>67.324742815317819</v>
      </c>
      <c r="P37" s="40">
        <v>65.288967942680586</v>
      </c>
      <c r="Q37" s="43">
        <v>63.332122932302418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s="15" customFormat="1" ht="16" customHeight="1">
      <c r="A38" s="152"/>
      <c r="B38" s="50" t="s">
        <v>27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6">
        <f>M37/L23-1</f>
        <v>-0.23765525003243337</v>
      </c>
      <c r="N38" s="35">
        <f>N37/M37-1</f>
        <v>-1.2064407416827017E-2</v>
      </c>
      <c r="O38" s="35">
        <f t="shared" ref="O38:Q38" si="12">O37/N37-1</f>
        <v>-5.0086034583617045E-2</v>
      </c>
      <c r="P38" s="35">
        <f t="shared" si="12"/>
        <v>-3.0238138127340219E-2</v>
      </c>
      <c r="Q38" s="37">
        <f t="shared" si="12"/>
        <v>-2.9972062234099761E-2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1:27" s="15" customFormat="1" ht="16" customHeight="1">
      <c r="A39" s="83" t="s">
        <v>23</v>
      </c>
      <c r="B39" s="84" t="s">
        <v>18</v>
      </c>
      <c r="C39" s="14"/>
      <c r="D39" s="14"/>
      <c r="E39" s="14"/>
      <c r="F39" s="14"/>
      <c r="G39" s="14"/>
      <c r="H39" s="14"/>
      <c r="I39" s="14"/>
      <c r="J39" s="14"/>
      <c r="K39" s="19"/>
      <c r="L39" s="28"/>
      <c r="M39" s="27">
        <f>M29+M31+M33+M35+M37</f>
        <v>12500.366932990039</v>
      </c>
      <c r="N39" s="28">
        <f t="shared" ref="N39:Q39" si="13">N29+N31+N33+N35+N37</f>
        <v>11972.440062772872</v>
      </c>
      <c r="O39" s="28">
        <f t="shared" si="13"/>
        <v>11513.448241748452</v>
      </c>
      <c r="P39" s="28">
        <f t="shared" si="13"/>
        <v>11129.973517813511</v>
      </c>
      <c r="Q39" s="20">
        <f t="shared" si="13"/>
        <v>10741.66719537791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s="15" customFormat="1" ht="16" customHeight="1">
      <c r="A40" s="87"/>
      <c r="B40" s="88"/>
      <c r="C40" s="16"/>
      <c r="D40" s="16"/>
      <c r="E40" s="16"/>
      <c r="F40" s="16"/>
      <c r="G40" s="16"/>
      <c r="H40" s="16"/>
      <c r="I40" s="16"/>
      <c r="J40" s="16"/>
      <c r="K40" s="17"/>
      <c r="L40" s="89"/>
      <c r="M40" s="89"/>
      <c r="N40" s="21"/>
      <c r="O40" s="21"/>
      <c r="P40" s="21"/>
      <c r="Q40" s="21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>
      <c r="A41" s="169" t="s">
        <v>45</v>
      </c>
      <c r="B41" s="170"/>
      <c r="C41" s="149" t="s">
        <v>34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48" t="s">
        <v>44</v>
      </c>
      <c r="N41" s="149"/>
      <c r="O41" s="149"/>
      <c r="P41" s="149"/>
      <c r="Q41" s="150"/>
    </row>
    <row r="42" spans="1:27">
      <c r="A42" s="173"/>
      <c r="B42" s="174"/>
      <c r="C42" s="18" t="s">
        <v>7</v>
      </c>
      <c r="D42" s="18" t="s">
        <v>8</v>
      </c>
      <c r="E42" s="18" t="s">
        <v>9</v>
      </c>
      <c r="F42" s="18" t="s">
        <v>10</v>
      </c>
      <c r="G42" s="18" t="s">
        <v>11</v>
      </c>
      <c r="H42" s="18" t="s">
        <v>12</v>
      </c>
      <c r="I42" s="18" t="s">
        <v>13</v>
      </c>
      <c r="J42" s="18" t="s">
        <v>14</v>
      </c>
      <c r="K42" s="18" t="s">
        <v>15</v>
      </c>
      <c r="L42" s="18" t="s">
        <v>16</v>
      </c>
      <c r="M42" s="80" t="s">
        <v>1</v>
      </c>
      <c r="N42" s="18" t="s">
        <v>2</v>
      </c>
      <c r="O42" s="18" t="s">
        <v>3</v>
      </c>
      <c r="P42" s="18" t="s">
        <v>4</v>
      </c>
      <c r="Q42" s="81" t="s">
        <v>5</v>
      </c>
    </row>
    <row r="43" spans="1:27" ht="15" customHeight="1">
      <c r="A43" s="163" t="s">
        <v>17</v>
      </c>
      <c r="B43" s="52" t="s">
        <v>24</v>
      </c>
      <c r="C43" s="4">
        <v>520835.12400000001</v>
      </c>
      <c r="D43" s="4">
        <v>530382</v>
      </c>
      <c r="E43" s="4">
        <v>537883</v>
      </c>
      <c r="F43" s="4">
        <v>547976</v>
      </c>
      <c r="G43" s="4">
        <v>561386</v>
      </c>
      <c r="H43" s="4">
        <v>570854</v>
      </c>
      <c r="I43" s="4">
        <v>577958</v>
      </c>
      <c r="J43" s="4">
        <v>585538</v>
      </c>
      <c r="K43" s="5">
        <v>607276</v>
      </c>
      <c r="L43" s="4">
        <v>628369.4504579053</v>
      </c>
      <c r="M43" s="3">
        <v>638753.11212699534</v>
      </c>
      <c r="N43" s="4">
        <v>649195.06101079739</v>
      </c>
      <c r="O43" s="4">
        <v>659595.03106401104</v>
      </c>
      <c r="P43" s="4">
        <v>670159.5538688493</v>
      </c>
      <c r="Q43" s="10">
        <v>680946.5624573651</v>
      </c>
    </row>
    <row r="44" spans="1:27" ht="15" customHeight="1">
      <c r="A44" s="164"/>
      <c r="B44" s="50" t="s">
        <v>27</v>
      </c>
      <c r="C44" s="34"/>
      <c r="D44" s="35">
        <f>D43/C43-1</f>
        <v>1.8329938900203624E-2</v>
      </c>
      <c r="E44" s="35">
        <f t="shared" ref="E44:Q44" si="14">E43/D43-1</f>
        <v>1.4142636816483201E-2</v>
      </c>
      <c r="F44" s="35">
        <f t="shared" si="14"/>
        <v>1.8764303761226842E-2</v>
      </c>
      <c r="G44" s="35">
        <f t="shared" si="14"/>
        <v>2.4471874680642935E-2</v>
      </c>
      <c r="H44" s="35">
        <f t="shared" si="14"/>
        <v>1.6865400989693358E-2</v>
      </c>
      <c r="I44" s="35">
        <f t="shared" si="14"/>
        <v>1.2444512957779041E-2</v>
      </c>
      <c r="J44" s="35">
        <f t="shared" si="14"/>
        <v>1.3115139854453117E-2</v>
      </c>
      <c r="K44" s="35">
        <f t="shared" si="14"/>
        <v>3.7124832205595482E-2</v>
      </c>
      <c r="L44" s="35">
        <f t="shared" si="14"/>
        <v>3.4734536615814493E-2</v>
      </c>
      <c r="M44" s="36">
        <f t="shared" si="14"/>
        <v>1.65247716315986E-2</v>
      </c>
      <c r="N44" s="35">
        <f t="shared" si="14"/>
        <v>1.6347394142677718E-2</v>
      </c>
      <c r="O44" s="35">
        <f t="shared" si="14"/>
        <v>1.6019792321002591E-2</v>
      </c>
      <c r="P44" s="35">
        <f t="shared" si="14"/>
        <v>1.6016680398268424E-2</v>
      </c>
      <c r="Q44" s="37">
        <f t="shared" si="14"/>
        <v>1.6096179672798971E-2</v>
      </c>
    </row>
    <row r="45" spans="1:27" ht="15" customHeight="1">
      <c r="A45" s="163" t="s">
        <v>19</v>
      </c>
      <c r="B45" s="52" t="s">
        <v>24</v>
      </c>
      <c r="C45" s="4">
        <v>85534.164000000004</v>
      </c>
      <c r="D45" s="4">
        <v>87102</v>
      </c>
      <c r="E45" s="4">
        <v>90274</v>
      </c>
      <c r="F45" s="4">
        <v>92553</v>
      </c>
      <c r="G45" s="4">
        <v>94404</v>
      </c>
      <c r="H45" s="4">
        <v>98313</v>
      </c>
      <c r="I45" s="4">
        <v>102414</v>
      </c>
      <c r="J45" s="4">
        <v>104717</v>
      </c>
      <c r="K45" s="5">
        <v>105435</v>
      </c>
      <c r="L45" s="4">
        <v>97065.549542094799</v>
      </c>
      <c r="M45" s="3">
        <v>98669.535581573538</v>
      </c>
      <c r="N45" s="4">
        <v>100282.52536960049</v>
      </c>
      <c r="O45" s="4">
        <v>101889.03059944719</v>
      </c>
      <c r="P45" s="4">
        <v>103520.95463864793</v>
      </c>
      <c r="Q45" s="10">
        <v>105187.24652441128</v>
      </c>
    </row>
    <row r="46" spans="1:27" ht="15" customHeight="1">
      <c r="A46" s="164"/>
      <c r="B46" s="50" t="s">
        <v>27</v>
      </c>
      <c r="C46" s="34"/>
      <c r="D46" s="35">
        <f>D45/C45-1</f>
        <v>1.8329938900203624E-2</v>
      </c>
      <c r="E46" s="35">
        <f t="shared" ref="E46:Q46" si="15">E45/D45-1</f>
        <v>3.6417074234805114E-2</v>
      </c>
      <c r="F46" s="35">
        <f t="shared" si="15"/>
        <v>2.5245364113698265E-2</v>
      </c>
      <c r="G46" s="35">
        <f t="shared" si="15"/>
        <v>1.9999351722796765E-2</v>
      </c>
      <c r="H46" s="35">
        <f t="shared" si="15"/>
        <v>4.1407143765094689E-2</v>
      </c>
      <c r="I46" s="35">
        <f t="shared" si="15"/>
        <v>4.1713710292636819E-2</v>
      </c>
      <c r="J46" s="35">
        <f t="shared" si="15"/>
        <v>2.2487159958599401E-2</v>
      </c>
      <c r="K46" s="35">
        <f t="shared" si="15"/>
        <v>6.8565753411575781E-3</v>
      </c>
      <c r="L46" s="35">
        <f t="shared" si="15"/>
        <v>-7.9380191187985005E-2</v>
      </c>
      <c r="M46" s="36">
        <f t="shared" si="15"/>
        <v>1.65247716315986E-2</v>
      </c>
      <c r="N46" s="35">
        <f t="shared" si="15"/>
        <v>1.6347394142677718E-2</v>
      </c>
      <c r="O46" s="35">
        <f t="shared" si="15"/>
        <v>1.6019792321002813E-2</v>
      </c>
      <c r="P46" s="35">
        <f t="shared" si="15"/>
        <v>1.6016680398268646E-2</v>
      </c>
      <c r="Q46" s="37">
        <f t="shared" si="15"/>
        <v>1.6096179672798971E-2</v>
      </c>
    </row>
    <row r="47" spans="1:27" ht="15" customHeight="1">
      <c r="A47" s="163" t="s">
        <v>20</v>
      </c>
      <c r="B47" s="52" t="s">
        <v>24</v>
      </c>
      <c r="C47" s="4">
        <v>6236.6819999999998</v>
      </c>
      <c r="D47" s="4">
        <v>6351</v>
      </c>
      <c r="E47" s="4">
        <v>6663</v>
      </c>
      <c r="F47" s="4">
        <v>6892</v>
      </c>
      <c r="G47" s="4">
        <v>7095</v>
      </c>
      <c r="H47" s="4">
        <v>7379</v>
      </c>
      <c r="I47" s="4">
        <v>7563</v>
      </c>
      <c r="J47" s="4">
        <v>7933</v>
      </c>
      <c r="K47" s="5">
        <v>8385</v>
      </c>
      <c r="L47" s="4">
        <v>7915</v>
      </c>
      <c r="M47" s="3">
        <v>8082.5713030766374</v>
      </c>
      <c r="N47" s="4">
        <v>8315.9249736007423</v>
      </c>
      <c r="O47" s="4">
        <v>8538.5387560455856</v>
      </c>
      <c r="P47" s="4">
        <v>8765.6452584792314</v>
      </c>
      <c r="Q47" s="10">
        <v>8999.8064477802745</v>
      </c>
    </row>
    <row r="48" spans="1:27" ht="15" customHeight="1">
      <c r="A48" s="164"/>
      <c r="B48" s="50" t="s">
        <v>27</v>
      </c>
      <c r="C48" s="34"/>
      <c r="D48" s="35">
        <f>D47/C47-1</f>
        <v>1.8329938900203624E-2</v>
      </c>
      <c r="E48" s="35">
        <f t="shared" ref="E48:Q48" si="16">E47/D47-1</f>
        <v>4.9126121870571637E-2</v>
      </c>
      <c r="F48" s="35">
        <f t="shared" si="16"/>
        <v>3.4368902896593223E-2</v>
      </c>
      <c r="G48" s="35">
        <f t="shared" si="16"/>
        <v>2.9454439930354015E-2</v>
      </c>
      <c r="H48" s="35">
        <f t="shared" si="16"/>
        <v>4.0028188865398162E-2</v>
      </c>
      <c r="I48" s="35">
        <f t="shared" si="16"/>
        <v>2.4935628133893495E-2</v>
      </c>
      <c r="J48" s="35">
        <f t="shared" si="16"/>
        <v>4.8922385296839899E-2</v>
      </c>
      <c r="K48" s="35">
        <f t="shared" si="16"/>
        <v>5.6977183915290608E-2</v>
      </c>
      <c r="L48" s="35">
        <f t="shared" si="16"/>
        <v>-5.6052474657125817E-2</v>
      </c>
      <c r="M48" s="36">
        <f t="shared" si="16"/>
        <v>2.117135856937935E-2</v>
      </c>
      <c r="N48" s="35">
        <f t="shared" si="16"/>
        <v>2.8871217063718202E-2</v>
      </c>
      <c r="O48" s="35">
        <f t="shared" si="16"/>
        <v>2.6769575621658381E-2</v>
      </c>
      <c r="P48" s="35">
        <f t="shared" si="16"/>
        <v>2.6597818306188126E-2</v>
      </c>
      <c r="Q48" s="37">
        <f t="shared" si="16"/>
        <v>2.6713514224698143E-2</v>
      </c>
    </row>
    <row r="49" spans="1:17" ht="15" customHeight="1">
      <c r="A49" s="165" t="s">
        <v>21</v>
      </c>
      <c r="B49" s="52" t="s">
        <v>24</v>
      </c>
      <c r="C49" s="4">
        <v>7.8559999999999999</v>
      </c>
      <c r="D49" s="4">
        <v>8</v>
      </c>
      <c r="E49" s="4">
        <v>18</v>
      </c>
      <c r="F49" s="4">
        <v>24</v>
      </c>
      <c r="G49" s="4">
        <v>29</v>
      </c>
      <c r="H49" s="4">
        <v>46</v>
      </c>
      <c r="I49" s="4">
        <v>61</v>
      </c>
      <c r="J49" s="4">
        <v>63</v>
      </c>
      <c r="K49" s="5">
        <v>70.5</v>
      </c>
      <c r="L49" s="4">
        <v>249</v>
      </c>
      <c r="M49" s="3">
        <v>243.00863238154648</v>
      </c>
      <c r="N49" s="4">
        <v>238.25434453458826</v>
      </c>
      <c r="O49" s="4">
        <v>232.855898907484</v>
      </c>
      <c r="P49" s="4">
        <v>227.30117096668181</v>
      </c>
      <c r="Q49" s="10">
        <v>222.46338808810413</v>
      </c>
    </row>
    <row r="50" spans="1:17" ht="15" customHeight="1">
      <c r="A50" s="166"/>
      <c r="B50" s="50" t="s">
        <v>27</v>
      </c>
      <c r="C50" s="34"/>
      <c r="D50" s="35">
        <f>D49/C49-1</f>
        <v>1.8329938900203624E-2</v>
      </c>
      <c r="E50" s="35">
        <f t="shared" ref="E50:Q50" si="17">E49/D49-1</f>
        <v>1.25</v>
      </c>
      <c r="F50" s="35">
        <f t="shared" si="17"/>
        <v>0.33333333333333326</v>
      </c>
      <c r="G50" s="35">
        <f t="shared" si="17"/>
        <v>0.20833333333333326</v>
      </c>
      <c r="H50" s="35">
        <f t="shared" si="17"/>
        <v>0.5862068965517242</v>
      </c>
      <c r="I50" s="35">
        <f t="shared" si="17"/>
        <v>0.32608695652173902</v>
      </c>
      <c r="J50" s="35">
        <f t="shared" si="17"/>
        <v>3.2786885245901676E-2</v>
      </c>
      <c r="K50" s="35">
        <f t="shared" si="17"/>
        <v>0.11904761904761907</v>
      </c>
      <c r="L50" s="35">
        <f t="shared" si="17"/>
        <v>2.5319148936170213</v>
      </c>
      <c r="M50" s="36">
        <f t="shared" si="17"/>
        <v>-2.406171734318685E-2</v>
      </c>
      <c r="N50" s="35">
        <f t="shared" si="17"/>
        <v>-1.9564275558300093E-2</v>
      </c>
      <c r="O50" s="35">
        <f t="shared" si="17"/>
        <v>-2.2658330271583149E-2</v>
      </c>
      <c r="P50" s="35">
        <f t="shared" si="17"/>
        <v>-2.3854787303495106E-2</v>
      </c>
      <c r="Q50" s="37">
        <f t="shared" si="17"/>
        <v>-2.1283580977622063E-2</v>
      </c>
    </row>
    <row r="51" spans="1:17" ht="15" customHeight="1">
      <c r="A51" s="163" t="s">
        <v>22</v>
      </c>
      <c r="B51" s="52" t="s">
        <v>24</v>
      </c>
      <c r="C51" s="4">
        <v>281.834</v>
      </c>
      <c r="D51" s="4">
        <v>287</v>
      </c>
      <c r="E51" s="4">
        <v>285</v>
      </c>
      <c r="F51" s="4">
        <v>284</v>
      </c>
      <c r="G51" s="4">
        <v>302</v>
      </c>
      <c r="H51" s="4">
        <v>368</v>
      </c>
      <c r="I51" s="4">
        <v>963</v>
      </c>
      <c r="J51" s="4">
        <v>1013</v>
      </c>
      <c r="K51" s="5">
        <v>763.5</v>
      </c>
      <c r="L51" s="4">
        <v>2772.9244620699005</v>
      </c>
      <c r="M51" s="3">
        <v>1816.2998085791785</v>
      </c>
      <c r="N51" s="4">
        <v>1848.7183231206131</v>
      </c>
      <c r="O51" s="4">
        <v>1882.1100478508436</v>
      </c>
      <c r="P51" s="4">
        <v>1915.5063135041332</v>
      </c>
      <c r="Q51" s="10">
        <v>1949.9114816617632</v>
      </c>
    </row>
    <row r="52" spans="1:17" ht="15" customHeight="1">
      <c r="A52" s="164"/>
      <c r="B52" s="50" t="s">
        <v>27</v>
      </c>
      <c r="C52" s="34"/>
      <c r="D52" s="35">
        <f>D51/C51-1</f>
        <v>1.8329938900203624E-2</v>
      </c>
      <c r="E52" s="35">
        <f t="shared" ref="E52:Q52" si="18">E51/D51-1</f>
        <v>-6.9686411149826322E-3</v>
      </c>
      <c r="F52" s="35">
        <f t="shared" si="18"/>
        <v>-3.5087719298245723E-3</v>
      </c>
      <c r="G52" s="35">
        <f t="shared" si="18"/>
        <v>6.3380281690140761E-2</v>
      </c>
      <c r="H52" s="35">
        <f t="shared" si="18"/>
        <v>0.2185430463576159</v>
      </c>
      <c r="I52" s="35">
        <f t="shared" si="18"/>
        <v>1.6168478260869565</v>
      </c>
      <c r="J52" s="35">
        <f t="shared" si="18"/>
        <v>5.1921079958463068E-2</v>
      </c>
      <c r="K52" s="35">
        <f t="shared" si="18"/>
        <v>-0.24629812438302068</v>
      </c>
      <c r="L52" s="35">
        <f t="shared" si="18"/>
        <v>2.6318591513685665</v>
      </c>
      <c r="M52" s="36">
        <f t="shared" si="18"/>
        <v>-0.34498763546434008</v>
      </c>
      <c r="N52" s="35">
        <f t="shared" si="18"/>
        <v>1.7848658238198256E-2</v>
      </c>
      <c r="O52" s="35">
        <f t="shared" si="18"/>
        <v>1.806209432373973E-2</v>
      </c>
      <c r="P52" s="35">
        <f t="shared" si="18"/>
        <v>1.7744055769440381E-2</v>
      </c>
      <c r="Q52" s="37">
        <f t="shared" si="18"/>
        <v>1.7961396376027006E-2</v>
      </c>
    </row>
    <row r="53" spans="1:17" ht="15" customHeight="1">
      <c r="A53" s="83" t="s">
        <v>25</v>
      </c>
      <c r="B53" s="84" t="s">
        <v>24</v>
      </c>
      <c r="C53" s="14">
        <f>C43+C45+C47+C49+C51</f>
        <v>612895.66000000015</v>
      </c>
      <c r="D53" s="14">
        <f t="shared" ref="D53:Q53" si="19">D43+D45+D47+D49+D51</f>
        <v>624130</v>
      </c>
      <c r="E53" s="14">
        <f t="shared" si="19"/>
        <v>635123</v>
      </c>
      <c r="F53" s="14">
        <f t="shared" si="19"/>
        <v>647729</v>
      </c>
      <c r="G53" s="14">
        <f t="shared" si="19"/>
        <v>663216</v>
      </c>
      <c r="H53" s="14">
        <f t="shared" si="19"/>
        <v>676960</v>
      </c>
      <c r="I53" s="14">
        <f t="shared" si="19"/>
        <v>688959</v>
      </c>
      <c r="J53" s="14">
        <f t="shared" si="19"/>
        <v>699264</v>
      </c>
      <c r="K53" s="19">
        <f t="shared" si="19"/>
        <v>721930</v>
      </c>
      <c r="L53" s="28">
        <f t="shared" si="19"/>
        <v>736371.92446206999</v>
      </c>
      <c r="M53" s="27">
        <f t="shared" si="19"/>
        <v>747564.52745260624</v>
      </c>
      <c r="N53" s="28">
        <f t="shared" si="19"/>
        <v>759880.48402165389</v>
      </c>
      <c r="O53" s="28">
        <f t="shared" si="19"/>
        <v>772137.56636626227</v>
      </c>
      <c r="P53" s="28">
        <f t="shared" si="19"/>
        <v>784588.96125044744</v>
      </c>
      <c r="Q53" s="20">
        <f t="shared" si="19"/>
        <v>797305.99029930646</v>
      </c>
    </row>
    <row r="54" spans="1:17" ht="15" customHeight="1">
      <c r="A54" s="87"/>
      <c r="B54" s="88"/>
      <c r="C54" s="16"/>
      <c r="D54" s="16"/>
      <c r="E54" s="16"/>
      <c r="F54" s="16"/>
      <c r="G54" s="16"/>
      <c r="H54" s="16"/>
      <c r="I54" s="16"/>
      <c r="J54" s="16"/>
      <c r="K54" s="17"/>
      <c r="L54" s="21"/>
      <c r="M54" s="21"/>
      <c r="N54" s="21"/>
      <c r="O54" s="21"/>
      <c r="P54" s="21"/>
      <c r="Q54" s="21"/>
    </row>
    <row r="55" spans="1:17" ht="16" customHeight="1">
      <c r="A55" s="169" t="s">
        <v>46</v>
      </c>
      <c r="B55" s="170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148" t="s">
        <v>37</v>
      </c>
      <c r="N55" s="149"/>
      <c r="O55" s="149"/>
      <c r="P55" s="149"/>
      <c r="Q55" s="150"/>
    </row>
    <row r="56" spans="1:17">
      <c r="A56" s="173"/>
      <c r="B56" s="174"/>
      <c r="C56" s="2"/>
      <c r="D56" s="2"/>
      <c r="E56" s="2"/>
      <c r="F56" s="2"/>
      <c r="G56" s="2"/>
      <c r="H56" s="2"/>
      <c r="I56" s="2"/>
      <c r="J56" s="2"/>
      <c r="K56" s="2"/>
      <c r="L56" s="2"/>
      <c r="M56" s="80" t="s">
        <v>1</v>
      </c>
      <c r="N56" s="18" t="s">
        <v>2</v>
      </c>
      <c r="O56" s="18" t="s">
        <v>3</v>
      </c>
      <c r="P56" s="18" t="s">
        <v>4</v>
      </c>
      <c r="Q56" s="81" t="s">
        <v>5</v>
      </c>
    </row>
    <row r="57" spans="1:17">
      <c r="A57" s="151" t="s">
        <v>17</v>
      </c>
      <c r="B57" s="52" t="s">
        <v>24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2">
        <v>634665.28823850374</v>
      </c>
      <c r="N57" s="40">
        <v>651955.95294393238</v>
      </c>
      <c r="O57" s="40">
        <v>667570.33757582528</v>
      </c>
      <c r="P57" s="40">
        <v>684238.54849483143</v>
      </c>
      <c r="Q57" s="43">
        <v>701609.60576573445</v>
      </c>
    </row>
    <row r="58" spans="1:17">
      <c r="A58" s="152"/>
      <c r="B58" s="50" t="s">
        <v>27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6">
        <f>M57/L43-1</f>
        <v>1.0019325057910589E-2</v>
      </c>
      <c r="N58" s="35">
        <f>N57/M57-1</f>
        <v>2.72437535593264E-2</v>
      </c>
      <c r="O58" s="35">
        <f t="shared" ref="O58:Q58" si="20">O57/N57-1</f>
        <v>2.3950060677236706E-2</v>
      </c>
      <c r="P58" s="35">
        <f t="shared" si="20"/>
        <v>2.4968471456557007E-2</v>
      </c>
      <c r="Q58" s="37">
        <f t="shared" si="20"/>
        <v>2.5387428564373371E-2</v>
      </c>
    </row>
    <row r="59" spans="1:17">
      <c r="A59" s="151" t="s">
        <v>28</v>
      </c>
      <c r="B59" s="52" t="s">
        <v>24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7">
        <v>109840.1812892067</v>
      </c>
      <c r="N59" s="48">
        <v>111605.63913160714</v>
      </c>
      <c r="O59" s="48">
        <v>113742.34029625982</v>
      </c>
      <c r="P59" s="48">
        <v>115747.79164272061</v>
      </c>
      <c r="Q59" s="49">
        <v>117786.86640641605</v>
      </c>
    </row>
    <row r="60" spans="1:17">
      <c r="A60" s="152"/>
      <c r="B60" s="50" t="s">
        <v>27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6">
        <f>M59/L45-1</f>
        <v>0.13160829776760163</v>
      </c>
      <c r="N60" s="35">
        <f>N59/M59-1</f>
        <v>1.6072969123676506E-2</v>
      </c>
      <c r="O60" s="35">
        <f t="shared" ref="O60:Q60" si="21">O59/N59-1</f>
        <v>1.9145100384516001E-2</v>
      </c>
      <c r="P60" s="35">
        <f t="shared" si="21"/>
        <v>1.7631528780199801E-2</v>
      </c>
      <c r="Q60" s="37">
        <f t="shared" si="21"/>
        <v>1.761653276279751E-2</v>
      </c>
    </row>
    <row r="61" spans="1:17">
      <c r="A61" s="151" t="s">
        <v>29</v>
      </c>
      <c r="B61" s="52" t="s">
        <v>24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2">
        <v>8723.7540000000008</v>
      </c>
      <c r="N61" s="40">
        <v>8898.229080000001</v>
      </c>
      <c r="O61" s="40">
        <v>9076.1936616000003</v>
      </c>
      <c r="P61" s="40">
        <v>9257.7175348319997</v>
      </c>
      <c r="Q61" s="43">
        <v>9442.8718855286406</v>
      </c>
    </row>
    <row r="62" spans="1:17">
      <c r="A62" s="152"/>
      <c r="B62" s="50" t="s">
        <v>27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6">
        <f>M61/L47-1</f>
        <v>0.10217991156032857</v>
      </c>
      <c r="N62" s="35">
        <f>N61/M61-1</f>
        <v>2.0000000000000018E-2</v>
      </c>
      <c r="O62" s="35">
        <f t="shared" ref="O62:Q62" si="22">O61/N61-1</f>
        <v>2.0000000000000018E-2</v>
      </c>
      <c r="P62" s="35">
        <f t="shared" si="22"/>
        <v>2.0000000000000018E-2</v>
      </c>
      <c r="Q62" s="37">
        <f t="shared" si="22"/>
        <v>2.0000000000000018E-2</v>
      </c>
    </row>
    <row r="63" spans="1:17">
      <c r="A63" s="151" t="s">
        <v>30</v>
      </c>
      <c r="B63" s="52" t="s">
        <v>24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2">
        <v>73.348199999999991</v>
      </c>
      <c r="N63" s="40">
        <v>74.815163999999996</v>
      </c>
      <c r="O63" s="40">
        <v>76.311467280000002</v>
      </c>
      <c r="P63" s="40">
        <v>77.837696625600003</v>
      </c>
      <c r="Q63" s="43">
        <v>79.394450558111998</v>
      </c>
    </row>
    <row r="64" spans="1:17">
      <c r="A64" s="152"/>
      <c r="B64" s="50" t="s">
        <v>27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6">
        <f>M63/L49-1</f>
        <v>-0.70542891566265065</v>
      </c>
      <c r="N64" s="35">
        <f>N63/M63-1</f>
        <v>2.0000000000000018E-2</v>
      </c>
      <c r="O64" s="35">
        <f t="shared" ref="O64:Q64" si="23">O63/N63-1</f>
        <v>2.0000000000000018E-2</v>
      </c>
      <c r="P64" s="35">
        <f t="shared" si="23"/>
        <v>2.0000000000000018E-2</v>
      </c>
      <c r="Q64" s="37">
        <f t="shared" si="23"/>
        <v>2.0000000000000018E-2</v>
      </c>
    </row>
    <row r="65" spans="1:17">
      <c r="A65" s="151" t="s">
        <v>22</v>
      </c>
      <c r="B65" s="52" t="s">
        <v>24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2">
        <v>733.50346303782908</v>
      </c>
      <c r="N65" s="40">
        <v>663.96151418211264</v>
      </c>
      <c r="O65" s="40">
        <v>634.54057902537522</v>
      </c>
      <c r="P65" s="40">
        <v>592.82063109794296</v>
      </c>
      <c r="Q65" s="43">
        <v>552.33742101625273</v>
      </c>
    </row>
    <row r="66" spans="1:17">
      <c r="A66" s="152"/>
      <c r="B66" s="50" t="s">
        <v>27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6">
        <f>M65/L51-1</f>
        <v>-0.73547657966481639</v>
      </c>
      <c r="N66" s="35">
        <f>N65/M65-1</f>
        <v>-9.4807935285957767E-2</v>
      </c>
      <c r="O66" s="35">
        <f t="shared" ref="O66:Q66" si="24">O65/N65-1</f>
        <v>-4.4311205586936797E-2</v>
      </c>
      <c r="P66" s="35">
        <f t="shared" si="24"/>
        <v>-6.5748274115915772E-2</v>
      </c>
      <c r="Q66" s="37">
        <f t="shared" si="24"/>
        <v>-6.8289138329603483E-2</v>
      </c>
    </row>
    <row r="67" spans="1:17">
      <c r="A67" s="83" t="s">
        <v>25</v>
      </c>
      <c r="B67" s="84" t="s">
        <v>24</v>
      </c>
      <c r="C67" s="14"/>
      <c r="D67" s="14"/>
      <c r="E67" s="14"/>
      <c r="F67" s="14"/>
      <c r="G67" s="14"/>
      <c r="H67" s="14"/>
      <c r="I67" s="14"/>
      <c r="J67" s="14"/>
      <c r="K67" s="19"/>
      <c r="L67" s="28"/>
      <c r="M67" s="27">
        <f>M57+M59+M61+M63+M65</f>
        <v>754036.0751907482</v>
      </c>
      <c r="N67" s="28">
        <f t="shared" ref="N67:Q67" si="25">N57+N59+N61+N63+N65</f>
        <v>773198.59783372167</v>
      </c>
      <c r="O67" s="28">
        <f t="shared" si="25"/>
        <v>791099.72357999056</v>
      </c>
      <c r="P67" s="28">
        <f t="shared" si="25"/>
        <v>809914.71600010747</v>
      </c>
      <c r="Q67" s="20">
        <f t="shared" si="25"/>
        <v>829471.07592925359</v>
      </c>
    </row>
    <row r="68" spans="1:17" ht="15" customHeight="1">
      <c r="A68" s="87"/>
      <c r="B68" s="88"/>
      <c r="C68" s="16"/>
      <c r="D68" s="16"/>
      <c r="E68" s="16"/>
      <c r="F68" s="16"/>
      <c r="G68" s="16"/>
      <c r="H68" s="16"/>
      <c r="I68" s="16"/>
      <c r="J68" s="16"/>
      <c r="K68" s="17"/>
      <c r="L68" s="21"/>
      <c r="M68" s="2"/>
      <c r="N68" s="2"/>
      <c r="O68" s="2"/>
      <c r="P68" s="2"/>
      <c r="Q68" s="2"/>
    </row>
    <row r="69" spans="1:17" s="2" customFormat="1">
      <c r="A69" s="169" t="s">
        <v>47</v>
      </c>
      <c r="B69" s="170"/>
      <c r="C69" s="149" t="s">
        <v>34</v>
      </c>
      <c r="D69" s="149"/>
      <c r="E69" s="149"/>
      <c r="F69" s="149"/>
      <c r="G69" s="149"/>
      <c r="H69" s="149"/>
      <c r="I69" s="149"/>
      <c r="J69" s="149"/>
      <c r="K69" s="149"/>
      <c r="L69" s="149"/>
      <c r="M69" s="148" t="s">
        <v>44</v>
      </c>
      <c r="N69" s="149"/>
      <c r="O69" s="149"/>
      <c r="P69" s="149"/>
      <c r="Q69" s="150"/>
    </row>
    <row r="70" spans="1:17" s="2" customFormat="1">
      <c r="A70" s="171"/>
      <c r="B70" s="172"/>
      <c r="C70" s="91" t="s">
        <v>7</v>
      </c>
      <c r="D70" s="91" t="s">
        <v>8</v>
      </c>
      <c r="E70" s="91" t="s">
        <v>9</v>
      </c>
      <c r="F70" s="91" t="s">
        <v>10</v>
      </c>
      <c r="G70" s="91" t="s">
        <v>11</v>
      </c>
      <c r="H70" s="91" t="s">
        <v>12</v>
      </c>
      <c r="I70" s="91" t="s">
        <v>13</v>
      </c>
      <c r="J70" s="91" t="s">
        <v>14</v>
      </c>
      <c r="K70" s="91" t="s">
        <v>15</v>
      </c>
      <c r="L70" s="91" t="s">
        <v>16</v>
      </c>
      <c r="M70" s="90" t="str">
        <f>M42</f>
        <v>2015-16</v>
      </c>
      <c r="N70" s="91" t="str">
        <f t="shared" ref="N70:Q70" si="26">N42</f>
        <v>2016-17</v>
      </c>
      <c r="O70" s="91" t="str">
        <f t="shared" si="26"/>
        <v>2017-18</v>
      </c>
      <c r="P70" s="91" t="str">
        <f t="shared" si="26"/>
        <v>2018-19</v>
      </c>
      <c r="Q70" s="92" t="str">
        <f t="shared" si="26"/>
        <v>2019-20</v>
      </c>
    </row>
    <row r="71" spans="1:17" s="2" customFormat="1">
      <c r="A71" s="151" t="s">
        <v>17</v>
      </c>
      <c r="B71" s="46" t="s">
        <v>26</v>
      </c>
      <c r="C71" s="101">
        <f>(C15*1000000)/C43</f>
        <v>8336.8006673910622</v>
      </c>
      <c r="D71" s="40">
        <f t="shared" ref="D71:K71" si="27">(D15*1000000)/D43</f>
        <v>8413.913931529316</v>
      </c>
      <c r="E71" s="40">
        <f t="shared" si="27"/>
        <v>8289.8869928717813</v>
      </c>
      <c r="F71" s="40">
        <f t="shared" si="27"/>
        <v>8627.3627695373525</v>
      </c>
      <c r="G71" s="40">
        <f t="shared" si="27"/>
        <v>8165.6362484992496</v>
      </c>
      <c r="H71" s="40">
        <f t="shared" si="27"/>
        <v>8526.1125474217952</v>
      </c>
      <c r="I71" s="40">
        <f t="shared" si="27"/>
        <v>7927.2165088890679</v>
      </c>
      <c r="J71" s="40">
        <f t="shared" si="27"/>
        <v>8032.6480982152143</v>
      </c>
      <c r="K71" s="40">
        <f t="shared" si="27"/>
        <v>7089.4177332441277</v>
      </c>
      <c r="L71" s="40">
        <f t="shared" ref="L71:Q71" si="28">(L15*1000000)/L43</f>
        <v>6314.4225070949105</v>
      </c>
      <c r="M71" s="47">
        <f t="shared" si="28"/>
        <v>6201.458594969964</v>
      </c>
      <c r="N71" s="48">
        <f t="shared" si="28"/>
        <v>6092.6574721651805</v>
      </c>
      <c r="O71" s="48">
        <f t="shared" si="28"/>
        <v>5985.9670971454698</v>
      </c>
      <c r="P71" s="48">
        <f t="shared" si="28"/>
        <v>5879.3642791624552</v>
      </c>
      <c r="Q71" s="49">
        <f t="shared" si="28"/>
        <v>5774.0358775461245</v>
      </c>
    </row>
    <row r="72" spans="1:17" s="2" customFormat="1">
      <c r="A72" s="152"/>
      <c r="B72" s="50" t="s">
        <v>27</v>
      </c>
      <c r="C72" s="54"/>
      <c r="D72" s="35">
        <f>D71/C71-1</f>
        <v>9.2497430626927724E-3</v>
      </c>
      <c r="E72" s="35">
        <f t="shared" ref="E72" si="29">E71/D71-1</f>
        <v>-1.4740694956810851E-2</v>
      </c>
      <c r="F72" s="35">
        <f t="shared" ref="F72" si="30">F71/E71-1</f>
        <v>4.0709333788959468E-2</v>
      </c>
      <c r="G72" s="35">
        <f t="shared" ref="G72" si="31">G71/F71-1</f>
        <v>-5.3518848502398519E-2</v>
      </c>
      <c r="H72" s="35">
        <f t="shared" ref="H72" si="32">H71/G71-1</f>
        <v>4.4145524972263761E-2</v>
      </c>
      <c r="I72" s="35">
        <f t="shared" ref="I72" si="33">I71/H71-1</f>
        <v>-7.0242567782409449E-2</v>
      </c>
      <c r="J72" s="35">
        <f t="shared" ref="J72" si="34">J71/I71-1</f>
        <v>1.3299950771865854E-2</v>
      </c>
      <c r="K72" s="35">
        <f t="shared" ref="K72" si="35">K71/J71-1</f>
        <v>-0.11742458445063275</v>
      </c>
      <c r="L72" s="35">
        <f t="shared" ref="L72" si="36">L71/K71-1</f>
        <v>-0.10931719011493179</v>
      </c>
      <c r="M72" s="36">
        <f t="shared" ref="M72:Q72" si="37">M71/L71-1</f>
        <v>-1.7889824761966766E-2</v>
      </c>
      <c r="N72" s="35">
        <f t="shared" si="37"/>
        <v>-1.7544440737382816E-2</v>
      </c>
      <c r="O72" s="35">
        <f t="shared" si="37"/>
        <v>-1.7511303648224841E-2</v>
      </c>
      <c r="P72" s="35">
        <f t="shared" si="37"/>
        <v>-1.7808787828762052E-2</v>
      </c>
      <c r="Q72" s="37">
        <f t="shared" si="37"/>
        <v>-1.7914930358990278E-2</v>
      </c>
    </row>
    <row r="73" spans="1:17" s="2" customFormat="1">
      <c r="A73" s="151" t="s">
        <v>28</v>
      </c>
      <c r="B73" s="46" t="s">
        <v>26</v>
      </c>
      <c r="C73" s="40">
        <f t="shared" ref="C73:K73" si="38">(C17*1000000)/C45</f>
        <v>10487.051985929273</v>
      </c>
      <c r="D73" s="40">
        <f t="shared" si="38"/>
        <v>10584.054522284219</v>
      </c>
      <c r="E73" s="40">
        <f t="shared" si="38"/>
        <v>10665.643380293184</v>
      </c>
      <c r="F73" s="40">
        <f t="shared" si="38"/>
        <v>9956.1536416971885</v>
      </c>
      <c r="G73" s="40">
        <f t="shared" si="38"/>
        <v>11983.450637684844</v>
      </c>
      <c r="H73" s="40">
        <f t="shared" si="38"/>
        <v>10035.409935594987</v>
      </c>
      <c r="I73" s="40">
        <f t="shared" si="38"/>
        <v>7462.6743323232149</v>
      </c>
      <c r="J73" s="40">
        <f t="shared" si="38"/>
        <v>7701.6915156589657</v>
      </c>
      <c r="K73" s="40">
        <f t="shared" si="38"/>
        <v>9496.1634230751642</v>
      </c>
      <c r="L73" s="40">
        <f>(L17*1000000)/L45</f>
        <v>14250.494459682564</v>
      </c>
      <c r="M73" s="47">
        <f>(M17*1000000)/M45</f>
        <v>14048.560791981599</v>
      </c>
      <c r="N73" s="48">
        <f t="shared" ref="N73:Q73" si="39">(N17*1000000)/N45</f>
        <v>13853.851706043914</v>
      </c>
      <c r="O73" s="48">
        <f t="shared" si="39"/>
        <v>13660.056588402269</v>
      </c>
      <c r="P73" s="48">
        <f t="shared" si="39"/>
        <v>13462.694729784771</v>
      </c>
      <c r="Q73" s="49">
        <f t="shared" si="39"/>
        <v>13265.639632866789</v>
      </c>
    </row>
    <row r="74" spans="1:17" s="2" customFormat="1">
      <c r="A74" s="152"/>
      <c r="B74" s="50" t="s">
        <v>27</v>
      </c>
      <c r="C74" s="54"/>
      <c r="D74" s="35">
        <f>D73/C73-1</f>
        <v>9.2497430626927724E-3</v>
      </c>
      <c r="E74" s="35">
        <f t="shared" ref="E74" si="40">E73/D73-1</f>
        <v>7.7086581363676743E-3</v>
      </c>
      <c r="F74" s="35">
        <f t="shared" ref="F74" si="41">F73/E73-1</f>
        <v>-6.6521044563229381E-2</v>
      </c>
      <c r="G74" s="35">
        <f t="shared" ref="G74" si="42">G73/F73-1</f>
        <v>0.20362251015263255</v>
      </c>
      <c r="H74" s="35">
        <f t="shared" ref="H74" si="43">H73/G73-1</f>
        <v>-0.16256091513105364</v>
      </c>
      <c r="I74" s="35">
        <f t="shared" ref="I74" si="44">I73/H73-1</f>
        <v>-0.25636577078395539</v>
      </c>
      <c r="J74" s="35">
        <f t="shared" ref="J74" si="45">J73/I73-1</f>
        <v>3.2028355076475945E-2</v>
      </c>
      <c r="K74" s="35">
        <f t="shared" ref="K74" si="46">K73/J73-1</f>
        <v>0.23299711547362101</v>
      </c>
      <c r="L74" s="35">
        <f t="shared" ref="L74" si="47">L73/K73-1</f>
        <v>0.50065808946112211</v>
      </c>
      <c r="M74" s="36">
        <f t="shared" ref="M74:Q74" si="48">M73/L73-1</f>
        <v>-1.4170292004412555E-2</v>
      </c>
      <c r="N74" s="35">
        <f t="shared" si="48"/>
        <v>-1.3859717648004088E-2</v>
      </c>
      <c r="O74" s="35">
        <f t="shared" si="48"/>
        <v>-1.3988537033141402E-2</v>
      </c>
      <c r="P74" s="35">
        <f t="shared" si="48"/>
        <v>-1.444809963562399E-2</v>
      </c>
      <c r="Q74" s="37">
        <f t="shared" si="48"/>
        <v>-1.4637121384177165E-2</v>
      </c>
    </row>
    <row r="75" spans="1:17" s="2" customFormat="1">
      <c r="A75" s="151" t="s">
        <v>29</v>
      </c>
      <c r="B75" s="46" t="s">
        <v>26</v>
      </c>
      <c r="C75" s="40">
        <f t="shared" ref="C75:K75" si="49">(C19*1000000)/C47</f>
        <v>411035.41758164566</v>
      </c>
      <c r="D75" s="40">
        <f t="shared" si="49"/>
        <v>414837.38958394248</v>
      </c>
      <c r="E75" s="40">
        <f t="shared" si="49"/>
        <v>393652.06030378578</v>
      </c>
      <c r="F75" s="40">
        <f t="shared" si="49"/>
        <v>376294.43586825306</v>
      </c>
      <c r="G75" s="40">
        <f t="shared" si="49"/>
        <v>397036.42335433402</v>
      </c>
      <c r="H75" s="40">
        <f t="shared" si="49"/>
        <v>379447.5173166648</v>
      </c>
      <c r="I75" s="40">
        <f t="shared" si="49"/>
        <v>373340.63952956494</v>
      </c>
      <c r="J75" s="40">
        <f t="shared" si="49"/>
        <v>366872.90011635452</v>
      </c>
      <c r="K75" s="40">
        <f t="shared" si="49"/>
        <v>368504.09143462847</v>
      </c>
      <c r="L75" s="40">
        <f t="shared" ref="L75:Q75" si="50">(L19*1000000)/L47</f>
        <v>396273.9182831521</v>
      </c>
      <c r="M75" s="47">
        <f t="shared" si="50"/>
        <v>395385.99851034785</v>
      </c>
      <c r="N75" s="48">
        <f t="shared" si="50"/>
        <v>393026.36586049985</v>
      </c>
      <c r="O75" s="48">
        <f t="shared" si="50"/>
        <v>391552.47828571446</v>
      </c>
      <c r="P75" s="48">
        <f t="shared" si="50"/>
        <v>389448.64858673589</v>
      </c>
      <c r="Q75" s="49">
        <f t="shared" si="50"/>
        <v>387253.37118127354</v>
      </c>
    </row>
    <row r="76" spans="1:17" s="2" customFormat="1">
      <c r="A76" s="152"/>
      <c r="B76" s="50" t="s">
        <v>27</v>
      </c>
      <c r="C76" s="54"/>
      <c r="D76" s="35">
        <f>D75/C75-1</f>
        <v>9.2497430626927724E-3</v>
      </c>
      <c r="E76" s="35">
        <f t="shared" ref="E76" si="51">E75/D75-1</f>
        <v>-5.1068996701103431E-2</v>
      </c>
      <c r="F76" s="35">
        <f t="shared" ref="F76" si="52">F75/E75-1</f>
        <v>-4.4093823418928979E-2</v>
      </c>
      <c r="G76" s="35">
        <f t="shared" ref="G76" si="53">G75/F75-1</f>
        <v>5.5121695961890538E-2</v>
      </c>
      <c r="H76" s="35">
        <f t="shared" ref="H76" si="54">H75/G75-1</f>
        <v>-4.4300484799531969E-2</v>
      </c>
      <c r="I76" s="35">
        <f t="shared" ref="I76" si="55">I75/H75-1</f>
        <v>-1.6094130303673682E-2</v>
      </c>
      <c r="J76" s="35">
        <f t="shared" ref="J76" si="56">J75/I75-1</f>
        <v>-1.7323962966796835E-2</v>
      </c>
      <c r="K76" s="35">
        <f t="shared" ref="K76" si="57">K75/J75-1</f>
        <v>4.4462028069029991E-3</v>
      </c>
      <c r="L76" s="35">
        <f t="shared" ref="L76" si="58">L75/K75-1</f>
        <v>7.5358259226953273E-2</v>
      </c>
      <c r="M76" s="36">
        <f t="shared" ref="M76:Q76" si="59">M75/L75-1</f>
        <v>-2.2406717470863091E-3</v>
      </c>
      <c r="N76" s="35">
        <f t="shared" si="59"/>
        <v>-5.9679216227639387E-3</v>
      </c>
      <c r="O76" s="35">
        <f t="shared" si="59"/>
        <v>-3.7500984738223497E-3</v>
      </c>
      <c r="P76" s="35">
        <f t="shared" si="59"/>
        <v>-5.3730465662981119E-3</v>
      </c>
      <c r="Q76" s="37">
        <f t="shared" si="59"/>
        <v>-5.6368854107692323E-3</v>
      </c>
    </row>
    <row r="77" spans="1:17" s="2" customFormat="1">
      <c r="A77" s="151" t="s">
        <v>30</v>
      </c>
      <c r="B77" s="51" t="s">
        <v>26</v>
      </c>
      <c r="C77" s="40">
        <f t="shared" ref="C77:K77" si="60">(C21*1000000)/C49</f>
        <v>667515684.52532339</v>
      </c>
      <c r="D77" s="40">
        <f t="shared" si="60"/>
        <v>673690033.09750009</v>
      </c>
      <c r="E77" s="40">
        <f t="shared" si="60"/>
        <v>302876902.77201802</v>
      </c>
      <c r="F77" s="40">
        <f t="shared" si="60"/>
        <v>228726018.19012496</v>
      </c>
      <c r="G77" s="40">
        <f t="shared" si="60"/>
        <v>190336691.55465519</v>
      </c>
      <c r="H77" s="40">
        <f t="shared" si="60"/>
        <v>119699143.31696807</v>
      </c>
      <c r="I77" s="40">
        <f t="shared" si="60"/>
        <v>81415392.073756203</v>
      </c>
      <c r="J77" s="40">
        <f t="shared" si="60"/>
        <v>82391102.465948895</v>
      </c>
      <c r="K77" s="40">
        <f t="shared" si="60"/>
        <v>74264432.859187379</v>
      </c>
      <c r="L77" s="40">
        <f>(L21*1000000)/L49</f>
        <v>22778433.240950085</v>
      </c>
      <c r="M77" s="42">
        <f>(M21*1000000)/M49</f>
        <v>23572921.54795542</v>
      </c>
      <c r="N77" s="42">
        <f t="shared" ref="N77:Q77" si="61">(N21*1000000)/N49</f>
        <v>24352057.128952228</v>
      </c>
      <c r="O77" s="42">
        <f t="shared" si="61"/>
        <v>25259839.153140597</v>
      </c>
      <c r="P77" s="42">
        <f t="shared" si="61"/>
        <v>26228390.814759128</v>
      </c>
      <c r="Q77" s="42">
        <f t="shared" si="61"/>
        <v>27169610.178211108</v>
      </c>
    </row>
    <row r="78" spans="1:17" s="2" customFormat="1">
      <c r="A78" s="152"/>
      <c r="B78" s="50" t="s">
        <v>27</v>
      </c>
      <c r="C78" s="54"/>
      <c r="D78" s="35">
        <f>D77/C77-1</f>
        <v>9.2497430626927724E-3</v>
      </c>
      <c r="E78" s="35">
        <f t="shared" ref="E78:Q78" si="62">E77/D77-1</f>
        <v>-0.55042098310487542</v>
      </c>
      <c r="F78" s="35">
        <f t="shared" si="62"/>
        <v>-0.24482185304736837</v>
      </c>
      <c r="G78" s="35">
        <f t="shared" si="62"/>
        <v>-0.16783978901586627</v>
      </c>
      <c r="H78" s="35">
        <f t="shared" si="62"/>
        <v>-0.37111892436883909</v>
      </c>
      <c r="I78" s="35">
        <f t="shared" si="62"/>
        <v>-0.31983312647305229</v>
      </c>
      <c r="J78" s="35">
        <f t="shared" si="62"/>
        <v>1.1984348012581858E-2</v>
      </c>
      <c r="K78" s="35">
        <f t="shared" si="62"/>
        <v>-9.8635281766258132E-2</v>
      </c>
      <c r="L78" s="35">
        <f t="shared" si="62"/>
        <v>-0.69327937528129757</v>
      </c>
      <c r="M78" s="36">
        <f t="shared" si="62"/>
        <v>3.4878970761563988E-2</v>
      </c>
      <c r="N78" s="35">
        <f t="shared" si="62"/>
        <v>3.3052143299750814E-2</v>
      </c>
      <c r="O78" s="35">
        <f t="shared" si="62"/>
        <v>3.7277426682327697E-2</v>
      </c>
      <c r="P78" s="35">
        <f t="shared" si="62"/>
        <v>3.8343540342698823E-2</v>
      </c>
      <c r="Q78" s="37">
        <f t="shared" si="62"/>
        <v>3.5885516961351005E-2</v>
      </c>
    </row>
    <row r="79" spans="1:17" s="2" customFormat="1">
      <c r="A79" s="151" t="s">
        <v>22</v>
      </c>
      <c r="B79" s="51" t="s">
        <v>26</v>
      </c>
      <c r="C79" s="40">
        <f>(C23*1000000)/C51</f>
        <v>267692.0669862401</v>
      </c>
      <c r="D79" s="40">
        <f t="shared" ref="D79:L79" si="63">(D23*1000000)/D51</f>
        <v>270168.14982578403</v>
      </c>
      <c r="E79" s="40">
        <f t="shared" si="63"/>
        <v>280464.3802565423</v>
      </c>
      <c r="F79" s="40">
        <f t="shared" si="63"/>
        <v>287135.08802816906</v>
      </c>
      <c r="G79" s="40">
        <f t="shared" si="63"/>
        <v>258203.60927152316</v>
      </c>
      <c r="H79" s="40">
        <f t="shared" si="63"/>
        <v>262629.71647511853</v>
      </c>
      <c r="I79" s="40">
        <f t="shared" si="63"/>
        <v>94869.211091575053</v>
      </c>
      <c r="J79" s="40">
        <f t="shared" si="63"/>
        <v>79729.130865745334</v>
      </c>
      <c r="K79" s="40">
        <f t="shared" si="63"/>
        <v>110326.57223051734</v>
      </c>
      <c r="L79" s="40">
        <f t="shared" si="63"/>
        <v>33936.913812348743</v>
      </c>
      <c r="M79" s="101">
        <f>(M23*1000000)/M51</f>
        <v>52317.810711599232</v>
      </c>
      <c r="N79" s="48">
        <f t="shared" ref="N79:Q79" si="64">(N23*1000000)/N51</f>
        <v>51903.393398039589</v>
      </c>
      <c r="O79" s="48">
        <f t="shared" si="64"/>
        <v>51481.764895125983</v>
      </c>
      <c r="P79" s="48">
        <f t="shared" si="64"/>
        <v>51080.216845056217</v>
      </c>
      <c r="Q79" s="49">
        <f t="shared" si="64"/>
        <v>50671.121938473894</v>
      </c>
    </row>
    <row r="80" spans="1:17" s="2" customFormat="1">
      <c r="A80" s="152"/>
      <c r="B80" s="50" t="s">
        <v>27</v>
      </c>
      <c r="C80" s="54"/>
      <c r="D80" s="35">
        <f>D79/C79-1</f>
        <v>9.2497430626929944E-3</v>
      </c>
      <c r="E80" s="35">
        <f t="shared" ref="E80:Q80" si="65">E79/D79-1</f>
        <v>3.8110452462282174E-2</v>
      </c>
      <c r="F80" s="35">
        <f t="shared" si="65"/>
        <v>2.3784509696115563E-2</v>
      </c>
      <c r="G80" s="35">
        <f t="shared" si="65"/>
        <v>-0.10075911988090991</v>
      </c>
      <c r="H80" s="35">
        <f t="shared" si="65"/>
        <v>1.7141926156969189E-2</v>
      </c>
      <c r="I80" s="35">
        <f t="shared" si="65"/>
        <v>-0.63877198526937096</v>
      </c>
      <c r="J80" s="35">
        <f t="shared" si="65"/>
        <v>-0.15958897572380304</v>
      </c>
      <c r="K80" s="35">
        <f t="shared" si="65"/>
        <v>0.3837674013566581</v>
      </c>
      <c r="L80" s="35">
        <f t="shared" si="65"/>
        <v>-0.69239582879960548</v>
      </c>
      <c r="M80" s="36">
        <f t="shared" si="65"/>
        <v>0.54161957686801121</v>
      </c>
      <c r="N80" s="35">
        <f t="shared" si="65"/>
        <v>-7.9211516675288252E-3</v>
      </c>
      <c r="O80" s="35">
        <f t="shared" si="65"/>
        <v>-8.1233321235896216E-3</v>
      </c>
      <c r="P80" s="35">
        <f t="shared" si="65"/>
        <v>-7.7998112708016487E-3</v>
      </c>
      <c r="Q80" s="37">
        <f t="shared" si="65"/>
        <v>-8.0088717677774257E-3</v>
      </c>
    </row>
    <row r="81" spans="1:17" s="2" customFormat="1">
      <c r="A81" s="26"/>
      <c r="B81" s="1"/>
      <c r="C81" s="22"/>
      <c r="D81" s="23"/>
      <c r="E81" s="23"/>
      <c r="F81" s="23"/>
      <c r="G81" s="23"/>
      <c r="H81" s="23"/>
      <c r="I81" s="23"/>
      <c r="J81" s="23"/>
      <c r="K81" s="23"/>
      <c r="L81" s="23"/>
      <c r="M81" s="25"/>
      <c r="N81" s="25"/>
      <c r="O81" s="25"/>
      <c r="P81" s="25"/>
      <c r="Q81" s="25"/>
    </row>
    <row r="82" spans="1:17" ht="16" customHeight="1">
      <c r="A82" s="169" t="s">
        <v>53</v>
      </c>
      <c r="B82" s="170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148" t="s">
        <v>37</v>
      </c>
      <c r="N82" s="149"/>
      <c r="O82" s="149"/>
      <c r="P82" s="149"/>
      <c r="Q82" s="150"/>
    </row>
    <row r="83" spans="1:17">
      <c r="A83" s="171"/>
      <c r="B83" s="17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90" t="s">
        <v>1</v>
      </c>
      <c r="N83" s="91" t="s">
        <v>2</v>
      </c>
      <c r="O83" s="91" t="s">
        <v>3</v>
      </c>
      <c r="P83" s="91" t="s">
        <v>4</v>
      </c>
      <c r="Q83" s="92" t="s">
        <v>5</v>
      </c>
    </row>
    <row r="84" spans="1:17">
      <c r="A84" s="151" t="s">
        <v>17</v>
      </c>
      <c r="B84" s="46" t="s">
        <v>26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2">
        <v>6316.2362680178676</v>
      </c>
      <c r="N84" s="40">
        <v>5832.7719012855987</v>
      </c>
      <c r="O84" s="40">
        <v>5465.797506075859</v>
      </c>
      <c r="P84" s="40">
        <v>5113.1781274374516</v>
      </c>
      <c r="Q84" s="43">
        <v>4765.5282657050657</v>
      </c>
    </row>
    <row r="85" spans="1:17">
      <c r="A85" s="152"/>
      <c r="B85" s="50" t="s">
        <v>27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6">
        <f>M84/L71-1</f>
        <v>2.8724098219901073E-4</v>
      </c>
      <c r="N85" s="35">
        <f>N84/M84-1</f>
        <v>-7.6543109886544447E-2</v>
      </c>
      <c r="O85" s="35">
        <f t="shared" ref="O85:Q85" si="66">O84/N84-1</f>
        <v>-6.2915951698514938E-2</v>
      </c>
      <c r="P85" s="35">
        <f t="shared" si="66"/>
        <v>-6.4513802102333817E-2</v>
      </c>
      <c r="Q85" s="37">
        <f t="shared" si="66"/>
        <v>-6.799095456246429E-2</v>
      </c>
    </row>
    <row r="86" spans="1:17">
      <c r="A86" s="151" t="s">
        <v>28</v>
      </c>
      <c r="B86" s="46" t="s">
        <v>26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7">
        <v>8191.4800000000005</v>
      </c>
      <c r="N86" s="48">
        <v>8053.6100000000006</v>
      </c>
      <c r="O86" s="48">
        <v>7915.7400000000007</v>
      </c>
      <c r="P86" s="48">
        <v>7777.8700000000008</v>
      </c>
      <c r="Q86" s="49">
        <v>7640.0000000000009</v>
      </c>
    </row>
    <row r="87" spans="1:17">
      <c r="A87" s="152"/>
      <c r="B87" s="50" t="s">
        <v>27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6">
        <f>M86/L73-1</f>
        <v>-0.42517924390797113</v>
      </c>
      <c r="N87" s="35">
        <f>N86/M86-1</f>
        <v>-1.6830902352200083E-2</v>
      </c>
      <c r="O87" s="35">
        <f t="shared" ref="O87:Q87" si="67">O86/N86-1</f>
        <v>-1.7119031092888815E-2</v>
      </c>
      <c r="P87" s="35">
        <f t="shared" si="67"/>
        <v>-1.7417196623436326E-2</v>
      </c>
      <c r="Q87" s="37">
        <f t="shared" si="67"/>
        <v>-1.7725932678226752E-2</v>
      </c>
    </row>
    <row r="88" spans="1:17">
      <c r="A88" s="151" t="s">
        <v>29</v>
      </c>
      <c r="B88" s="46" t="s">
        <v>26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2">
        <v>362203.98338122224</v>
      </c>
      <c r="N88" s="40">
        <v>360667.90288860927</v>
      </c>
      <c r="O88" s="40">
        <v>358093.94722380652</v>
      </c>
      <c r="P88" s="40">
        <v>355839.23869754263</v>
      </c>
      <c r="Q88" s="43">
        <v>353742.87360911659</v>
      </c>
    </row>
    <row r="89" spans="1:17">
      <c r="A89" s="152"/>
      <c r="B89" s="50" t="s">
        <v>27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6">
        <f>M88/L75-1</f>
        <v>-8.5975718638100385E-2</v>
      </c>
      <c r="N89" s="35">
        <f>N88/M88-1</f>
        <v>-4.2409265582157296E-3</v>
      </c>
      <c r="O89" s="35">
        <f t="shared" ref="O89:Q89" si="68">O88/N88-1</f>
        <v>-7.1366363465886762E-3</v>
      </c>
      <c r="P89" s="35">
        <f t="shared" si="68"/>
        <v>-6.2964161883883873E-3</v>
      </c>
      <c r="Q89" s="37">
        <f t="shared" si="68"/>
        <v>-5.8913263643977087E-3</v>
      </c>
    </row>
    <row r="90" spans="1:17">
      <c r="A90" s="151" t="s">
        <v>30</v>
      </c>
      <c r="B90" s="51" t="s">
        <v>26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2">
        <v>59447932.654633835</v>
      </c>
      <c r="N90" s="40">
        <v>53341074.244885169</v>
      </c>
      <c r="O90" s="40">
        <v>47788812.557794861</v>
      </c>
      <c r="P90" s="40">
        <v>43314752.106795676</v>
      </c>
      <c r="Q90" s="43">
        <v>38976960.576849468</v>
      </c>
    </row>
    <row r="91" spans="1:17">
      <c r="A91" s="152"/>
      <c r="B91" s="50" t="s">
        <v>27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6">
        <f>M90/L77-1</f>
        <v>1.6098341367816689</v>
      </c>
      <c r="N91" s="35">
        <f>N90/M90-1</f>
        <v>-0.10272616955793579</v>
      </c>
      <c r="O91" s="35">
        <f t="shared" ref="O91:Q91" si="69">O90/N90-1</f>
        <v>-0.10408979882182834</v>
      </c>
      <c r="P91" s="35">
        <f t="shared" si="69"/>
        <v>-9.3621502848356908E-2</v>
      </c>
      <c r="Q91" s="37">
        <f t="shared" si="69"/>
        <v>-0.10014582374270709</v>
      </c>
    </row>
    <row r="92" spans="1:17">
      <c r="A92" s="151" t="s">
        <v>22</v>
      </c>
      <c r="B92" s="51" t="s">
        <v>26</v>
      </c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2">
        <v>97804.678474833505</v>
      </c>
      <c r="N92" s="40">
        <v>106744.99562362592</v>
      </c>
      <c r="O92" s="40">
        <v>106099.98011273841</v>
      </c>
      <c r="P92" s="40">
        <v>110132.75267050188</v>
      </c>
      <c r="Q92" s="43">
        <v>114662.01731502607</v>
      </c>
    </row>
    <row r="93" spans="1:17">
      <c r="A93" s="152"/>
      <c r="B93" s="50" t="s">
        <v>27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6">
        <f>M92/L79-1</f>
        <v>1.8819555901764109</v>
      </c>
      <c r="N93" s="35">
        <f>N92/M92-1</f>
        <v>9.1409912983793307E-2</v>
      </c>
      <c r="O93" s="35">
        <f t="shared" ref="O93:Q93" si="70">O92/N92-1</f>
        <v>-6.0425831404946617E-3</v>
      </c>
      <c r="P93" s="35">
        <f t="shared" si="70"/>
        <v>3.8009173550064501E-2</v>
      </c>
      <c r="Q93" s="37">
        <f t="shared" si="70"/>
        <v>4.1125501131120901E-2</v>
      </c>
    </row>
    <row r="95" spans="1:17">
      <c r="A95" s="102" t="s">
        <v>57</v>
      </c>
      <c r="B95" s="103"/>
      <c r="C95" s="77" t="s">
        <v>7</v>
      </c>
      <c r="D95" s="77" t="s">
        <v>8</v>
      </c>
      <c r="E95" s="77" t="s">
        <v>9</v>
      </c>
      <c r="F95" s="77" t="s">
        <v>10</v>
      </c>
      <c r="G95" s="77" t="s">
        <v>11</v>
      </c>
      <c r="H95" s="77" t="s">
        <v>12</v>
      </c>
      <c r="I95" s="77" t="s">
        <v>13</v>
      </c>
      <c r="J95" s="77" t="s">
        <v>14</v>
      </c>
      <c r="K95" s="77" t="s">
        <v>15</v>
      </c>
      <c r="L95" s="78" t="s">
        <v>16</v>
      </c>
    </row>
    <row r="96" spans="1:17">
      <c r="A96" s="107" t="s">
        <v>58</v>
      </c>
      <c r="B96" s="106" t="s">
        <v>18</v>
      </c>
      <c r="C96" s="115">
        <f>12776*1.027</f>
        <v>13120.951999999999</v>
      </c>
      <c r="D96" s="58">
        <f>C96*1.027</f>
        <v>13475.217703999999</v>
      </c>
      <c r="E96" s="58">
        <f t="shared" ref="E96:G96" si="71">D96*1.027</f>
        <v>13839.048582007998</v>
      </c>
      <c r="F96" s="58">
        <f t="shared" si="71"/>
        <v>14212.702893722213</v>
      </c>
      <c r="G96" s="59">
        <f t="shared" si="71"/>
        <v>14596.445871852711</v>
      </c>
      <c r="L96" s="53"/>
    </row>
    <row r="97" spans="1:13">
      <c r="A97" s="55" t="s">
        <v>54</v>
      </c>
      <c r="B97" s="106" t="s">
        <v>18</v>
      </c>
      <c r="H97" s="113">
        <v>15871</v>
      </c>
      <c r="I97" s="110">
        <v>16450</v>
      </c>
      <c r="J97" s="110">
        <v>16874</v>
      </c>
      <c r="K97" s="110">
        <v>17433</v>
      </c>
      <c r="L97" s="111">
        <v>17887</v>
      </c>
    </row>
    <row r="98" spans="1:13">
      <c r="A98" s="83" t="s">
        <v>55</v>
      </c>
      <c r="B98" s="108" t="s">
        <v>18</v>
      </c>
      <c r="C98" s="113">
        <f t="shared" ref="C98:L98" si="72">C25</f>
        <v>13122.044967636783</v>
      </c>
      <c r="D98" s="110">
        <f t="shared" si="72"/>
        <v>13486.171600860001</v>
      </c>
      <c r="E98" s="110">
        <f t="shared" si="72"/>
        <v>13576.439851973002</v>
      </c>
      <c r="F98" s="110">
        <f t="shared" si="72"/>
        <v>13813.451682567</v>
      </c>
      <c r="G98" s="110">
        <f t="shared" si="72"/>
        <v>14130.074513784002</v>
      </c>
      <c r="H98" s="110">
        <f t="shared" si="72"/>
        <v>14256.528267667116</v>
      </c>
      <c r="I98" s="110">
        <f t="shared" si="72"/>
        <v>13227.153751657472</v>
      </c>
      <c r="J98" s="110">
        <f t="shared" si="72"/>
        <v>13691.72651412282</v>
      </c>
      <c r="K98" s="110">
        <f t="shared" si="72"/>
        <v>13716.244895035561</v>
      </c>
      <c r="L98" s="111">
        <f t="shared" si="72"/>
        <v>14253.464715403064</v>
      </c>
    </row>
    <row r="101" spans="1:13">
      <c r="A101" s="26"/>
      <c r="B101" s="1"/>
      <c r="C101" s="22"/>
      <c r="D101" s="23"/>
      <c r="E101" s="23"/>
      <c r="F101" s="23"/>
      <c r="G101" s="23"/>
      <c r="H101" s="23"/>
      <c r="I101" s="23"/>
      <c r="J101" s="23"/>
      <c r="K101" s="23"/>
      <c r="L101" s="23"/>
      <c r="M101" s="105"/>
    </row>
  </sheetData>
  <mergeCells count="46">
    <mergeCell ref="A19:A20"/>
    <mergeCell ref="A13:B14"/>
    <mergeCell ref="C13:L13"/>
    <mergeCell ref="M13:Q13"/>
    <mergeCell ref="A15:A16"/>
    <mergeCell ref="A17:A18"/>
    <mergeCell ref="A41:B42"/>
    <mergeCell ref="C41:L41"/>
    <mergeCell ref="M41:Q41"/>
    <mergeCell ref="A21:A22"/>
    <mergeCell ref="A23:A24"/>
    <mergeCell ref="A27:B28"/>
    <mergeCell ref="M27:Q27"/>
    <mergeCell ref="A29:A30"/>
    <mergeCell ref="A31:A32"/>
    <mergeCell ref="M55:Q55"/>
    <mergeCell ref="A57:A58"/>
    <mergeCell ref="A59:A60"/>
    <mergeCell ref="A61:A62"/>
    <mergeCell ref="A63:A64"/>
    <mergeCell ref="A55:B56"/>
    <mergeCell ref="M82:Q82"/>
    <mergeCell ref="A84:A85"/>
    <mergeCell ref="A86:A87"/>
    <mergeCell ref="A69:B70"/>
    <mergeCell ref="C69:L69"/>
    <mergeCell ref="M69:Q69"/>
    <mergeCell ref="A71:A72"/>
    <mergeCell ref="A73:A74"/>
    <mergeCell ref="A75:A76"/>
    <mergeCell ref="A88:A89"/>
    <mergeCell ref="A90:A91"/>
    <mergeCell ref="A92:A93"/>
    <mergeCell ref="A3:B3"/>
    <mergeCell ref="A77:A78"/>
    <mergeCell ref="A79:A80"/>
    <mergeCell ref="A82:B83"/>
    <mergeCell ref="A65:A66"/>
    <mergeCell ref="A43:A44"/>
    <mergeCell ref="A45:A46"/>
    <mergeCell ref="A47:A48"/>
    <mergeCell ref="A49:A50"/>
    <mergeCell ref="A51:A52"/>
    <mergeCell ref="A33:A34"/>
    <mergeCell ref="A35:A36"/>
    <mergeCell ref="A37:A3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C23" workbookViewId="0">
      <selection activeCell="F29" sqref="F29"/>
    </sheetView>
  </sheetViews>
  <sheetFormatPr baseColWidth="10" defaultRowHeight="15" x14ac:dyDescent="0"/>
  <cols>
    <col min="1" max="1" width="19.33203125" style="30" customWidth="1"/>
    <col min="2" max="2" width="10.83203125" style="30"/>
    <col min="3" max="3" width="12.33203125" style="30" bestFit="1" customWidth="1"/>
    <col min="4" max="4" width="12.33203125" style="30" customWidth="1"/>
    <col min="5" max="5" width="11.83203125" style="30" customWidth="1"/>
    <col min="6" max="8" width="11.6640625" style="30" customWidth="1"/>
    <col min="9" max="11" width="12.1640625" style="30" bestFit="1" customWidth="1"/>
    <col min="12" max="12" width="13.1640625" style="30" bestFit="1" customWidth="1"/>
    <col min="13" max="13" width="14.83203125" style="30" customWidth="1"/>
    <col min="14" max="17" width="12.1640625" style="30" bestFit="1" customWidth="1"/>
    <col min="18" max="16384" width="10.83203125" style="30"/>
  </cols>
  <sheetData>
    <row r="1" spans="1:17" ht="65" customHeight="1"/>
    <row r="2" spans="1:17">
      <c r="A2" s="9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102" t="s">
        <v>62</v>
      </c>
      <c r="B3" s="94"/>
      <c r="C3" s="116"/>
      <c r="D3" s="116"/>
      <c r="E3" s="116"/>
      <c r="F3" s="116"/>
      <c r="G3" s="116"/>
      <c r="H3" s="76" t="s">
        <v>12</v>
      </c>
      <c r="I3" s="77" t="s">
        <v>13</v>
      </c>
      <c r="J3" s="77" t="s">
        <v>14</v>
      </c>
      <c r="K3" s="77" t="s">
        <v>15</v>
      </c>
      <c r="L3" s="78" t="s">
        <v>16</v>
      </c>
      <c r="M3" s="117" t="s">
        <v>60</v>
      </c>
      <c r="N3" s="78" t="s">
        <v>6</v>
      </c>
      <c r="O3" s="78" t="s">
        <v>61</v>
      </c>
    </row>
    <row r="4" spans="1:17">
      <c r="A4" s="60" t="s">
        <v>49</v>
      </c>
      <c r="B4" s="114" t="s">
        <v>59</v>
      </c>
      <c r="C4" s="61"/>
      <c r="D4" s="61"/>
      <c r="E4" s="61"/>
      <c r="F4" s="61"/>
      <c r="G4" s="61"/>
      <c r="H4" s="115">
        <v>0</v>
      </c>
      <c r="I4" s="119">
        <v>0.3</v>
      </c>
      <c r="J4" s="119">
        <v>21.042999999999999</v>
      </c>
      <c r="K4" s="119">
        <v>32.051000000000002</v>
      </c>
      <c r="L4" s="119">
        <v>87.539000000000001</v>
      </c>
      <c r="M4" s="120">
        <v>53.57</v>
      </c>
      <c r="N4" s="121">
        <f>SUM(H4:M4)</f>
        <v>194.50299999999999</v>
      </c>
      <c r="O4" s="118">
        <f>N4/'Ergon Energy'!L53*1000000</f>
        <v>264.13690356552792</v>
      </c>
    </row>
    <row r="5" spans="1:17">
      <c r="A5" s="60" t="s">
        <v>0</v>
      </c>
      <c r="B5" s="65" t="s">
        <v>59</v>
      </c>
      <c r="C5" s="61"/>
      <c r="D5" s="61"/>
      <c r="E5" s="61"/>
      <c r="F5" s="61"/>
      <c r="G5" s="61"/>
      <c r="H5" s="68">
        <v>0</v>
      </c>
      <c r="I5" s="56">
        <v>93.8</v>
      </c>
      <c r="J5" s="56">
        <v>172.4</v>
      </c>
      <c r="K5" s="56">
        <v>105.9</v>
      </c>
      <c r="L5" s="69">
        <v>0</v>
      </c>
      <c r="M5" s="122">
        <v>0</v>
      </c>
      <c r="N5" s="121">
        <f>SUM(H5:M5)</f>
        <v>372.1</v>
      </c>
      <c r="O5" s="118">
        <f>N5/Energex!L53*1000000</f>
        <v>264.40119630705215</v>
      </c>
    </row>
    <row r="7" spans="1:17">
      <c r="A7" s="102" t="s">
        <v>65</v>
      </c>
      <c r="B7" s="103"/>
      <c r="C7" s="77" t="s">
        <v>7</v>
      </c>
      <c r="D7" s="77" t="s">
        <v>8</v>
      </c>
      <c r="E7" s="77" t="s">
        <v>9</v>
      </c>
      <c r="F7" s="77" t="s">
        <v>10</v>
      </c>
      <c r="G7" s="77" t="s">
        <v>11</v>
      </c>
      <c r="H7" s="77" t="s">
        <v>12</v>
      </c>
      <c r="I7" s="77" t="s">
        <v>13</v>
      </c>
      <c r="J7" s="77" t="s">
        <v>14</v>
      </c>
      <c r="K7" s="77" t="s">
        <v>15</v>
      </c>
      <c r="L7" s="78" t="s">
        <v>16</v>
      </c>
      <c r="M7" s="90" t="s">
        <v>1</v>
      </c>
      <c r="N7" s="91" t="s">
        <v>2</v>
      </c>
      <c r="O7" s="91" t="s">
        <v>3</v>
      </c>
      <c r="P7" s="91" t="s">
        <v>4</v>
      </c>
      <c r="Q7" s="92" t="s">
        <v>5</v>
      </c>
    </row>
    <row r="8" spans="1:17">
      <c r="A8" s="107" t="s">
        <v>58</v>
      </c>
      <c r="B8" s="106" t="s">
        <v>18</v>
      </c>
      <c r="C8" s="115">
        <f>12776*1.027</f>
        <v>13120.951999999999</v>
      </c>
      <c r="D8" s="58">
        <f>C8*1.027</f>
        <v>13475.217703999999</v>
      </c>
      <c r="E8" s="58">
        <f>D8*1.027</f>
        <v>13839.048582007998</v>
      </c>
      <c r="F8" s="58">
        <f t="shared" ref="F8:G8" si="0">E8*1.027</f>
        <v>14212.702893722213</v>
      </c>
      <c r="G8" s="59">
        <f t="shared" si="0"/>
        <v>14596.445871852711</v>
      </c>
      <c r="L8" s="53"/>
    </row>
    <row r="9" spans="1:17">
      <c r="A9" s="55" t="s">
        <v>54</v>
      </c>
      <c r="B9" s="106" t="s">
        <v>18</v>
      </c>
      <c r="H9" s="113">
        <v>15871</v>
      </c>
      <c r="I9" s="110">
        <v>16450</v>
      </c>
      <c r="J9" s="110">
        <v>16874</v>
      </c>
      <c r="K9" s="110">
        <v>17433</v>
      </c>
      <c r="L9" s="111">
        <v>17887</v>
      </c>
    </row>
    <row r="10" spans="1:17">
      <c r="A10" s="55" t="s">
        <v>64</v>
      </c>
      <c r="B10" s="106" t="s">
        <v>18</v>
      </c>
      <c r="H10" s="110"/>
      <c r="I10" s="110"/>
      <c r="J10" s="110"/>
      <c r="K10" s="110"/>
      <c r="L10" s="111"/>
      <c r="M10" s="31">
        <f>'Ergon Energy'!M25</f>
        <v>14366.549727583028</v>
      </c>
      <c r="N10" s="31">
        <f>'Ergon Energy'!N25</f>
        <v>14510.938309415524</v>
      </c>
      <c r="O10" s="31">
        <f>'Ergon Energy'!O25</f>
        <v>14662.206987237209</v>
      </c>
      <c r="P10" s="31">
        <f>'Ergon Energy'!P25</f>
        <v>14807.140275325815</v>
      </c>
      <c r="Q10" s="31">
        <f>'Ergon Energy'!Q25</f>
        <v>14955.439111303156</v>
      </c>
    </row>
    <row r="11" spans="1:17">
      <c r="A11" s="55" t="s">
        <v>63</v>
      </c>
      <c r="B11" s="106" t="s">
        <v>18</v>
      </c>
      <c r="H11" s="110"/>
      <c r="I11" s="110"/>
      <c r="J11" s="110"/>
      <c r="K11" s="110"/>
      <c r="L11" s="111"/>
      <c r="M11" s="31">
        <f>'Ergon Energy'!M39</f>
        <v>12500.366932990039</v>
      </c>
      <c r="N11" s="31">
        <f>'Ergon Energy'!N39</f>
        <v>11972.440062772872</v>
      </c>
      <c r="O11" s="31">
        <f>'Ergon Energy'!O39</f>
        <v>11513.448241748452</v>
      </c>
      <c r="P11" s="31">
        <f>'Ergon Energy'!P39</f>
        <v>11129.973517813511</v>
      </c>
      <c r="Q11" s="31">
        <f>'Ergon Energy'!Q39</f>
        <v>10741.66719537791</v>
      </c>
    </row>
    <row r="12" spans="1:17">
      <c r="A12" s="83" t="s">
        <v>55</v>
      </c>
      <c r="B12" s="108" t="s">
        <v>18</v>
      </c>
      <c r="C12" s="113">
        <f>'Ergon Energy'!C25</f>
        <v>13122.044967636783</v>
      </c>
      <c r="D12" s="110">
        <f>'Ergon Energy'!D25</f>
        <v>13486.171600860001</v>
      </c>
      <c r="E12" s="110">
        <f>'Ergon Energy'!E25</f>
        <v>13576.439851973002</v>
      </c>
      <c r="F12" s="110">
        <f>'Ergon Energy'!F25</f>
        <v>13813.451682567</v>
      </c>
      <c r="G12" s="110">
        <f>'Ergon Energy'!G25</f>
        <v>14130.074513784002</v>
      </c>
      <c r="H12" s="110">
        <f>'Ergon Energy'!H25</f>
        <v>14256.528267667116</v>
      </c>
      <c r="I12" s="110">
        <f>'Ergon Energy'!I25</f>
        <v>13227.153751657472</v>
      </c>
      <c r="J12" s="110">
        <f>'Ergon Energy'!J25</f>
        <v>13691.72651412282</v>
      </c>
      <c r="K12" s="110">
        <f>'Ergon Energy'!K25</f>
        <v>13716.244895035561</v>
      </c>
      <c r="L12" s="111">
        <f>'Ergon Energy'!L25</f>
        <v>14253.464715403064</v>
      </c>
    </row>
    <row r="14" spans="1:17">
      <c r="A14" s="102" t="s">
        <v>66</v>
      </c>
      <c r="B14" s="103"/>
      <c r="C14" s="77" t="s">
        <v>7</v>
      </c>
      <c r="D14" s="77" t="s">
        <v>8</v>
      </c>
      <c r="E14" s="77" t="s">
        <v>9</v>
      </c>
      <c r="F14" s="77" t="s">
        <v>10</v>
      </c>
      <c r="G14" s="77" t="s">
        <v>11</v>
      </c>
      <c r="H14" s="77" t="s">
        <v>12</v>
      </c>
      <c r="I14" s="77" t="s">
        <v>13</v>
      </c>
      <c r="J14" s="77" t="s">
        <v>14</v>
      </c>
      <c r="K14" s="77" t="s">
        <v>15</v>
      </c>
      <c r="L14" s="78" t="s">
        <v>16</v>
      </c>
      <c r="M14" s="90" t="s">
        <v>1</v>
      </c>
      <c r="N14" s="91" t="s">
        <v>2</v>
      </c>
      <c r="O14" s="91" t="s">
        <v>3</v>
      </c>
      <c r="P14" s="91" t="s">
        <v>4</v>
      </c>
      <c r="Q14" s="92" t="s">
        <v>5</v>
      </c>
    </row>
    <row r="15" spans="1:17">
      <c r="A15" s="107" t="s">
        <v>58</v>
      </c>
      <c r="B15" s="106" t="s">
        <v>18</v>
      </c>
      <c r="C15" s="115">
        <v>19768.59</v>
      </c>
      <c r="D15" s="119">
        <v>20579.102189999998</v>
      </c>
      <c r="E15" s="119">
        <v>21422.845379789997</v>
      </c>
      <c r="F15" s="119">
        <v>22301.182040361386</v>
      </c>
      <c r="G15" s="123">
        <v>23215.530504016202</v>
      </c>
      <c r="H15" s="104"/>
      <c r="I15" s="104"/>
      <c r="J15" s="104"/>
      <c r="K15" s="104"/>
      <c r="L15" s="124"/>
    </row>
    <row r="16" spans="1:17">
      <c r="A16" s="55" t="s">
        <v>54</v>
      </c>
      <c r="B16" s="106" t="s">
        <v>18</v>
      </c>
      <c r="C16" s="104"/>
      <c r="D16" s="104"/>
      <c r="E16" s="104"/>
      <c r="F16" s="104"/>
      <c r="G16" s="104"/>
      <c r="H16" s="115">
        <v>22416</v>
      </c>
      <c r="I16" s="119">
        <v>23138</v>
      </c>
      <c r="J16" s="119">
        <v>24042</v>
      </c>
      <c r="K16" s="119">
        <v>24794</v>
      </c>
      <c r="L16" s="123">
        <v>25845</v>
      </c>
    </row>
    <row r="17" spans="1:17">
      <c r="A17" s="55" t="s">
        <v>35</v>
      </c>
      <c r="B17" s="106" t="s">
        <v>18</v>
      </c>
      <c r="M17" s="31">
        <f>Energex!M25</f>
        <v>20568</v>
      </c>
      <c r="N17" s="31">
        <f>Energex!N25</f>
        <v>20505</v>
      </c>
      <c r="O17" s="31">
        <f>Energex!O25</f>
        <v>20547</v>
      </c>
      <c r="P17" s="31">
        <f>Energex!P25</f>
        <v>20680</v>
      </c>
      <c r="Q17" s="31">
        <f>Energex!Q25</f>
        <v>21122</v>
      </c>
    </row>
    <row r="18" spans="1:17">
      <c r="A18" s="55" t="s">
        <v>63</v>
      </c>
      <c r="B18" s="106" t="s">
        <v>18</v>
      </c>
      <c r="H18" s="110"/>
      <c r="I18" s="110"/>
      <c r="J18" s="110"/>
      <c r="K18" s="110"/>
      <c r="L18" s="111"/>
      <c r="M18" s="31">
        <f>Energex!M39</f>
        <v>19596.777083811987</v>
      </c>
      <c r="N18" s="31">
        <f>Energex!N39</f>
        <v>18887.939487368127</v>
      </c>
      <c r="O18" s="31">
        <f>Energex!O39</f>
        <v>18118.143802310467</v>
      </c>
      <c r="P18" s="31">
        <f>Energex!P39</f>
        <v>17422.104303471115</v>
      </c>
      <c r="Q18" s="31">
        <f>Energex!Q39</f>
        <v>16775.232550485533</v>
      </c>
    </row>
    <row r="19" spans="1:17">
      <c r="A19" s="83" t="s">
        <v>55</v>
      </c>
      <c r="B19" s="108" t="s">
        <v>18</v>
      </c>
      <c r="C19" s="104">
        <v>19773.620999999999</v>
      </c>
      <c r="D19" s="104">
        <v>20619</v>
      </c>
      <c r="E19" s="104">
        <v>20707</v>
      </c>
      <c r="F19" s="104">
        <v>21155</v>
      </c>
      <c r="G19" s="104">
        <v>21994</v>
      </c>
      <c r="H19" s="119">
        <v>22193</v>
      </c>
      <c r="I19" s="119">
        <v>21454</v>
      </c>
      <c r="J19" s="119">
        <v>21211</v>
      </c>
      <c r="K19" s="119">
        <v>21055</v>
      </c>
      <c r="L19" s="123">
        <v>20628</v>
      </c>
    </row>
    <row r="20" spans="1:17">
      <c r="A20" s="87"/>
      <c r="B20" s="87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7">
      <c r="A21" s="141"/>
      <c r="B21" s="94"/>
      <c r="C21" s="149" t="s">
        <v>34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8" t="s">
        <v>71</v>
      </c>
      <c r="N21" s="149"/>
      <c r="O21" s="149"/>
      <c r="P21" s="149"/>
      <c r="Q21" s="150"/>
    </row>
    <row r="22" spans="1:17">
      <c r="A22" s="102" t="s">
        <v>78</v>
      </c>
      <c r="C22" s="77" t="s">
        <v>7</v>
      </c>
      <c r="D22" s="77" t="s">
        <v>8</v>
      </c>
      <c r="E22" s="77" t="s">
        <v>9</v>
      </c>
      <c r="F22" s="77" t="s">
        <v>10</v>
      </c>
      <c r="G22" s="77" t="s">
        <v>11</v>
      </c>
      <c r="H22" s="77" t="s">
        <v>12</v>
      </c>
      <c r="I22" s="77" t="s">
        <v>13</v>
      </c>
      <c r="J22" s="77" t="s">
        <v>14</v>
      </c>
      <c r="K22" s="77" t="s">
        <v>15</v>
      </c>
      <c r="L22" s="78" t="s">
        <v>16</v>
      </c>
      <c r="M22" s="90" t="s">
        <v>1</v>
      </c>
      <c r="N22" s="91" t="s">
        <v>2</v>
      </c>
      <c r="O22" s="91" t="s">
        <v>3</v>
      </c>
      <c r="P22" s="91" t="s">
        <v>4</v>
      </c>
      <c r="Q22" s="92" t="s">
        <v>5</v>
      </c>
    </row>
    <row r="23" spans="1:17">
      <c r="A23" s="55" t="s">
        <v>68</v>
      </c>
      <c r="B23" s="125" t="s">
        <v>67</v>
      </c>
      <c r="C23" s="126">
        <v>0.39735195693292596</v>
      </c>
      <c r="D23" s="126">
        <v>0.39735195693292596</v>
      </c>
      <c r="E23" s="126">
        <v>0.38924035350364611</v>
      </c>
      <c r="F23" s="126">
        <v>0.39588749704561571</v>
      </c>
      <c r="G23" s="126">
        <v>0.38637810311903248</v>
      </c>
      <c r="H23" s="126">
        <v>0.38985265624295951</v>
      </c>
      <c r="I23" s="126">
        <v>0.38431061806656103</v>
      </c>
      <c r="J23" s="126">
        <v>0.37291971147046343</v>
      </c>
      <c r="K23" s="126">
        <v>0.36143433863690333</v>
      </c>
      <c r="L23" s="126">
        <v>0.35063990692262942</v>
      </c>
      <c r="M23" s="126">
        <v>0.34733566705562036</v>
      </c>
      <c r="N23" s="126">
        <v>0.34625701048524749</v>
      </c>
      <c r="O23" s="126">
        <v>0.34559789750328518</v>
      </c>
      <c r="P23" s="126">
        <v>0.34593810444874273</v>
      </c>
      <c r="Q23" s="136">
        <v>0.34248650695956823</v>
      </c>
    </row>
    <row r="24" spans="1:17">
      <c r="A24" s="55" t="s">
        <v>69</v>
      </c>
      <c r="B24" s="30" t="s">
        <v>24</v>
      </c>
      <c r="C24" s="104">
        <f>Energex!C43</f>
        <v>1069155.2959999999</v>
      </c>
      <c r="D24" s="104">
        <f>Energex!D43</f>
        <v>1095446</v>
      </c>
      <c r="E24" s="104">
        <f>Energex!E43</f>
        <v>1119015</v>
      </c>
      <c r="F24" s="104">
        <f>Energex!F43</f>
        <v>1143910</v>
      </c>
      <c r="G24" s="104">
        <f>Energex!G43</f>
        <v>1166386</v>
      </c>
      <c r="H24" s="104">
        <f>Energex!H43</f>
        <v>1186164</v>
      </c>
      <c r="I24" s="104">
        <f>Energex!I43</f>
        <v>1204327</v>
      </c>
      <c r="J24" s="104">
        <f>Energex!J43</f>
        <v>1220644</v>
      </c>
      <c r="K24" s="104">
        <f>Energex!K43</f>
        <v>1236601</v>
      </c>
      <c r="L24" s="104">
        <f>Energex!L43</f>
        <v>1270722</v>
      </c>
      <c r="M24" s="104">
        <f>Energex!M57</f>
        <v>1270854.9553956462</v>
      </c>
      <c r="N24" s="104">
        <f>Energex!N57</f>
        <v>1288046.8827253503</v>
      </c>
      <c r="O24" s="104">
        <f>Energex!O57</f>
        <v>1305666.8349632679</v>
      </c>
      <c r="P24" s="104">
        <f>Energex!P57</f>
        <v>1323397.9983225581</v>
      </c>
      <c r="Q24" s="124">
        <f>Energex!Q57</f>
        <v>1341390.7375770437</v>
      </c>
    </row>
    <row r="25" spans="1:17">
      <c r="A25" s="55" t="s">
        <v>70</v>
      </c>
      <c r="B25" s="30" t="s">
        <v>59</v>
      </c>
      <c r="C25" s="104">
        <v>352325184.10683745</v>
      </c>
      <c r="D25" s="104">
        <v>354687997.72000003</v>
      </c>
      <c r="E25" s="104">
        <v>377495557.35000002</v>
      </c>
      <c r="F25" s="104">
        <v>424842154.19</v>
      </c>
      <c r="G25" s="104">
        <v>484334107.78000003</v>
      </c>
      <c r="H25" s="104">
        <v>534081623.44999993</v>
      </c>
      <c r="I25" s="104">
        <v>574923105.14000022</v>
      </c>
      <c r="J25" s="104">
        <v>644945708.47936046</v>
      </c>
      <c r="K25" s="104">
        <v>746463446</v>
      </c>
      <c r="L25" s="104">
        <v>937131819</v>
      </c>
      <c r="M25" s="104">
        <v>1015662630.6752009</v>
      </c>
      <c r="N25" s="104">
        <v>946125734.67208087</v>
      </c>
      <c r="O25" s="104">
        <v>930606997.58299625</v>
      </c>
      <c r="P25" s="104">
        <v>905772160.05986202</v>
      </c>
      <c r="Q25" s="124">
        <v>891306663.71583831</v>
      </c>
    </row>
    <row r="26" spans="1:17">
      <c r="A26" s="55" t="s">
        <v>73</v>
      </c>
      <c r="Q26" s="53"/>
    </row>
    <row r="27" spans="1:17">
      <c r="A27" s="127" t="s">
        <v>58</v>
      </c>
      <c r="B27" s="30" t="s">
        <v>72</v>
      </c>
      <c r="C27" s="128">
        <f>(C$25/C$24)/(C15*C$23*1000000/C$24)</f>
        <v>4.4853117825250997E-2</v>
      </c>
      <c r="D27" s="128">
        <f>(D$25/D$24)/(D15*D$23*1000000/D$24)</f>
        <v>4.3375521833159306E-2</v>
      </c>
      <c r="E27" s="128">
        <f>(E$25/E$24)/(E15*E$23*1000000/E$24)</f>
        <v>4.5270660751226266E-2</v>
      </c>
      <c r="F27" s="128">
        <f>(F$25/F$24)/(F15*F$23*1000000/F$24)</f>
        <v>4.8120256481759167E-2</v>
      </c>
      <c r="G27" s="128">
        <f>(G$25/G$24)/(G15*G$23*1000000/G$24)</f>
        <v>5.3995048510162381E-2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37"/>
    </row>
    <row r="28" spans="1:17">
      <c r="A28" s="127" t="s">
        <v>54</v>
      </c>
      <c r="B28" s="30" t="s">
        <v>72</v>
      </c>
      <c r="C28" s="128"/>
      <c r="D28" s="128"/>
      <c r="E28" s="128"/>
      <c r="F28" s="128"/>
      <c r="G28" s="128"/>
      <c r="H28" s="128">
        <f>(H$25/H$24)/(H16*H$23*1000000/H$24)</f>
        <v>6.111516935649422E-2</v>
      </c>
      <c r="I28" s="128">
        <f>(I$25/I$24)/(I16*I$23*1000000/I$24)</f>
        <v>6.4654917530824044E-2</v>
      </c>
      <c r="J28" s="128">
        <f>(J$25/J$24)/(J16*J$23*1000000/J$24)</f>
        <v>7.1934499279420069E-2</v>
      </c>
      <c r="K28" s="128">
        <f>(K$25/K$24)/(K16*K$23*1000000/K$24)</f>
        <v>8.3297609386919852E-2</v>
      </c>
      <c r="L28" s="128">
        <f>(L$25/L$24)/(L16*L$23*1000000/L$24)</f>
        <v>0.10341006357483705</v>
      </c>
      <c r="M28" s="128"/>
      <c r="N28" s="128"/>
      <c r="O28" s="128"/>
      <c r="P28" s="128"/>
      <c r="Q28" s="137"/>
    </row>
    <row r="29" spans="1:17">
      <c r="A29" s="127" t="s">
        <v>36</v>
      </c>
      <c r="B29" s="30" t="s">
        <v>72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>
        <f t="shared" ref="M29:Q30" si="1">(M$25/M$24)/(M17*M$23*1000000/M$24)</f>
        <v>0.14217002109115356</v>
      </c>
      <c r="N29" s="128">
        <f t="shared" si="1"/>
        <v>0.13325714572846209</v>
      </c>
      <c r="O29" s="128">
        <f t="shared" si="1"/>
        <v>0.13105294994831659</v>
      </c>
      <c r="P29" s="128">
        <f t="shared" si="1"/>
        <v>0.12661058988815516</v>
      </c>
      <c r="Q29" s="137">
        <f t="shared" si="1"/>
        <v>0.12321076357697516</v>
      </c>
    </row>
    <row r="30" spans="1:17">
      <c r="A30" s="127" t="s">
        <v>37</v>
      </c>
      <c r="B30" s="30" t="s">
        <v>72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>
        <f t="shared" si="1"/>
        <v>0.1492160155364709</v>
      </c>
      <c r="N30" s="128">
        <f t="shared" si="1"/>
        <v>0.14466574159608644</v>
      </c>
      <c r="O30" s="128">
        <f t="shared" si="1"/>
        <v>0.14862145879671607</v>
      </c>
      <c r="P30" s="128">
        <f t="shared" si="1"/>
        <v>0.15028649543588068</v>
      </c>
      <c r="Q30" s="137">
        <f t="shared" si="1"/>
        <v>0.15513691034927235</v>
      </c>
    </row>
    <row r="31" spans="1:17">
      <c r="A31" s="127" t="s">
        <v>55</v>
      </c>
      <c r="B31" s="30" t="s">
        <v>72</v>
      </c>
      <c r="C31" s="128">
        <f t="shared" ref="C31:L31" si="2">(C$25/C$24)/(C19*C$23*1000000/C$24)</f>
        <v>4.4841705851906374E-2</v>
      </c>
      <c r="D31" s="128">
        <f t="shared" si="2"/>
        <v>4.3291590103747099E-2</v>
      </c>
      <c r="E31" s="128">
        <f t="shared" si="2"/>
        <v>4.6835677090570724E-2</v>
      </c>
      <c r="F31" s="128">
        <f t="shared" si="2"/>
        <v>5.0727421395820899E-2</v>
      </c>
      <c r="G31" s="128">
        <f t="shared" si="2"/>
        <v>5.699389359614028E-2</v>
      </c>
      <c r="H31" s="128">
        <f t="shared" si="2"/>
        <v>6.1729267620203414E-2</v>
      </c>
      <c r="I31" s="128">
        <f t="shared" si="2"/>
        <v>6.972990965918742E-2</v>
      </c>
      <c r="J31" s="128">
        <f t="shared" si="2"/>
        <v>8.1535487797643538E-2</v>
      </c>
      <c r="K31" s="128">
        <f t="shared" si="2"/>
        <v>9.8089808935611048E-2</v>
      </c>
      <c r="L31" s="128">
        <f t="shared" si="2"/>
        <v>0.12956336499377852</v>
      </c>
      <c r="M31" s="128"/>
      <c r="N31" s="128"/>
      <c r="O31" s="128"/>
      <c r="P31" s="128"/>
      <c r="Q31" s="137"/>
    </row>
    <row r="32" spans="1:17">
      <c r="A32" s="55" t="s">
        <v>90</v>
      </c>
      <c r="Q32" s="53"/>
    </row>
    <row r="33" spans="1:17">
      <c r="A33" s="127" t="s">
        <v>58</v>
      </c>
      <c r="B33" s="30" t="s">
        <v>77</v>
      </c>
      <c r="C33" s="104">
        <f>5800*C27</f>
        <v>260.14808338645577</v>
      </c>
      <c r="D33" s="104">
        <f t="shared" ref="D33:G33" si="3">5800*D27</f>
        <v>251.57802663232397</v>
      </c>
      <c r="E33" s="104">
        <f t="shared" si="3"/>
        <v>262.56983235711232</v>
      </c>
      <c r="F33" s="104">
        <f t="shared" si="3"/>
        <v>279.09748759420319</v>
      </c>
      <c r="G33" s="104">
        <f t="shared" si="3"/>
        <v>313.17128135894183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37"/>
    </row>
    <row r="34" spans="1:17">
      <c r="A34" s="127" t="s">
        <v>54</v>
      </c>
      <c r="B34" s="30" t="s">
        <v>77</v>
      </c>
      <c r="C34" s="128"/>
      <c r="D34" s="128"/>
      <c r="E34" s="128"/>
      <c r="F34" s="128"/>
      <c r="G34" s="128"/>
      <c r="H34" s="104">
        <f>5800*H28</f>
        <v>354.46798226766646</v>
      </c>
      <c r="I34" s="104">
        <f t="shared" ref="I34:Q36" si="4">5800*I28</f>
        <v>374.99852167877947</v>
      </c>
      <c r="J34" s="104">
        <f t="shared" si="4"/>
        <v>417.2200958206364</v>
      </c>
      <c r="K34" s="104">
        <f t="shared" si="4"/>
        <v>483.12613444413512</v>
      </c>
      <c r="L34" s="104">
        <f t="shared" si="4"/>
        <v>599.77836873405488</v>
      </c>
      <c r="M34" s="128"/>
      <c r="N34" s="128"/>
      <c r="O34" s="128"/>
      <c r="P34" s="128"/>
      <c r="Q34" s="137"/>
    </row>
    <row r="35" spans="1:17">
      <c r="A35" s="127" t="s">
        <v>36</v>
      </c>
      <c r="B35" s="30" t="s">
        <v>77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04">
        <f>5800*M29</f>
        <v>824.58612232869064</v>
      </c>
      <c r="N35" s="104">
        <f t="shared" si="4"/>
        <v>772.89144522508013</v>
      </c>
      <c r="O35" s="104">
        <f t="shared" si="4"/>
        <v>760.10710970023626</v>
      </c>
      <c r="P35" s="104">
        <f t="shared" si="4"/>
        <v>734.34142135129991</v>
      </c>
      <c r="Q35" s="124">
        <f t="shared" si="4"/>
        <v>714.62242874645597</v>
      </c>
    </row>
    <row r="36" spans="1:17">
      <c r="A36" s="127" t="s">
        <v>37</v>
      </c>
      <c r="B36" s="30" t="s">
        <v>77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04">
        <f>5800*M30</f>
        <v>865.45289011153125</v>
      </c>
      <c r="N36" s="104">
        <f t="shared" si="4"/>
        <v>839.06130125730135</v>
      </c>
      <c r="O36" s="104">
        <f t="shared" si="4"/>
        <v>862.00446102095316</v>
      </c>
      <c r="P36" s="104">
        <f t="shared" si="4"/>
        <v>871.66167352810794</v>
      </c>
      <c r="Q36" s="124">
        <f t="shared" si="4"/>
        <v>899.79408002577964</v>
      </c>
    </row>
    <row r="37" spans="1:17">
      <c r="A37" s="138" t="s">
        <v>55</v>
      </c>
      <c r="B37" s="61" t="s">
        <v>77</v>
      </c>
      <c r="C37" s="122">
        <f>5800*C31</f>
        <v>260.08189394105699</v>
      </c>
      <c r="D37" s="122">
        <f t="shared" ref="D37:L37" si="5">5800*D31</f>
        <v>251.09122260173316</v>
      </c>
      <c r="E37" s="122">
        <f t="shared" si="5"/>
        <v>271.64692712531019</v>
      </c>
      <c r="F37" s="122">
        <f t="shared" si="5"/>
        <v>294.21904409576121</v>
      </c>
      <c r="G37" s="122">
        <f t="shared" si="5"/>
        <v>330.56458285761363</v>
      </c>
      <c r="H37" s="122">
        <f>5800*H31</f>
        <v>358.02975219717979</v>
      </c>
      <c r="I37" s="122">
        <f t="shared" si="5"/>
        <v>404.43347602328703</v>
      </c>
      <c r="J37" s="122">
        <f t="shared" si="5"/>
        <v>472.90582922633251</v>
      </c>
      <c r="K37" s="122">
        <f t="shared" si="5"/>
        <v>568.92089182654411</v>
      </c>
      <c r="L37" s="122">
        <f t="shared" si="5"/>
        <v>751.46751696391539</v>
      </c>
      <c r="M37" s="139"/>
      <c r="N37" s="139"/>
      <c r="O37" s="139"/>
      <c r="P37" s="139"/>
      <c r="Q37" s="140"/>
    </row>
    <row r="39" spans="1:17">
      <c r="A39" s="102" t="s">
        <v>79</v>
      </c>
      <c r="B39" s="94"/>
      <c r="C39" s="77" t="s">
        <v>7</v>
      </c>
      <c r="D39" s="77" t="s">
        <v>8</v>
      </c>
      <c r="E39" s="77" t="s">
        <v>9</v>
      </c>
      <c r="F39" s="77" t="s">
        <v>10</v>
      </c>
      <c r="G39" s="77" t="s">
        <v>11</v>
      </c>
      <c r="H39" s="77" t="s">
        <v>12</v>
      </c>
      <c r="I39" s="77" t="s">
        <v>13</v>
      </c>
      <c r="J39" s="77" t="s">
        <v>14</v>
      </c>
      <c r="K39" s="77" t="s">
        <v>15</v>
      </c>
      <c r="L39" s="78" t="s">
        <v>16</v>
      </c>
      <c r="M39" s="76" t="s">
        <v>1</v>
      </c>
      <c r="N39" s="77" t="s">
        <v>2</v>
      </c>
      <c r="O39" s="77" t="s">
        <v>3</v>
      </c>
      <c r="P39" s="77" t="s">
        <v>4</v>
      </c>
      <c r="Q39" s="78" t="s">
        <v>5</v>
      </c>
    </row>
    <row r="40" spans="1:17">
      <c r="A40" s="55" t="s">
        <v>74</v>
      </c>
      <c r="B40" s="125" t="s">
        <v>67</v>
      </c>
      <c r="C40" s="126">
        <v>0.19695426548329212</v>
      </c>
      <c r="D40" s="126">
        <v>0.19695426548329212</v>
      </c>
      <c r="E40" s="126">
        <v>0.18220891485970928</v>
      </c>
      <c r="F40" s="126">
        <v>0.16596549279130229</v>
      </c>
      <c r="G40" s="126">
        <v>0.16477221060289171</v>
      </c>
      <c r="H40" s="126">
        <v>0.14008921732077681</v>
      </c>
      <c r="I40" s="126">
        <v>0.12468537335694975</v>
      </c>
      <c r="J40" s="126">
        <v>0.11338456461270095</v>
      </c>
      <c r="K40" s="126">
        <v>0.10363334124910947</v>
      </c>
      <c r="L40" s="126">
        <v>0.10398487492728331</v>
      </c>
      <c r="M40" s="126">
        <v>0.10331583041618048</v>
      </c>
      <c r="N40" s="126">
        <v>0.10217020238966106</v>
      </c>
      <c r="O40" s="126">
        <v>0.10098797878035723</v>
      </c>
      <c r="P40" s="126">
        <v>9.9951644100580272E-2</v>
      </c>
      <c r="Q40" s="136">
        <v>9.7528643120916581E-2</v>
      </c>
    </row>
    <row r="41" spans="1:17">
      <c r="A41" s="55" t="s">
        <v>75</v>
      </c>
      <c r="B41" s="30" t="s">
        <v>24</v>
      </c>
      <c r="C41" s="104">
        <f>Energex!C45</f>
        <v>105481.2</v>
      </c>
      <c r="D41" s="104">
        <f>Energex!D45</f>
        <v>108075</v>
      </c>
      <c r="E41" s="104">
        <f>Energex!E45</f>
        <v>108135</v>
      </c>
      <c r="F41" s="104">
        <f>Energex!F45</f>
        <v>110585</v>
      </c>
      <c r="G41" s="104">
        <f>Energex!G45</f>
        <v>111489</v>
      </c>
      <c r="H41" s="104">
        <f>Energex!H45</f>
        <v>111087</v>
      </c>
      <c r="I41" s="104">
        <f>Energex!I45</f>
        <v>110837</v>
      </c>
      <c r="J41" s="104">
        <f>Energex!J45</f>
        <v>110993</v>
      </c>
      <c r="K41" s="104">
        <f>Energex!K45</f>
        <v>110126</v>
      </c>
      <c r="L41" s="104">
        <f>Energex!L45</f>
        <v>122758</v>
      </c>
      <c r="M41" s="104">
        <f>Energex!M59</f>
        <v>110435.99857448322</v>
      </c>
      <c r="N41" s="104">
        <f>Energex!N59</f>
        <v>110591.434176111</v>
      </c>
      <c r="O41" s="104">
        <f>Energex!O59</f>
        <v>110747.08854903224</v>
      </c>
      <c r="P41" s="104">
        <f>Energex!P59</f>
        <v>110902.96200116148</v>
      </c>
      <c r="Q41" s="124">
        <f>Energex!Q59</f>
        <v>111059.0548408466</v>
      </c>
    </row>
    <row r="42" spans="1:17">
      <c r="A42" s="55" t="s">
        <v>76</v>
      </c>
      <c r="B42" s="30" t="s">
        <v>59</v>
      </c>
      <c r="C42" s="104">
        <v>106462889.32295211</v>
      </c>
      <c r="D42" s="104">
        <v>107176866</v>
      </c>
      <c r="E42" s="104">
        <v>114068678</v>
      </c>
      <c r="F42" s="104">
        <v>128375505</v>
      </c>
      <c r="G42" s="104">
        <v>166550229</v>
      </c>
      <c r="H42" s="104">
        <v>163362999</v>
      </c>
      <c r="I42" s="104">
        <v>171747855</v>
      </c>
      <c r="J42" s="104">
        <v>194783461</v>
      </c>
      <c r="K42" s="104">
        <v>197215848</v>
      </c>
      <c r="L42" s="104">
        <v>262946972</v>
      </c>
      <c r="M42" s="104">
        <v>287291829.98696309</v>
      </c>
      <c r="N42" s="104">
        <v>264814032.42092639</v>
      </c>
      <c r="O42" s="104">
        <v>257961935.59400001</v>
      </c>
      <c r="P42" s="104">
        <v>251016683.97354889</v>
      </c>
      <c r="Q42" s="124">
        <v>245858736.21486211</v>
      </c>
    </row>
    <row r="43" spans="1:17">
      <c r="A43" s="55" t="s">
        <v>73</v>
      </c>
      <c r="Q43" s="53"/>
    </row>
    <row r="44" spans="1:17">
      <c r="A44" s="127" t="s">
        <v>58</v>
      </c>
      <c r="B44" s="30" t="s">
        <v>72</v>
      </c>
      <c r="C44" s="128">
        <f>(C$42/C$41)/(C15*C$40*1000000/C$41)</f>
        <v>2.7343692617867305E-2</v>
      </c>
      <c r="D44" s="128">
        <f>(D$42/D$41)/(D15*D$40*1000000/D$41)</f>
        <v>2.6442909515596497E-2</v>
      </c>
      <c r="E44" s="128">
        <f>(E$42/E$41)/(E15*E$40*1000000/E$41)</f>
        <v>2.9222652476124638E-2</v>
      </c>
      <c r="F44" s="128">
        <f>(F$42/F$41)/(F15*F$40*1000000/F$41)</f>
        <v>3.4684583394781435E-2</v>
      </c>
      <c r="G44" s="128">
        <f>(G$42/G$41)/(G15*G$40*1000000/G$41)</f>
        <v>4.353942142318433E-2</v>
      </c>
      <c r="H44" s="128"/>
      <c r="I44" s="128"/>
      <c r="J44" s="128"/>
      <c r="K44" s="128"/>
      <c r="L44" s="128"/>
      <c r="M44" s="128"/>
      <c r="N44" s="128"/>
      <c r="O44" s="128"/>
      <c r="P44" s="128"/>
      <c r="Q44" s="137"/>
    </row>
    <row r="45" spans="1:17">
      <c r="A45" s="127" t="s">
        <v>54</v>
      </c>
      <c r="B45" s="30" t="s">
        <v>72</v>
      </c>
      <c r="C45" s="128"/>
      <c r="D45" s="128"/>
      <c r="E45" s="128"/>
      <c r="F45" s="128"/>
      <c r="G45" s="128"/>
      <c r="H45" s="128">
        <f>(H$42/H$41)/(H16*H$40*1000000/H$41)</f>
        <v>5.2022458295638556E-2</v>
      </c>
      <c r="I45" s="128">
        <f>(I$42/I$41)/(I16*I$40*1000000/I$41)</f>
        <v>5.9531934458587767E-2</v>
      </c>
      <c r="J45" s="128">
        <f>(J$42/J$41)/(J16*J$40*1000000/J$41)</f>
        <v>7.1454165039161369E-2</v>
      </c>
      <c r="K45" s="128">
        <f>(K$42/K$41)/(K16*K$40*1000000/K$41)</f>
        <v>7.6753062644809203E-2</v>
      </c>
      <c r="L45" s="128">
        <f>(L$42/L$41)/(L16*L$40*1000000/L$41)</f>
        <v>9.784113086606952E-2</v>
      </c>
      <c r="M45" s="128"/>
      <c r="N45" s="128"/>
      <c r="O45" s="128"/>
      <c r="P45" s="128"/>
      <c r="Q45" s="137"/>
    </row>
    <row r="46" spans="1:17">
      <c r="A46" s="127" t="s">
        <v>36</v>
      </c>
      <c r="B46" s="30" t="s">
        <v>72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>
        <f t="shared" ref="M46:Q47" si="6">(M$42/M$41)/(M17*M$40*1000000/M$41)</f>
        <v>0.13519615528798262</v>
      </c>
      <c r="N46" s="128">
        <f t="shared" si="6"/>
        <v>0.12640287943719639</v>
      </c>
      <c r="O46" s="128">
        <f t="shared" si="6"/>
        <v>0.12431900510554217</v>
      </c>
      <c r="P46" s="128">
        <f t="shared" si="6"/>
        <v>0.12144009868096221</v>
      </c>
      <c r="Q46" s="137">
        <f t="shared" si="6"/>
        <v>0.11934890107517579</v>
      </c>
    </row>
    <row r="47" spans="1:17">
      <c r="A47" s="127" t="s">
        <v>37</v>
      </c>
      <c r="B47" s="30" t="s">
        <v>72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>
        <f t="shared" si="6"/>
        <v>0.14189652257973834</v>
      </c>
      <c r="N47" s="128">
        <f t="shared" si="6"/>
        <v>0.13722465833783068</v>
      </c>
      <c r="O47" s="128">
        <f t="shared" si="6"/>
        <v>0.140984784411405</v>
      </c>
      <c r="P47" s="128">
        <f t="shared" si="6"/>
        <v>0.14414913359357748</v>
      </c>
      <c r="Q47" s="137">
        <f t="shared" si="6"/>
        <v>0.15027436912860559</v>
      </c>
    </row>
    <row r="48" spans="1:17">
      <c r="A48" s="127" t="s">
        <v>55</v>
      </c>
      <c r="B48" s="30" t="s">
        <v>72</v>
      </c>
      <c r="C48" s="128">
        <f t="shared" ref="C48:L48" si="7">(C$42/C$41)/(C19*C$40*1000000/C$41)</f>
        <v>2.733673556546095E-2</v>
      </c>
      <c r="D48" s="128">
        <f t="shared" si="7"/>
        <v>2.6391742427973406E-2</v>
      </c>
      <c r="E48" s="128">
        <f t="shared" si="7"/>
        <v>3.0232885767293931E-2</v>
      </c>
      <c r="F48" s="128">
        <f t="shared" si="7"/>
        <v>3.6563800911421251E-2</v>
      </c>
      <c r="G48" s="128">
        <f t="shared" si="7"/>
        <v>4.5957568708609266E-2</v>
      </c>
      <c r="H48" s="128">
        <f t="shared" si="7"/>
        <v>5.2545191058218088E-2</v>
      </c>
      <c r="I48" s="128">
        <f t="shared" si="7"/>
        <v>6.4204805607476642E-2</v>
      </c>
      <c r="J48" s="128">
        <f t="shared" si="7"/>
        <v>8.0991044074844074E-2</v>
      </c>
      <c r="K48" s="128">
        <f t="shared" si="7"/>
        <v>9.0383065077910191E-2</v>
      </c>
      <c r="L48" s="128">
        <f t="shared" si="7"/>
        <v>0.12258600093240093</v>
      </c>
      <c r="M48" s="128"/>
      <c r="N48" s="128"/>
      <c r="O48" s="128"/>
      <c r="P48" s="128"/>
      <c r="Q48" s="137"/>
    </row>
    <row r="49" spans="1:17">
      <c r="A49" s="55" t="s">
        <v>91</v>
      </c>
      <c r="Q49" s="53"/>
    </row>
    <row r="50" spans="1:17">
      <c r="A50" s="127" t="s">
        <v>58</v>
      </c>
      <c r="B50" s="30" t="s">
        <v>77</v>
      </c>
      <c r="C50" s="104">
        <f>17800*C44</f>
        <v>486.71772859803804</v>
      </c>
      <c r="D50" s="104">
        <f t="shared" ref="D50:G50" si="8">17800*D44</f>
        <v>470.68378937761764</v>
      </c>
      <c r="E50" s="104">
        <f t="shared" si="8"/>
        <v>520.16321407501857</v>
      </c>
      <c r="F50" s="104">
        <f t="shared" si="8"/>
        <v>617.38558442710951</v>
      </c>
      <c r="G50" s="104">
        <f t="shared" si="8"/>
        <v>775.00170133268102</v>
      </c>
      <c r="H50" s="128"/>
      <c r="I50" s="128"/>
      <c r="J50" s="128"/>
      <c r="K50" s="128"/>
      <c r="L50" s="128"/>
      <c r="M50" s="128"/>
      <c r="N50" s="128"/>
      <c r="O50" s="128"/>
      <c r="P50" s="128"/>
      <c r="Q50" s="137"/>
    </row>
    <row r="51" spans="1:17">
      <c r="A51" s="127" t="s">
        <v>54</v>
      </c>
      <c r="B51" s="30" t="s">
        <v>77</v>
      </c>
      <c r="C51" s="128"/>
      <c r="D51" s="128"/>
      <c r="E51" s="128"/>
      <c r="F51" s="128"/>
      <c r="G51" s="128"/>
      <c r="H51" s="104">
        <f>17800*H45</f>
        <v>925.99975766236628</v>
      </c>
      <c r="I51" s="104">
        <f t="shared" ref="I51:L51" si="9">17800*I45</f>
        <v>1059.6684333628623</v>
      </c>
      <c r="J51" s="104">
        <f t="shared" si="9"/>
        <v>1271.8841376970724</v>
      </c>
      <c r="K51" s="104">
        <f t="shared" si="9"/>
        <v>1366.2045150776039</v>
      </c>
      <c r="L51" s="104">
        <f t="shared" si="9"/>
        <v>1741.5721294160376</v>
      </c>
      <c r="M51" s="128"/>
      <c r="N51" s="128"/>
      <c r="O51" s="128"/>
      <c r="P51" s="128"/>
      <c r="Q51" s="137"/>
    </row>
    <row r="52" spans="1:17">
      <c r="A52" s="127" t="s">
        <v>36</v>
      </c>
      <c r="B52" s="30" t="s">
        <v>77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04">
        <f>17800*M46</f>
        <v>2406.4915641260905</v>
      </c>
      <c r="N52" s="104">
        <f t="shared" ref="N52:Q52" si="10">17800*N46</f>
        <v>2249.9712539820957</v>
      </c>
      <c r="O52" s="104">
        <f t="shared" si="10"/>
        <v>2212.8782908786507</v>
      </c>
      <c r="P52" s="104">
        <f t="shared" si="10"/>
        <v>2161.6337565211275</v>
      </c>
      <c r="Q52" s="104">
        <f t="shared" si="10"/>
        <v>2124.4104391381293</v>
      </c>
    </row>
    <row r="53" spans="1:17">
      <c r="A53" s="127" t="s">
        <v>37</v>
      </c>
      <c r="B53" s="30" t="s">
        <v>77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04">
        <f>17800*M47</f>
        <v>2525.7581019193426</v>
      </c>
      <c r="N53" s="104">
        <f t="shared" ref="N53:Q53" si="11">17800*N47</f>
        <v>2442.5989184133859</v>
      </c>
      <c r="O53" s="104">
        <f t="shared" si="11"/>
        <v>2509.5291625230088</v>
      </c>
      <c r="P53" s="104">
        <f t="shared" si="11"/>
        <v>2565.8545779656793</v>
      </c>
      <c r="Q53" s="104">
        <f t="shared" si="11"/>
        <v>2674.8837704891794</v>
      </c>
    </row>
    <row r="54" spans="1:17">
      <c r="A54" s="138" t="s">
        <v>55</v>
      </c>
      <c r="B54" s="61" t="s">
        <v>77</v>
      </c>
      <c r="C54" s="122">
        <f>17800*C48</f>
        <v>486.5938930652049</v>
      </c>
      <c r="D54" s="122">
        <f t="shared" ref="D54:L54" si="12">17800*D48</f>
        <v>469.77301521792663</v>
      </c>
      <c r="E54" s="122">
        <f t="shared" si="12"/>
        <v>538.14536665783191</v>
      </c>
      <c r="F54" s="122">
        <f t="shared" si="12"/>
        <v>650.83565622329832</v>
      </c>
      <c r="G54" s="122">
        <f t="shared" si="12"/>
        <v>818.04472301324495</v>
      </c>
      <c r="H54" s="122">
        <f t="shared" si="12"/>
        <v>935.30440083628196</v>
      </c>
      <c r="I54" s="122">
        <f t="shared" si="12"/>
        <v>1142.8455398130843</v>
      </c>
      <c r="J54" s="122">
        <f t="shared" si="12"/>
        <v>1441.6405845322245</v>
      </c>
      <c r="K54" s="122">
        <f t="shared" si="12"/>
        <v>1608.8185583868014</v>
      </c>
      <c r="L54" s="122">
        <f t="shared" si="12"/>
        <v>2182.0308165967367</v>
      </c>
      <c r="M54" s="139"/>
      <c r="N54" s="139"/>
      <c r="O54" s="139"/>
      <c r="P54" s="139"/>
      <c r="Q54" s="140"/>
    </row>
    <row r="56" spans="1:17">
      <c r="A56" s="102" t="s">
        <v>80</v>
      </c>
      <c r="B56" s="94"/>
      <c r="C56" s="77" t="s">
        <v>7</v>
      </c>
      <c r="D56" s="77" t="s">
        <v>8</v>
      </c>
      <c r="E56" s="77" t="s">
        <v>9</v>
      </c>
      <c r="F56" s="77" t="s">
        <v>10</v>
      </c>
      <c r="G56" s="77" t="s">
        <v>11</v>
      </c>
      <c r="H56" s="77" t="s">
        <v>12</v>
      </c>
      <c r="I56" s="77" t="s">
        <v>13</v>
      </c>
      <c r="J56" s="77" t="s">
        <v>14</v>
      </c>
      <c r="K56" s="77" t="s">
        <v>15</v>
      </c>
      <c r="L56" s="78" t="s">
        <v>16</v>
      </c>
      <c r="M56" s="76" t="s">
        <v>1</v>
      </c>
      <c r="N56" s="77" t="s">
        <v>2</v>
      </c>
      <c r="O56" s="77" t="s">
        <v>3</v>
      </c>
      <c r="P56" s="77" t="s">
        <v>4</v>
      </c>
      <c r="Q56" s="78" t="s">
        <v>5</v>
      </c>
    </row>
    <row r="57" spans="1:17" s="2" customFormat="1">
      <c r="A57" s="29" t="s">
        <v>81</v>
      </c>
      <c r="B57" s="129" t="s">
        <v>67</v>
      </c>
      <c r="C57" s="25">
        <v>0.1953580555863319</v>
      </c>
      <c r="D57" s="25">
        <v>0.1953580555863319</v>
      </c>
      <c r="E57" s="25">
        <v>0.19319524900505858</v>
      </c>
      <c r="F57" s="25">
        <v>0.18774606894792106</v>
      </c>
      <c r="G57" s="25">
        <v>0.19936012516784818</v>
      </c>
      <c r="H57" s="25">
        <v>0.19639726991807396</v>
      </c>
      <c r="I57" s="25">
        <v>0.21346809070003303</v>
      </c>
      <c r="J57" s="25">
        <v>0.21256652428902967</v>
      </c>
      <c r="K57" s="25">
        <v>0.22527352276990303</v>
      </c>
      <c r="L57" s="25">
        <v>0.22005232593179042</v>
      </c>
      <c r="M57" s="25">
        <v>0.22244279843074591</v>
      </c>
      <c r="N57" s="25">
        <v>0.22523545352144203</v>
      </c>
      <c r="O57" s="25">
        <v>0.22802065294661644</v>
      </c>
      <c r="P57" s="25">
        <v>0.2305488187745523</v>
      </c>
      <c r="Q57" s="32">
        <v>0.23303932174400638</v>
      </c>
    </row>
    <row r="58" spans="1:17" s="2" customFormat="1">
      <c r="A58" s="29" t="s">
        <v>82</v>
      </c>
      <c r="B58" s="2" t="s">
        <v>24</v>
      </c>
      <c r="C58" s="24">
        <f>'Ergon Energy'!C47</f>
        <v>6236.6819999999998</v>
      </c>
      <c r="D58" s="24">
        <f>'Ergon Energy'!D47</f>
        <v>6351</v>
      </c>
      <c r="E58" s="24">
        <f>'Ergon Energy'!E47</f>
        <v>6663</v>
      </c>
      <c r="F58" s="24">
        <f>'Ergon Energy'!F47</f>
        <v>6892</v>
      </c>
      <c r="G58" s="24">
        <f>'Ergon Energy'!G47</f>
        <v>7095</v>
      </c>
      <c r="H58" s="24">
        <f>'Ergon Energy'!H47</f>
        <v>7379</v>
      </c>
      <c r="I58" s="24">
        <f>'Ergon Energy'!I47</f>
        <v>7563</v>
      </c>
      <c r="J58" s="24">
        <f>'Ergon Energy'!J47</f>
        <v>7933</v>
      </c>
      <c r="K58" s="24">
        <f>'Ergon Energy'!K47</f>
        <v>8385</v>
      </c>
      <c r="L58" s="24">
        <f>'Ergon Energy'!L47</f>
        <v>7915</v>
      </c>
      <c r="M58" s="24">
        <f>'Ergon Energy'!M61</f>
        <v>8723.7540000000008</v>
      </c>
      <c r="N58" s="24">
        <f>'Ergon Energy'!N61</f>
        <v>8898.229080000001</v>
      </c>
      <c r="O58" s="24">
        <f>'Ergon Energy'!O61</f>
        <v>9076.1936616000003</v>
      </c>
      <c r="P58" s="24">
        <f>'Ergon Energy'!P61</f>
        <v>9257.7175348319997</v>
      </c>
      <c r="Q58" s="38">
        <f>'Ergon Energy'!Q61</f>
        <v>9442.8718855286406</v>
      </c>
    </row>
    <row r="59" spans="1:17" s="2" customFormat="1">
      <c r="A59" s="29" t="s">
        <v>83</v>
      </c>
      <c r="B59" s="2" t="s">
        <v>59</v>
      </c>
      <c r="C59" s="24">
        <v>123616957.9360566</v>
      </c>
      <c r="D59" s="24">
        <v>130132018.59258956</v>
      </c>
      <c r="E59" s="24">
        <v>134833347.79431942</v>
      </c>
      <c r="F59" s="24">
        <v>138572833.34030718</v>
      </c>
      <c r="G59" s="24">
        <v>158067159.87691936</v>
      </c>
      <c r="H59" s="24">
        <v>171701750.10909089</v>
      </c>
      <c r="I59" s="24">
        <v>224498475.62818187</v>
      </c>
      <c r="J59" s="24">
        <v>252726422.3121818</v>
      </c>
      <c r="K59" s="24">
        <v>359738241.93952501</v>
      </c>
      <c r="L59" s="24">
        <v>438644167.30000001</v>
      </c>
      <c r="M59" s="24">
        <v>396782009.08829039</v>
      </c>
      <c r="N59" s="24">
        <v>369010129.46649522</v>
      </c>
      <c r="O59" s="24">
        <v>364461426.10101753</v>
      </c>
      <c r="P59" s="24">
        <v>364203854.37936836</v>
      </c>
      <c r="Q59" s="38">
        <v>363860884.44516844</v>
      </c>
    </row>
    <row r="60" spans="1:17" s="2" customFormat="1">
      <c r="A60" s="29" t="s">
        <v>73</v>
      </c>
      <c r="Q60" s="39"/>
    </row>
    <row r="61" spans="1:17" s="2" customFormat="1">
      <c r="A61" s="131" t="s">
        <v>58</v>
      </c>
      <c r="B61" s="2" t="s">
        <v>72</v>
      </c>
      <c r="C61" s="130">
        <f>(C$59/C$58)/(C8*C$57*1000000/C$58)</f>
        <v>4.822601547189026E-2</v>
      </c>
      <c r="D61" s="130">
        <f t="shared" ref="D61:G61" si="13">(D$59/D$58)/(D8*D$57*1000000/D$58)</f>
        <v>4.9433009603249214E-2</v>
      </c>
      <c r="E61" s="130">
        <f t="shared" si="13"/>
        <v>5.0430658812637794E-2</v>
      </c>
      <c r="F61" s="130">
        <f t="shared" si="13"/>
        <v>5.193146411401358E-2</v>
      </c>
      <c r="G61" s="130">
        <f t="shared" si="13"/>
        <v>5.4319558481515783E-2</v>
      </c>
      <c r="H61" s="130"/>
      <c r="I61" s="130"/>
      <c r="J61" s="130"/>
      <c r="K61" s="130"/>
      <c r="L61" s="130"/>
      <c r="M61" s="130"/>
      <c r="N61" s="130"/>
      <c r="O61" s="130"/>
      <c r="P61" s="130"/>
      <c r="Q61" s="132"/>
    </row>
    <row r="62" spans="1:17" s="2" customFormat="1">
      <c r="A62" s="131" t="s">
        <v>54</v>
      </c>
      <c r="B62" s="2" t="s">
        <v>72</v>
      </c>
      <c r="C62" s="130"/>
      <c r="D62" s="130"/>
      <c r="E62" s="130"/>
      <c r="F62" s="130"/>
      <c r="G62" s="130"/>
      <c r="H62" s="130">
        <f>(H$59/H$58)/(H9*H$57*1000000/H$58)</f>
        <v>5.5085206742340187E-2</v>
      </c>
      <c r="I62" s="130">
        <f t="shared" ref="I62:L62" si="14">(I$59/I$58)/(I9*I$57*1000000/I$58)</f>
        <v>6.3931446154972912E-2</v>
      </c>
      <c r="J62" s="130">
        <f t="shared" si="14"/>
        <v>7.0459204116789992E-2</v>
      </c>
      <c r="K62" s="130">
        <f t="shared" si="14"/>
        <v>9.1601867390452105E-2</v>
      </c>
      <c r="L62" s="130">
        <f t="shared" si="14"/>
        <v>0.11144199767301313</v>
      </c>
      <c r="M62" s="130"/>
      <c r="N62" s="130"/>
      <c r="O62" s="130"/>
      <c r="P62" s="130"/>
      <c r="Q62" s="132"/>
    </row>
    <row r="63" spans="1:17" s="2" customFormat="1">
      <c r="A63" s="131" t="s">
        <v>36</v>
      </c>
      <c r="B63" s="2" t="s">
        <v>72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>
        <f>(M$59/M$58)/(M10*M$57*1000000/M$58)</f>
        <v>0.12415983924818118</v>
      </c>
      <c r="N63" s="130">
        <f t="shared" ref="I63:Q65" si="15">(N$59/N$58)/(N10*N$57*1000000/N$58)</f>
        <v>0.11290314501724849</v>
      </c>
      <c r="O63" s="130">
        <f t="shared" si="15"/>
        <v>0.10901293664862517</v>
      </c>
      <c r="P63" s="130">
        <f t="shared" si="15"/>
        <v>0.10668674019697173</v>
      </c>
      <c r="Q63" s="132">
        <f t="shared" si="15"/>
        <v>0.10440156147316922</v>
      </c>
    </row>
    <row r="64" spans="1:17" s="2" customFormat="1">
      <c r="A64" s="131" t="s">
        <v>37</v>
      </c>
      <c r="B64" s="2" t="s">
        <v>72</v>
      </c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>
        <f>(M$59/M$58)/(M11*M$57*1000000/M$58)</f>
        <v>0.14269569159767412</v>
      </c>
      <c r="N64" s="130">
        <f t="shared" si="15"/>
        <v>0.13684182703729009</v>
      </c>
      <c r="O64" s="130">
        <f t="shared" si="15"/>
        <v>0.13882637137612111</v>
      </c>
      <c r="P64" s="130">
        <f t="shared" si="15"/>
        <v>0.14193434738056229</v>
      </c>
      <c r="Q64" s="132">
        <f t="shared" si="15"/>
        <v>0.14535650447342166</v>
      </c>
    </row>
    <row r="65" spans="1:17" s="2" customFormat="1">
      <c r="A65" s="131" t="s">
        <v>55</v>
      </c>
      <c r="B65" s="2" t="s">
        <v>72</v>
      </c>
      <c r="C65" s="130">
        <f>(C$59/C$58)/(C12*C$57*1000000/C$58)</f>
        <v>4.8221998607575901E-2</v>
      </c>
      <c r="D65" s="130">
        <f t="shared" ref="D65:G65" si="16">(D$59/D$58)/(D12*D$57*1000000/D$58)</f>
        <v>4.9392858542985467E-2</v>
      </c>
      <c r="E65" s="130">
        <f t="shared" si="16"/>
        <v>5.1406137760728179E-2</v>
      </c>
      <c r="F65" s="130">
        <f t="shared" si="16"/>
        <v>5.3432443045351212E-2</v>
      </c>
      <c r="G65" s="130">
        <f t="shared" si="16"/>
        <v>5.6112407219433239E-2</v>
      </c>
      <c r="H65" s="130">
        <f>(H$59/H$58)/(H12*H$57*1000000/H$58)</f>
        <v>6.1323296934109851E-2</v>
      </c>
      <c r="I65" s="130">
        <f t="shared" si="15"/>
        <v>7.9508585822367209E-2</v>
      </c>
      <c r="J65" s="130">
        <f t="shared" si="15"/>
        <v>8.6835550581612284E-2</v>
      </c>
      <c r="K65" s="130">
        <f t="shared" si="15"/>
        <v>0.11642365431924663</v>
      </c>
      <c r="L65" s="130">
        <f t="shared" si="15"/>
        <v>0.13985112056460561</v>
      </c>
      <c r="M65" s="130"/>
      <c r="N65" s="130"/>
      <c r="O65" s="130"/>
      <c r="P65" s="130"/>
      <c r="Q65" s="132"/>
    </row>
    <row r="66" spans="1:17" s="2" customFormat="1">
      <c r="A66" s="29" t="s">
        <v>89</v>
      </c>
      <c r="Q66" s="39"/>
    </row>
    <row r="67" spans="1:17" s="2" customFormat="1">
      <c r="A67" s="131" t="s">
        <v>58</v>
      </c>
      <c r="B67" s="2" t="s">
        <v>77</v>
      </c>
      <c r="C67" s="24">
        <f>230000*C61</f>
        <v>11091.983558534759</v>
      </c>
      <c r="D67" s="24">
        <f t="shared" ref="D67:G67" si="17">230000*D61</f>
        <v>11369.592208747319</v>
      </c>
      <c r="E67" s="24">
        <f t="shared" si="17"/>
        <v>11599.051526906693</v>
      </c>
      <c r="F67" s="24">
        <f t="shared" si="17"/>
        <v>11944.236746223123</v>
      </c>
      <c r="G67" s="24">
        <f t="shared" si="17"/>
        <v>12493.49845074863</v>
      </c>
      <c r="H67" s="130"/>
      <c r="I67" s="130"/>
      <c r="J67" s="130"/>
      <c r="K67" s="130"/>
      <c r="L67" s="130"/>
      <c r="M67" s="130"/>
      <c r="N67" s="130"/>
      <c r="O67" s="130"/>
      <c r="P67" s="130"/>
      <c r="Q67" s="132"/>
    </row>
    <row r="68" spans="1:17" s="2" customFormat="1">
      <c r="A68" s="131" t="s">
        <v>54</v>
      </c>
      <c r="B68" s="2" t="s">
        <v>77</v>
      </c>
      <c r="C68" s="130"/>
      <c r="D68" s="130"/>
      <c r="E68" s="130"/>
      <c r="F68" s="130"/>
      <c r="G68" s="130"/>
      <c r="H68" s="24">
        <f>230000*H62</f>
        <v>12669.597550738243</v>
      </c>
      <c r="I68" s="24">
        <f t="shared" ref="I68:L68" si="18">230000*I62</f>
        <v>14704.23261564377</v>
      </c>
      <c r="J68" s="24">
        <f t="shared" si="18"/>
        <v>16205.616946861697</v>
      </c>
      <c r="K68" s="24">
        <f t="shared" si="18"/>
        <v>21068.429499803984</v>
      </c>
      <c r="L68" s="24">
        <f t="shared" si="18"/>
        <v>25631.659464793021</v>
      </c>
      <c r="M68" s="130"/>
      <c r="N68" s="130"/>
      <c r="O68" s="130"/>
      <c r="P68" s="130"/>
      <c r="Q68" s="132"/>
    </row>
    <row r="69" spans="1:17" s="2" customFormat="1">
      <c r="A69" s="131" t="s">
        <v>44</v>
      </c>
      <c r="B69" s="2" t="s">
        <v>77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24">
        <f>230000*M63</f>
        <v>28556.76302708167</v>
      </c>
      <c r="N69" s="24">
        <f t="shared" ref="I69:Q71" si="19">230000*N63</f>
        <v>25967.723353967154</v>
      </c>
      <c r="O69" s="24">
        <f t="shared" si="19"/>
        <v>25072.975429183789</v>
      </c>
      <c r="P69" s="24">
        <f t="shared" si="19"/>
        <v>24537.950245303498</v>
      </c>
      <c r="Q69" s="38">
        <f t="shared" si="19"/>
        <v>24012.359138828921</v>
      </c>
    </row>
    <row r="70" spans="1:17" s="2" customFormat="1">
      <c r="A70" s="131" t="s">
        <v>37</v>
      </c>
      <c r="B70" s="2" t="s">
        <v>77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24">
        <f>230000*M64</f>
        <v>32820.009067465049</v>
      </c>
      <c r="N70" s="24">
        <f t="shared" si="19"/>
        <v>31473.620218576722</v>
      </c>
      <c r="O70" s="24">
        <f t="shared" si="19"/>
        <v>31930.065416507856</v>
      </c>
      <c r="P70" s="24">
        <f t="shared" si="19"/>
        <v>32644.899897529329</v>
      </c>
      <c r="Q70" s="38">
        <f t="shared" si="19"/>
        <v>33431.996028886984</v>
      </c>
    </row>
    <row r="71" spans="1:17" s="2" customFormat="1">
      <c r="A71" s="133" t="s">
        <v>55</v>
      </c>
      <c r="B71" s="33" t="s">
        <v>77</v>
      </c>
      <c r="C71" s="54">
        <f>230000*C65</f>
        <v>11091.059679742457</v>
      </c>
      <c r="D71" s="54">
        <f t="shared" ref="D71:G71" si="20">230000*D65</f>
        <v>11360.357464886658</v>
      </c>
      <c r="E71" s="54">
        <f t="shared" si="20"/>
        <v>11823.411684967481</v>
      </c>
      <c r="F71" s="54">
        <f t="shared" si="20"/>
        <v>12289.461900430779</v>
      </c>
      <c r="G71" s="54">
        <f t="shared" si="20"/>
        <v>12905.853660469646</v>
      </c>
      <c r="H71" s="54">
        <f>230000*H65</f>
        <v>14104.358294845266</v>
      </c>
      <c r="I71" s="54">
        <f t="shared" si="19"/>
        <v>18286.974739144458</v>
      </c>
      <c r="J71" s="54">
        <f t="shared" si="19"/>
        <v>19972.176633770825</v>
      </c>
      <c r="K71" s="54">
        <f t="shared" si="19"/>
        <v>26777.440493426726</v>
      </c>
      <c r="L71" s="54">
        <f t="shared" si="19"/>
        <v>32165.757729859291</v>
      </c>
      <c r="M71" s="134"/>
      <c r="N71" s="134"/>
      <c r="O71" s="134"/>
      <c r="P71" s="134"/>
      <c r="Q71" s="135"/>
    </row>
    <row r="72" spans="1:17" s="2" customFormat="1"/>
    <row r="73" spans="1:17">
      <c r="A73" s="102" t="s">
        <v>84</v>
      </c>
      <c r="B73" s="94"/>
      <c r="C73" s="77" t="s">
        <v>7</v>
      </c>
      <c r="D73" s="77" t="s">
        <v>8</v>
      </c>
      <c r="E73" s="77" t="s">
        <v>9</v>
      </c>
      <c r="F73" s="77" t="s">
        <v>10</v>
      </c>
      <c r="G73" s="77" t="s">
        <v>11</v>
      </c>
      <c r="H73" s="77" t="s">
        <v>12</v>
      </c>
      <c r="I73" s="77" t="s">
        <v>13</v>
      </c>
      <c r="J73" s="77" t="s">
        <v>14</v>
      </c>
      <c r="K73" s="77" t="s">
        <v>15</v>
      </c>
      <c r="L73" s="78" t="s">
        <v>16</v>
      </c>
      <c r="M73" s="76" t="s">
        <v>1</v>
      </c>
      <c r="N73" s="77" t="s">
        <v>2</v>
      </c>
      <c r="O73" s="77" t="s">
        <v>3</v>
      </c>
      <c r="P73" s="77" t="s">
        <v>4</v>
      </c>
      <c r="Q73" s="78" t="s">
        <v>5</v>
      </c>
    </row>
    <row r="74" spans="1:17" s="2" customFormat="1">
      <c r="A74" s="29" t="s">
        <v>85</v>
      </c>
      <c r="B74" s="129" t="s">
        <v>67</v>
      </c>
      <c r="C74" s="25">
        <v>0.39963307781404145</v>
      </c>
      <c r="D74" s="25">
        <v>0.39963307781404145</v>
      </c>
      <c r="E74" s="25">
        <v>0.4015621406891911</v>
      </c>
      <c r="F74" s="25">
        <v>0.39739701290524082</v>
      </c>
      <c r="G74" s="25">
        <v>0.39063941592809204</v>
      </c>
      <c r="H74" s="25">
        <v>0.38622029776128225</v>
      </c>
      <c r="I74" s="25">
        <v>0.37546542587643278</v>
      </c>
      <c r="J74" s="25">
        <v>0.37910773707031825</v>
      </c>
      <c r="K74" s="25">
        <v>0.38171107009526278</v>
      </c>
      <c r="L74" s="25">
        <v>0.39792639826492754</v>
      </c>
      <c r="M74" s="25">
        <v>0.39873341444034111</v>
      </c>
      <c r="N74" s="25">
        <v>0.39983516472967862</v>
      </c>
      <c r="O74" s="25">
        <v>0.40116079096298013</v>
      </c>
      <c r="P74" s="25">
        <v>0.40262628933832595</v>
      </c>
      <c r="Q74" s="32">
        <v>0.40415018832243499</v>
      </c>
    </row>
    <row r="75" spans="1:17" s="2" customFormat="1">
      <c r="A75" s="29" t="s">
        <v>86</v>
      </c>
      <c r="B75" s="2" t="s">
        <v>24</v>
      </c>
      <c r="C75" s="24">
        <f>'Ergon Energy'!C49</f>
        <v>7.8559999999999999</v>
      </c>
      <c r="D75" s="24">
        <f>'Ergon Energy'!D49</f>
        <v>8</v>
      </c>
      <c r="E75" s="24">
        <f>'Ergon Energy'!E49</f>
        <v>18</v>
      </c>
      <c r="F75" s="24">
        <f>'Ergon Energy'!F49</f>
        <v>24</v>
      </c>
      <c r="G75" s="24">
        <f>'Ergon Energy'!G49</f>
        <v>29</v>
      </c>
      <c r="H75" s="24">
        <f>'Ergon Energy'!H49</f>
        <v>46</v>
      </c>
      <c r="I75" s="24">
        <f>'Ergon Energy'!I49</f>
        <v>61</v>
      </c>
      <c r="J75" s="24">
        <f>'Ergon Energy'!J49</f>
        <v>63</v>
      </c>
      <c r="K75" s="24">
        <f>'Ergon Energy'!K49</f>
        <v>70.5</v>
      </c>
      <c r="L75" s="24">
        <f>AVERAGE(K75,M75)</f>
        <v>71.924099999999996</v>
      </c>
      <c r="M75" s="24">
        <f>'Ergon Energy'!M63</f>
        <v>73.348199999999991</v>
      </c>
      <c r="N75" s="24">
        <f>'Ergon Energy'!N63</f>
        <v>74.815163999999996</v>
      </c>
      <c r="O75" s="24">
        <f>'Ergon Energy'!O63</f>
        <v>76.311467280000002</v>
      </c>
      <c r="P75" s="24">
        <f>'Ergon Energy'!P63</f>
        <v>77.837696625600003</v>
      </c>
      <c r="Q75" s="38">
        <f>'Ergon Energy'!Q63</f>
        <v>79.394450558111998</v>
      </c>
    </row>
    <row r="76" spans="1:17" s="2" customFormat="1">
      <c r="A76" s="29" t="s">
        <v>87</v>
      </c>
      <c r="B76" s="2" t="s">
        <v>59</v>
      </c>
      <c r="C76" s="24">
        <v>62958542.117925435</v>
      </c>
      <c r="D76" s="24">
        <v>66276684.932581514</v>
      </c>
      <c r="E76" s="24">
        <v>70581628.475468591</v>
      </c>
      <c r="F76" s="24">
        <v>76566861.851094007</v>
      </c>
      <c r="G76" s="24">
        <v>84687848.350124598</v>
      </c>
      <c r="H76" s="24">
        <v>91226417.074545443</v>
      </c>
      <c r="I76" s="24">
        <v>112348679.25845452</v>
      </c>
      <c r="J76" s="24">
        <v>122169220.60236365</v>
      </c>
      <c r="K76" s="24">
        <v>160891527.386132</v>
      </c>
      <c r="L76" s="24">
        <v>182725282.69999999</v>
      </c>
      <c r="M76" s="24">
        <v>154160421.66461626</v>
      </c>
      <c r="N76" s="24">
        <v>140189930.42510551</v>
      </c>
      <c r="O76" s="24">
        <v>135488919.38651544</v>
      </c>
      <c r="P76" s="24">
        <v>132739805.78867237</v>
      </c>
      <c r="Q76" s="38">
        <v>130050344.86422361</v>
      </c>
    </row>
    <row r="77" spans="1:17" s="2" customFormat="1">
      <c r="A77" s="29" t="s">
        <v>73</v>
      </c>
      <c r="Q77" s="39"/>
    </row>
    <row r="78" spans="1:17" s="2" customFormat="1">
      <c r="A78" s="131" t="s">
        <v>58</v>
      </c>
      <c r="B78" s="2" t="s">
        <v>72</v>
      </c>
      <c r="C78" s="130">
        <f>(C$76/C$75)/(C8*C$74*1000000/C$75)</f>
        <v>1.2006816913463007E-2</v>
      </c>
      <c r="D78" s="130">
        <f t="shared" ref="D78:G78" si="21">(D$76/D$75)/(D8*D$74*1000000/D$75)</f>
        <v>1.2307321887988601E-2</v>
      </c>
      <c r="E78" s="130">
        <f t="shared" si="21"/>
        <v>1.2700846861263045E-2</v>
      </c>
      <c r="F78" s="130">
        <f t="shared" si="21"/>
        <v>1.3556250073591116E-2</v>
      </c>
      <c r="G78" s="130">
        <f t="shared" si="21"/>
        <v>1.4852443737780678E-2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2"/>
    </row>
    <row r="79" spans="1:17" s="2" customFormat="1">
      <c r="A79" s="131" t="s">
        <v>54</v>
      </c>
      <c r="B79" s="2" t="s">
        <v>72</v>
      </c>
      <c r="C79" s="130"/>
      <c r="D79" s="130"/>
      <c r="E79" s="130"/>
      <c r="F79" s="130"/>
      <c r="G79" s="130"/>
      <c r="H79" s="130">
        <f>(H$76/H$75)/(H9*H$74*1000000/H$75)</f>
        <v>1.4882683029055963E-2</v>
      </c>
      <c r="I79" s="130">
        <f t="shared" ref="I79:L79" si="22">(I$76/I$75)/(I9*I$74*1000000/I$75)</f>
        <v>1.8189975627876828E-2</v>
      </c>
      <c r="J79" s="130">
        <f t="shared" si="22"/>
        <v>1.9097701923188836E-2</v>
      </c>
      <c r="K79" s="130">
        <f t="shared" si="22"/>
        <v>2.4178329354996999E-2</v>
      </c>
      <c r="L79" s="130">
        <f t="shared" si="22"/>
        <v>2.5671921994771772E-2</v>
      </c>
      <c r="M79" s="130"/>
      <c r="N79" s="130"/>
      <c r="O79" s="130"/>
      <c r="P79" s="130"/>
      <c r="Q79" s="132"/>
    </row>
    <row r="80" spans="1:17" s="2" customFormat="1">
      <c r="A80" s="131" t="s">
        <v>36</v>
      </c>
      <c r="B80" s="2" t="s">
        <v>72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>
        <f>(M$76/M$75)/(M10*M$74*1000000/M$75)</f>
        <v>2.6911492078013209E-2</v>
      </c>
      <c r="N80" s="130">
        <f t="shared" ref="I80:Q82" si="23">(N$76/N$75)/(N10*N$74*1000000/N$75)</f>
        <v>2.4162414907931997E-2</v>
      </c>
      <c r="O80" s="130">
        <f t="shared" si="23"/>
        <v>2.303487998698435E-2</v>
      </c>
      <c r="P80" s="130">
        <f t="shared" si="23"/>
        <v>2.2265264496171021E-2</v>
      </c>
      <c r="Q80" s="132">
        <f t="shared" si="23"/>
        <v>2.1516397237835227E-2</v>
      </c>
    </row>
    <row r="81" spans="1:17" s="2" customFormat="1">
      <c r="A81" s="131" t="s">
        <v>37</v>
      </c>
      <c r="B81" s="2" t="s">
        <v>72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>
        <f>(M$76/M$75)/(M11*M$74*1000000/M$75)</f>
        <v>3.0929115221560485E-2</v>
      </c>
      <c r="N81" s="130">
        <f t="shared" si="23"/>
        <v>2.928553497007845E-2</v>
      </c>
      <c r="O81" s="130">
        <f t="shared" si="23"/>
        <v>2.933458084873819E-2</v>
      </c>
      <c r="P81" s="130">
        <f t="shared" si="23"/>
        <v>2.9621354815838111E-2</v>
      </c>
      <c r="Q81" s="132">
        <f t="shared" si="23"/>
        <v>2.9956911057858852E-2</v>
      </c>
    </row>
    <row r="82" spans="1:17" s="2" customFormat="1">
      <c r="A82" s="131" t="s">
        <v>55</v>
      </c>
      <c r="B82" s="2" t="s">
        <v>72</v>
      </c>
      <c r="C82" s="130">
        <f>(C$76/C$75)/(C12*C$74*1000000/C$75)</f>
        <v>1.2005816835933963E-2</v>
      </c>
      <c r="D82" s="130">
        <f t="shared" ref="D82:G82" si="24">(D$76/D$75)/(D12*D$74*1000000/D$75)</f>
        <v>1.2297325490302598E-2</v>
      </c>
      <c r="E82" s="130">
        <f t="shared" si="24"/>
        <v>1.2946519018394912E-2</v>
      </c>
      <c r="F82" s="130">
        <f t="shared" si="24"/>
        <v>1.3948067367702675E-2</v>
      </c>
      <c r="G82" s="130">
        <f t="shared" si="24"/>
        <v>1.5342657313786293E-2</v>
      </c>
      <c r="H82" s="130">
        <f>(H$76/H$75)/(H12*H$74*1000000/H$75)</f>
        <v>1.6568063270343342E-2</v>
      </c>
      <c r="I82" s="130">
        <f t="shared" si="23"/>
        <v>2.2622032275165654E-2</v>
      </c>
      <c r="J82" s="130">
        <f t="shared" si="23"/>
        <v>2.3536448958390119E-2</v>
      </c>
      <c r="K82" s="130">
        <f t="shared" si="23"/>
        <v>3.0730044474360476E-2</v>
      </c>
      <c r="L82" s="130">
        <f t="shared" si="23"/>
        <v>3.2216284102787526E-2</v>
      </c>
      <c r="M82" s="130"/>
      <c r="N82" s="130"/>
      <c r="O82" s="130"/>
      <c r="P82" s="130"/>
      <c r="Q82" s="132"/>
    </row>
    <row r="83" spans="1:17" s="2" customFormat="1">
      <c r="A83" s="29" t="s">
        <v>88</v>
      </c>
      <c r="Q83" s="39"/>
    </row>
    <row r="84" spans="1:17" s="2" customFormat="1">
      <c r="A84" s="131" t="s">
        <v>58</v>
      </c>
      <c r="B84" s="2" t="s">
        <v>77</v>
      </c>
      <c r="C84" s="24">
        <f>74000000*C78</f>
        <v>888504.45159626252</v>
      </c>
      <c r="D84" s="24">
        <f t="shared" ref="D84:G84" si="25">74000000*D78</f>
        <v>910741.81971115642</v>
      </c>
      <c r="E84" s="24">
        <f t="shared" si="25"/>
        <v>939862.66773346532</v>
      </c>
      <c r="F84" s="24">
        <f t="shared" si="25"/>
        <v>1003162.5054457426</v>
      </c>
      <c r="G84" s="24">
        <f t="shared" si="25"/>
        <v>1099080.8365957702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2"/>
    </row>
    <row r="85" spans="1:17" s="2" customFormat="1">
      <c r="A85" s="131" t="s">
        <v>54</v>
      </c>
      <c r="B85" s="2" t="s">
        <v>77</v>
      </c>
      <c r="C85" s="130"/>
      <c r="D85" s="130"/>
      <c r="E85" s="130"/>
      <c r="F85" s="130"/>
      <c r="G85" s="130"/>
      <c r="H85" s="24">
        <f>74000000*H79</f>
        <v>1101318.5441501413</v>
      </c>
      <c r="I85" s="24">
        <f t="shared" ref="I85:L85" si="26">74000000*I79</f>
        <v>1346058.1964628852</v>
      </c>
      <c r="J85" s="24">
        <f t="shared" si="26"/>
        <v>1413229.9423159738</v>
      </c>
      <c r="K85" s="24">
        <f t="shared" si="26"/>
        <v>1789196.3722697778</v>
      </c>
      <c r="L85" s="24">
        <f t="shared" si="26"/>
        <v>1899722.2276131113</v>
      </c>
      <c r="M85" s="130"/>
      <c r="N85" s="130"/>
      <c r="O85" s="130"/>
      <c r="P85" s="130"/>
      <c r="Q85" s="132"/>
    </row>
    <row r="86" spans="1:17" s="2" customFormat="1">
      <c r="A86" s="131" t="s">
        <v>44</v>
      </c>
      <c r="B86" s="2" t="s">
        <v>77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24">
        <f>74000000*M80</f>
        <v>1991450.4137729774</v>
      </c>
      <c r="N86" s="24">
        <f t="shared" ref="I86:Q88" si="27">74000000*N80</f>
        <v>1788018.7031869679</v>
      </c>
      <c r="O86" s="24">
        <f t="shared" si="27"/>
        <v>1704581.1190368419</v>
      </c>
      <c r="P86" s="24">
        <f t="shared" si="27"/>
        <v>1647629.5727166554</v>
      </c>
      <c r="Q86" s="38">
        <f t="shared" si="27"/>
        <v>1592213.3955998067</v>
      </c>
    </row>
    <row r="87" spans="1:17" s="2" customFormat="1">
      <c r="A87" s="131" t="s">
        <v>37</v>
      </c>
      <c r="B87" s="2" t="s">
        <v>77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24">
        <f>74000000*M81</f>
        <v>2288754.526395476</v>
      </c>
      <c r="N87" s="24">
        <f t="shared" si="27"/>
        <v>2167129.5877858051</v>
      </c>
      <c r="O87" s="24">
        <f t="shared" si="27"/>
        <v>2170758.9828066262</v>
      </c>
      <c r="P87" s="24">
        <f t="shared" si="27"/>
        <v>2191980.2563720201</v>
      </c>
      <c r="Q87" s="38">
        <f t="shared" si="27"/>
        <v>2216811.4182815552</v>
      </c>
    </row>
    <row r="88" spans="1:17" s="2" customFormat="1">
      <c r="A88" s="133" t="s">
        <v>55</v>
      </c>
      <c r="B88" s="33" t="s">
        <v>77</v>
      </c>
      <c r="C88" s="54">
        <f>74000000*C82</f>
        <v>888430.44585911324</v>
      </c>
      <c r="D88" s="54">
        <f t="shared" ref="D88:G88" si="28">74000000*D82</f>
        <v>910002.08628239227</v>
      </c>
      <c r="E88" s="54">
        <f t="shared" si="28"/>
        <v>958042.40736122348</v>
      </c>
      <c r="F88" s="54">
        <f t="shared" si="28"/>
        <v>1032156.985209998</v>
      </c>
      <c r="G88" s="54">
        <f t="shared" si="28"/>
        <v>1135356.6412201857</v>
      </c>
      <c r="H88" s="54">
        <f>74000000*H82</f>
        <v>1226036.6820054073</v>
      </c>
      <c r="I88" s="54">
        <f t="shared" si="27"/>
        <v>1674030.3883622584</v>
      </c>
      <c r="J88" s="54">
        <f t="shared" si="27"/>
        <v>1741697.2229208688</v>
      </c>
      <c r="K88" s="54">
        <f t="shared" si="27"/>
        <v>2274023.2911026753</v>
      </c>
      <c r="L88" s="54">
        <f t="shared" si="27"/>
        <v>2384005.0236062771</v>
      </c>
      <c r="M88" s="134"/>
      <c r="N88" s="134"/>
      <c r="O88" s="134"/>
      <c r="P88" s="134"/>
      <c r="Q88" s="135"/>
    </row>
  </sheetData>
  <mergeCells count="2">
    <mergeCell ref="C21:L21"/>
    <mergeCell ref="M21:Q2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Energex</vt:lpstr>
      <vt:lpstr>Ergon Energy</vt:lpstr>
      <vt:lpstr>Forecasting errors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Pavetto</dc:creator>
  <cp:lastModifiedBy>Jonathan Pavetto</cp:lastModifiedBy>
  <dcterms:created xsi:type="dcterms:W3CDTF">2015-06-28T02:12:16Z</dcterms:created>
  <dcterms:modified xsi:type="dcterms:W3CDTF">2015-06-30T10:02:16Z</dcterms:modified>
</cp:coreProperties>
</file>