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605" yWindow="1320" windowWidth="18405" windowHeight="11580"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6" r:id="rId7"/>
  </sheets>
  <externalReferences>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H178" i="1" l="1"/>
  <c r="I178" i="1"/>
  <c r="J178" i="1"/>
  <c r="K178" i="1"/>
  <c r="L178" i="1"/>
  <c r="M178"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G438" i="18"/>
  <c r="G7" i="7941"/>
  <c r="G366" i="7942"/>
  <c r="G470" i="18"/>
  <c r="G39" i="7941"/>
  <c r="G398" i="7942"/>
  <c r="G502" i="18"/>
  <c r="G71" i="7941"/>
  <c r="G430" i="7942"/>
  <c r="G534" i="18"/>
  <c r="G103" i="7941"/>
  <c r="G462" i="7942"/>
  <c r="G566" i="18"/>
  <c r="G135" i="7941"/>
  <c r="G494" i="7942"/>
  <c r="G598" i="18"/>
  <c r="G167" i="7941"/>
  <c r="H7" i="7941"/>
  <c r="H143" i="1"/>
  <c r="H183" i="1"/>
  <c r="H184" i="1"/>
  <c r="H12" i="18"/>
  <c r="H7" i="18"/>
  <c r="H470" i="18"/>
  <c r="H39" i="7941"/>
  <c r="G334" i="7942"/>
  <c r="H334" i="7942"/>
  <c r="H44" i="18"/>
  <c r="H56" i="18"/>
  <c r="H632" i="18"/>
  <c r="H438" i="18"/>
  <c r="H6" i="18"/>
  <c r="H666" i="18"/>
  <c r="H502" i="18"/>
  <c r="H71" i="7941"/>
  <c r="I7" i="7941"/>
  <c r="I143" i="1"/>
  <c r="I183" i="1"/>
  <c r="I184" i="1"/>
  <c r="I12" i="18"/>
  <c r="I7" i="18"/>
  <c r="I470" i="18"/>
  <c r="I39" i="7941"/>
  <c r="I44" i="18"/>
  <c r="I46" i="18"/>
  <c r="I56" i="18"/>
  <c r="I632" i="18"/>
  <c r="I438" i="18"/>
  <c r="I6" i="18"/>
  <c r="I666" i="18"/>
  <c r="I502" i="18"/>
  <c r="I71" i="7941"/>
  <c r="J7" i="7941"/>
  <c r="J143" i="1"/>
  <c r="J183" i="1"/>
  <c r="J184" i="1"/>
  <c r="J12" i="18"/>
  <c r="J7" i="18"/>
  <c r="J470" i="18"/>
  <c r="J39" i="7941"/>
  <c r="J44" i="18"/>
  <c r="J46" i="18"/>
  <c r="J47" i="18"/>
  <c r="J56" i="18"/>
  <c r="J632" i="18"/>
  <c r="J438" i="18"/>
  <c r="J6" i="18"/>
  <c r="J666" i="18"/>
  <c r="J502" i="18"/>
  <c r="J71" i="7941"/>
  <c r="K7" i="7941"/>
  <c r="K143" i="1"/>
  <c r="K183" i="1"/>
  <c r="K184" i="1"/>
  <c r="K12" i="18"/>
  <c r="K7" i="18"/>
  <c r="K470" i="18"/>
  <c r="K39" i="7941"/>
  <c r="K44" i="18"/>
  <c r="K46" i="18"/>
  <c r="K47" i="18"/>
  <c r="K48" i="18"/>
  <c r="K56" i="18"/>
  <c r="K632" i="18"/>
  <c r="K438" i="18"/>
  <c r="K6" i="18"/>
  <c r="K666" i="18"/>
  <c r="K502" i="18"/>
  <c r="K71" i="7941"/>
  <c r="L7" i="7941"/>
  <c r="L143" i="1"/>
  <c r="L183" i="1"/>
  <c r="L184" i="1"/>
  <c r="L12" i="18"/>
  <c r="L7" i="18"/>
  <c r="L470" i="18"/>
  <c r="L39" i="7941"/>
  <c r="L44" i="18"/>
  <c r="L46" i="18"/>
  <c r="L47" i="18"/>
  <c r="L48" i="18"/>
  <c r="L49" i="18"/>
  <c r="L56" i="18"/>
  <c r="L632" i="18"/>
  <c r="L438" i="18"/>
  <c r="L6" i="18"/>
  <c r="L666" i="18"/>
  <c r="L502" i="18"/>
  <c r="L71" i="7941"/>
  <c r="L199" i="7941"/>
  <c r="H144" i="1"/>
  <c r="H13" i="18"/>
  <c r="H471" i="18"/>
  <c r="H40" i="7941"/>
  <c r="H57" i="18"/>
  <c r="H69" i="18"/>
  <c r="H633" i="18"/>
  <c r="G367" i="7942"/>
  <c r="G471" i="18"/>
  <c r="G399" i="7942"/>
  <c r="G503" i="18"/>
  <c r="G439" i="18"/>
  <c r="G431" i="7942"/>
  <c r="G535" i="18"/>
  <c r="G463" i="7942"/>
  <c r="G567" i="18"/>
  <c r="G495" i="7942"/>
  <c r="G599" i="18"/>
  <c r="H439" i="18"/>
  <c r="H667" i="18"/>
  <c r="H503" i="18"/>
  <c r="H72" i="7941"/>
  <c r="G40" i="7941"/>
  <c r="G72" i="7941"/>
  <c r="G8" i="7941"/>
  <c r="G104" i="7941"/>
  <c r="G136" i="7941"/>
  <c r="G168" i="7941"/>
  <c r="H8" i="7941"/>
  <c r="I8" i="7941"/>
  <c r="I144" i="1"/>
  <c r="I13" i="18"/>
  <c r="I471" i="18"/>
  <c r="I40" i="7941"/>
  <c r="I57" i="18"/>
  <c r="I59" i="18"/>
  <c r="I69" i="18"/>
  <c r="I633" i="18"/>
  <c r="I439" i="18"/>
  <c r="I667" i="18"/>
  <c r="I503" i="18"/>
  <c r="I72" i="7941"/>
  <c r="J8" i="7941"/>
  <c r="J144" i="1"/>
  <c r="J13" i="18"/>
  <c r="J471" i="18"/>
  <c r="J40" i="7941"/>
  <c r="J57" i="18"/>
  <c r="J59" i="18"/>
  <c r="J60" i="18"/>
  <c r="J69" i="18"/>
  <c r="J633" i="18"/>
  <c r="J439" i="18"/>
  <c r="J667" i="18"/>
  <c r="J503" i="18"/>
  <c r="J72" i="7941"/>
  <c r="K8" i="7941"/>
  <c r="K144" i="1"/>
  <c r="K13" i="18"/>
  <c r="K471" i="18"/>
  <c r="K40" i="7941"/>
  <c r="K57" i="18"/>
  <c r="K59" i="18"/>
  <c r="K60" i="18"/>
  <c r="K61" i="18"/>
  <c r="K69" i="18"/>
  <c r="K633" i="18"/>
  <c r="K439" i="18"/>
  <c r="K667" i="18"/>
  <c r="K503" i="18"/>
  <c r="K72" i="7941"/>
  <c r="L8" i="7941"/>
  <c r="L144" i="1"/>
  <c r="L13" i="18"/>
  <c r="L471" i="18"/>
  <c r="L40" i="7941"/>
  <c r="L57" i="18"/>
  <c r="L59" i="18"/>
  <c r="L60" i="18"/>
  <c r="L61" i="18"/>
  <c r="L62" i="18"/>
  <c r="L69" i="18"/>
  <c r="L633" i="18"/>
  <c r="L439" i="18"/>
  <c r="L667" i="18"/>
  <c r="L503" i="18"/>
  <c r="L72" i="7941"/>
  <c r="L200" i="7941"/>
  <c r="H145" i="1"/>
  <c r="H14" i="18"/>
  <c r="H472" i="18"/>
  <c r="H41" i="7941"/>
  <c r="H70" i="18"/>
  <c r="H82" i="18"/>
  <c r="H634" i="18"/>
  <c r="G368" i="7942"/>
  <c r="G472" i="18"/>
  <c r="G400" i="7942"/>
  <c r="G504" i="18"/>
  <c r="G440" i="18"/>
  <c r="G432" i="7942"/>
  <c r="G536" i="18"/>
  <c r="G464" i="7942"/>
  <c r="G568" i="18"/>
  <c r="G496" i="7942"/>
  <c r="G600" i="18"/>
  <c r="H440" i="18"/>
  <c r="H668" i="18"/>
  <c r="H504" i="18"/>
  <c r="H73" i="7941"/>
  <c r="G41" i="7941"/>
  <c r="G73" i="7941"/>
  <c r="G9" i="7941"/>
  <c r="G105" i="7941"/>
  <c r="G137" i="7941"/>
  <c r="G169" i="7941"/>
  <c r="H9" i="7941"/>
  <c r="I9" i="7941"/>
  <c r="I145" i="1"/>
  <c r="I14" i="18"/>
  <c r="I472" i="18"/>
  <c r="I41" i="7941"/>
  <c r="I70" i="18"/>
  <c r="I72" i="18"/>
  <c r="I82" i="18"/>
  <c r="I634" i="18"/>
  <c r="I440" i="18"/>
  <c r="I668" i="18"/>
  <c r="I504" i="18"/>
  <c r="I73" i="7941"/>
  <c r="J9" i="7941"/>
  <c r="J145" i="1"/>
  <c r="J14" i="18"/>
  <c r="J472" i="18"/>
  <c r="J41" i="7941"/>
  <c r="J70" i="18"/>
  <c r="J72" i="18"/>
  <c r="J73" i="18"/>
  <c r="J82" i="18"/>
  <c r="J634" i="18"/>
  <c r="J440" i="18"/>
  <c r="J668" i="18"/>
  <c r="J504" i="18"/>
  <c r="J73" i="7941"/>
  <c r="K9" i="7941"/>
  <c r="K145" i="1"/>
  <c r="K14" i="18"/>
  <c r="K472" i="18"/>
  <c r="K41" i="7941"/>
  <c r="K70" i="18"/>
  <c r="K72" i="18"/>
  <c r="K73" i="18"/>
  <c r="K74" i="18"/>
  <c r="K82" i="18"/>
  <c r="K634" i="18"/>
  <c r="K440" i="18"/>
  <c r="K668" i="18"/>
  <c r="K504" i="18"/>
  <c r="K73" i="7941"/>
  <c r="L9" i="7941"/>
  <c r="L145" i="1"/>
  <c r="L14" i="18"/>
  <c r="L472" i="18"/>
  <c r="L41" i="7941"/>
  <c r="L70" i="18"/>
  <c r="L72" i="18"/>
  <c r="L73" i="18"/>
  <c r="L74" i="18"/>
  <c r="L75" i="18"/>
  <c r="L82" i="18"/>
  <c r="L634" i="18"/>
  <c r="L440" i="18"/>
  <c r="L668" i="18"/>
  <c r="L504" i="18"/>
  <c r="L73" i="7941"/>
  <c r="L201" i="7941"/>
  <c r="H146" i="1"/>
  <c r="H15" i="18"/>
  <c r="H473" i="18"/>
  <c r="H42" i="7941"/>
  <c r="H83" i="18"/>
  <c r="H95" i="18"/>
  <c r="H635" i="18"/>
  <c r="G369" i="7942"/>
  <c r="G473" i="18"/>
  <c r="G401" i="7942"/>
  <c r="G505" i="18"/>
  <c r="G441" i="18"/>
  <c r="G433" i="7942"/>
  <c r="G537" i="18"/>
  <c r="G465" i="7942"/>
  <c r="G569" i="18"/>
  <c r="G497" i="7942"/>
  <c r="G601" i="18"/>
  <c r="H441" i="18"/>
  <c r="H669" i="18"/>
  <c r="H505" i="18"/>
  <c r="H74" i="7941"/>
  <c r="G42" i="7941"/>
  <c r="G74" i="7941"/>
  <c r="G10" i="7941"/>
  <c r="G106" i="7941"/>
  <c r="G138" i="7941"/>
  <c r="G170" i="7941"/>
  <c r="H10" i="7941"/>
  <c r="I10" i="7941"/>
  <c r="I146" i="1"/>
  <c r="I15" i="18"/>
  <c r="I473" i="18"/>
  <c r="I42" i="7941"/>
  <c r="I83" i="18"/>
  <c r="I85" i="18"/>
  <c r="I95" i="18"/>
  <c r="I635" i="18"/>
  <c r="I441" i="18"/>
  <c r="I669" i="18"/>
  <c r="I505" i="18"/>
  <c r="I74" i="7941"/>
  <c r="J10" i="7941"/>
  <c r="J146" i="1"/>
  <c r="J15" i="18"/>
  <c r="J473" i="18"/>
  <c r="J42" i="7941"/>
  <c r="J83" i="18"/>
  <c r="J85" i="18"/>
  <c r="J86" i="18"/>
  <c r="J95" i="18"/>
  <c r="J635" i="18"/>
  <c r="J441" i="18"/>
  <c r="J669" i="18"/>
  <c r="J505" i="18"/>
  <c r="J74" i="7941"/>
  <c r="K10" i="7941"/>
  <c r="K146" i="1"/>
  <c r="K15" i="18"/>
  <c r="K473" i="18"/>
  <c r="K42" i="7941"/>
  <c r="K83" i="18"/>
  <c r="K85" i="18"/>
  <c r="K86" i="18"/>
  <c r="K87" i="18"/>
  <c r="K95" i="18"/>
  <c r="K635" i="18"/>
  <c r="K441" i="18"/>
  <c r="K669" i="18"/>
  <c r="K505" i="18"/>
  <c r="K74" i="7941"/>
  <c r="L10" i="7941"/>
  <c r="L146" i="1"/>
  <c r="L15" i="18"/>
  <c r="L473" i="18"/>
  <c r="L42" i="7941"/>
  <c r="L83" i="18"/>
  <c r="L85" i="18"/>
  <c r="L86" i="18"/>
  <c r="L87" i="18"/>
  <c r="L88" i="18"/>
  <c r="L95" i="18"/>
  <c r="L635" i="18"/>
  <c r="L441" i="18"/>
  <c r="L669" i="18"/>
  <c r="L505" i="18"/>
  <c r="L74" i="7941"/>
  <c r="L202" i="7941"/>
  <c r="H147" i="1"/>
  <c r="H16" i="18"/>
  <c r="H474" i="18"/>
  <c r="H43" i="7941"/>
  <c r="H96" i="18"/>
  <c r="H108" i="18"/>
  <c r="H636" i="18"/>
  <c r="G370" i="7942"/>
  <c r="G474" i="18"/>
  <c r="G402" i="7942"/>
  <c r="G506" i="18"/>
  <c r="G442" i="18"/>
  <c r="G434" i="7942"/>
  <c r="G538" i="18"/>
  <c r="G466" i="7942"/>
  <c r="G570" i="18"/>
  <c r="G498" i="7942"/>
  <c r="G602" i="18"/>
  <c r="H442" i="18"/>
  <c r="H670" i="18"/>
  <c r="H506" i="18"/>
  <c r="H75" i="7941"/>
  <c r="G43" i="7941"/>
  <c r="G75" i="7941"/>
  <c r="G11" i="7941"/>
  <c r="G107" i="7941"/>
  <c r="G139" i="7941"/>
  <c r="G171" i="7941"/>
  <c r="H11" i="7941"/>
  <c r="I11" i="7941"/>
  <c r="I147" i="1"/>
  <c r="I16" i="18"/>
  <c r="I474" i="18"/>
  <c r="I43" i="7941"/>
  <c r="I96" i="18"/>
  <c r="I98" i="18"/>
  <c r="I108" i="18"/>
  <c r="I636" i="18"/>
  <c r="I442" i="18"/>
  <c r="I670" i="18"/>
  <c r="I506" i="18"/>
  <c r="I75" i="7941"/>
  <c r="J11" i="7941"/>
  <c r="J147" i="1"/>
  <c r="J16" i="18"/>
  <c r="J474" i="18"/>
  <c r="J43" i="7941"/>
  <c r="J96" i="18"/>
  <c r="J98" i="18"/>
  <c r="J99" i="18"/>
  <c r="J108" i="18"/>
  <c r="J636" i="18"/>
  <c r="J442" i="18"/>
  <c r="J670" i="18"/>
  <c r="J506" i="18"/>
  <c r="J75" i="7941"/>
  <c r="K11" i="7941"/>
  <c r="K147" i="1"/>
  <c r="K16" i="18"/>
  <c r="K474" i="18"/>
  <c r="K43" i="7941"/>
  <c r="K96" i="18"/>
  <c r="K98" i="18"/>
  <c r="K99" i="18"/>
  <c r="K100" i="18"/>
  <c r="K108" i="18"/>
  <c r="K636" i="18"/>
  <c r="K442" i="18"/>
  <c r="K670" i="18"/>
  <c r="K506" i="18"/>
  <c r="K75" i="7941"/>
  <c r="L11" i="7941"/>
  <c r="L147" i="1"/>
  <c r="L16" i="18"/>
  <c r="L474" i="18"/>
  <c r="L43" i="7941"/>
  <c r="L96" i="18"/>
  <c r="L98" i="18"/>
  <c r="L99" i="18"/>
  <c r="L100" i="18"/>
  <c r="L101" i="18"/>
  <c r="L108" i="18"/>
  <c r="L636" i="18"/>
  <c r="L442" i="18"/>
  <c r="L670" i="18"/>
  <c r="L506" i="18"/>
  <c r="L75" i="7941"/>
  <c r="L203" i="7941"/>
  <c r="H148" i="1"/>
  <c r="H17" i="18"/>
  <c r="H475" i="18"/>
  <c r="H44" i="7941"/>
  <c r="H109" i="18"/>
  <c r="H121" i="18"/>
  <c r="H637" i="18"/>
  <c r="G371" i="7942"/>
  <c r="G475" i="18"/>
  <c r="G403" i="7942"/>
  <c r="G507" i="18"/>
  <c r="G443" i="18"/>
  <c r="G435" i="7942"/>
  <c r="G539" i="18"/>
  <c r="G467" i="7942"/>
  <c r="G571" i="18"/>
  <c r="G499" i="7942"/>
  <c r="G603" i="18"/>
  <c r="H443" i="18"/>
  <c r="H671" i="18"/>
  <c r="H507" i="18"/>
  <c r="H76" i="7941"/>
  <c r="G44" i="7941"/>
  <c r="G76" i="7941"/>
  <c r="G12" i="7941"/>
  <c r="G108" i="7941"/>
  <c r="G140" i="7941"/>
  <c r="G172" i="7941"/>
  <c r="H12" i="7941"/>
  <c r="I12" i="7941"/>
  <c r="I148" i="1"/>
  <c r="I17" i="18"/>
  <c r="I475" i="18"/>
  <c r="I44" i="7941"/>
  <c r="I109" i="18"/>
  <c r="I111" i="18"/>
  <c r="I121" i="18"/>
  <c r="I637" i="18"/>
  <c r="I443" i="18"/>
  <c r="I671" i="18"/>
  <c r="I507" i="18"/>
  <c r="I76" i="7941"/>
  <c r="J12" i="7941"/>
  <c r="J148" i="1"/>
  <c r="J17" i="18"/>
  <c r="J475" i="18"/>
  <c r="J44" i="7941"/>
  <c r="J109" i="18"/>
  <c r="J111" i="18"/>
  <c r="J112" i="18"/>
  <c r="J121" i="18"/>
  <c r="J637" i="18"/>
  <c r="J443" i="18"/>
  <c r="J671" i="18"/>
  <c r="J507" i="18"/>
  <c r="J76" i="7941"/>
  <c r="K12" i="7941"/>
  <c r="K148" i="1"/>
  <c r="K17" i="18"/>
  <c r="K475" i="18"/>
  <c r="K44" i="7941"/>
  <c r="K109" i="18"/>
  <c r="K111" i="18"/>
  <c r="K112" i="18"/>
  <c r="K113" i="18"/>
  <c r="K121" i="18"/>
  <c r="K637" i="18"/>
  <c r="K443" i="18"/>
  <c r="K671" i="18"/>
  <c r="K507" i="18"/>
  <c r="K76" i="7941"/>
  <c r="L12" i="7941"/>
  <c r="L148" i="1"/>
  <c r="L17" i="18"/>
  <c r="L475" i="18"/>
  <c r="L44" i="7941"/>
  <c r="L109" i="18"/>
  <c r="L111" i="18"/>
  <c r="L112" i="18"/>
  <c r="L113" i="18"/>
  <c r="L114" i="18"/>
  <c r="L121" i="18"/>
  <c r="L637" i="18"/>
  <c r="L443" i="18"/>
  <c r="L671" i="18"/>
  <c r="L507" i="18"/>
  <c r="L76" i="7941"/>
  <c r="L204" i="7941"/>
  <c r="H149" i="1"/>
  <c r="H18" i="18"/>
  <c r="H476" i="18"/>
  <c r="H45" i="7941"/>
  <c r="H122" i="18"/>
  <c r="H134" i="18"/>
  <c r="H638" i="18"/>
  <c r="G372" i="7942"/>
  <c r="G476" i="18"/>
  <c r="G404" i="7942"/>
  <c r="G508" i="18"/>
  <c r="G444" i="18"/>
  <c r="G436" i="7942"/>
  <c r="G540" i="18"/>
  <c r="G468" i="7942"/>
  <c r="G572" i="18"/>
  <c r="G500" i="7942"/>
  <c r="G604" i="18"/>
  <c r="H444" i="18"/>
  <c r="H672" i="18"/>
  <c r="H508" i="18"/>
  <c r="H77" i="7941"/>
  <c r="G45" i="7941"/>
  <c r="G77" i="7941"/>
  <c r="G13" i="7941"/>
  <c r="G109" i="7941"/>
  <c r="G141" i="7941"/>
  <c r="G173" i="7941"/>
  <c r="H13" i="7941"/>
  <c r="I13" i="7941"/>
  <c r="I149" i="1"/>
  <c r="I18" i="18"/>
  <c r="I476" i="18"/>
  <c r="I45" i="7941"/>
  <c r="I122" i="18"/>
  <c r="I124" i="18"/>
  <c r="I134" i="18"/>
  <c r="I638" i="18"/>
  <c r="I444" i="18"/>
  <c r="I672" i="18"/>
  <c r="I508" i="18"/>
  <c r="I77" i="7941"/>
  <c r="J13" i="7941"/>
  <c r="J149" i="1"/>
  <c r="J18" i="18"/>
  <c r="J476" i="18"/>
  <c r="J45" i="7941"/>
  <c r="J122" i="18"/>
  <c r="J124" i="18"/>
  <c r="J125" i="18"/>
  <c r="J134" i="18"/>
  <c r="J638" i="18"/>
  <c r="J444" i="18"/>
  <c r="J672" i="18"/>
  <c r="J508" i="18"/>
  <c r="J77" i="7941"/>
  <c r="K13" i="7941"/>
  <c r="K149" i="1"/>
  <c r="K18" i="18"/>
  <c r="K476" i="18"/>
  <c r="K45" i="7941"/>
  <c r="K122" i="18"/>
  <c r="K124" i="18"/>
  <c r="K125" i="18"/>
  <c r="K126" i="18"/>
  <c r="K134" i="18"/>
  <c r="K638" i="18"/>
  <c r="K444" i="18"/>
  <c r="K672" i="18"/>
  <c r="K508" i="18"/>
  <c r="K77" i="7941"/>
  <c r="L13" i="7941"/>
  <c r="L149" i="1"/>
  <c r="L18" i="18"/>
  <c r="L476" i="18"/>
  <c r="L45" i="7941"/>
  <c r="L122" i="18"/>
  <c r="L124" i="18"/>
  <c r="L125" i="18"/>
  <c r="L126" i="18"/>
  <c r="L127" i="18"/>
  <c r="L134" i="18"/>
  <c r="L638" i="18"/>
  <c r="L444" i="18"/>
  <c r="L672" i="18"/>
  <c r="L508" i="18"/>
  <c r="L77" i="7941"/>
  <c r="L205" i="7941"/>
  <c r="H150" i="1"/>
  <c r="H19" i="18"/>
  <c r="H477" i="18"/>
  <c r="H46" i="7941"/>
  <c r="H135" i="18"/>
  <c r="H147" i="18"/>
  <c r="H639" i="18"/>
  <c r="G373" i="7942"/>
  <c r="G477" i="18"/>
  <c r="G405" i="7942"/>
  <c r="G509" i="18"/>
  <c r="G445" i="18"/>
  <c r="G437" i="7942"/>
  <c r="G541" i="18"/>
  <c r="G469" i="7942"/>
  <c r="G573" i="18"/>
  <c r="G501" i="7942"/>
  <c r="G605" i="18"/>
  <c r="H445" i="18"/>
  <c r="H673" i="18"/>
  <c r="H509" i="18"/>
  <c r="H78" i="7941"/>
  <c r="G46" i="7941"/>
  <c r="G78" i="7941"/>
  <c r="G14" i="7941"/>
  <c r="G110" i="7941"/>
  <c r="G142" i="7941"/>
  <c r="G174" i="7941"/>
  <c r="H14" i="7941"/>
  <c r="I14" i="7941"/>
  <c r="I150" i="1"/>
  <c r="I19" i="18"/>
  <c r="I477" i="18"/>
  <c r="I46" i="7941"/>
  <c r="I135" i="18"/>
  <c r="I137" i="18"/>
  <c r="I147" i="18"/>
  <c r="I639" i="18"/>
  <c r="I445" i="18"/>
  <c r="I673" i="18"/>
  <c r="I509" i="18"/>
  <c r="I78" i="7941"/>
  <c r="J14" i="7941"/>
  <c r="J150" i="1"/>
  <c r="J19" i="18"/>
  <c r="J477" i="18"/>
  <c r="J46" i="7941"/>
  <c r="J135" i="18"/>
  <c r="J137" i="18"/>
  <c r="J138" i="18"/>
  <c r="J147" i="18"/>
  <c r="J639" i="18"/>
  <c r="J445" i="18"/>
  <c r="J673" i="18"/>
  <c r="J509" i="18"/>
  <c r="J78" i="7941"/>
  <c r="K14" i="7941"/>
  <c r="K150" i="1"/>
  <c r="K19" i="18"/>
  <c r="K477" i="18"/>
  <c r="K46" i="7941"/>
  <c r="K135" i="18"/>
  <c r="K137" i="18"/>
  <c r="K138" i="18"/>
  <c r="K139" i="18"/>
  <c r="K147" i="18"/>
  <c r="K639" i="18"/>
  <c r="K445" i="18"/>
  <c r="K673" i="18"/>
  <c r="K509" i="18"/>
  <c r="K78" i="7941"/>
  <c r="L14" i="7941"/>
  <c r="L150" i="1"/>
  <c r="L19" i="18"/>
  <c r="L477" i="18"/>
  <c r="L46" i="7941"/>
  <c r="L135" i="18"/>
  <c r="L137" i="18"/>
  <c r="L138" i="18"/>
  <c r="L139" i="18"/>
  <c r="L140" i="18"/>
  <c r="L147" i="18"/>
  <c r="L639" i="18"/>
  <c r="L445" i="18"/>
  <c r="L673" i="18"/>
  <c r="L509" i="18"/>
  <c r="L78" i="7941"/>
  <c r="L206" i="7941"/>
  <c r="H151" i="1"/>
  <c r="H20" i="18"/>
  <c r="H478" i="18"/>
  <c r="H47" i="7941"/>
  <c r="H148" i="18"/>
  <c r="H160" i="18"/>
  <c r="H640" i="18"/>
  <c r="G374" i="7942"/>
  <c r="G478" i="18"/>
  <c r="G406" i="7942"/>
  <c r="G510" i="18"/>
  <c r="G446" i="18"/>
  <c r="G438" i="7942"/>
  <c r="G542" i="18"/>
  <c r="G470" i="7942"/>
  <c r="G574" i="18"/>
  <c r="G502" i="7942"/>
  <c r="G606" i="18"/>
  <c r="H446" i="18"/>
  <c r="H674" i="18"/>
  <c r="H510" i="18"/>
  <c r="H79" i="7941"/>
  <c r="G47" i="7941"/>
  <c r="G79" i="7941"/>
  <c r="G15" i="7941"/>
  <c r="G111" i="7941"/>
  <c r="G143" i="7941"/>
  <c r="G175" i="7941"/>
  <c r="H15" i="7941"/>
  <c r="I15" i="7941"/>
  <c r="I151" i="1"/>
  <c r="I20" i="18"/>
  <c r="I478" i="18"/>
  <c r="I47" i="7941"/>
  <c r="I148" i="18"/>
  <c r="I150" i="18"/>
  <c r="I160" i="18"/>
  <c r="I640" i="18"/>
  <c r="I446" i="18"/>
  <c r="I674" i="18"/>
  <c r="I510" i="18"/>
  <c r="I79" i="7941"/>
  <c r="J15" i="7941"/>
  <c r="J151" i="1"/>
  <c r="J20" i="18"/>
  <c r="J478" i="18"/>
  <c r="J47" i="7941"/>
  <c r="J148" i="18"/>
  <c r="J150" i="18"/>
  <c r="J151" i="18"/>
  <c r="J160" i="18"/>
  <c r="J640" i="18"/>
  <c r="J446" i="18"/>
  <c r="J674" i="18"/>
  <c r="J510" i="18"/>
  <c r="J79" i="7941"/>
  <c r="K15" i="7941"/>
  <c r="K151" i="1"/>
  <c r="K20" i="18"/>
  <c r="K478" i="18"/>
  <c r="K47" i="7941"/>
  <c r="K148" i="18"/>
  <c r="K150" i="18"/>
  <c r="K151" i="18"/>
  <c r="K152" i="18"/>
  <c r="K160" i="18"/>
  <c r="K640" i="18"/>
  <c r="K446" i="18"/>
  <c r="K674" i="18"/>
  <c r="K510" i="18"/>
  <c r="K79" i="7941"/>
  <c r="L15" i="7941"/>
  <c r="L151" i="1"/>
  <c r="L20" i="18"/>
  <c r="L478" i="18"/>
  <c r="L47" i="7941"/>
  <c r="L148" i="18"/>
  <c r="L150" i="18"/>
  <c r="L151" i="18"/>
  <c r="L152" i="18"/>
  <c r="L153" i="18"/>
  <c r="L160" i="18"/>
  <c r="L640" i="18"/>
  <c r="L446" i="18"/>
  <c r="L674" i="18"/>
  <c r="L510" i="18"/>
  <c r="L79" i="7941"/>
  <c r="L207" i="7941"/>
  <c r="H152" i="1"/>
  <c r="H21" i="18"/>
  <c r="H479" i="18"/>
  <c r="H48" i="7941"/>
  <c r="H161" i="18"/>
  <c r="H173" i="18"/>
  <c r="H641" i="18"/>
  <c r="G375" i="7942"/>
  <c r="G479" i="18"/>
  <c r="G407" i="7942"/>
  <c r="G511" i="18"/>
  <c r="G447" i="18"/>
  <c r="G439" i="7942"/>
  <c r="G543" i="18"/>
  <c r="G471" i="7942"/>
  <c r="G575" i="18"/>
  <c r="G503" i="7942"/>
  <c r="G607" i="18"/>
  <c r="H447" i="18"/>
  <c r="H675" i="18"/>
  <c r="H511" i="18"/>
  <c r="H80" i="7941"/>
  <c r="G48" i="7941"/>
  <c r="G80" i="7941"/>
  <c r="G16" i="7941"/>
  <c r="G112" i="7941"/>
  <c r="G144" i="7941"/>
  <c r="G176" i="7941"/>
  <c r="H16" i="7941"/>
  <c r="I16" i="7941"/>
  <c r="I152" i="1"/>
  <c r="I21" i="18"/>
  <c r="I479" i="18"/>
  <c r="I48" i="7941"/>
  <c r="I161" i="18"/>
  <c r="I163" i="18"/>
  <c r="I173" i="18"/>
  <c r="I641" i="18"/>
  <c r="I447" i="18"/>
  <c r="I675" i="18"/>
  <c r="I511" i="18"/>
  <c r="I80" i="7941"/>
  <c r="J16" i="7941"/>
  <c r="J152" i="1"/>
  <c r="J21" i="18"/>
  <c r="J479" i="18"/>
  <c r="J48" i="7941"/>
  <c r="J161" i="18"/>
  <c r="J163" i="18"/>
  <c r="J164" i="18"/>
  <c r="J173" i="18"/>
  <c r="J641" i="18"/>
  <c r="J447" i="18"/>
  <c r="J675" i="18"/>
  <c r="J511" i="18"/>
  <c r="J80" i="7941"/>
  <c r="K16" i="7941"/>
  <c r="K152" i="1"/>
  <c r="K21" i="18"/>
  <c r="K479" i="18"/>
  <c r="K48" i="7941"/>
  <c r="K161" i="18"/>
  <c r="K163" i="18"/>
  <c r="K164" i="18"/>
  <c r="K165" i="18"/>
  <c r="K173" i="18"/>
  <c r="K641" i="18"/>
  <c r="K447" i="18"/>
  <c r="K675" i="18"/>
  <c r="K511" i="18"/>
  <c r="K80" i="7941"/>
  <c r="L16" i="7941"/>
  <c r="L152" i="1"/>
  <c r="L21" i="18"/>
  <c r="L479" i="18"/>
  <c r="L48" i="7941"/>
  <c r="L161" i="18"/>
  <c r="L163" i="18"/>
  <c r="L164" i="18"/>
  <c r="L165" i="18"/>
  <c r="L166" i="18"/>
  <c r="L173" i="18"/>
  <c r="L641" i="18"/>
  <c r="L447" i="18"/>
  <c r="L675" i="18"/>
  <c r="L511" i="18"/>
  <c r="L80" i="7941"/>
  <c r="L208" i="7941"/>
  <c r="H153" i="1"/>
  <c r="H22" i="18"/>
  <c r="H480" i="18"/>
  <c r="H49" i="7941"/>
  <c r="H174" i="18"/>
  <c r="H186" i="18"/>
  <c r="H642" i="18"/>
  <c r="G376" i="7942"/>
  <c r="G480" i="18"/>
  <c r="G408" i="7942"/>
  <c r="G512" i="18"/>
  <c r="G448" i="18"/>
  <c r="G440" i="7942"/>
  <c r="G544" i="18"/>
  <c r="G472" i="7942"/>
  <c r="G576" i="18"/>
  <c r="G504" i="7942"/>
  <c r="G608" i="18"/>
  <c r="H448" i="18"/>
  <c r="H676" i="18"/>
  <c r="H512" i="18"/>
  <c r="H81" i="7941"/>
  <c r="G49" i="7941"/>
  <c r="G81" i="7941"/>
  <c r="G17" i="7941"/>
  <c r="G113" i="7941"/>
  <c r="G145" i="7941"/>
  <c r="G177" i="7941"/>
  <c r="H17" i="7941"/>
  <c r="I17" i="7941"/>
  <c r="I153" i="1"/>
  <c r="I22" i="18"/>
  <c r="I480" i="18"/>
  <c r="I49" i="7941"/>
  <c r="I174" i="18"/>
  <c r="I176" i="18"/>
  <c r="I186" i="18"/>
  <c r="I642" i="18"/>
  <c r="I448" i="18"/>
  <c r="I676" i="18"/>
  <c r="I512" i="18"/>
  <c r="I81" i="7941"/>
  <c r="J17" i="7941"/>
  <c r="J153" i="1"/>
  <c r="J22" i="18"/>
  <c r="J480" i="18"/>
  <c r="J49" i="7941"/>
  <c r="J174" i="18"/>
  <c r="J176" i="18"/>
  <c r="J177" i="18"/>
  <c r="J186" i="18"/>
  <c r="J642" i="18"/>
  <c r="J448" i="18"/>
  <c r="J676" i="18"/>
  <c r="J512" i="18"/>
  <c r="J81" i="7941"/>
  <c r="K17" i="7941"/>
  <c r="K153" i="1"/>
  <c r="K22" i="18"/>
  <c r="K480" i="18"/>
  <c r="K49" i="7941"/>
  <c r="K174" i="18"/>
  <c r="K176" i="18"/>
  <c r="K177" i="18"/>
  <c r="K178" i="18"/>
  <c r="K186" i="18"/>
  <c r="K642" i="18"/>
  <c r="K448" i="18"/>
  <c r="K676" i="18"/>
  <c r="K512" i="18"/>
  <c r="K81" i="7941"/>
  <c r="L17" i="7941"/>
  <c r="L153" i="1"/>
  <c r="L22" i="18"/>
  <c r="L480" i="18"/>
  <c r="L49" i="7941"/>
  <c r="L174" i="18"/>
  <c r="L176" i="18"/>
  <c r="L177" i="18"/>
  <c r="L178" i="18"/>
  <c r="L179" i="18"/>
  <c r="L186" i="18"/>
  <c r="L642" i="18"/>
  <c r="L448" i="18"/>
  <c r="L676" i="18"/>
  <c r="L512" i="18"/>
  <c r="L81" i="7941"/>
  <c r="L209" i="7941"/>
  <c r="H154" i="1"/>
  <c r="H23" i="18"/>
  <c r="H481" i="18"/>
  <c r="H50" i="7941"/>
  <c r="H187" i="18"/>
  <c r="H199" i="18"/>
  <c r="H643" i="18"/>
  <c r="G377" i="7942"/>
  <c r="G481" i="18"/>
  <c r="G409" i="7942"/>
  <c r="G513" i="18"/>
  <c r="G449" i="18"/>
  <c r="G441" i="7942"/>
  <c r="G545" i="18"/>
  <c r="G473" i="7942"/>
  <c r="G577" i="18"/>
  <c r="G505" i="7942"/>
  <c r="G609" i="18"/>
  <c r="H449" i="18"/>
  <c r="H677" i="18"/>
  <c r="H513" i="18"/>
  <c r="H82" i="7941"/>
  <c r="G50" i="7941"/>
  <c r="G82" i="7941"/>
  <c r="G18" i="7941"/>
  <c r="G114" i="7941"/>
  <c r="G146" i="7941"/>
  <c r="G178" i="7941"/>
  <c r="H18" i="7941"/>
  <c r="I18" i="7941"/>
  <c r="I154" i="1"/>
  <c r="I23" i="18"/>
  <c r="I481" i="18"/>
  <c r="I50" i="7941"/>
  <c r="I187" i="18"/>
  <c r="I189" i="18"/>
  <c r="I199" i="18"/>
  <c r="I643" i="18"/>
  <c r="I449" i="18"/>
  <c r="I677" i="18"/>
  <c r="I513" i="18"/>
  <c r="I82" i="7941"/>
  <c r="J18" i="7941"/>
  <c r="J154" i="1"/>
  <c r="J23" i="18"/>
  <c r="J481" i="18"/>
  <c r="J50" i="7941"/>
  <c r="J187" i="18"/>
  <c r="J189" i="18"/>
  <c r="J190" i="18"/>
  <c r="J199" i="18"/>
  <c r="J643" i="18"/>
  <c r="J449" i="18"/>
  <c r="J677" i="18"/>
  <c r="J513" i="18"/>
  <c r="J82" i="7941"/>
  <c r="K18" i="7941"/>
  <c r="K154" i="1"/>
  <c r="K23" i="18"/>
  <c r="K481" i="18"/>
  <c r="K50" i="7941"/>
  <c r="K187" i="18"/>
  <c r="K189" i="18"/>
  <c r="K190" i="18"/>
  <c r="K191" i="18"/>
  <c r="K199" i="18"/>
  <c r="K643" i="18"/>
  <c r="K449" i="18"/>
  <c r="K677" i="18"/>
  <c r="K513" i="18"/>
  <c r="K82" i="7941"/>
  <c r="L18" i="7941"/>
  <c r="L154" i="1"/>
  <c r="L23" i="18"/>
  <c r="L481" i="18"/>
  <c r="L50" i="7941"/>
  <c r="L187" i="18"/>
  <c r="L189" i="18"/>
  <c r="L190" i="18"/>
  <c r="L191" i="18"/>
  <c r="L192" i="18"/>
  <c r="L199" i="18"/>
  <c r="L643" i="18"/>
  <c r="L449" i="18"/>
  <c r="L677" i="18"/>
  <c r="L513" i="18"/>
  <c r="L82" i="7941"/>
  <c r="L210" i="7941"/>
  <c r="H155" i="1"/>
  <c r="H24" i="18"/>
  <c r="H482" i="18"/>
  <c r="H51" i="7941"/>
  <c r="H200" i="18"/>
  <c r="H212" i="18"/>
  <c r="H644" i="18"/>
  <c r="G378" i="7942"/>
  <c r="G482" i="18"/>
  <c r="G410" i="7942"/>
  <c r="G514" i="18"/>
  <c r="G450" i="18"/>
  <c r="G442" i="7942"/>
  <c r="G546" i="18"/>
  <c r="G474" i="7942"/>
  <c r="G578" i="18"/>
  <c r="G506" i="7942"/>
  <c r="G610" i="18"/>
  <c r="H450" i="18"/>
  <c r="H678" i="18"/>
  <c r="H514" i="18"/>
  <c r="H83" i="7941"/>
  <c r="G51" i="7941"/>
  <c r="G83" i="7941"/>
  <c r="G19" i="7941"/>
  <c r="G115" i="7941"/>
  <c r="G147" i="7941"/>
  <c r="G179" i="7941"/>
  <c r="H19" i="7941"/>
  <c r="I19" i="7941"/>
  <c r="I155" i="1"/>
  <c r="I24" i="18"/>
  <c r="I482" i="18"/>
  <c r="I51" i="7941"/>
  <c r="I200" i="18"/>
  <c r="I202" i="18"/>
  <c r="I212" i="18"/>
  <c r="I644" i="18"/>
  <c r="I450" i="18"/>
  <c r="I678" i="18"/>
  <c r="I514" i="18"/>
  <c r="I83" i="7941"/>
  <c r="J19" i="7941"/>
  <c r="J155" i="1"/>
  <c r="J24" i="18"/>
  <c r="J482" i="18"/>
  <c r="J51" i="7941"/>
  <c r="J200" i="18"/>
  <c r="J202" i="18"/>
  <c r="J203" i="18"/>
  <c r="J212" i="18"/>
  <c r="J644" i="18"/>
  <c r="J450" i="18"/>
  <c r="J678" i="18"/>
  <c r="J514" i="18"/>
  <c r="J83" i="7941"/>
  <c r="K19" i="7941"/>
  <c r="K155" i="1"/>
  <c r="K24" i="18"/>
  <c r="K482" i="18"/>
  <c r="K51" i="7941"/>
  <c r="K200" i="18"/>
  <c r="K202" i="18"/>
  <c r="K203" i="18"/>
  <c r="K204" i="18"/>
  <c r="K212" i="18"/>
  <c r="K644" i="18"/>
  <c r="K450" i="18"/>
  <c r="K678" i="18"/>
  <c r="K514" i="18"/>
  <c r="K83" i="7941"/>
  <c r="L19" i="7941"/>
  <c r="L155" i="1"/>
  <c r="L24" i="18"/>
  <c r="L482" i="18"/>
  <c r="L51" i="7941"/>
  <c r="L200" i="18"/>
  <c r="L202" i="18"/>
  <c r="L203" i="18"/>
  <c r="L204" i="18"/>
  <c r="L205" i="18"/>
  <c r="L212" i="18"/>
  <c r="L644" i="18"/>
  <c r="L450" i="18"/>
  <c r="L678" i="18"/>
  <c r="L514" i="18"/>
  <c r="L83" i="7941"/>
  <c r="L211" i="7941"/>
  <c r="H156" i="1"/>
  <c r="H25" i="18"/>
  <c r="H483" i="18"/>
  <c r="H52" i="7941"/>
  <c r="H213" i="18"/>
  <c r="H225" i="18"/>
  <c r="H645" i="18"/>
  <c r="G379" i="7942"/>
  <c r="G483" i="18"/>
  <c r="G411" i="7942"/>
  <c r="G515" i="18"/>
  <c r="G451" i="18"/>
  <c r="G443" i="7942"/>
  <c r="G547" i="18"/>
  <c r="G475" i="7942"/>
  <c r="G579" i="18"/>
  <c r="G507" i="7942"/>
  <c r="G611" i="18"/>
  <c r="H451" i="18"/>
  <c r="H679" i="18"/>
  <c r="H515" i="18"/>
  <c r="H84" i="7941"/>
  <c r="G52" i="7941"/>
  <c r="G84" i="7941"/>
  <c r="G20" i="7941"/>
  <c r="G116" i="7941"/>
  <c r="G148" i="7941"/>
  <c r="G180" i="7941"/>
  <c r="H20" i="7941"/>
  <c r="I20" i="7941"/>
  <c r="I156" i="1"/>
  <c r="I25" i="18"/>
  <c r="I483" i="18"/>
  <c r="I52" i="7941"/>
  <c r="I213" i="18"/>
  <c r="I215" i="18"/>
  <c r="I225" i="18"/>
  <c r="I645" i="18"/>
  <c r="I451" i="18"/>
  <c r="I679" i="18"/>
  <c r="I515" i="18"/>
  <c r="I84" i="7941"/>
  <c r="J20" i="7941"/>
  <c r="J156" i="1"/>
  <c r="J25" i="18"/>
  <c r="J483" i="18"/>
  <c r="J52" i="7941"/>
  <c r="J213" i="18"/>
  <c r="J215" i="18"/>
  <c r="J216" i="18"/>
  <c r="J225" i="18"/>
  <c r="J645" i="18"/>
  <c r="J451" i="18"/>
  <c r="J679" i="18"/>
  <c r="J515" i="18"/>
  <c r="J84" i="7941"/>
  <c r="K20" i="7941"/>
  <c r="K156" i="1"/>
  <c r="K25" i="18"/>
  <c r="K483" i="18"/>
  <c r="K52" i="7941"/>
  <c r="K213" i="18"/>
  <c r="K215" i="18"/>
  <c r="K216" i="18"/>
  <c r="K217" i="18"/>
  <c r="K225" i="18"/>
  <c r="K645" i="18"/>
  <c r="K451" i="18"/>
  <c r="K679" i="18"/>
  <c r="K515" i="18"/>
  <c r="K84" i="7941"/>
  <c r="L20" i="7941"/>
  <c r="L156" i="1"/>
  <c r="L25" i="18"/>
  <c r="L483" i="18"/>
  <c r="L52" i="7941"/>
  <c r="L213" i="18"/>
  <c r="L215" i="18"/>
  <c r="L216" i="18"/>
  <c r="L217" i="18"/>
  <c r="L218" i="18"/>
  <c r="L225" i="18"/>
  <c r="L645" i="18"/>
  <c r="L451" i="18"/>
  <c r="L679" i="18"/>
  <c r="L515" i="18"/>
  <c r="L84" i="7941"/>
  <c r="L212" i="7941"/>
  <c r="H157" i="1"/>
  <c r="H26" i="18"/>
  <c r="H484" i="18"/>
  <c r="H53" i="7941"/>
  <c r="H226" i="18"/>
  <c r="H238" i="18"/>
  <c r="H646" i="18"/>
  <c r="G380" i="7942"/>
  <c r="G484" i="18"/>
  <c r="G412" i="7942"/>
  <c r="G516" i="18"/>
  <c r="G452" i="18"/>
  <c r="G444" i="7942"/>
  <c r="G548" i="18"/>
  <c r="G476" i="7942"/>
  <c r="G580" i="18"/>
  <c r="G508" i="7942"/>
  <c r="G612" i="18"/>
  <c r="H452" i="18"/>
  <c r="H680" i="18"/>
  <c r="H516" i="18"/>
  <c r="H85" i="7941"/>
  <c r="G53" i="7941"/>
  <c r="G85" i="7941"/>
  <c r="G21" i="7941"/>
  <c r="G117" i="7941"/>
  <c r="G149" i="7941"/>
  <c r="G181" i="7941"/>
  <c r="H21" i="7941"/>
  <c r="I21" i="7941"/>
  <c r="I157" i="1"/>
  <c r="I26" i="18"/>
  <c r="I484" i="18"/>
  <c r="I53" i="7941"/>
  <c r="I226" i="18"/>
  <c r="I228" i="18"/>
  <c r="I238" i="18"/>
  <c r="I646" i="18"/>
  <c r="I452" i="18"/>
  <c r="I680" i="18"/>
  <c r="I516" i="18"/>
  <c r="I85" i="7941"/>
  <c r="J21" i="7941"/>
  <c r="J157" i="1"/>
  <c r="J26" i="18"/>
  <c r="J484" i="18"/>
  <c r="J53" i="7941"/>
  <c r="J226" i="18"/>
  <c r="J228" i="18"/>
  <c r="J229" i="18"/>
  <c r="J238" i="18"/>
  <c r="J646" i="18"/>
  <c r="J452" i="18"/>
  <c r="J680" i="18"/>
  <c r="J516" i="18"/>
  <c r="J85" i="7941"/>
  <c r="K21" i="7941"/>
  <c r="K157" i="1"/>
  <c r="K26" i="18"/>
  <c r="K484" i="18"/>
  <c r="K53" i="7941"/>
  <c r="K226" i="18"/>
  <c r="K228" i="18"/>
  <c r="K229" i="18"/>
  <c r="K230" i="18"/>
  <c r="K238" i="18"/>
  <c r="K646" i="18"/>
  <c r="K452" i="18"/>
  <c r="K680" i="18"/>
  <c r="K516" i="18"/>
  <c r="K85" i="7941"/>
  <c r="L21" i="7941"/>
  <c r="L157" i="1"/>
  <c r="L26" i="18"/>
  <c r="L484" i="18"/>
  <c r="L53" i="7941"/>
  <c r="L226" i="18"/>
  <c r="L228" i="18"/>
  <c r="L229" i="18"/>
  <c r="L230" i="18"/>
  <c r="L231" i="18"/>
  <c r="L238" i="18"/>
  <c r="L646" i="18"/>
  <c r="L452" i="18"/>
  <c r="L680" i="18"/>
  <c r="L516" i="18"/>
  <c r="L85" i="7941"/>
  <c r="L213" i="7941"/>
  <c r="H158" i="1"/>
  <c r="H27" i="18"/>
  <c r="H485" i="18"/>
  <c r="H54" i="7941"/>
  <c r="H239" i="18"/>
  <c r="H251" i="18"/>
  <c r="H647" i="18"/>
  <c r="G381" i="7942"/>
  <c r="G485" i="18"/>
  <c r="G413" i="7942"/>
  <c r="G517" i="18"/>
  <c r="G453" i="18"/>
  <c r="G445" i="7942"/>
  <c r="G549" i="18"/>
  <c r="G477" i="7942"/>
  <c r="G581" i="18"/>
  <c r="G509" i="7942"/>
  <c r="G613" i="18"/>
  <c r="H453" i="18"/>
  <c r="H681" i="18"/>
  <c r="H517" i="18"/>
  <c r="H86" i="7941"/>
  <c r="G54" i="7941"/>
  <c r="G86" i="7941"/>
  <c r="G22" i="7941"/>
  <c r="G118" i="7941"/>
  <c r="G150" i="7941"/>
  <c r="G182" i="7941"/>
  <c r="H22" i="7941"/>
  <c r="I22" i="7941"/>
  <c r="I158" i="1"/>
  <c r="I27" i="18"/>
  <c r="I485" i="18"/>
  <c r="I54" i="7941"/>
  <c r="I239" i="18"/>
  <c r="I241" i="18"/>
  <c r="I251" i="18"/>
  <c r="I647" i="18"/>
  <c r="I453" i="18"/>
  <c r="I681" i="18"/>
  <c r="I517" i="18"/>
  <c r="I86" i="7941"/>
  <c r="J22" i="7941"/>
  <c r="J158" i="1"/>
  <c r="J27" i="18"/>
  <c r="J485" i="18"/>
  <c r="J54" i="7941"/>
  <c r="J239" i="18"/>
  <c r="J241" i="18"/>
  <c r="J242" i="18"/>
  <c r="J251" i="18"/>
  <c r="J647" i="18"/>
  <c r="J453" i="18"/>
  <c r="J681" i="18"/>
  <c r="J517" i="18"/>
  <c r="J86" i="7941"/>
  <c r="K22" i="7941"/>
  <c r="K158" i="1"/>
  <c r="K27" i="18"/>
  <c r="K485" i="18"/>
  <c r="K54" i="7941"/>
  <c r="K239" i="18"/>
  <c r="K241" i="18"/>
  <c r="K242" i="18"/>
  <c r="K243" i="18"/>
  <c r="K251" i="18"/>
  <c r="K647" i="18"/>
  <c r="K453" i="18"/>
  <c r="K681" i="18"/>
  <c r="K517" i="18"/>
  <c r="K86" i="7941"/>
  <c r="L22" i="7941"/>
  <c r="L158" i="1"/>
  <c r="L27" i="18"/>
  <c r="L485" i="18"/>
  <c r="L54" i="7941"/>
  <c r="L239" i="18"/>
  <c r="L241" i="18"/>
  <c r="L242" i="18"/>
  <c r="L243" i="18"/>
  <c r="L244" i="18"/>
  <c r="L251" i="18"/>
  <c r="L647" i="18"/>
  <c r="L453" i="18"/>
  <c r="L681" i="18"/>
  <c r="L517" i="18"/>
  <c r="L86" i="7941"/>
  <c r="L214" i="7941"/>
  <c r="H159" i="1"/>
  <c r="H28" i="18"/>
  <c r="H486" i="18"/>
  <c r="H55" i="7941"/>
  <c r="H350" i="7942"/>
  <c r="H252" i="18"/>
  <c r="H264" i="18"/>
  <c r="H648" i="18"/>
  <c r="G486" i="18"/>
  <c r="G518" i="18"/>
  <c r="H454" i="18"/>
  <c r="H682" i="18"/>
  <c r="H518" i="18"/>
  <c r="H87" i="7941"/>
  <c r="G55" i="7941"/>
  <c r="G87" i="7941"/>
  <c r="H23" i="7941"/>
  <c r="I23" i="7941"/>
  <c r="I159" i="1"/>
  <c r="I28" i="18"/>
  <c r="I486" i="18"/>
  <c r="I55" i="7941"/>
  <c r="I254" i="18"/>
  <c r="I252" i="18"/>
  <c r="I264" i="18"/>
  <c r="I648" i="18"/>
  <c r="I454" i="18"/>
  <c r="I682" i="18"/>
  <c r="I518" i="18"/>
  <c r="I87" i="7941"/>
  <c r="J23" i="7941"/>
  <c r="J159" i="1"/>
  <c r="J28" i="18"/>
  <c r="J486" i="18"/>
  <c r="J55" i="7941"/>
  <c r="J254" i="18"/>
  <c r="J255" i="18"/>
  <c r="J252" i="18"/>
  <c r="J264" i="18"/>
  <c r="J648" i="18"/>
  <c r="J454" i="18"/>
  <c r="J682" i="18"/>
  <c r="J518" i="18"/>
  <c r="J87" i="7941"/>
  <c r="K23" i="7941"/>
  <c r="K159" i="1"/>
  <c r="K28" i="18"/>
  <c r="K486" i="18"/>
  <c r="K55" i="7941"/>
  <c r="K254" i="18"/>
  <c r="K255" i="18"/>
  <c r="K256" i="18"/>
  <c r="K252" i="18"/>
  <c r="K264" i="18"/>
  <c r="K648" i="18"/>
  <c r="K454" i="18"/>
  <c r="K682" i="18"/>
  <c r="K518" i="18"/>
  <c r="K87" i="7941"/>
  <c r="L23" i="7941"/>
  <c r="L159" i="1"/>
  <c r="L28" i="18"/>
  <c r="L486" i="18"/>
  <c r="L55" i="7941"/>
  <c r="L254" i="18"/>
  <c r="L255" i="18"/>
  <c r="L256" i="18"/>
  <c r="L257" i="18"/>
  <c r="L252" i="18"/>
  <c r="L264" i="18"/>
  <c r="L648" i="18"/>
  <c r="L454" i="18"/>
  <c r="L682" i="18"/>
  <c r="L518" i="18"/>
  <c r="L87" i="7941"/>
  <c r="L215" i="7941"/>
  <c r="H160" i="1"/>
  <c r="H29" i="18"/>
  <c r="H487" i="18"/>
  <c r="H56" i="7941"/>
  <c r="H351" i="7942"/>
  <c r="H265" i="18"/>
  <c r="H277" i="18"/>
  <c r="H649" i="18"/>
  <c r="G487" i="18"/>
  <c r="G519" i="18"/>
  <c r="H455" i="18"/>
  <c r="H683" i="18"/>
  <c r="H519" i="18"/>
  <c r="H88" i="7941"/>
  <c r="G56" i="7941"/>
  <c r="G88" i="7941"/>
  <c r="H24" i="7941"/>
  <c r="I24" i="7941"/>
  <c r="I160" i="1"/>
  <c r="I29" i="18"/>
  <c r="I487" i="18"/>
  <c r="I56" i="7941"/>
  <c r="I267" i="18"/>
  <c r="I265" i="18"/>
  <c r="I277" i="18"/>
  <c r="I649" i="18"/>
  <c r="I455" i="18"/>
  <c r="I683" i="18"/>
  <c r="I519" i="18"/>
  <c r="I88" i="7941"/>
  <c r="J24" i="7941"/>
  <c r="J160" i="1"/>
  <c r="J29" i="18"/>
  <c r="J487" i="18"/>
  <c r="J56" i="7941"/>
  <c r="J267" i="18"/>
  <c r="J268" i="18"/>
  <c r="J265" i="18"/>
  <c r="J277" i="18"/>
  <c r="J649" i="18"/>
  <c r="J455" i="18"/>
  <c r="J683" i="18"/>
  <c r="J519" i="18"/>
  <c r="J88" i="7941"/>
  <c r="K24" i="7941"/>
  <c r="K160" i="1"/>
  <c r="K29" i="18"/>
  <c r="K487" i="18"/>
  <c r="K56" i="7941"/>
  <c r="K267" i="18"/>
  <c r="K268" i="18"/>
  <c r="K269" i="18"/>
  <c r="K265" i="18"/>
  <c r="K277" i="18"/>
  <c r="K649" i="18"/>
  <c r="K455" i="18"/>
  <c r="K683" i="18"/>
  <c r="K519" i="18"/>
  <c r="K88" i="7941"/>
  <c r="L24" i="7941"/>
  <c r="L160" i="1"/>
  <c r="L29" i="18"/>
  <c r="L487" i="18"/>
  <c r="L56" i="7941"/>
  <c r="L267" i="18"/>
  <c r="L268" i="18"/>
  <c r="L269" i="18"/>
  <c r="L270" i="18"/>
  <c r="L265" i="18"/>
  <c r="L277" i="18"/>
  <c r="L649" i="18"/>
  <c r="L455" i="18"/>
  <c r="L683" i="18"/>
  <c r="L519" i="18"/>
  <c r="L88" i="7941"/>
  <c r="L216" i="7941"/>
  <c r="H161" i="1"/>
  <c r="H30" i="18"/>
  <c r="H488" i="18"/>
  <c r="H57" i="7941"/>
  <c r="H352" i="7942"/>
  <c r="H278" i="18"/>
  <c r="H290" i="18"/>
  <c r="H650" i="18"/>
  <c r="G488" i="18"/>
  <c r="G520" i="18"/>
  <c r="H456" i="18"/>
  <c r="H684" i="18"/>
  <c r="H520" i="18"/>
  <c r="H89" i="7941"/>
  <c r="G57" i="7941"/>
  <c r="G89" i="7941"/>
  <c r="H25" i="7941"/>
  <c r="I25" i="7941"/>
  <c r="I161" i="1"/>
  <c r="I30" i="18"/>
  <c r="I488" i="18"/>
  <c r="I57" i="7941"/>
  <c r="I280" i="18"/>
  <c r="I278" i="18"/>
  <c r="I290" i="18"/>
  <c r="I650" i="18"/>
  <c r="I456" i="18"/>
  <c r="I684" i="18"/>
  <c r="I520" i="18"/>
  <c r="I89" i="7941"/>
  <c r="J25" i="7941"/>
  <c r="J161" i="1"/>
  <c r="J30" i="18"/>
  <c r="J488" i="18"/>
  <c r="J57" i="7941"/>
  <c r="J280" i="18"/>
  <c r="J281" i="18"/>
  <c r="J278" i="18"/>
  <c r="J290" i="18"/>
  <c r="J650" i="18"/>
  <c r="J456" i="18"/>
  <c r="J684" i="18"/>
  <c r="J520" i="18"/>
  <c r="J89" i="7941"/>
  <c r="K25" i="7941"/>
  <c r="K161" i="1"/>
  <c r="K30" i="18"/>
  <c r="K488" i="18"/>
  <c r="K57" i="7941"/>
  <c r="K280" i="18"/>
  <c r="K281" i="18"/>
  <c r="K282" i="18"/>
  <c r="K278" i="18"/>
  <c r="K290" i="18"/>
  <c r="K650" i="18"/>
  <c r="K456" i="18"/>
  <c r="K684" i="18"/>
  <c r="K520" i="18"/>
  <c r="K89" i="7941"/>
  <c r="L25" i="7941"/>
  <c r="L161" i="1"/>
  <c r="L30" i="18"/>
  <c r="L488" i="18"/>
  <c r="L57" i="7941"/>
  <c r="L280" i="18"/>
  <c r="L281" i="18"/>
  <c r="L282" i="18"/>
  <c r="L283" i="18"/>
  <c r="L278" i="18"/>
  <c r="L290" i="18"/>
  <c r="L650" i="18"/>
  <c r="L456" i="18"/>
  <c r="L684" i="18"/>
  <c r="L520" i="18"/>
  <c r="L89" i="7941"/>
  <c r="L217" i="7941"/>
  <c r="H162" i="1"/>
  <c r="H31" i="18"/>
  <c r="H489" i="18"/>
  <c r="H58" i="7941"/>
  <c r="H353" i="7942"/>
  <c r="H291" i="18"/>
  <c r="H303" i="18"/>
  <c r="H651" i="18"/>
  <c r="G489" i="18"/>
  <c r="G521" i="18"/>
  <c r="H457" i="18"/>
  <c r="H685" i="18"/>
  <c r="H521" i="18"/>
  <c r="H90" i="7941"/>
  <c r="G58" i="7941"/>
  <c r="G90" i="7941"/>
  <c r="H26" i="7941"/>
  <c r="I26" i="7941"/>
  <c r="I162" i="1"/>
  <c r="I31" i="18"/>
  <c r="I489" i="18"/>
  <c r="I58" i="7941"/>
  <c r="I293" i="18"/>
  <c r="I291" i="18"/>
  <c r="I303" i="18"/>
  <c r="I651" i="18"/>
  <c r="I457" i="18"/>
  <c r="I685" i="18"/>
  <c r="I521" i="18"/>
  <c r="I90" i="7941"/>
  <c r="J26" i="7941"/>
  <c r="J162" i="1"/>
  <c r="J31" i="18"/>
  <c r="J489" i="18"/>
  <c r="J58" i="7941"/>
  <c r="J293" i="18"/>
  <c r="J294" i="18"/>
  <c r="J291" i="18"/>
  <c r="J303" i="18"/>
  <c r="J651" i="18"/>
  <c r="J457" i="18"/>
  <c r="J685" i="18"/>
  <c r="J521" i="18"/>
  <c r="J90" i="7941"/>
  <c r="K26" i="7941"/>
  <c r="K162" i="1"/>
  <c r="K31" i="18"/>
  <c r="K489" i="18"/>
  <c r="K58" i="7941"/>
  <c r="K293" i="18"/>
  <c r="K294" i="18"/>
  <c r="K295" i="18"/>
  <c r="K291" i="18"/>
  <c r="K303" i="18"/>
  <c r="K651" i="18"/>
  <c r="K457" i="18"/>
  <c r="K685" i="18"/>
  <c r="K521" i="18"/>
  <c r="K90" i="7941"/>
  <c r="L26" i="7941"/>
  <c r="L162" i="1"/>
  <c r="L31" i="18"/>
  <c r="L489" i="18"/>
  <c r="L58" i="7941"/>
  <c r="L293" i="18"/>
  <c r="L294" i="18"/>
  <c r="L295" i="18"/>
  <c r="L296" i="18"/>
  <c r="L291" i="18"/>
  <c r="L303" i="18"/>
  <c r="L651" i="18"/>
  <c r="L457" i="18"/>
  <c r="L685" i="18"/>
  <c r="L521" i="18"/>
  <c r="L90" i="7941"/>
  <c r="L218" i="7941"/>
  <c r="H163" i="1"/>
  <c r="H32" i="18"/>
  <c r="H490" i="18"/>
  <c r="H59" i="7941"/>
  <c r="H354" i="7942"/>
  <c r="H304" i="18"/>
  <c r="H316" i="18"/>
  <c r="H652" i="18"/>
  <c r="G490" i="18"/>
  <c r="G522" i="18"/>
  <c r="H458" i="18"/>
  <c r="H686" i="18"/>
  <c r="H522" i="18"/>
  <c r="H91" i="7941"/>
  <c r="G59" i="7941"/>
  <c r="G91" i="7941"/>
  <c r="H27" i="7941"/>
  <c r="I27" i="7941"/>
  <c r="I163" i="1"/>
  <c r="I32" i="18"/>
  <c r="I490" i="18"/>
  <c r="I59" i="7941"/>
  <c r="I306" i="18"/>
  <c r="I304" i="18"/>
  <c r="I316" i="18"/>
  <c r="I652" i="18"/>
  <c r="I458" i="18"/>
  <c r="I686" i="18"/>
  <c r="I522" i="18"/>
  <c r="I91" i="7941"/>
  <c r="J27" i="7941"/>
  <c r="J163" i="1"/>
  <c r="J32" i="18"/>
  <c r="J490" i="18"/>
  <c r="J59" i="7941"/>
  <c r="J306" i="18"/>
  <c r="J307" i="18"/>
  <c r="J304" i="18"/>
  <c r="J316" i="18"/>
  <c r="J652" i="18"/>
  <c r="J458" i="18"/>
  <c r="J686" i="18"/>
  <c r="J522" i="18"/>
  <c r="J91" i="7941"/>
  <c r="K27" i="7941"/>
  <c r="K163" i="1"/>
  <c r="K32" i="18"/>
  <c r="K490" i="18"/>
  <c r="K59" i="7941"/>
  <c r="K306" i="18"/>
  <c r="K307" i="18"/>
  <c r="K308" i="18"/>
  <c r="K304" i="18"/>
  <c r="K316" i="18"/>
  <c r="K652" i="18"/>
  <c r="K458" i="18"/>
  <c r="K686" i="18"/>
  <c r="K522" i="18"/>
  <c r="K91" i="7941"/>
  <c r="L27" i="7941"/>
  <c r="L163" i="1"/>
  <c r="L32" i="18"/>
  <c r="L490" i="18"/>
  <c r="L59" i="7941"/>
  <c r="L306" i="18"/>
  <c r="L307" i="18"/>
  <c r="L308" i="18"/>
  <c r="L309" i="18"/>
  <c r="L304" i="18"/>
  <c r="L316" i="18"/>
  <c r="L652" i="18"/>
  <c r="L458" i="18"/>
  <c r="L686" i="18"/>
  <c r="L522" i="18"/>
  <c r="L91" i="7941"/>
  <c r="L219" i="7941"/>
  <c r="H164" i="1"/>
  <c r="H33" i="18"/>
  <c r="H491" i="18"/>
  <c r="H60" i="7941"/>
  <c r="H355" i="7942"/>
  <c r="H317" i="18"/>
  <c r="H329" i="18"/>
  <c r="H653" i="18"/>
  <c r="G491" i="18"/>
  <c r="G523" i="18"/>
  <c r="H459" i="18"/>
  <c r="H687" i="18"/>
  <c r="H523" i="18"/>
  <c r="H92" i="7941"/>
  <c r="G60" i="7941"/>
  <c r="G92" i="7941"/>
  <c r="H28" i="7941"/>
  <c r="I28" i="7941"/>
  <c r="I164" i="1"/>
  <c r="I33" i="18"/>
  <c r="I491" i="18"/>
  <c r="I60" i="7941"/>
  <c r="I319" i="18"/>
  <c r="I317" i="18"/>
  <c r="I329" i="18"/>
  <c r="I653" i="18"/>
  <c r="I459" i="18"/>
  <c r="I687" i="18"/>
  <c r="I523" i="18"/>
  <c r="I92" i="7941"/>
  <c r="J28" i="7941"/>
  <c r="J164" i="1"/>
  <c r="J33" i="18"/>
  <c r="J491" i="18"/>
  <c r="J60" i="7941"/>
  <c r="J319" i="18"/>
  <c r="J320" i="18"/>
  <c r="J317" i="18"/>
  <c r="J329" i="18"/>
  <c r="J653" i="18"/>
  <c r="J459" i="18"/>
  <c r="J687" i="18"/>
  <c r="J523" i="18"/>
  <c r="J92" i="7941"/>
  <c r="K28" i="7941"/>
  <c r="K164" i="1"/>
  <c r="K33" i="18"/>
  <c r="K491" i="18"/>
  <c r="K60" i="7941"/>
  <c r="K319" i="18"/>
  <c r="K320" i="18"/>
  <c r="K321" i="18"/>
  <c r="K317" i="18"/>
  <c r="K329" i="18"/>
  <c r="K653" i="18"/>
  <c r="K459" i="18"/>
  <c r="K687" i="18"/>
  <c r="K523" i="18"/>
  <c r="K92" i="7941"/>
  <c r="L28" i="7941"/>
  <c r="L164" i="1"/>
  <c r="L33" i="18"/>
  <c r="L491" i="18"/>
  <c r="L60" i="7941"/>
  <c r="L319" i="18"/>
  <c r="L320" i="18"/>
  <c r="L321" i="18"/>
  <c r="L322" i="18"/>
  <c r="L317" i="18"/>
  <c r="L329" i="18"/>
  <c r="L653" i="18"/>
  <c r="L459" i="18"/>
  <c r="L687" i="18"/>
  <c r="L523" i="18"/>
  <c r="L92" i="7941"/>
  <c r="L220" i="7941"/>
  <c r="H165" i="1"/>
  <c r="H34" i="18"/>
  <c r="H492" i="18"/>
  <c r="H61" i="7941"/>
  <c r="H356" i="7942"/>
  <c r="H330" i="18"/>
  <c r="H342" i="18"/>
  <c r="H654" i="18"/>
  <c r="G492" i="18"/>
  <c r="G524" i="18"/>
  <c r="H460" i="18"/>
  <c r="H688" i="18"/>
  <c r="H524" i="18"/>
  <c r="H93" i="7941"/>
  <c r="G61" i="7941"/>
  <c r="G93" i="7941"/>
  <c r="H29" i="7941"/>
  <c r="I29" i="7941"/>
  <c r="I165" i="1"/>
  <c r="I34" i="18"/>
  <c r="I492" i="18"/>
  <c r="I61" i="7941"/>
  <c r="I332" i="18"/>
  <c r="I330" i="18"/>
  <c r="I342" i="18"/>
  <c r="I654" i="18"/>
  <c r="I460" i="18"/>
  <c r="I688" i="18"/>
  <c r="I524" i="18"/>
  <c r="I93" i="7941"/>
  <c r="J29" i="7941"/>
  <c r="J165" i="1"/>
  <c r="J34" i="18"/>
  <c r="J492" i="18"/>
  <c r="J61" i="7941"/>
  <c r="J332" i="18"/>
  <c r="J333" i="18"/>
  <c r="J330" i="18"/>
  <c r="J342" i="18"/>
  <c r="J654" i="18"/>
  <c r="J460" i="18"/>
  <c r="J688" i="18"/>
  <c r="J524" i="18"/>
  <c r="J93" i="7941"/>
  <c r="K29" i="7941"/>
  <c r="K165" i="1"/>
  <c r="K34" i="18"/>
  <c r="K492" i="18"/>
  <c r="K61" i="7941"/>
  <c r="K332" i="18"/>
  <c r="K333" i="18"/>
  <c r="K334" i="18"/>
  <c r="K330" i="18"/>
  <c r="K342" i="18"/>
  <c r="K654" i="18"/>
  <c r="K460" i="18"/>
  <c r="K688" i="18"/>
  <c r="K524" i="18"/>
  <c r="K93" i="7941"/>
  <c r="L29" i="7941"/>
  <c r="L165" i="1"/>
  <c r="L34" i="18"/>
  <c r="L492" i="18"/>
  <c r="L61" i="7941"/>
  <c r="L332" i="18"/>
  <c r="L333" i="18"/>
  <c r="L334" i="18"/>
  <c r="L335" i="18"/>
  <c r="L330" i="18"/>
  <c r="L342" i="18"/>
  <c r="L654" i="18"/>
  <c r="L460" i="18"/>
  <c r="L688" i="18"/>
  <c r="L524" i="18"/>
  <c r="L93" i="7941"/>
  <c r="L221" i="7941"/>
  <c r="H166" i="1"/>
  <c r="H35" i="18"/>
  <c r="H493" i="18"/>
  <c r="H62" i="7941"/>
  <c r="H357" i="7942"/>
  <c r="H343" i="18"/>
  <c r="H355" i="18"/>
  <c r="H655" i="18"/>
  <c r="G493" i="18"/>
  <c r="G525" i="18"/>
  <c r="H461" i="18"/>
  <c r="H689" i="18"/>
  <c r="H525" i="18"/>
  <c r="H94" i="7941"/>
  <c r="G62" i="7941"/>
  <c r="G94" i="7941"/>
  <c r="H30" i="7941"/>
  <c r="I30" i="7941"/>
  <c r="I166" i="1"/>
  <c r="I35" i="18"/>
  <c r="I493" i="18"/>
  <c r="I62" i="7941"/>
  <c r="I345" i="18"/>
  <c r="I343" i="18"/>
  <c r="I355" i="18"/>
  <c r="I655" i="18"/>
  <c r="I461" i="18"/>
  <c r="I689" i="18"/>
  <c r="I525" i="18"/>
  <c r="I94" i="7941"/>
  <c r="J30" i="7941"/>
  <c r="J166" i="1"/>
  <c r="J35" i="18"/>
  <c r="J493" i="18"/>
  <c r="J62" i="7941"/>
  <c r="J345" i="18"/>
  <c r="J346" i="18"/>
  <c r="J343" i="18"/>
  <c r="J355" i="18"/>
  <c r="J655" i="18"/>
  <c r="J461" i="18"/>
  <c r="J689" i="18"/>
  <c r="J525" i="18"/>
  <c r="J94" i="7941"/>
  <c r="K30" i="7941"/>
  <c r="K166" i="1"/>
  <c r="K35" i="18"/>
  <c r="K493" i="18"/>
  <c r="K62" i="7941"/>
  <c r="K345" i="18"/>
  <c r="K346" i="18"/>
  <c r="K347" i="18"/>
  <c r="K343" i="18"/>
  <c r="K355" i="18"/>
  <c r="K655" i="18"/>
  <c r="K461" i="18"/>
  <c r="K689" i="18"/>
  <c r="K525" i="18"/>
  <c r="K94" i="7941"/>
  <c r="L30" i="7941"/>
  <c r="L166" i="1"/>
  <c r="L35" i="18"/>
  <c r="L493" i="18"/>
  <c r="L62" i="7941"/>
  <c r="L345" i="18"/>
  <c r="L346" i="18"/>
  <c r="L347" i="18"/>
  <c r="L348" i="18"/>
  <c r="L343" i="18"/>
  <c r="L355" i="18"/>
  <c r="L655" i="18"/>
  <c r="L461" i="18"/>
  <c r="L689" i="18"/>
  <c r="L525" i="18"/>
  <c r="L94" i="7941"/>
  <c r="L222" i="7941"/>
  <c r="H167" i="1"/>
  <c r="H36" i="18"/>
  <c r="H494" i="18"/>
  <c r="H63" i="7941"/>
  <c r="H358" i="7942"/>
  <c r="H356" i="18"/>
  <c r="H368" i="18"/>
  <c r="H656" i="18"/>
  <c r="G494" i="18"/>
  <c r="G526" i="18"/>
  <c r="H462" i="18"/>
  <c r="H690" i="18"/>
  <c r="H526" i="18"/>
  <c r="H95" i="7941"/>
  <c r="G63" i="7941"/>
  <c r="G95" i="7941"/>
  <c r="H31" i="7941"/>
  <c r="I31" i="7941"/>
  <c r="I167" i="1"/>
  <c r="I36" i="18"/>
  <c r="I494" i="18"/>
  <c r="I63" i="7941"/>
  <c r="I358" i="18"/>
  <c r="I356" i="18"/>
  <c r="I368" i="18"/>
  <c r="I656" i="18"/>
  <c r="I462" i="18"/>
  <c r="I690" i="18"/>
  <c r="I526" i="18"/>
  <c r="I95" i="7941"/>
  <c r="J31" i="7941"/>
  <c r="J167" i="1"/>
  <c r="J36" i="18"/>
  <c r="J494" i="18"/>
  <c r="J63" i="7941"/>
  <c r="J358" i="18"/>
  <c r="J359" i="18"/>
  <c r="J356" i="18"/>
  <c r="J368" i="18"/>
  <c r="J656" i="18"/>
  <c r="J462" i="18"/>
  <c r="J690" i="18"/>
  <c r="J526" i="18"/>
  <c r="J95" i="7941"/>
  <c r="K31" i="7941"/>
  <c r="K167" i="1"/>
  <c r="K36" i="18"/>
  <c r="K494" i="18"/>
  <c r="K63" i="7941"/>
  <c r="K358" i="18"/>
  <c r="K359" i="18"/>
  <c r="K360" i="18"/>
  <c r="K356" i="18"/>
  <c r="K368" i="18"/>
  <c r="K656" i="18"/>
  <c r="K462" i="18"/>
  <c r="K690" i="18"/>
  <c r="K526" i="18"/>
  <c r="K95" i="7941"/>
  <c r="L31" i="7941"/>
  <c r="L167" i="1"/>
  <c r="L36" i="18"/>
  <c r="L494" i="18"/>
  <c r="L63" i="7941"/>
  <c r="L358" i="18"/>
  <c r="L359" i="18"/>
  <c r="L360" i="18"/>
  <c r="L361" i="18"/>
  <c r="L356" i="18"/>
  <c r="L368" i="18"/>
  <c r="L656" i="18"/>
  <c r="L462" i="18"/>
  <c r="L690" i="18"/>
  <c r="L526" i="18"/>
  <c r="L95" i="7941"/>
  <c r="L223" i="7941"/>
  <c r="H168" i="1"/>
  <c r="H37" i="18"/>
  <c r="H495" i="18"/>
  <c r="H64" i="7941"/>
  <c r="H359" i="7942"/>
  <c r="H369" i="18"/>
  <c r="H381" i="18"/>
  <c r="H657" i="18"/>
  <c r="G495" i="18"/>
  <c r="G527" i="18"/>
  <c r="H463" i="18"/>
  <c r="H691" i="18"/>
  <c r="H527" i="18"/>
  <c r="H96" i="7941"/>
  <c r="G64" i="7941"/>
  <c r="G96" i="7941"/>
  <c r="H32" i="7941"/>
  <c r="I32" i="7941"/>
  <c r="I168" i="1"/>
  <c r="I37" i="18"/>
  <c r="I495" i="18"/>
  <c r="I64" i="7941"/>
  <c r="I371" i="18"/>
  <c r="I369" i="18"/>
  <c r="I381" i="18"/>
  <c r="I657" i="18"/>
  <c r="I463" i="18"/>
  <c r="I691" i="18"/>
  <c r="I527" i="18"/>
  <c r="I96" i="7941"/>
  <c r="J32" i="7941"/>
  <c r="J168" i="1"/>
  <c r="J37" i="18"/>
  <c r="J495" i="18"/>
  <c r="J64" i="7941"/>
  <c r="J371" i="18"/>
  <c r="J372" i="18"/>
  <c r="J369" i="18"/>
  <c r="J381" i="18"/>
  <c r="J657" i="18"/>
  <c r="J463" i="18"/>
  <c r="J691" i="18"/>
  <c r="J527" i="18"/>
  <c r="J96" i="7941"/>
  <c r="K32" i="7941"/>
  <c r="K168" i="1"/>
  <c r="K37" i="18"/>
  <c r="K495" i="18"/>
  <c r="K64" i="7941"/>
  <c r="K371" i="18"/>
  <c r="K372" i="18"/>
  <c r="K373" i="18"/>
  <c r="K369" i="18"/>
  <c r="K381" i="18"/>
  <c r="K657" i="18"/>
  <c r="K463" i="18"/>
  <c r="K691" i="18"/>
  <c r="K527" i="18"/>
  <c r="K96" i="7941"/>
  <c r="L32" i="7941"/>
  <c r="L168" i="1"/>
  <c r="L37" i="18"/>
  <c r="L495" i="18"/>
  <c r="L64" i="7941"/>
  <c r="L371" i="18"/>
  <c r="L372" i="18"/>
  <c r="L373" i="18"/>
  <c r="L374" i="18"/>
  <c r="L369" i="18"/>
  <c r="L381" i="18"/>
  <c r="L657" i="18"/>
  <c r="L463" i="18"/>
  <c r="L691" i="18"/>
  <c r="L527" i="18"/>
  <c r="L96" i="7941"/>
  <c r="L224" i="7941"/>
  <c r="H169" i="1"/>
  <c r="H38" i="18"/>
  <c r="H496" i="18"/>
  <c r="H65" i="7941"/>
  <c r="H360" i="7942"/>
  <c r="H382" i="18"/>
  <c r="H394" i="18"/>
  <c r="H658" i="18"/>
  <c r="G496" i="18"/>
  <c r="G528" i="18"/>
  <c r="H464" i="18"/>
  <c r="H692" i="18"/>
  <c r="H528" i="18"/>
  <c r="H97" i="7941"/>
  <c r="G65" i="7941"/>
  <c r="G97" i="7941"/>
  <c r="H33" i="7941"/>
  <c r="I33" i="7941"/>
  <c r="I169" i="1"/>
  <c r="I38" i="18"/>
  <c r="I496" i="18"/>
  <c r="I65" i="7941"/>
  <c r="I384" i="18"/>
  <c r="I382" i="18"/>
  <c r="I394" i="18"/>
  <c r="I658" i="18"/>
  <c r="I464" i="18"/>
  <c r="I692" i="18"/>
  <c r="I528" i="18"/>
  <c r="I97" i="7941"/>
  <c r="J33" i="7941"/>
  <c r="J169" i="1"/>
  <c r="J38" i="18"/>
  <c r="J496" i="18"/>
  <c r="J65" i="7941"/>
  <c r="J384" i="18"/>
  <c r="J385" i="18"/>
  <c r="J382" i="18"/>
  <c r="J394" i="18"/>
  <c r="J658" i="18"/>
  <c r="J464" i="18"/>
  <c r="J692" i="18"/>
  <c r="J528" i="18"/>
  <c r="J97" i="7941"/>
  <c r="K33" i="7941"/>
  <c r="K169" i="1"/>
  <c r="K38" i="18"/>
  <c r="K496" i="18"/>
  <c r="K65" i="7941"/>
  <c r="K384" i="18"/>
  <c r="K385" i="18"/>
  <c r="K386" i="18"/>
  <c r="K382" i="18"/>
  <c r="K394" i="18"/>
  <c r="K658" i="18"/>
  <c r="K464" i="18"/>
  <c r="K692" i="18"/>
  <c r="K528" i="18"/>
  <c r="K97" i="7941"/>
  <c r="L33" i="7941"/>
  <c r="L169" i="1"/>
  <c r="L38" i="18"/>
  <c r="L496" i="18"/>
  <c r="L65" i="7941"/>
  <c r="L384" i="18"/>
  <c r="L385" i="18"/>
  <c r="L386" i="18"/>
  <c r="L387" i="18"/>
  <c r="L382" i="18"/>
  <c r="L394" i="18"/>
  <c r="L658" i="18"/>
  <c r="L464" i="18"/>
  <c r="L692" i="18"/>
  <c r="L528" i="18"/>
  <c r="L97" i="7941"/>
  <c r="L225" i="7941"/>
  <c r="H170" i="1"/>
  <c r="H39" i="18"/>
  <c r="H497" i="18"/>
  <c r="H66" i="7941"/>
  <c r="H361" i="7942"/>
  <c r="H395" i="18"/>
  <c r="H407" i="18"/>
  <c r="H659" i="18"/>
  <c r="G497" i="18"/>
  <c r="G529" i="18"/>
  <c r="H465" i="18"/>
  <c r="H693" i="18"/>
  <c r="H529" i="18"/>
  <c r="H98" i="7941"/>
  <c r="G66" i="7941"/>
  <c r="G98" i="7941"/>
  <c r="H34" i="7941"/>
  <c r="I34" i="7941"/>
  <c r="I170" i="1"/>
  <c r="I39" i="18"/>
  <c r="I497" i="18"/>
  <c r="I66" i="7941"/>
  <c r="I397" i="18"/>
  <c r="I395" i="18"/>
  <c r="I407" i="18"/>
  <c r="I659" i="18"/>
  <c r="I465" i="18"/>
  <c r="I693" i="18"/>
  <c r="I529" i="18"/>
  <c r="I98" i="7941"/>
  <c r="J34" i="7941"/>
  <c r="J170" i="1"/>
  <c r="J39" i="18"/>
  <c r="J497" i="18"/>
  <c r="J66" i="7941"/>
  <c r="J397" i="18"/>
  <c r="J398" i="18"/>
  <c r="J395" i="18"/>
  <c r="J407" i="18"/>
  <c r="J659" i="18"/>
  <c r="J465" i="18"/>
  <c r="J693" i="18"/>
  <c r="J529" i="18"/>
  <c r="J98" i="7941"/>
  <c r="K34" i="7941"/>
  <c r="K170" i="1"/>
  <c r="K39" i="18"/>
  <c r="K497" i="18"/>
  <c r="K66" i="7941"/>
  <c r="K397" i="18"/>
  <c r="K398" i="18"/>
  <c r="K399" i="18"/>
  <c r="K395" i="18"/>
  <c r="K407" i="18"/>
  <c r="K659" i="18"/>
  <c r="K465" i="18"/>
  <c r="K693" i="18"/>
  <c r="K529" i="18"/>
  <c r="K98" i="7941"/>
  <c r="L34" i="7941"/>
  <c r="L170" i="1"/>
  <c r="L39" i="18"/>
  <c r="L497" i="18"/>
  <c r="L66" i="7941"/>
  <c r="L397" i="18"/>
  <c r="L398" i="18"/>
  <c r="L399" i="18"/>
  <c r="L400" i="18"/>
  <c r="L395" i="18"/>
  <c r="L407" i="18"/>
  <c r="L659" i="18"/>
  <c r="L465" i="18"/>
  <c r="L693" i="18"/>
  <c r="L529" i="18"/>
  <c r="L98" i="7941"/>
  <c r="L226" i="7941"/>
  <c r="H171" i="1"/>
  <c r="H40" i="18"/>
  <c r="H498" i="18"/>
  <c r="H67" i="7941"/>
  <c r="H362" i="7942"/>
  <c r="H408" i="18"/>
  <c r="H420" i="18"/>
  <c r="H660" i="18"/>
  <c r="G498" i="18"/>
  <c r="G530" i="18"/>
  <c r="H466" i="18"/>
  <c r="H694" i="18"/>
  <c r="H530" i="18"/>
  <c r="H99" i="7941"/>
  <c r="G67" i="7941"/>
  <c r="G99" i="7941"/>
  <c r="H35" i="7941"/>
  <c r="I35" i="7941"/>
  <c r="I171" i="1"/>
  <c r="I40" i="18"/>
  <c r="I498" i="18"/>
  <c r="I67" i="7941"/>
  <c r="I410" i="18"/>
  <c r="I408" i="18"/>
  <c r="I420" i="18"/>
  <c r="I660" i="18"/>
  <c r="I466" i="18"/>
  <c r="I694" i="18"/>
  <c r="I530" i="18"/>
  <c r="I99" i="7941"/>
  <c r="J35" i="7941"/>
  <c r="J171" i="1"/>
  <c r="J40" i="18"/>
  <c r="J498" i="18"/>
  <c r="J67" i="7941"/>
  <c r="J410" i="18"/>
  <c r="J411" i="18"/>
  <c r="J408" i="18"/>
  <c r="J420" i="18"/>
  <c r="J660" i="18"/>
  <c r="J466" i="18"/>
  <c r="J694" i="18"/>
  <c r="J530" i="18"/>
  <c r="J99" i="7941"/>
  <c r="K35" i="7941"/>
  <c r="K171" i="1"/>
  <c r="K40" i="18"/>
  <c r="K498" i="18"/>
  <c r="K67" i="7941"/>
  <c r="K410" i="18"/>
  <c r="K411" i="18"/>
  <c r="K412" i="18"/>
  <c r="K408" i="18"/>
  <c r="K420" i="18"/>
  <c r="K660" i="18"/>
  <c r="K466" i="18"/>
  <c r="K694" i="18"/>
  <c r="K530" i="18"/>
  <c r="K99" i="7941"/>
  <c r="L35" i="7941"/>
  <c r="L171" i="1"/>
  <c r="L40" i="18"/>
  <c r="L498" i="18"/>
  <c r="L67" i="7941"/>
  <c r="L410" i="18"/>
  <c r="L411" i="18"/>
  <c r="L412" i="18"/>
  <c r="L413" i="18"/>
  <c r="L408" i="18"/>
  <c r="L420" i="18"/>
  <c r="L660" i="18"/>
  <c r="L466" i="18"/>
  <c r="L694" i="18"/>
  <c r="L530" i="18"/>
  <c r="L99" i="7941"/>
  <c r="L227" i="7941"/>
  <c r="H172" i="1"/>
  <c r="H41" i="18"/>
  <c r="H499" i="18"/>
  <c r="H68" i="7941"/>
  <c r="H363" i="7942"/>
  <c r="H421" i="18"/>
  <c r="H433" i="18"/>
  <c r="H661" i="18"/>
  <c r="G499" i="18"/>
  <c r="G531" i="18"/>
  <c r="H467" i="18"/>
  <c r="H695" i="18"/>
  <c r="H531" i="18"/>
  <c r="H100" i="7941"/>
  <c r="G68" i="7941"/>
  <c r="G100" i="7941"/>
  <c r="H36" i="7941"/>
  <c r="I36" i="7941"/>
  <c r="I172" i="1"/>
  <c r="I41" i="18"/>
  <c r="I499" i="18"/>
  <c r="I68" i="7941"/>
  <c r="I423" i="18"/>
  <c r="I421" i="18"/>
  <c r="I433" i="18"/>
  <c r="I661" i="18"/>
  <c r="I467" i="18"/>
  <c r="I695" i="18"/>
  <c r="I531" i="18"/>
  <c r="I100" i="7941"/>
  <c r="J36" i="7941"/>
  <c r="J172" i="1"/>
  <c r="J41" i="18"/>
  <c r="J499" i="18"/>
  <c r="J68" i="7941"/>
  <c r="J423" i="18"/>
  <c r="J424" i="18"/>
  <c r="J421" i="18"/>
  <c r="J433" i="18"/>
  <c r="J661" i="18"/>
  <c r="J467" i="18"/>
  <c r="J695" i="18"/>
  <c r="J531" i="18"/>
  <c r="J100" i="7941"/>
  <c r="K36" i="7941"/>
  <c r="K172" i="1"/>
  <c r="K41" i="18"/>
  <c r="K499" i="18"/>
  <c r="K68" i="7941"/>
  <c r="K423" i="18"/>
  <c r="K424" i="18"/>
  <c r="K425" i="18"/>
  <c r="K421" i="18"/>
  <c r="K433" i="18"/>
  <c r="K661" i="18"/>
  <c r="K467" i="18"/>
  <c r="K695" i="18"/>
  <c r="K531" i="18"/>
  <c r="K100" i="7941"/>
  <c r="L36" i="7941"/>
  <c r="L172" i="1"/>
  <c r="L41" i="18"/>
  <c r="L499" i="18"/>
  <c r="L68" i="7941"/>
  <c r="L423" i="18"/>
  <c r="L424" i="18"/>
  <c r="L425" i="18"/>
  <c r="L426" i="18"/>
  <c r="L421" i="18"/>
  <c r="L433" i="18"/>
  <c r="L661" i="18"/>
  <c r="L467" i="18"/>
  <c r="L695" i="18"/>
  <c r="L531" i="18"/>
  <c r="L100" i="7941"/>
  <c r="L228" i="7941"/>
  <c r="L198" i="7941"/>
  <c r="G143" i="1"/>
  <c r="G183" i="1"/>
  <c r="G184" i="1"/>
  <c r="G44" i="7942"/>
  <c r="G6" i="7942"/>
  <c r="G12" i="7942"/>
  <c r="G76" i="7942"/>
  <c r="L231" i="7941"/>
  <c r="H7" i="7942"/>
  <c r="H108" i="7942"/>
  <c r="I7" i="7942"/>
  <c r="I108" i="7942"/>
  <c r="J7" i="7942"/>
  <c r="J108" i="7942"/>
  <c r="K7" i="7942"/>
  <c r="K108" i="7942"/>
  <c r="L7" i="7942"/>
  <c r="L108" i="7942"/>
  <c r="M184" i="1"/>
  <c r="M7" i="7942"/>
  <c r="M108" i="7942"/>
  <c r="L109" i="7942"/>
  <c r="L263" i="7941"/>
  <c r="G205" i="7942"/>
  <c r="G173" i="7942"/>
  <c r="G237" i="7942"/>
  <c r="L295" i="7941"/>
  <c r="H269" i="7942"/>
  <c r="I269" i="7942"/>
  <c r="J269" i="7942"/>
  <c r="K269" i="7942"/>
  <c r="L269" i="7942"/>
  <c r="M269" i="7942"/>
  <c r="L270" i="7942"/>
  <c r="L327" i="7941"/>
  <c r="L359" i="7941"/>
  <c r="G144" i="1"/>
  <c r="G45" i="7942"/>
  <c r="G13" i="7942"/>
  <c r="G77" i="7942"/>
  <c r="L232" i="7941"/>
  <c r="H110" i="7942"/>
  <c r="I110" i="7942"/>
  <c r="J110" i="7942"/>
  <c r="K110" i="7942"/>
  <c r="L110" i="7942"/>
  <c r="M110" i="7942"/>
  <c r="L111" i="7942"/>
  <c r="L264" i="7941"/>
  <c r="G206" i="7942"/>
  <c r="G174" i="7942"/>
  <c r="G238" i="7942"/>
  <c r="L296" i="7941"/>
  <c r="H271" i="7942"/>
  <c r="I271" i="7942"/>
  <c r="J271" i="7942"/>
  <c r="K271" i="7942"/>
  <c r="L271" i="7942"/>
  <c r="M271" i="7942"/>
  <c r="L272" i="7942"/>
  <c r="L328" i="7941"/>
  <c r="L360" i="7941"/>
  <c r="G145" i="1"/>
  <c r="G46" i="7942"/>
  <c r="G14" i="7942"/>
  <c r="G78" i="7942"/>
  <c r="L233" i="7941"/>
  <c r="H112" i="7942"/>
  <c r="I112" i="7942"/>
  <c r="J112" i="7942"/>
  <c r="K112" i="7942"/>
  <c r="L112" i="7942"/>
  <c r="M112" i="7942"/>
  <c r="L113" i="7942"/>
  <c r="L265" i="7941"/>
  <c r="G207" i="7942"/>
  <c r="G175" i="7942"/>
  <c r="G239" i="7942"/>
  <c r="L297" i="7941"/>
  <c r="H273" i="7942"/>
  <c r="I273" i="7942"/>
  <c r="J273" i="7942"/>
  <c r="K273" i="7942"/>
  <c r="L273" i="7942"/>
  <c r="M273" i="7942"/>
  <c r="L274" i="7942"/>
  <c r="L329" i="7941"/>
  <c r="L361" i="7941"/>
  <c r="G146" i="1"/>
  <c r="G47" i="7942"/>
  <c r="G15" i="7942"/>
  <c r="G79" i="7942"/>
  <c r="L234" i="7941"/>
  <c r="H114" i="7942"/>
  <c r="I114" i="7942"/>
  <c r="J114" i="7942"/>
  <c r="K114" i="7942"/>
  <c r="L114" i="7942"/>
  <c r="M114" i="7942"/>
  <c r="L115" i="7942"/>
  <c r="L266" i="7941"/>
  <c r="G208" i="7942"/>
  <c r="G176" i="7942"/>
  <c r="G240" i="7942"/>
  <c r="L298" i="7941"/>
  <c r="H275" i="7942"/>
  <c r="I275" i="7942"/>
  <c r="J275" i="7942"/>
  <c r="K275" i="7942"/>
  <c r="L275" i="7942"/>
  <c r="M275" i="7942"/>
  <c r="L276" i="7942"/>
  <c r="L330" i="7941"/>
  <c r="L362" i="7941"/>
  <c r="G147" i="1"/>
  <c r="G48" i="7942"/>
  <c r="G16" i="7942"/>
  <c r="G80" i="7942"/>
  <c r="L235" i="7941"/>
  <c r="H116" i="7942"/>
  <c r="I116" i="7942"/>
  <c r="J116" i="7942"/>
  <c r="K116" i="7942"/>
  <c r="L116" i="7942"/>
  <c r="M116" i="7942"/>
  <c r="L117" i="7942"/>
  <c r="L267" i="7941"/>
  <c r="G209" i="7942"/>
  <c r="G177" i="7942"/>
  <c r="G241" i="7942"/>
  <c r="L299" i="7941"/>
  <c r="H277" i="7942"/>
  <c r="I277" i="7942"/>
  <c r="J277" i="7942"/>
  <c r="K277" i="7942"/>
  <c r="L277" i="7942"/>
  <c r="M277" i="7942"/>
  <c r="L278" i="7942"/>
  <c r="L331" i="7941"/>
  <c r="L363" i="7941"/>
  <c r="G148" i="1"/>
  <c r="G49" i="7942"/>
  <c r="G17" i="7942"/>
  <c r="G81" i="7942"/>
  <c r="L236" i="7941"/>
  <c r="H118" i="7942"/>
  <c r="I118" i="7942"/>
  <c r="J118" i="7942"/>
  <c r="K118" i="7942"/>
  <c r="L118" i="7942"/>
  <c r="M118" i="7942"/>
  <c r="L119" i="7942"/>
  <c r="L268" i="7941"/>
  <c r="G210" i="7942"/>
  <c r="G178" i="7942"/>
  <c r="G242" i="7942"/>
  <c r="L300" i="7941"/>
  <c r="H279" i="7942"/>
  <c r="I279" i="7942"/>
  <c r="J279" i="7942"/>
  <c r="K279" i="7942"/>
  <c r="L279" i="7942"/>
  <c r="M279" i="7942"/>
  <c r="L280" i="7942"/>
  <c r="L332" i="7941"/>
  <c r="L364" i="7941"/>
  <c r="G149" i="1"/>
  <c r="G50" i="7942"/>
  <c r="G18" i="7942"/>
  <c r="G82" i="7942"/>
  <c r="L237" i="7941"/>
  <c r="H120" i="7942"/>
  <c r="I120" i="7942"/>
  <c r="J120" i="7942"/>
  <c r="K120" i="7942"/>
  <c r="L120" i="7942"/>
  <c r="M120" i="7942"/>
  <c r="L121" i="7942"/>
  <c r="L269" i="7941"/>
  <c r="G211" i="7942"/>
  <c r="G179" i="7942"/>
  <c r="G243" i="7942"/>
  <c r="L301" i="7941"/>
  <c r="H281" i="7942"/>
  <c r="I281" i="7942"/>
  <c r="J281" i="7942"/>
  <c r="K281" i="7942"/>
  <c r="L281" i="7942"/>
  <c r="M281" i="7942"/>
  <c r="L282" i="7942"/>
  <c r="L333" i="7941"/>
  <c r="L365" i="7941"/>
  <c r="G150" i="1"/>
  <c r="G51" i="7942"/>
  <c r="G19" i="7942"/>
  <c r="G83" i="7942"/>
  <c r="L238" i="7941"/>
  <c r="H122" i="7942"/>
  <c r="I122" i="7942"/>
  <c r="J122" i="7942"/>
  <c r="K122" i="7942"/>
  <c r="L122" i="7942"/>
  <c r="M122" i="7942"/>
  <c r="L123" i="7942"/>
  <c r="L270" i="7941"/>
  <c r="G212" i="7942"/>
  <c r="G180" i="7942"/>
  <c r="G244" i="7942"/>
  <c r="L302" i="7941"/>
  <c r="H283" i="7942"/>
  <c r="I283" i="7942"/>
  <c r="J283" i="7942"/>
  <c r="K283" i="7942"/>
  <c r="L283" i="7942"/>
  <c r="M283" i="7942"/>
  <c r="L284" i="7942"/>
  <c r="L334" i="7941"/>
  <c r="L366" i="7941"/>
  <c r="G151" i="1"/>
  <c r="G52" i="7942"/>
  <c r="G20" i="7942"/>
  <c r="G84" i="7942"/>
  <c r="L239" i="7941"/>
  <c r="H124" i="7942"/>
  <c r="I124" i="7942"/>
  <c r="J124" i="7942"/>
  <c r="K124" i="7942"/>
  <c r="L124" i="7942"/>
  <c r="M124" i="7942"/>
  <c r="L125" i="7942"/>
  <c r="L271" i="7941"/>
  <c r="G213" i="7942"/>
  <c r="G181" i="7942"/>
  <c r="G245" i="7942"/>
  <c r="L303" i="7941"/>
  <c r="H285" i="7942"/>
  <c r="I285" i="7942"/>
  <c r="J285" i="7942"/>
  <c r="K285" i="7942"/>
  <c r="L285" i="7942"/>
  <c r="M285" i="7942"/>
  <c r="L286" i="7942"/>
  <c r="L335" i="7941"/>
  <c r="L367" i="7941"/>
  <c r="G152" i="1"/>
  <c r="G53" i="7942"/>
  <c r="G21" i="7942"/>
  <c r="G85" i="7942"/>
  <c r="L240" i="7941"/>
  <c r="H126" i="7942"/>
  <c r="I126" i="7942"/>
  <c r="J126" i="7942"/>
  <c r="K126" i="7942"/>
  <c r="L126" i="7942"/>
  <c r="M126" i="7942"/>
  <c r="L127" i="7942"/>
  <c r="L272" i="7941"/>
  <c r="G214" i="7942"/>
  <c r="G182" i="7942"/>
  <c r="G246" i="7942"/>
  <c r="L304" i="7941"/>
  <c r="H287" i="7942"/>
  <c r="I287" i="7942"/>
  <c r="J287" i="7942"/>
  <c r="K287" i="7942"/>
  <c r="L287" i="7942"/>
  <c r="M287" i="7942"/>
  <c r="L288" i="7942"/>
  <c r="L336" i="7941"/>
  <c r="L368" i="7941"/>
  <c r="G153" i="1"/>
  <c r="G54" i="7942"/>
  <c r="G22" i="7942"/>
  <c r="G86" i="7942"/>
  <c r="L241" i="7941"/>
  <c r="H128" i="7942"/>
  <c r="I128" i="7942"/>
  <c r="J128" i="7942"/>
  <c r="K128" i="7942"/>
  <c r="L128" i="7942"/>
  <c r="M128" i="7942"/>
  <c r="L129" i="7942"/>
  <c r="L273" i="7941"/>
  <c r="G215" i="7942"/>
  <c r="G183" i="7942"/>
  <c r="G247" i="7942"/>
  <c r="L305" i="7941"/>
  <c r="H289" i="7942"/>
  <c r="I289" i="7942"/>
  <c r="J289" i="7942"/>
  <c r="K289" i="7942"/>
  <c r="L289" i="7942"/>
  <c r="M289" i="7942"/>
  <c r="L290" i="7942"/>
  <c r="L337" i="7941"/>
  <c r="L369" i="7941"/>
  <c r="G154" i="1"/>
  <c r="G55" i="7942"/>
  <c r="G23" i="7942"/>
  <c r="G87" i="7942"/>
  <c r="L242" i="7941"/>
  <c r="H130" i="7942"/>
  <c r="I130" i="7942"/>
  <c r="J130" i="7942"/>
  <c r="K130" i="7942"/>
  <c r="L130" i="7942"/>
  <c r="M130" i="7942"/>
  <c r="L131" i="7942"/>
  <c r="L274" i="7941"/>
  <c r="G216" i="7942"/>
  <c r="G184" i="7942"/>
  <c r="G248" i="7942"/>
  <c r="L306" i="7941"/>
  <c r="H291" i="7942"/>
  <c r="I291" i="7942"/>
  <c r="J291" i="7942"/>
  <c r="K291" i="7942"/>
  <c r="L291" i="7942"/>
  <c r="M291" i="7942"/>
  <c r="L292" i="7942"/>
  <c r="L338" i="7941"/>
  <c r="L370" i="7941"/>
  <c r="G155" i="1"/>
  <c r="G56" i="7942"/>
  <c r="G24" i="7942"/>
  <c r="G88" i="7942"/>
  <c r="L243" i="7941"/>
  <c r="H132" i="7942"/>
  <c r="I132" i="7942"/>
  <c r="J132" i="7942"/>
  <c r="K132" i="7942"/>
  <c r="L132" i="7942"/>
  <c r="M132" i="7942"/>
  <c r="L133" i="7942"/>
  <c r="L275" i="7941"/>
  <c r="G217" i="7942"/>
  <c r="G185" i="7942"/>
  <c r="G249" i="7942"/>
  <c r="L307" i="7941"/>
  <c r="H293" i="7942"/>
  <c r="I293" i="7942"/>
  <c r="J293" i="7942"/>
  <c r="K293" i="7942"/>
  <c r="L293" i="7942"/>
  <c r="M293" i="7942"/>
  <c r="L294" i="7942"/>
  <c r="L339" i="7941"/>
  <c r="L371" i="7941"/>
  <c r="G156" i="1"/>
  <c r="G57" i="7942"/>
  <c r="G25" i="7942"/>
  <c r="G89" i="7942"/>
  <c r="L244" i="7941"/>
  <c r="H134" i="7942"/>
  <c r="I134" i="7942"/>
  <c r="J134" i="7942"/>
  <c r="K134" i="7942"/>
  <c r="L134" i="7942"/>
  <c r="M134" i="7942"/>
  <c r="L135" i="7942"/>
  <c r="L276" i="7941"/>
  <c r="G218" i="7942"/>
  <c r="G186" i="7942"/>
  <c r="G250" i="7942"/>
  <c r="L308" i="7941"/>
  <c r="H295" i="7942"/>
  <c r="I295" i="7942"/>
  <c r="J295" i="7942"/>
  <c r="K295" i="7942"/>
  <c r="L295" i="7942"/>
  <c r="M295" i="7942"/>
  <c r="L296" i="7942"/>
  <c r="L340" i="7941"/>
  <c r="L372" i="7941"/>
  <c r="G157" i="1"/>
  <c r="G58" i="7942"/>
  <c r="G26" i="7942"/>
  <c r="G90" i="7942"/>
  <c r="L245" i="7941"/>
  <c r="H136" i="7942"/>
  <c r="I136" i="7942"/>
  <c r="J136" i="7942"/>
  <c r="K136" i="7942"/>
  <c r="L136" i="7942"/>
  <c r="M136" i="7942"/>
  <c r="L137" i="7942"/>
  <c r="L277" i="7941"/>
  <c r="G219" i="7942"/>
  <c r="G187" i="7942"/>
  <c r="G251" i="7942"/>
  <c r="L309" i="7941"/>
  <c r="H297" i="7942"/>
  <c r="I297" i="7942"/>
  <c r="J297" i="7942"/>
  <c r="K297" i="7942"/>
  <c r="L297" i="7942"/>
  <c r="M297" i="7942"/>
  <c r="L298" i="7942"/>
  <c r="L341" i="7941"/>
  <c r="L373" i="7941"/>
  <c r="G158" i="1"/>
  <c r="G59" i="7942"/>
  <c r="G27" i="7942"/>
  <c r="G91" i="7942"/>
  <c r="L246" i="7941"/>
  <c r="H138" i="7942"/>
  <c r="I138" i="7942"/>
  <c r="J138" i="7942"/>
  <c r="K138" i="7942"/>
  <c r="L138" i="7942"/>
  <c r="M138" i="7942"/>
  <c r="L139" i="7942"/>
  <c r="L278" i="7941"/>
  <c r="G220" i="7942"/>
  <c r="G188" i="7942"/>
  <c r="G252" i="7942"/>
  <c r="L310" i="7941"/>
  <c r="H299" i="7942"/>
  <c r="I299" i="7942"/>
  <c r="J299" i="7942"/>
  <c r="K299" i="7942"/>
  <c r="L299" i="7942"/>
  <c r="M299" i="7942"/>
  <c r="L300" i="7942"/>
  <c r="L342" i="7941"/>
  <c r="L374" i="7941"/>
  <c r="G159" i="1"/>
  <c r="G60" i="7942"/>
  <c r="G92" i="7942"/>
  <c r="L247" i="7941"/>
  <c r="H140" i="7942"/>
  <c r="I140" i="7942"/>
  <c r="J140" i="7942"/>
  <c r="K140" i="7942"/>
  <c r="L140" i="7942"/>
  <c r="M140" i="7942"/>
  <c r="L141" i="7942"/>
  <c r="L279" i="7941"/>
  <c r="L311" i="7941"/>
  <c r="H301" i="7942"/>
  <c r="I301" i="7942"/>
  <c r="J301" i="7942"/>
  <c r="K301" i="7942"/>
  <c r="L301" i="7942"/>
  <c r="M301" i="7942"/>
  <c r="L302" i="7942"/>
  <c r="L343" i="7941"/>
  <c r="L375" i="7941"/>
  <c r="G160" i="1"/>
  <c r="G61" i="7942"/>
  <c r="G93" i="7942"/>
  <c r="L248" i="7941"/>
  <c r="H142" i="7942"/>
  <c r="I142" i="7942"/>
  <c r="J142" i="7942"/>
  <c r="K142" i="7942"/>
  <c r="L142" i="7942"/>
  <c r="M142" i="7942"/>
  <c r="L143" i="7942"/>
  <c r="L280" i="7941"/>
  <c r="L312" i="7941"/>
  <c r="H303" i="7942"/>
  <c r="I303" i="7942"/>
  <c r="J303" i="7942"/>
  <c r="K303" i="7942"/>
  <c r="L303" i="7942"/>
  <c r="M303" i="7942"/>
  <c r="L304" i="7942"/>
  <c r="L344" i="7941"/>
  <c r="L376" i="7941"/>
  <c r="G161" i="1"/>
  <c r="G62" i="7942"/>
  <c r="G94" i="7942"/>
  <c r="L249" i="7941"/>
  <c r="H144" i="7942"/>
  <c r="I144" i="7942"/>
  <c r="J144" i="7942"/>
  <c r="K144" i="7942"/>
  <c r="L144" i="7942"/>
  <c r="M144" i="7942"/>
  <c r="L145" i="7942"/>
  <c r="L281" i="7941"/>
  <c r="L313" i="7941"/>
  <c r="H305" i="7942"/>
  <c r="I305" i="7942"/>
  <c r="J305" i="7942"/>
  <c r="K305" i="7942"/>
  <c r="L305" i="7942"/>
  <c r="M305" i="7942"/>
  <c r="L306" i="7942"/>
  <c r="L345" i="7941"/>
  <c r="L377" i="7941"/>
  <c r="G162" i="1"/>
  <c r="G63" i="7942"/>
  <c r="G95" i="7942"/>
  <c r="L250" i="7941"/>
  <c r="H146" i="7942"/>
  <c r="I146" i="7942"/>
  <c r="J146" i="7942"/>
  <c r="K146" i="7942"/>
  <c r="L146" i="7942"/>
  <c r="M146" i="7942"/>
  <c r="L147" i="7942"/>
  <c r="L282" i="7941"/>
  <c r="L314" i="7941"/>
  <c r="H307" i="7942"/>
  <c r="I307" i="7942"/>
  <c r="J307" i="7942"/>
  <c r="K307" i="7942"/>
  <c r="L307" i="7942"/>
  <c r="M307" i="7942"/>
  <c r="L308" i="7942"/>
  <c r="L346" i="7941"/>
  <c r="L378" i="7941"/>
  <c r="G64" i="7942"/>
  <c r="G96" i="7942"/>
  <c r="L251" i="7941"/>
  <c r="H148" i="7942"/>
  <c r="I148" i="7942"/>
  <c r="J148" i="7942"/>
  <c r="K148" i="7942"/>
  <c r="L148" i="7942"/>
  <c r="M148" i="7942"/>
  <c r="L149" i="7942"/>
  <c r="L283" i="7941"/>
  <c r="L315" i="7941"/>
  <c r="H309" i="7942"/>
  <c r="I309" i="7942"/>
  <c r="J309" i="7942"/>
  <c r="K309" i="7942"/>
  <c r="L309" i="7942"/>
  <c r="M309" i="7942"/>
  <c r="L310" i="7942"/>
  <c r="L347" i="7941"/>
  <c r="L379" i="7941"/>
  <c r="G65" i="7942"/>
  <c r="G97" i="7942"/>
  <c r="L252" i="7941"/>
  <c r="H150" i="7942"/>
  <c r="I150" i="7942"/>
  <c r="J150" i="7942"/>
  <c r="K150" i="7942"/>
  <c r="L150" i="7942"/>
  <c r="M150" i="7942"/>
  <c r="L151" i="7942"/>
  <c r="L284" i="7941"/>
  <c r="L316" i="7941"/>
  <c r="H311" i="7942"/>
  <c r="I311" i="7942"/>
  <c r="J311" i="7942"/>
  <c r="K311" i="7942"/>
  <c r="L311" i="7942"/>
  <c r="M311" i="7942"/>
  <c r="L312" i="7942"/>
  <c r="L348" i="7941"/>
  <c r="L380" i="7941"/>
  <c r="G66" i="7942"/>
  <c r="G98" i="7942"/>
  <c r="L253" i="7941"/>
  <c r="H152" i="7942"/>
  <c r="I152" i="7942"/>
  <c r="J152" i="7942"/>
  <c r="K152" i="7942"/>
  <c r="L152" i="7942"/>
  <c r="M152" i="7942"/>
  <c r="L153" i="7942"/>
  <c r="L285" i="7941"/>
  <c r="L317" i="7941"/>
  <c r="H313" i="7942"/>
  <c r="I313" i="7942"/>
  <c r="J313" i="7942"/>
  <c r="K313" i="7942"/>
  <c r="L313" i="7942"/>
  <c r="M313" i="7942"/>
  <c r="L314" i="7942"/>
  <c r="L349" i="7941"/>
  <c r="L381" i="7941"/>
  <c r="G67" i="7942"/>
  <c r="G99" i="7942"/>
  <c r="L254" i="7941"/>
  <c r="H154" i="7942"/>
  <c r="I154" i="7942"/>
  <c r="J154" i="7942"/>
  <c r="K154" i="7942"/>
  <c r="L154" i="7942"/>
  <c r="M154" i="7942"/>
  <c r="L155" i="7942"/>
  <c r="L286" i="7941"/>
  <c r="L318" i="7941"/>
  <c r="H315" i="7942"/>
  <c r="I315" i="7942"/>
  <c r="J315" i="7942"/>
  <c r="K315" i="7942"/>
  <c r="L315" i="7942"/>
  <c r="M315" i="7942"/>
  <c r="L316" i="7942"/>
  <c r="L350" i="7941"/>
  <c r="L382" i="7941"/>
  <c r="G68" i="7942"/>
  <c r="G100" i="7942"/>
  <c r="L255" i="7941"/>
  <c r="H156" i="7942"/>
  <c r="I156" i="7942"/>
  <c r="J156" i="7942"/>
  <c r="K156" i="7942"/>
  <c r="L156" i="7942"/>
  <c r="M156" i="7942"/>
  <c r="L157" i="7942"/>
  <c r="L287" i="7941"/>
  <c r="L319" i="7941"/>
  <c r="H317" i="7942"/>
  <c r="I317" i="7942"/>
  <c r="J317" i="7942"/>
  <c r="K317" i="7942"/>
  <c r="L317" i="7942"/>
  <c r="M317" i="7942"/>
  <c r="L318" i="7942"/>
  <c r="L351" i="7941"/>
  <c r="L383" i="7941"/>
  <c r="G69" i="7942"/>
  <c r="G101" i="7942"/>
  <c r="L256" i="7941"/>
  <c r="H158" i="7942"/>
  <c r="I158" i="7942"/>
  <c r="J158" i="7942"/>
  <c r="K158" i="7942"/>
  <c r="L158" i="7942"/>
  <c r="M158" i="7942"/>
  <c r="L159" i="7942"/>
  <c r="L288" i="7941"/>
  <c r="L320" i="7941"/>
  <c r="H319" i="7942"/>
  <c r="I319" i="7942"/>
  <c r="J319" i="7942"/>
  <c r="K319" i="7942"/>
  <c r="L319" i="7942"/>
  <c r="M319" i="7942"/>
  <c r="L320" i="7942"/>
  <c r="L352" i="7941"/>
  <c r="L384" i="7941"/>
  <c r="G70" i="7942"/>
  <c r="G102" i="7942"/>
  <c r="L257" i="7941"/>
  <c r="H160" i="7942"/>
  <c r="I160" i="7942"/>
  <c r="J160" i="7942"/>
  <c r="K160" i="7942"/>
  <c r="L160" i="7942"/>
  <c r="M160" i="7942"/>
  <c r="L161" i="7942"/>
  <c r="L289" i="7941"/>
  <c r="L321" i="7941"/>
  <c r="H321" i="7942"/>
  <c r="I321" i="7942"/>
  <c r="J321" i="7942"/>
  <c r="K321" i="7942"/>
  <c r="L321" i="7942"/>
  <c r="M321" i="7942"/>
  <c r="L322" i="7942"/>
  <c r="L353" i="7941"/>
  <c r="L385" i="7941"/>
  <c r="G71" i="7942"/>
  <c r="G103" i="7942"/>
  <c r="L258" i="7941"/>
  <c r="H162" i="7942"/>
  <c r="I162" i="7942"/>
  <c r="J162" i="7942"/>
  <c r="K162" i="7942"/>
  <c r="L162" i="7942"/>
  <c r="M162" i="7942"/>
  <c r="L163" i="7942"/>
  <c r="L290" i="7941"/>
  <c r="L322" i="7941"/>
  <c r="H323" i="7942"/>
  <c r="I323" i="7942"/>
  <c r="J323" i="7942"/>
  <c r="K323" i="7942"/>
  <c r="L323" i="7942"/>
  <c r="M323" i="7942"/>
  <c r="L324" i="7942"/>
  <c r="L354" i="7941"/>
  <c r="L386" i="7941"/>
  <c r="G72" i="7942"/>
  <c r="G104" i="7942"/>
  <c r="L259" i="7941"/>
  <c r="H164" i="7942"/>
  <c r="I164" i="7942"/>
  <c r="J164" i="7942"/>
  <c r="K164" i="7942"/>
  <c r="L164" i="7942"/>
  <c r="M164" i="7942"/>
  <c r="L165" i="7942"/>
  <c r="L291" i="7941"/>
  <c r="L323" i="7941"/>
  <c r="H325" i="7942"/>
  <c r="I325" i="7942"/>
  <c r="J325" i="7942"/>
  <c r="K325" i="7942"/>
  <c r="L325" i="7942"/>
  <c r="M325" i="7942"/>
  <c r="L326" i="7942"/>
  <c r="L355" i="7941"/>
  <c r="L387" i="7941"/>
  <c r="G73" i="7942"/>
  <c r="G105" i="7942"/>
  <c r="L260" i="7941"/>
  <c r="H166" i="7942"/>
  <c r="I166" i="7942"/>
  <c r="J166" i="7942"/>
  <c r="K166" i="7942"/>
  <c r="L166" i="7942"/>
  <c r="M166" i="7942"/>
  <c r="L167" i="7942"/>
  <c r="L292" i="7941"/>
  <c r="L324" i="7941"/>
  <c r="H327" i="7942"/>
  <c r="I327" i="7942"/>
  <c r="J327" i="7942"/>
  <c r="K327" i="7942"/>
  <c r="L327" i="7942"/>
  <c r="M327" i="7942"/>
  <c r="L328" i="7942"/>
  <c r="L356" i="7941"/>
  <c r="L388" i="7941"/>
  <c r="L358" i="7941"/>
  <c r="G23" i="7944"/>
  <c r="C258" i="7946"/>
  <c r="G282" i="7944"/>
  <c r="G295" i="7944"/>
  <c r="C259" i="7946"/>
  <c r="G55" i="7944"/>
  <c r="C260" i="7946"/>
  <c r="C261" i="7946"/>
  <c r="D258" i="7946"/>
  <c r="H284" i="7944"/>
  <c r="H282" i="7944"/>
  <c r="H295" i="7944"/>
  <c r="D259" i="7946"/>
  <c r="H55" i="7944"/>
  <c r="D260" i="7946"/>
  <c r="D261" i="7946"/>
  <c r="E258" i="7946"/>
  <c r="I284" i="7944"/>
  <c r="I285" i="7944"/>
  <c r="I282" i="7944"/>
  <c r="I295" i="7944"/>
  <c r="E259" i="7946"/>
  <c r="I55" i="7944"/>
  <c r="E260" i="7946"/>
  <c r="E261" i="7946"/>
  <c r="F258" i="7946"/>
  <c r="J284" i="7944"/>
  <c r="J285" i="7944"/>
  <c r="J286" i="7944"/>
  <c r="J282" i="7944"/>
  <c r="J295" i="7944"/>
  <c r="F259" i="7946"/>
  <c r="J55" i="7944"/>
  <c r="F260" i="7946"/>
  <c r="F261" i="7946"/>
  <c r="G258" i="7946"/>
  <c r="K284" i="7944"/>
  <c r="K285" i="7944"/>
  <c r="K286" i="7944"/>
  <c r="K287" i="7944"/>
  <c r="K282" i="7944"/>
  <c r="K295" i="7944"/>
  <c r="G259" i="7946"/>
  <c r="K55" i="7944"/>
  <c r="G260" i="7946"/>
  <c r="G261" i="7946"/>
  <c r="H258" i="7946"/>
  <c r="L284" i="7944"/>
  <c r="L285" i="7944"/>
  <c r="L286" i="7944"/>
  <c r="L287" i="7944"/>
  <c r="L288" i="7944"/>
  <c r="L282" i="7944"/>
  <c r="L295" i="7944"/>
  <c r="H259" i="7946"/>
  <c r="L55" i="7944"/>
  <c r="H260" i="7946"/>
  <c r="H261" i="7946"/>
  <c r="H262" i="7946"/>
  <c r="S20" i="7946"/>
  <c r="D126" i="7946"/>
  <c r="D127" i="7946"/>
  <c r="D128" i="7946"/>
  <c r="E125" i="7946"/>
  <c r="E126" i="7946"/>
  <c r="E127" i="7946"/>
  <c r="E128" i="7946"/>
  <c r="F125" i="7946"/>
  <c r="F126" i="7946"/>
  <c r="F127" i="7946"/>
  <c r="F128" i="7946"/>
  <c r="G125" i="7946"/>
  <c r="G126" i="7946"/>
  <c r="G127" i="7946"/>
  <c r="G128" i="7946"/>
  <c r="H125" i="7946"/>
  <c r="H126" i="7946"/>
  <c r="H127" i="7946"/>
  <c r="H128" i="7946"/>
  <c r="H129" i="7946"/>
  <c r="R20" i="7946"/>
  <c r="G22" i="7944"/>
  <c r="C250" i="7946"/>
  <c r="G268" i="7944"/>
  <c r="G281" i="7944"/>
  <c r="C251" i="7946"/>
  <c r="G54" i="7944"/>
  <c r="C252" i="7946"/>
  <c r="C253" i="7946"/>
  <c r="D250" i="7946"/>
  <c r="H270" i="7944"/>
  <c r="H268" i="7944"/>
  <c r="H281" i="7944"/>
  <c r="D251" i="7946"/>
  <c r="H54" i="7944"/>
  <c r="D252" i="7946"/>
  <c r="D253" i="7946"/>
  <c r="E250" i="7946"/>
  <c r="I270" i="7944"/>
  <c r="I271" i="7944"/>
  <c r="I268" i="7944"/>
  <c r="I281" i="7944"/>
  <c r="E251" i="7946"/>
  <c r="I54" i="7944"/>
  <c r="E252" i="7946"/>
  <c r="E253" i="7946"/>
  <c r="F250" i="7946"/>
  <c r="J270" i="7944"/>
  <c r="J271" i="7944"/>
  <c r="J272" i="7944"/>
  <c r="J268" i="7944"/>
  <c r="J281" i="7944"/>
  <c r="F251" i="7946"/>
  <c r="J54" i="7944"/>
  <c r="F252" i="7946"/>
  <c r="F253" i="7946"/>
  <c r="G250" i="7946"/>
  <c r="K270" i="7944"/>
  <c r="K271" i="7944"/>
  <c r="K272" i="7944"/>
  <c r="K273" i="7944"/>
  <c r="K268" i="7944"/>
  <c r="K281" i="7944"/>
  <c r="G251" i="7946"/>
  <c r="K54" i="7944"/>
  <c r="G252" i="7946"/>
  <c r="G253" i="7946"/>
  <c r="H250" i="7946"/>
  <c r="L270" i="7944"/>
  <c r="L271" i="7944"/>
  <c r="L272" i="7944"/>
  <c r="L273" i="7944"/>
  <c r="L274" i="7944"/>
  <c r="L268" i="7944"/>
  <c r="L281" i="7944"/>
  <c r="H251" i="7946"/>
  <c r="L54" i="7944"/>
  <c r="H252" i="7946"/>
  <c r="H253" i="7946"/>
  <c r="H254" i="7946"/>
  <c r="S19" i="7946"/>
  <c r="D118" i="7946"/>
  <c r="D119" i="7946"/>
  <c r="D120" i="7946"/>
  <c r="E117" i="7946"/>
  <c r="E118" i="7946"/>
  <c r="E119" i="7946"/>
  <c r="E120" i="7946"/>
  <c r="F117" i="7946"/>
  <c r="F118" i="7946"/>
  <c r="F119" i="7946"/>
  <c r="F120" i="7946"/>
  <c r="G117" i="7946"/>
  <c r="G118" i="7946"/>
  <c r="G119" i="7946"/>
  <c r="G120" i="7946"/>
  <c r="H117" i="7946"/>
  <c r="H118" i="7946"/>
  <c r="H119" i="7946"/>
  <c r="H120" i="7946"/>
  <c r="H121" i="7946"/>
  <c r="R19" i="7946"/>
  <c r="G20" i="7944"/>
  <c r="C234" i="7946"/>
  <c r="G240" i="7944"/>
  <c r="G253" i="7944"/>
  <c r="C235" i="7946"/>
  <c r="G52" i="7944"/>
  <c r="C236" i="7946"/>
  <c r="C237" i="7946"/>
  <c r="D234" i="7946"/>
  <c r="H242" i="7944"/>
  <c r="H240" i="7944"/>
  <c r="H253" i="7944"/>
  <c r="D235" i="7946"/>
  <c r="H52" i="7944"/>
  <c r="D236" i="7946"/>
  <c r="D237" i="7946"/>
  <c r="E234" i="7946"/>
  <c r="I242" i="7944"/>
  <c r="I243" i="7944"/>
  <c r="I240" i="7944"/>
  <c r="I253" i="7944"/>
  <c r="E235" i="7946"/>
  <c r="I52" i="7944"/>
  <c r="E236" i="7946"/>
  <c r="E237" i="7946"/>
  <c r="F234" i="7946"/>
  <c r="J242" i="7944"/>
  <c r="J243" i="7944"/>
  <c r="J244" i="7944"/>
  <c r="J240" i="7944"/>
  <c r="J253" i="7944"/>
  <c r="F235" i="7946"/>
  <c r="J52" i="7944"/>
  <c r="F236" i="7946"/>
  <c r="F237" i="7946"/>
  <c r="G234" i="7946"/>
  <c r="K242" i="7944"/>
  <c r="K243" i="7944"/>
  <c r="K244" i="7944"/>
  <c r="K245" i="7944"/>
  <c r="K240" i="7944"/>
  <c r="K253" i="7944"/>
  <c r="G235" i="7946"/>
  <c r="K52" i="7944"/>
  <c r="G236" i="7946"/>
  <c r="G237" i="7946"/>
  <c r="H234" i="7946"/>
  <c r="L242" i="7944"/>
  <c r="L243" i="7944"/>
  <c r="L244" i="7944"/>
  <c r="L245" i="7944"/>
  <c r="L246" i="7944"/>
  <c r="L240" i="7944"/>
  <c r="L253" i="7944"/>
  <c r="H235" i="7946"/>
  <c r="L52" i="7944"/>
  <c r="H236" i="7946"/>
  <c r="H237" i="7946"/>
  <c r="H238" i="7946"/>
  <c r="S17" i="7946"/>
  <c r="D102" i="7946"/>
  <c r="D103" i="7946"/>
  <c r="D104" i="7946"/>
  <c r="E101" i="7946"/>
  <c r="E102" i="7946"/>
  <c r="E103" i="7946"/>
  <c r="E104" i="7946"/>
  <c r="F101" i="7946"/>
  <c r="F102" i="7946"/>
  <c r="F103" i="7946"/>
  <c r="F104" i="7946"/>
  <c r="G101" i="7946"/>
  <c r="G102" i="7946"/>
  <c r="G103" i="7946"/>
  <c r="G104" i="7946"/>
  <c r="H101" i="7946"/>
  <c r="H102" i="7946"/>
  <c r="H103" i="7946"/>
  <c r="H104" i="7946"/>
  <c r="H105" i="7946"/>
  <c r="R17" i="7946"/>
  <c r="G19" i="7944"/>
  <c r="C226" i="7946"/>
  <c r="G226" i="7944"/>
  <c r="G239" i="7944"/>
  <c r="C227" i="7946"/>
  <c r="G51" i="7944"/>
  <c r="C228" i="7946"/>
  <c r="C229" i="7946"/>
  <c r="D226" i="7946"/>
  <c r="H228" i="7944"/>
  <c r="H226" i="7944"/>
  <c r="H239" i="7944"/>
  <c r="D227" i="7946"/>
  <c r="H51" i="7944"/>
  <c r="D228" i="7946"/>
  <c r="D229" i="7946"/>
  <c r="E226" i="7946"/>
  <c r="I228" i="7944"/>
  <c r="I229" i="7944"/>
  <c r="I226" i="7944"/>
  <c r="I239" i="7944"/>
  <c r="E227" i="7946"/>
  <c r="I51" i="7944"/>
  <c r="E228" i="7946"/>
  <c r="E229" i="7946"/>
  <c r="F226" i="7946"/>
  <c r="J228" i="7944"/>
  <c r="J229" i="7944"/>
  <c r="J230" i="7944"/>
  <c r="J226" i="7944"/>
  <c r="J239" i="7944"/>
  <c r="F227" i="7946"/>
  <c r="J51" i="7944"/>
  <c r="F228" i="7946"/>
  <c r="F229" i="7946"/>
  <c r="G226" i="7946"/>
  <c r="K228" i="7944"/>
  <c r="K229" i="7944"/>
  <c r="K230" i="7944"/>
  <c r="K231" i="7944"/>
  <c r="K226" i="7944"/>
  <c r="K239" i="7944"/>
  <c r="G227" i="7946"/>
  <c r="K51" i="7944"/>
  <c r="G228" i="7946"/>
  <c r="G229" i="7946"/>
  <c r="H226" i="7946"/>
  <c r="L228" i="7944"/>
  <c r="L229" i="7944"/>
  <c r="L230" i="7944"/>
  <c r="L231" i="7944"/>
  <c r="L232" i="7944"/>
  <c r="L226" i="7944"/>
  <c r="L239" i="7944"/>
  <c r="H227" i="7946"/>
  <c r="L51" i="7944"/>
  <c r="H228" i="7946"/>
  <c r="H229" i="7946"/>
  <c r="H230" i="7946"/>
  <c r="S16" i="7946"/>
  <c r="D94" i="7946"/>
  <c r="D95" i="7946"/>
  <c r="D96" i="7946"/>
  <c r="E93" i="7946"/>
  <c r="E94" i="7946"/>
  <c r="E95" i="7946"/>
  <c r="E96" i="7946"/>
  <c r="F93" i="7946"/>
  <c r="F94" i="7946"/>
  <c r="F95" i="7946"/>
  <c r="F96" i="7946"/>
  <c r="G93" i="7946"/>
  <c r="G94" i="7946"/>
  <c r="G95" i="7946"/>
  <c r="G96" i="7946"/>
  <c r="H93" i="7946"/>
  <c r="H94" i="7946"/>
  <c r="H95" i="7946"/>
  <c r="H96" i="7946"/>
  <c r="H97" i="7946"/>
  <c r="R16" i="7946"/>
  <c r="G18" i="7944"/>
  <c r="C218" i="7946"/>
  <c r="G212" i="7944"/>
  <c r="G225" i="7944"/>
  <c r="C219" i="7946"/>
  <c r="G50" i="7944"/>
  <c r="C220" i="7946"/>
  <c r="C221" i="7946"/>
  <c r="D218" i="7946"/>
  <c r="H214" i="7944"/>
  <c r="H212" i="7944"/>
  <c r="H225" i="7944"/>
  <c r="D219" i="7946"/>
  <c r="H50" i="7944"/>
  <c r="D220" i="7946"/>
  <c r="D221" i="7946"/>
  <c r="E218" i="7946"/>
  <c r="I214" i="7944"/>
  <c r="I215" i="7944"/>
  <c r="I212" i="7944"/>
  <c r="I225" i="7944"/>
  <c r="E219" i="7946"/>
  <c r="I50" i="7944"/>
  <c r="E220" i="7946"/>
  <c r="E221" i="7946"/>
  <c r="F218" i="7946"/>
  <c r="J214" i="7944"/>
  <c r="J215" i="7944"/>
  <c r="J216" i="7944"/>
  <c r="J212" i="7944"/>
  <c r="J225" i="7944"/>
  <c r="F219" i="7946"/>
  <c r="J50" i="7944"/>
  <c r="F220" i="7946"/>
  <c r="F221" i="7946"/>
  <c r="G218" i="7946"/>
  <c r="K214" i="7944"/>
  <c r="K215" i="7944"/>
  <c r="K216" i="7944"/>
  <c r="K217" i="7944"/>
  <c r="K212" i="7944"/>
  <c r="K225" i="7944"/>
  <c r="G219" i="7946"/>
  <c r="K50" i="7944"/>
  <c r="G220" i="7946"/>
  <c r="G221" i="7946"/>
  <c r="H218" i="7946"/>
  <c r="L214" i="7944"/>
  <c r="L215" i="7944"/>
  <c r="L216" i="7944"/>
  <c r="L217" i="7944"/>
  <c r="L218" i="7944"/>
  <c r="L212" i="7944"/>
  <c r="L225" i="7944"/>
  <c r="H219" i="7946"/>
  <c r="L50" i="7944"/>
  <c r="H220" i="7946"/>
  <c r="H221" i="7946"/>
  <c r="H222" i="7946"/>
  <c r="S15" i="7946"/>
  <c r="D86" i="7946"/>
  <c r="D87" i="7946"/>
  <c r="D88" i="7946"/>
  <c r="E85" i="7946"/>
  <c r="E86" i="7946"/>
  <c r="E87" i="7946"/>
  <c r="E88" i="7946"/>
  <c r="F85" i="7946"/>
  <c r="F86" i="7946"/>
  <c r="F87" i="7946"/>
  <c r="F88" i="7946"/>
  <c r="G85" i="7946"/>
  <c r="G86" i="7946"/>
  <c r="G87" i="7946"/>
  <c r="G88" i="7946"/>
  <c r="H85" i="7946"/>
  <c r="H86" i="7946"/>
  <c r="H87" i="7946"/>
  <c r="H88" i="7946"/>
  <c r="H89" i="7946"/>
  <c r="R15" i="7946"/>
  <c r="G17" i="7944"/>
  <c r="C210" i="7946"/>
  <c r="G198" i="7944"/>
  <c r="G211" i="7944"/>
  <c r="C211" i="7946"/>
  <c r="G49" i="7944"/>
  <c r="C212" i="7946"/>
  <c r="C213" i="7946"/>
  <c r="D210" i="7946"/>
  <c r="H200" i="7944"/>
  <c r="H198" i="7944"/>
  <c r="H211" i="7944"/>
  <c r="D211" i="7946"/>
  <c r="H49" i="7944"/>
  <c r="D212" i="7946"/>
  <c r="D213" i="7946"/>
  <c r="E210" i="7946"/>
  <c r="I200" i="7944"/>
  <c r="I201" i="7944"/>
  <c r="I198" i="7944"/>
  <c r="I211" i="7944"/>
  <c r="E211" i="7946"/>
  <c r="I49" i="7944"/>
  <c r="E212" i="7946"/>
  <c r="E213" i="7946"/>
  <c r="F210" i="7946"/>
  <c r="J200" i="7944"/>
  <c r="J201" i="7944"/>
  <c r="J202" i="7944"/>
  <c r="J198" i="7944"/>
  <c r="J211" i="7944"/>
  <c r="F211" i="7946"/>
  <c r="J49" i="7944"/>
  <c r="F212" i="7946"/>
  <c r="F213" i="7946"/>
  <c r="G210" i="7946"/>
  <c r="K200" i="7944"/>
  <c r="K201" i="7944"/>
  <c r="K202" i="7944"/>
  <c r="K203" i="7944"/>
  <c r="K198" i="7944"/>
  <c r="K211" i="7944"/>
  <c r="G211" i="7946"/>
  <c r="K49" i="7944"/>
  <c r="G212" i="7946"/>
  <c r="G213" i="7946"/>
  <c r="H210" i="7946"/>
  <c r="L200" i="7944"/>
  <c r="L201" i="7944"/>
  <c r="L202" i="7944"/>
  <c r="L203" i="7944"/>
  <c r="L204" i="7944"/>
  <c r="L198" i="7944"/>
  <c r="L211" i="7944"/>
  <c r="H211" i="7946"/>
  <c r="L49" i="7944"/>
  <c r="H212" i="7946"/>
  <c r="H213" i="7946"/>
  <c r="H214" i="7946"/>
  <c r="S14" i="7946"/>
  <c r="D78" i="7946"/>
  <c r="D79" i="7946"/>
  <c r="D80" i="7946"/>
  <c r="E77" i="7946"/>
  <c r="E78" i="7946"/>
  <c r="E79" i="7946"/>
  <c r="E80" i="7946"/>
  <c r="F77" i="7946"/>
  <c r="F78" i="7946"/>
  <c r="F79" i="7946"/>
  <c r="F80" i="7946"/>
  <c r="G77" i="7946"/>
  <c r="G78" i="7946"/>
  <c r="G79" i="7946"/>
  <c r="G80" i="7946"/>
  <c r="H77" i="7946"/>
  <c r="H78" i="7946"/>
  <c r="H79" i="7946"/>
  <c r="H80" i="7946"/>
  <c r="H81" i="7946"/>
  <c r="R14" i="7946"/>
  <c r="G16" i="7944"/>
  <c r="C202" i="7946"/>
  <c r="G184" i="7944"/>
  <c r="G197" i="7944"/>
  <c r="C203" i="7946"/>
  <c r="G48" i="7944"/>
  <c r="C204" i="7946"/>
  <c r="C205" i="7946"/>
  <c r="D202" i="7946"/>
  <c r="H186" i="7944"/>
  <c r="H184" i="7944"/>
  <c r="H197" i="7944"/>
  <c r="D203" i="7946"/>
  <c r="H48" i="7944"/>
  <c r="D204" i="7946"/>
  <c r="D205" i="7946"/>
  <c r="E202" i="7946"/>
  <c r="I186" i="7944"/>
  <c r="I187" i="7944"/>
  <c r="I184" i="7944"/>
  <c r="I197" i="7944"/>
  <c r="E203" i="7946"/>
  <c r="I48" i="7944"/>
  <c r="E204" i="7946"/>
  <c r="E205" i="7946"/>
  <c r="F202" i="7946"/>
  <c r="J186" i="7944"/>
  <c r="J187" i="7944"/>
  <c r="J188" i="7944"/>
  <c r="J184" i="7944"/>
  <c r="J197" i="7944"/>
  <c r="F203" i="7946"/>
  <c r="J48" i="7944"/>
  <c r="F204" i="7946"/>
  <c r="F205" i="7946"/>
  <c r="G202" i="7946"/>
  <c r="K186" i="7944"/>
  <c r="K187" i="7944"/>
  <c r="K188" i="7944"/>
  <c r="K189" i="7944"/>
  <c r="K184" i="7944"/>
  <c r="K197" i="7944"/>
  <c r="G203" i="7946"/>
  <c r="K48" i="7944"/>
  <c r="G204" i="7946"/>
  <c r="G205" i="7946"/>
  <c r="H202" i="7946"/>
  <c r="L186" i="7944"/>
  <c r="L187" i="7944"/>
  <c r="L188" i="7944"/>
  <c r="L189" i="7944"/>
  <c r="L190" i="7944"/>
  <c r="L184" i="7944"/>
  <c r="L197" i="7944"/>
  <c r="H203" i="7946"/>
  <c r="L48" i="7944"/>
  <c r="H204" i="7946"/>
  <c r="H205" i="7946"/>
  <c r="H206" i="7946"/>
  <c r="S13" i="7946"/>
  <c r="D70" i="7946"/>
  <c r="D71" i="7946"/>
  <c r="D72" i="7946"/>
  <c r="E69" i="7946"/>
  <c r="E70" i="7946"/>
  <c r="E71" i="7946"/>
  <c r="E72" i="7946"/>
  <c r="F69" i="7946"/>
  <c r="F70" i="7946"/>
  <c r="F71" i="7946"/>
  <c r="F72" i="7946"/>
  <c r="G69" i="7946"/>
  <c r="G70" i="7946"/>
  <c r="G71" i="7946"/>
  <c r="G72" i="7946"/>
  <c r="H69" i="7946"/>
  <c r="H70" i="7946"/>
  <c r="H71" i="7946"/>
  <c r="H72" i="7946"/>
  <c r="H73" i="7946"/>
  <c r="R13" i="7946"/>
  <c r="G15" i="7944"/>
  <c r="C194" i="7946"/>
  <c r="G170" i="7944"/>
  <c r="G183" i="7944"/>
  <c r="C195" i="7946"/>
  <c r="G47" i="7944"/>
  <c r="C196" i="7946"/>
  <c r="C197" i="7946"/>
  <c r="D194" i="7946"/>
  <c r="H172" i="7944"/>
  <c r="H170" i="7944"/>
  <c r="H183" i="7944"/>
  <c r="D195" i="7946"/>
  <c r="H47" i="7944"/>
  <c r="D196" i="7946"/>
  <c r="D197" i="7946"/>
  <c r="E194" i="7946"/>
  <c r="I172" i="7944"/>
  <c r="I173" i="7944"/>
  <c r="I170" i="7944"/>
  <c r="I183" i="7944"/>
  <c r="E195" i="7946"/>
  <c r="I47" i="7944"/>
  <c r="E196" i="7946"/>
  <c r="E197" i="7946"/>
  <c r="F194" i="7946"/>
  <c r="J172" i="7944"/>
  <c r="J173" i="7944"/>
  <c r="J174" i="7944"/>
  <c r="J170" i="7944"/>
  <c r="J183" i="7944"/>
  <c r="F195" i="7946"/>
  <c r="J47" i="7944"/>
  <c r="F196" i="7946"/>
  <c r="F197" i="7946"/>
  <c r="G194" i="7946"/>
  <c r="K172" i="7944"/>
  <c r="K173" i="7944"/>
  <c r="K174" i="7944"/>
  <c r="K175" i="7944"/>
  <c r="K170" i="7944"/>
  <c r="K183" i="7944"/>
  <c r="G195" i="7946"/>
  <c r="K47" i="7944"/>
  <c r="G196" i="7946"/>
  <c r="G197" i="7946"/>
  <c r="H194" i="7946"/>
  <c r="L172" i="7944"/>
  <c r="L173" i="7944"/>
  <c r="L174" i="7944"/>
  <c r="L175" i="7944"/>
  <c r="L176" i="7944"/>
  <c r="L170" i="7944"/>
  <c r="L183" i="7944"/>
  <c r="H195" i="7946"/>
  <c r="L47" i="7944"/>
  <c r="H196" i="7946"/>
  <c r="H197" i="7946"/>
  <c r="H198" i="7946"/>
  <c r="S12" i="7946"/>
  <c r="D62" i="7946"/>
  <c r="D63" i="7946"/>
  <c r="D64" i="7946"/>
  <c r="E61" i="7946"/>
  <c r="E62" i="7946"/>
  <c r="E63" i="7946"/>
  <c r="E64" i="7946"/>
  <c r="F61" i="7946"/>
  <c r="F62" i="7946"/>
  <c r="F63" i="7946"/>
  <c r="F64" i="7946"/>
  <c r="G61" i="7946"/>
  <c r="G62" i="7946"/>
  <c r="G63" i="7946"/>
  <c r="G64" i="7946"/>
  <c r="H61" i="7946"/>
  <c r="H62" i="7946"/>
  <c r="H63" i="7946"/>
  <c r="H64" i="7946"/>
  <c r="H65" i="7946"/>
  <c r="R12" i="7946"/>
  <c r="G14" i="7944"/>
  <c r="C186" i="7946"/>
  <c r="G156" i="7944"/>
  <c r="G169" i="7944"/>
  <c r="C187" i="7946"/>
  <c r="G46" i="7944"/>
  <c r="C188" i="7946"/>
  <c r="C189" i="7946"/>
  <c r="D186" i="7946"/>
  <c r="H158" i="7944"/>
  <c r="H156" i="7944"/>
  <c r="H169" i="7944"/>
  <c r="D187" i="7946"/>
  <c r="H46" i="7944"/>
  <c r="D188" i="7946"/>
  <c r="D189" i="7946"/>
  <c r="E186" i="7946"/>
  <c r="I158" i="7944"/>
  <c r="I159" i="7944"/>
  <c r="I156" i="7944"/>
  <c r="I169" i="7944"/>
  <c r="E187" i="7946"/>
  <c r="I46" i="7944"/>
  <c r="E188" i="7946"/>
  <c r="E189" i="7946"/>
  <c r="F186" i="7946"/>
  <c r="J158" i="7944"/>
  <c r="J159" i="7944"/>
  <c r="J160" i="7944"/>
  <c r="J156" i="7944"/>
  <c r="J169" i="7944"/>
  <c r="F187" i="7946"/>
  <c r="J46" i="7944"/>
  <c r="F188" i="7946"/>
  <c r="F189" i="7946"/>
  <c r="G186" i="7946"/>
  <c r="K158" i="7944"/>
  <c r="K159" i="7944"/>
  <c r="K160" i="7944"/>
  <c r="K161" i="7944"/>
  <c r="K156" i="7944"/>
  <c r="K169" i="7944"/>
  <c r="G187" i="7946"/>
  <c r="K46" i="7944"/>
  <c r="G188" i="7946"/>
  <c r="G189" i="7946"/>
  <c r="H186" i="7946"/>
  <c r="L158" i="7944"/>
  <c r="L159" i="7944"/>
  <c r="L160" i="7944"/>
  <c r="L161" i="7944"/>
  <c r="L162" i="7944"/>
  <c r="L156" i="7944"/>
  <c r="L169" i="7944"/>
  <c r="H187" i="7946"/>
  <c r="L46" i="7944"/>
  <c r="H188" i="7946"/>
  <c r="H189" i="7946"/>
  <c r="H190" i="7946"/>
  <c r="S11" i="7946"/>
  <c r="D54" i="7946"/>
  <c r="D55" i="7946"/>
  <c r="D56" i="7946"/>
  <c r="E53" i="7946"/>
  <c r="E54" i="7946"/>
  <c r="E55" i="7946"/>
  <c r="E56" i="7946"/>
  <c r="F53" i="7946"/>
  <c r="F54" i="7946"/>
  <c r="F55" i="7946"/>
  <c r="F56" i="7946"/>
  <c r="G53" i="7946"/>
  <c r="G54" i="7946"/>
  <c r="G55" i="7946"/>
  <c r="G56" i="7946"/>
  <c r="H53" i="7946"/>
  <c r="H54" i="7946"/>
  <c r="H55" i="7946"/>
  <c r="H56" i="7946"/>
  <c r="H57" i="7946"/>
  <c r="R11" i="7946"/>
  <c r="G13" i="7944"/>
  <c r="C178" i="7946"/>
  <c r="G142" i="7944"/>
  <c r="G155" i="7944"/>
  <c r="C179" i="7946"/>
  <c r="G45" i="7944"/>
  <c r="C180" i="7946"/>
  <c r="C181" i="7946"/>
  <c r="D178" i="7946"/>
  <c r="H144" i="7944"/>
  <c r="H142" i="7944"/>
  <c r="H155" i="7944"/>
  <c r="D179" i="7946"/>
  <c r="H45" i="7944"/>
  <c r="D180" i="7946"/>
  <c r="D181" i="7946"/>
  <c r="E178" i="7946"/>
  <c r="I144" i="7944"/>
  <c r="I145" i="7944"/>
  <c r="I142" i="7944"/>
  <c r="I155" i="7944"/>
  <c r="E179" i="7946"/>
  <c r="I45" i="7944"/>
  <c r="E180" i="7946"/>
  <c r="E181" i="7946"/>
  <c r="F178" i="7946"/>
  <c r="J144" i="7944"/>
  <c r="J145" i="7944"/>
  <c r="J146" i="7944"/>
  <c r="J142" i="7944"/>
  <c r="J155" i="7944"/>
  <c r="F179" i="7946"/>
  <c r="J45" i="7944"/>
  <c r="F180" i="7946"/>
  <c r="F181" i="7946"/>
  <c r="G178" i="7946"/>
  <c r="K144" i="7944"/>
  <c r="K145" i="7944"/>
  <c r="K146" i="7944"/>
  <c r="K147" i="7944"/>
  <c r="K142" i="7944"/>
  <c r="K155" i="7944"/>
  <c r="G179" i="7946"/>
  <c r="K45" i="7944"/>
  <c r="G180" i="7946"/>
  <c r="G181" i="7946"/>
  <c r="H178" i="7946"/>
  <c r="L144" i="7944"/>
  <c r="L145" i="7944"/>
  <c r="L146" i="7944"/>
  <c r="L147" i="7944"/>
  <c r="L148" i="7944"/>
  <c r="L142" i="7944"/>
  <c r="L155" i="7944"/>
  <c r="H179" i="7946"/>
  <c r="L45" i="7944"/>
  <c r="H180" i="7946"/>
  <c r="H181" i="7946"/>
  <c r="H182" i="7946"/>
  <c r="S10" i="7946"/>
  <c r="D46" i="7946"/>
  <c r="D47" i="7946"/>
  <c r="D48" i="7946"/>
  <c r="E45" i="7946"/>
  <c r="E46" i="7946"/>
  <c r="E47" i="7946"/>
  <c r="E48" i="7946"/>
  <c r="F45" i="7946"/>
  <c r="F46" i="7946"/>
  <c r="F47" i="7946"/>
  <c r="F48" i="7946"/>
  <c r="G45" i="7946"/>
  <c r="G46" i="7946"/>
  <c r="G47" i="7946"/>
  <c r="G48" i="7946"/>
  <c r="H45" i="7946"/>
  <c r="H46" i="7946"/>
  <c r="H47" i="7946"/>
  <c r="H48" i="7946"/>
  <c r="H49" i="7946"/>
  <c r="R10" i="7946"/>
  <c r="G12" i="7944"/>
  <c r="C170" i="7946"/>
  <c r="G128" i="7944"/>
  <c r="G141" i="7944"/>
  <c r="C171" i="7946"/>
  <c r="G44" i="7944"/>
  <c r="C172" i="7946"/>
  <c r="C173" i="7946"/>
  <c r="D170" i="7946"/>
  <c r="H130" i="7944"/>
  <c r="H128" i="7944"/>
  <c r="H141" i="7944"/>
  <c r="D171" i="7946"/>
  <c r="H44" i="7944"/>
  <c r="D172" i="7946"/>
  <c r="D173" i="7946"/>
  <c r="E170" i="7946"/>
  <c r="I130" i="7944"/>
  <c r="I131" i="7944"/>
  <c r="I128" i="7944"/>
  <c r="I141" i="7944"/>
  <c r="E171" i="7946"/>
  <c r="I44" i="7944"/>
  <c r="E172" i="7946"/>
  <c r="E173" i="7946"/>
  <c r="F170" i="7946"/>
  <c r="J130" i="7944"/>
  <c r="J131" i="7944"/>
  <c r="J132" i="7944"/>
  <c r="J128" i="7944"/>
  <c r="J141" i="7944"/>
  <c r="F171" i="7946"/>
  <c r="J44" i="7944"/>
  <c r="F172" i="7946"/>
  <c r="F173" i="7946"/>
  <c r="G170" i="7946"/>
  <c r="K130" i="7944"/>
  <c r="K131" i="7944"/>
  <c r="K132" i="7944"/>
  <c r="K133" i="7944"/>
  <c r="K128" i="7944"/>
  <c r="K141" i="7944"/>
  <c r="G171" i="7946"/>
  <c r="K44" i="7944"/>
  <c r="G172" i="7946"/>
  <c r="G173" i="7946"/>
  <c r="H170" i="7946"/>
  <c r="L130" i="7944"/>
  <c r="L131" i="7944"/>
  <c r="L132" i="7944"/>
  <c r="L133" i="7944"/>
  <c r="L134" i="7944"/>
  <c r="L128" i="7944"/>
  <c r="L141" i="7944"/>
  <c r="H171" i="7946"/>
  <c r="L44" i="7944"/>
  <c r="H172" i="7946"/>
  <c r="H173" i="7946"/>
  <c r="H174" i="7946"/>
  <c r="S9" i="7946"/>
  <c r="D38" i="7946"/>
  <c r="D39" i="7946"/>
  <c r="D40" i="7946"/>
  <c r="E37" i="7946"/>
  <c r="E38" i="7946"/>
  <c r="E39" i="7946"/>
  <c r="E40" i="7946"/>
  <c r="F37" i="7946"/>
  <c r="F38" i="7946"/>
  <c r="F39" i="7946"/>
  <c r="F40" i="7946"/>
  <c r="G37" i="7946"/>
  <c r="G38" i="7946"/>
  <c r="G39" i="7946"/>
  <c r="G40" i="7946"/>
  <c r="H37" i="7946"/>
  <c r="H38" i="7946"/>
  <c r="H39" i="7946"/>
  <c r="H40" i="7946"/>
  <c r="H41" i="7946"/>
  <c r="R9" i="7946"/>
  <c r="G11" i="7944"/>
  <c r="C162" i="7946"/>
  <c r="G114" i="7944"/>
  <c r="G127" i="7944"/>
  <c r="C163" i="7946"/>
  <c r="G43" i="7944"/>
  <c r="C164" i="7946"/>
  <c r="C165" i="7946"/>
  <c r="D162" i="7946"/>
  <c r="H116" i="7944"/>
  <c r="H114" i="7944"/>
  <c r="H127" i="7944"/>
  <c r="D163" i="7946"/>
  <c r="H43" i="7944"/>
  <c r="D164" i="7946"/>
  <c r="D165" i="7946"/>
  <c r="E162" i="7946"/>
  <c r="I116" i="7944"/>
  <c r="I117" i="7944"/>
  <c r="I114" i="7944"/>
  <c r="I127" i="7944"/>
  <c r="E163" i="7946"/>
  <c r="I43" i="7944"/>
  <c r="E164" i="7946"/>
  <c r="E165" i="7946"/>
  <c r="F162" i="7946"/>
  <c r="J116" i="7944"/>
  <c r="J117" i="7944"/>
  <c r="J118" i="7944"/>
  <c r="J114" i="7944"/>
  <c r="J127" i="7944"/>
  <c r="F163" i="7946"/>
  <c r="J43" i="7944"/>
  <c r="F164" i="7946"/>
  <c r="F165" i="7946"/>
  <c r="G162" i="7946"/>
  <c r="K116" i="7944"/>
  <c r="K117" i="7944"/>
  <c r="K118" i="7944"/>
  <c r="K119" i="7944"/>
  <c r="K114" i="7944"/>
  <c r="K127" i="7944"/>
  <c r="G163" i="7946"/>
  <c r="K43" i="7944"/>
  <c r="G164" i="7946"/>
  <c r="G165" i="7946"/>
  <c r="H162" i="7946"/>
  <c r="L116" i="7944"/>
  <c r="L117" i="7944"/>
  <c r="L118" i="7944"/>
  <c r="L119" i="7944"/>
  <c r="L120" i="7944"/>
  <c r="L114" i="7944"/>
  <c r="L127" i="7944"/>
  <c r="H163" i="7946"/>
  <c r="L43" i="7944"/>
  <c r="H164" i="7946"/>
  <c r="H165" i="7946"/>
  <c r="H166" i="7946"/>
  <c r="S8" i="7946"/>
  <c r="D30" i="7946"/>
  <c r="D31" i="7946"/>
  <c r="D32" i="7946"/>
  <c r="E29" i="7946"/>
  <c r="E30" i="7946"/>
  <c r="E31" i="7946"/>
  <c r="E32" i="7946"/>
  <c r="F29" i="7946"/>
  <c r="F30" i="7946"/>
  <c r="F31" i="7946"/>
  <c r="F32" i="7946"/>
  <c r="G29" i="7946"/>
  <c r="G30" i="7946"/>
  <c r="G31" i="7946"/>
  <c r="G32" i="7946"/>
  <c r="H29" i="7946"/>
  <c r="H30" i="7946"/>
  <c r="H31" i="7946"/>
  <c r="H32" i="7946"/>
  <c r="H33" i="7946"/>
  <c r="R8" i="7946"/>
  <c r="G8" i="7944"/>
  <c r="C138" i="7946"/>
  <c r="G72" i="7944"/>
  <c r="G85" i="7944"/>
  <c r="C139" i="7946"/>
  <c r="G40" i="7944"/>
  <c r="C140" i="7946"/>
  <c r="C141" i="7946"/>
  <c r="D138" i="7946"/>
  <c r="H72" i="7944"/>
  <c r="H74" i="7944"/>
  <c r="H85" i="7944"/>
  <c r="D139" i="7946"/>
  <c r="H40" i="7944"/>
  <c r="D140" i="7946"/>
  <c r="D141" i="7946"/>
  <c r="E138" i="7946"/>
  <c r="I72" i="7944"/>
  <c r="I74" i="7944"/>
  <c r="I75" i="7944"/>
  <c r="I85" i="7944"/>
  <c r="E139" i="7946"/>
  <c r="I40" i="7944"/>
  <c r="E140" i="7946"/>
  <c r="E141" i="7946"/>
  <c r="F138" i="7946"/>
  <c r="J72" i="7944"/>
  <c r="J74" i="7944"/>
  <c r="J75" i="7944"/>
  <c r="J76" i="7944"/>
  <c r="J85" i="7944"/>
  <c r="F139" i="7946"/>
  <c r="J40" i="7944"/>
  <c r="F140" i="7946"/>
  <c r="F141" i="7946"/>
  <c r="G138" i="7946"/>
  <c r="K72" i="7944"/>
  <c r="K74" i="7944"/>
  <c r="K75" i="7944"/>
  <c r="K76" i="7944"/>
  <c r="K77" i="7944"/>
  <c r="K85" i="7944"/>
  <c r="G139" i="7946"/>
  <c r="K40" i="7944"/>
  <c r="G140" i="7946"/>
  <c r="G141" i="7946"/>
  <c r="H138" i="7946"/>
  <c r="L72" i="7944"/>
  <c r="L74" i="7944"/>
  <c r="L75" i="7944"/>
  <c r="L76" i="7944"/>
  <c r="L77" i="7944"/>
  <c r="L78" i="7944"/>
  <c r="L85" i="7944"/>
  <c r="H139" i="7946"/>
  <c r="L40" i="7944"/>
  <c r="H140" i="7946"/>
  <c r="H141" i="7946"/>
  <c r="H142" i="7946"/>
  <c r="S5" i="7946"/>
  <c r="D6" i="7946"/>
  <c r="D7" i="7946"/>
  <c r="G437" i="18"/>
  <c r="C5" i="7946"/>
  <c r="G6" i="18"/>
  <c r="G666" i="18"/>
  <c r="G632" i="18"/>
  <c r="C6" i="7946"/>
  <c r="C7" i="7946"/>
  <c r="C8" i="7946"/>
  <c r="D5" i="7946"/>
  <c r="D8" i="7946"/>
  <c r="E5" i="7946"/>
  <c r="E6" i="7946"/>
  <c r="E7" i="7946"/>
  <c r="E8" i="7946"/>
  <c r="F5" i="7946"/>
  <c r="F6" i="7946"/>
  <c r="F7" i="7946"/>
  <c r="F8" i="7946"/>
  <c r="G5" i="7946"/>
  <c r="G6" i="7946"/>
  <c r="G7" i="7946"/>
  <c r="G8" i="7946"/>
  <c r="H5" i="7946"/>
  <c r="H6" i="7946"/>
  <c r="H7" i="7946"/>
  <c r="H8" i="7946"/>
  <c r="H9" i="7946"/>
  <c r="R5" i="7946"/>
  <c r="G100" i="7944"/>
  <c r="G113" i="7944"/>
  <c r="G10" i="7944"/>
  <c r="G42" i="7944"/>
  <c r="H10" i="7944"/>
  <c r="H100" i="7944"/>
  <c r="H102" i="7944"/>
  <c r="H113" i="7944"/>
  <c r="H42" i="7944"/>
  <c r="I10" i="7944"/>
  <c r="I100" i="7944"/>
  <c r="I102" i="7944"/>
  <c r="I103" i="7944"/>
  <c r="I113" i="7944"/>
  <c r="I42" i="7944"/>
  <c r="J10" i="7944"/>
  <c r="J100" i="7944"/>
  <c r="J102" i="7944"/>
  <c r="J103" i="7944"/>
  <c r="J104" i="7944"/>
  <c r="J113" i="7944"/>
  <c r="J42" i="7944"/>
  <c r="K10" i="7944"/>
  <c r="K100" i="7944"/>
  <c r="K102" i="7944"/>
  <c r="K103" i="7944"/>
  <c r="K104" i="7944"/>
  <c r="K105" i="7944"/>
  <c r="K113" i="7944"/>
  <c r="K42" i="7944"/>
  <c r="L10" i="7944"/>
  <c r="L100" i="7944"/>
  <c r="L102" i="7944"/>
  <c r="L103" i="7944"/>
  <c r="L104" i="7944"/>
  <c r="L105" i="7944"/>
  <c r="L106" i="7944"/>
  <c r="L113" i="7944"/>
  <c r="L42" i="7944"/>
  <c r="M10" i="7944"/>
  <c r="G86" i="7944"/>
  <c r="G99" i="7944"/>
  <c r="G9" i="7944"/>
  <c r="G41" i="7944"/>
  <c r="H9" i="7944"/>
  <c r="H86" i="7944"/>
  <c r="H88" i="7944"/>
  <c r="H99" i="7944"/>
  <c r="H41" i="7944"/>
  <c r="I9" i="7944"/>
  <c r="I86" i="7944"/>
  <c r="I88" i="7944"/>
  <c r="I89" i="7944"/>
  <c r="I99" i="7944"/>
  <c r="I41" i="7944"/>
  <c r="J9" i="7944"/>
  <c r="J86" i="7944"/>
  <c r="J88" i="7944"/>
  <c r="J89" i="7944"/>
  <c r="J90" i="7944"/>
  <c r="J99" i="7944"/>
  <c r="J41" i="7944"/>
  <c r="K9" i="7944"/>
  <c r="K86" i="7944"/>
  <c r="K88" i="7944"/>
  <c r="K89" i="7944"/>
  <c r="K90" i="7944"/>
  <c r="K91" i="7944"/>
  <c r="K99" i="7944"/>
  <c r="K41" i="7944"/>
  <c r="L9" i="7944"/>
  <c r="L86" i="7944"/>
  <c r="L88" i="7944"/>
  <c r="L89" i="7944"/>
  <c r="L90" i="7944"/>
  <c r="L91" i="7944"/>
  <c r="L92" i="7944"/>
  <c r="L99" i="7944"/>
  <c r="L41" i="7944"/>
  <c r="M9" i="7944"/>
  <c r="H15" i="7944"/>
  <c r="I15" i="7944"/>
  <c r="J15" i="7944"/>
  <c r="K15" i="7944"/>
  <c r="L15" i="7944"/>
  <c r="M15" i="7944"/>
  <c r="H12" i="7944"/>
  <c r="I12" i="7944"/>
  <c r="J12" i="7944"/>
  <c r="K12" i="7944"/>
  <c r="L12" i="7944"/>
  <c r="M12" i="7944"/>
  <c r="H16" i="7944"/>
  <c r="I16" i="7944"/>
  <c r="J16" i="7944"/>
  <c r="K16" i="7944"/>
  <c r="L16" i="7944"/>
  <c r="M16" i="7944"/>
  <c r="H13" i="7944"/>
  <c r="I13" i="7944"/>
  <c r="J13" i="7944"/>
  <c r="K13" i="7944"/>
  <c r="L13" i="7944"/>
  <c r="M13" i="7944"/>
  <c r="H19" i="7944"/>
  <c r="I19" i="7944"/>
  <c r="J19" i="7944"/>
  <c r="K19" i="7944"/>
  <c r="L19" i="7944"/>
  <c r="M19" i="7944"/>
  <c r="H11" i="7944"/>
  <c r="I11" i="7944"/>
  <c r="J11" i="7944"/>
  <c r="K11" i="7944"/>
  <c r="L11" i="7944"/>
  <c r="M11" i="7944"/>
  <c r="H17" i="7944"/>
  <c r="I17" i="7944"/>
  <c r="J17" i="7944"/>
  <c r="K17" i="7944"/>
  <c r="L17" i="7944"/>
  <c r="M17" i="7944"/>
  <c r="H14" i="7944"/>
  <c r="I14" i="7944"/>
  <c r="J14" i="7944"/>
  <c r="K14" i="7944"/>
  <c r="L14" i="7944"/>
  <c r="M14" i="7944"/>
  <c r="H18" i="7944"/>
  <c r="I18" i="7944"/>
  <c r="J18" i="7944"/>
  <c r="K18" i="7944"/>
  <c r="L18" i="7944"/>
  <c r="M18" i="7944"/>
  <c r="H53" i="7944"/>
  <c r="G254" i="7944"/>
  <c r="G267" i="7944"/>
  <c r="G21" i="7944"/>
  <c r="G53" i="7944"/>
  <c r="H21" i="7944"/>
  <c r="H254" i="7944"/>
  <c r="H256" i="7944"/>
  <c r="H267" i="7944"/>
  <c r="I21" i="7944"/>
  <c r="I53" i="7944"/>
  <c r="I257" i="7944"/>
  <c r="I254" i="7944"/>
  <c r="I256" i="7944"/>
  <c r="I267" i="7944"/>
  <c r="J21" i="7944"/>
  <c r="J53" i="7944"/>
  <c r="J257" i="7944"/>
  <c r="J258" i="7944"/>
  <c r="J254" i="7944"/>
  <c r="J256" i="7944"/>
  <c r="J267" i="7944"/>
  <c r="K21" i="7944"/>
  <c r="K53" i="7944"/>
  <c r="K257" i="7944"/>
  <c r="K258" i="7944"/>
  <c r="K259" i="7944"/>
  <c r="K254" i="7944"/>
  <c r="K256" i="7944"/>
  <c r="K267" i="7944"/>
  <c r="L21" i="7944"/>
  <c r="L53" i="7944"/>
  <c r="L257" i="7944"/>
  <c r="L258" i="7944"/>
  <c r="L259" i="7944"/>
  <c r="L260" i="7944"/>
  <c r="L254" i="7944"/>
  <c r="L256" i="7944"/>
  <c r="L267" i="7944"/>
  <c r="M21" i="7944"/>
  <c r="H22" i="7944"/>
  <c r="I22" i="7944"/>
  <c r="J22" i="7944"/>
  <c r="K22" i="7944"/>
  <c r="L22" i="7944"/>
  <c r="M22" i="7944"/>
  <c r="H23" i="7944"/>
  <c r="I23" i="7944"/>
  <c r="J23" i="7944"/>
  <c r="K23" i="7944"/>
  <c r="L23" i="7944"/>
  <c r="M23" i="7944"/>
  <c r="H20" i="7944"/>
  <c r="I20" i="7944"/>
  <c r="J20" i="7944"/>
  <c r="K20" i="7944"/>
  <c r="L20" i="7944"/>
  <c r="M20" i="7944"/>
  <c r="H8" i="7944"/>
  <c r="I8" i="7944"/>
  <c r="J8" i="7944"/>
  <c r="K8" i="7944"/>
  <c r="L8" i="7944"/>
  <c r="M8" i="7944"/>
  <c r="G501" i="18"/>
  <c r="I182" i="1"/>
  <c r="J182" i="1"/>
  <c r="K182" i="1"/>
  <c r="L182" i="1"/>
  <c r="M182" i="1"/>
  <c r="N182" i="1"/>
  <c r="O182" i="1"/>
  <c r="P182" i="1"/>
  <c r="Q182" i="1"/>
  <c r="G667" i="18"/>
  <c r="G633" i="18"/>
  <c r="N83" i="18"/>
  <c r="O226" i="18"/>
  <c r="G38" i="7941"/>
  <c r="F244" i="7946"/>
  <c r="G11" i="7942"/>
  <c r="D243" i="7946"/>
  <c r="E244" i="7946"/>
  <c r="E155" i="7946"/>
  <c r="H139" i="1"/>
  <c r="K139" i="1"/>
  <c r="L139" i="1"/>
  <c r="M217" i="18"/>
  <c r="J37" i="1"/>
  <c r="M258" i="7944"/>
  <c r="Q71" i="1"/>
  <c r="M70" i="18"/>
  <c r="M83" i="18"/>
  <c r="M122" i="18"/>
  <c r="M135" i="18"/>
  <c r="M148" i="18"/>
  <c r="M174" i="18"/>
  <c r="M187" i="18"/>
  <c r="M213" i="18"/>
  <c r="M215" i="18"/>
  <c r="M216" i="18"/>
  <c r="M219" i="18"/>
  <c r="M226" i="18"/>
  <c r="G454" i="18"/>
  <c r="G23" i="7941"/>
  <c r="G382" i="7942"/>
  <c r="G414" i="7942"/>
  <c r="G446" i="7942"/>
  <c r="G550" i="18"/>
  <c r="G119" i="7941"/>
  <c r="G478" i="7942"/>
  <c r="G582" i="18"/>
  <c r="G151" i="7941"/>
  <c r="G510" i="7942"/>
  <c r="G614" i="18"/>
  <c r="G183" i="7941"/>
  <c r="G215" i="7941"/>
  <c r="G455" i="18"/>
  <c r="G24" i="7941"/>
  <c r="G383" i="7942"/>
  <c r="G415" i="7942"/>
  <c r="G447" i="7942"/>
  <c r="G551" i="18"/>
  <c r="G120" i="7941"/>
  <c r="G479" i="7942"/>
  <c r="G583" i="18"/>
  <c r="G152" i="7941"/>
  <c r="G511" i="7942"/>
  <c r="G615" i="18"/>
  <c r="G184" i="7941"/>
  <c r="G216" i="7941"/>
  <c r="G456" i="18"/>
  <c r="G25" i="7941"/>
  <c r="G384" i="7942"/>
  <c r="G416" i="7942"/>
  <c r="G448" i="7942"/>
  <c r="G552" i="18"/>
  <c r="G121" i="7941"/>
  <c r="G480" i="7942"/>
  <c r="G584" i="18"/>
  <c r="G153" i="7941"/>
  <c r="G512" i="7942"/>
  <c r="G616" i="18"/>
  <c r="G185" i="7941"/>
  <c r="G217" i="7941"/>
  <c r="G457" i="18"/>
  <c r="G26" i="7941"/>
  <c r="G385" i="7942"/>
  <c r="G417" i="7942"/>
  <c r="G449" i="7942"/>
  <c r="G553" i="18"/>
  <c r="G122" i="7941"/>
  <c r="G481" i="7942"/>
  <c r="G585" i="18"/>
  <c r="G154" i="7941"/>
  <c r="G513" i="7942"/>
  <c r="G617" i="18"/>
  <c r="G186" i="7941"/>
  <c r="G218" i="7941"/>
  <c r="G458" i="18"/>
  <c r="G27" i="7941"/>
  <c r="G386" i="7942"/>
  <c r="G418" i="7942"/>
  <c r="G450" i="7942"/>
  <c r="G554" i="18"/>
  <c r="G123" i="7941"/>
  <c r="G482" i="7942"/>
  <c r="G586" i="18"/>
  <c r="G155" i="7941"/>
  <c r="G514" i="7942"/>
  <c r="G618" i="18"/>
  <c r="G187" i="7941"/>
  <c r="G219" i="7941"/>
  <c r="G459" i="18"/>
  <c r="G28" i="7941"/>
  <c r="G387" i="7942"/>
  <c r="G419" i="7942"/>
  <c r="G451" i="7942"/>
  <c r="G555" i="18"/>
  <c r="G124" i="7941"/>
  <c r="G483" i="7942"/>
  <c r="G587" i="18"/>
  <c r="G156" i="7941"/>
  <c r="G515" i="7942"/>
  <c r="G619" i="18"/>
  <c r="G188" i="7941"/>
  <c r="G220" i="7941"/>
  <c r="G460" i="18"/>
  <c r="G29" i="7941"/>
  <c r="G388" i="7942"/>
  <c r="G420" i="7942"/>
  <c r="G452" i="7942"/>
  <c r="G556" i="18"/>
  <c r="G125" i="7941"/>
  <c r="G484" i="7942"/>
  <c r="G588" i="18"/>
  <c r="G157" i="7941"/>
  <c r="G516" i="7942"/>
  <c r="G620" i="18"/>
  <c r="G189" i="7941"/>
  <c r="G221" i="7941"/>
  <c r="G461" i="18"/>
  <c r="G30" i="7941"/>
  <c r="G389" i="7942"/>
  <c r="G421" i="7942"/>
  <c r="G453" i="7942"/>
  <c r="G557" i="18"/>
  <c r="G126" i="7941"/>
  <c r="G485" i="7942"/>
  <c r="G589" i="18"/>
  <c r="G158" i="7941"/>
  <c r="G517" i="7942"/>
  <c r="G621" i="18"/>
  <c r="G190" i="7941"/>
  <c r="G222" i="7941"/>
  <c r="G462" i="18"/>
  <c r="G31" i="7941"/>
  <c r="G390" i="7942"/>
  <c r="G422" i="7942"/>
  <c r="G454" i="7942"/>
  <c r="G558" i="18"/>
  <c r="G127" i="7941"/>
  <c r="G486" i="7942"/>
  <c r="G590" i="18"/>
  <c r="G159" i="7941"/>
  <c r="G518" i="7942"/>
  <c r="G622" i="18"/>
  <c r="G191" i="7941"/>
  <c r="G223" i="7941"/>
  <c r="G463" i="18"/>
  <c r="G32" i="7941"/>
  <c r="G391" i="7942"/>
  <c r="G423" i="7942"/>
  <c r="G455" i="7942"/>
  <c r="G559" i="18"/>
  <c r="G128" i="7941"/>
  <c r="G487" i="7942"/>
  <c r="G591" i="18"/>
  <c r="G160" i="7941"/>
  <c r="G519" i="7942"/>
  <c r="G623" i="18"/>
  <c r="G192" i="7941"/>
  <c r="G224" i="7941"/>
  <c r="G464" i="18"/>
  <c r="G33" i="7941"/>
  <c r="G392" i="7942"/>
  <c r="G424" i="7942"/>
  <c r="G456" i="7942"/>
  <c r="G560" i="18"/>
  <c r="G129" i="7941"/>
  <c r="G488" i="7942"/>
  <c r="G592" i="18"/>
  <c r="G161" i="7941"/>
  <c r="G520" i="7942"/>
  <c r="G624" i="18"/>
  <c r="G193" i="7941"/>
  <c r="G225" i="7941"/>
  <c r="G465" i="18"/>
  <c r="G34" i="7941"/>
  <c r="G393" i="7942"/>
  <c r="G425" i="7942"/>
  <c r="G457" i="7942"/>
  <c r="G561" i="18"/>
  <c r="G130" i="7941"/>
  <c r="G489" i="7942"/>
  <c r="G593" i="18"/>
  <c r="G162" i="7941"/>
  <c r="G521" i="7942"/>
  <c r="G625" i="18"/>
  <c r="G194" i="7941"/>
  <c r="G226" i="7941"/>
  <c r="G466" i="18"/>
  <c r="G35" i="7941"/>
  <c r="G394" i="7942"/>
  <c r="G426" i="7942"/>
  <c r="G458" i="7942"/>
  <c r="G562" i="18"/>
  <c r="G131" i="7941"/>
  <c r="G490" i="7942"/>
  <c r="G594" i="18"/>
  <c r="G163" i="7941"/>
  <c r="G522" i="7942"/>
  <c r="G626" i="18"/>
  <c r="G195" i="7941"/>
  <c r="G227" i="7941"/>
  <c r="G467" i="18"/>
  <c r="G36" i="7941"/>
  <c r="G395" i="7942"/>
  <c r="G427" i="7942"/>
  <c r="G459" i="7942"/>
  <c r="G563" i="18"/>
  <c r="G132" i="7941"/>
  <c r="G491" i="7942"/>
  <c r="G595" i="18"/>
  <c r="G164" i="7941"/>
  <c r="G523" i="7942"/>
  <c r="G627" i="18"/>
  <c r="G196" i="7941"/>
  <c r="G228" i="7941"/>
  <c r="G350" i="7942"/>
  <c r="G351" i="7942"/>
  <c r="G352" i="7942"/>
  <c r="G353" i="7942"/>
  <c r="G354" i="7942"/>
  <c r="G355" i="7942"/>
  <c r="G356" i="7942"/>
  <c r="G357" i="7942"/>
  <c r="G358" i="7942"/>
  <c r="G359" i="7942"/>
  <c r="G360" i="7942"/>
  <c r="G361" i="7942"/>
  <c r="G362" i="7942"/>
  <c r="G363" i="7942"/>
  <c r="G28" i="7942"/>
  <c r="G221" i="7942"/>
  <c r="G189" i="7942"/>
  <c r="G253" i="7942"/>
  <c r="G29" i="7942"/>
  <c r="G222" i="7942"/>
  <c r="G190" i="7942"/>
  <c r="G254" i="7942"/>
  <c r="G30" i="7942"/>
  <c r="G223" i="7942"/>
  <c r="G191" i="7942"/>
  <c r="G255" i="7942"/>
  <c r="G31" i="7942"/>
  <c r="G224" i="7942"/>
  <c r="G192" i="7942"/>
  <c r="G256" i="7942"/>
  <c r="G163" i="1"/>
  <c r="G32" i="7942"/>
  <c r="G225" i="7942"/>
  <c r="G193" i="7942"/>
  <c r="G257" i="7942"/>
  <c r="G164" i="1"/>
  <c r="G33" i="7942"/>
  <c r="G226" i="7942"/>
  <c r="G194" i="7942"/>
  <c r="G258" i="7942"/>
  <c r="G165" i="1"/>
  <c r="G34" i="7942"/>
  <c r="G227" i="7942"/>
  <c r="G195" i="7942"/>
  <c r="G259" i="7942"/>
  <c r="G166" i="1"/>
  <c r="G35" i="7942"/>
  <c r="G228" i="7942"/>
  <c r="G196" i="7942"/>
  <c r="G260" i="7942"/>
  <c r="G167" i="1"/>
  <c r="G36" i="7942"/>
  <c r="G229" i="7942"/>
  <c r="G197" i="7942"/>
  <c r="G261" i="7942"/>
  <c r="G168" i="1"/>
  <c r="G37" i="7942"/>
  <c r="G230" i="7942"/>
  <c r="G198" i="7942"/>
  <c r="G262" i="7942"/>
  <c r="G169" i="1"/>
  <c r="G38" i="7942"/>
  <c r="G231" i="7942"/>
  <c r="G199" i="7942"/>
  <c r="G263" i="7942"/>
  <c r="G170" i="1"/>
  <c r="G39" i="7942"/>
  <c r="G232" i="7942"/>
  <c r="G200" i="7942"/>
  <c r="G264" i="7942"/>
  <c r="G171" i="1"/>
  <c r="G40" i="7942"/>
  <c r="G233" i="7942"/>
  <c r="G201" i="7942"/>
  <c r="G265" i="7942"/>
  <c r="G172" i="1"/>
  <c r="G41" i="7942"/>
  <c r="G234" i="7942"/>
  <c r="G202" i="7942"/>
  <c r="G266" i="7942"/>
  <c r="D65" i="7941"/>
  <c r="H3" i="18"/>
  <c r="I3" i="18"/>
  <c r="J3" i="18"/>
  <c r="K3" i="18"/>
  <c r="L3" i="18"/>
  <c r="G3" i="7944"/>
  <c r="H3" i="7944"/>
  <c r="I3" i="7944"/>
  <c r="J3" i="7944"/>
  <c r="K3" i="7944"/>
  <c r="L3" i="7944"/>
  <c r="C244" i="7946"/>
  <c r="C243" i="7946"/>
  <c r="C242" i="7946"/>
  <c r="C156" i="7946"/>
  <c r="C155" i="7946"/>
  <c r="C154" i="7946"/>
  <c r="C148" i="7946"/>
  <c r="C147" i="7946"/>
  <c r="C146" i="7946"/>
  <c r="H40" i="1"/>
  <c r="D136" i="7946"/>
  <c r="I40" i="1"/>
  <c r="E136" i="7946"/>
  <c r="J40" i="1"/>
  <c r="F136" i="7946"/>
  <c r="K40" i="1"/>
  <c r="G136" i="7946"/>
  <c r="L40" i="1"/>
  <c r="H136" i="7946"/>
  <c r="M40" i="1"/>
  <c r="I136" i="7946"/>
  <c r="G40" i="1"/>
  <c r="C136" i="7946"/>
  <c r="J4" i="7941"/>
  <c r="K4" i="7941"/>
  <c r="L4" i="7941"/>
  <c r="I4" i="7941"/>
  <c r="M4" i="7941"/>
  <c r="I3" i="7946"/>
  <c r="H3" i="7946"/>
  <c r="G3" i="7946"/>
  <c r="F3" i="7946"/>
  <c r="E3" i="7946"/>
  <c r="D3" i="7946"/>
  <c r="C3" i="7946"/>
  <c r="G335" i="7942"/>
  <c r="G336" i="7942"/>
  <c r="G337" i="7942"/>
  <c r="G338" i="7942"/>
  <c r="G339" i="7942"/>
  <c r="G340" i="7942"/>
  <c r="G341" i="7942"/>
  <c r="G342" i="7942"/>
  <c r="G343" i="7942"/>
  <c r="G344" i="7942"/>
  <c r="G345" i="7942"/>
  <c r="G346" i="7942"/>
  <c r="G347" i="7942"/>
  <c r="G348" i="7942"/>
  <c r="G349" i="7942"/>
  <c r="G24" i="7944"/>
  <c r="G56" i="7944"/>
  <c r="G296" i="7944"/>
  <c r="G309" i="7944"/>
  <c r="H56" i="7944"/>
  <c r="H298" i="7944"/>
  <c r="I56" i="7944"/>
  <c r="I299" i="7944"/>
  <c r="J56" i="7944"/>
  <c r="J300" i="7944"/>
  <c r="K300" i="7944"/>
  <c r="K56" i="7944"/>
  <c r="K301" i="7944"/>
  <c r="L301" i="7944"/>
  <c r="L56" i="7944"/>
  <c r="L302" i="7944"/>
  <c r="M3" i="7944"/>
  <c r="M302" i="7944"/>
  <c r="N3" i="7944"/>
  <c r="N302" i="7944"/>
  <c r="G25" i="7944"/>
  <c r="G57" i="7944"/>
  <c r="G310" i="7944"/>
  <c r="G323" i="7944"/>
  <c r="H57" i="7944"/>
  <c r="H310" i="7944"/>
  <c r="I310" i="7944"/>
  <c r="J310" i="7944"/>
  <c r="K310" i="7944"/>
  <c r="H312" i="7944"/>
  <c r="I57" i="7944"/>
  <c r="I313" i="7944"/>
  <c r="J313" i="7944"/>
  <c r="K313" i="7944"/>
  <c r="L313" i="7944"/>
  <c r="J57" i="7944"/>
  <c r="J314" i="7944"/>
  <c r="K57" i="7944"/>
  <c r="K315" i="7944"/>
  <c r="L57" i="7944"/>
  <c r="L316" i="7944"/>
  <c r="M316" i="7944"/>
  <c r="N316" i="7944"/>
  <c r="O3" i="7944"/>
  <c r="O316" i="7944"/>
  <c r="G26" i="7944"/>
  <c r="G58" i="7944"/>
  <c r="G324" i="7944"/>
  <c r="H324" i="7944"/>
  <c r="G337" i="7944"/>
  <c r="H58" i="7944"/>
  <c r="H326" i="7944"/>
  <c r="I58" i="7944"/>
  <c r="I327" i="7944"/>
  <c r="J327" i="7944"/>
  <c r="J58" i="7944"/>
  <c r="J328" i="7944"/>
  <c r="K328" i="7944"/>
  <c r="K58" i="7944"/>
  <c r="K329" i="7944"/>
  <c r="L329" i="7944"/>
  <c r="M329" i="7944"/>
  <c r="N329" i="7944"/>
  <c r="O329" i="7944"/>
  <c r="L58" i="7944"/>
  <c r="L330" i="7944"/>
  <c r="M330" i="7944"/>
  <c r="G27" i="7944"/>
  <c r="G59" i="7944"/>
  <c r="G338" i="7944"/>
  <c r="G351" i="7944"/>
  <c r="H59" i="7944"/>
  <c r="H338" i="7944"/>
  <c r="H340" i="7944"/>
  <c r="I59" i="7944"/>
  <c r="I338" i="7944"/>
  <c r="I340" i="7944"/>
  <c r="I341" i="7944"/>
  <c r="I351" i="7944"/>
  <c r="J59" i="7944"/>
  <c r="J338" i="7944"/>
  <c r="J340" i="7944"/>
  <c r="J341" i="7944"/>
  <c r="J342" i="7944"/>
  <c r="J351" i="7944"/>
  <c r="K342" i="7944"/>
  <c r="K59" i="7944"/>
  <c r="K340" i="7944"/>
  <c r="K341" i="7944"/>
  <c r="K343" i="7944"/>
  <c r="L59" i="7944"/>
  <c r="L344" i="7944"/>
  <c r="G28" i="7944"/>
  <c r="G60" i="7944"/>
  <c r="G352" i="7944"/>
  <c r="G365" i="7944"/>
  <c r="H28" i="7944"/>
  <c r="H60" i="7944"/>
  <c r="H354" i="7944"/>
  <c r="I354" i="7944"/>
  <c r="J354" i="7944"/>
  <c r="I60" i="7944"/>
  <c r="I355" i="7944"/>
  <c r="J60" i="7944"/>
  <c r="J355" i="7944"/>
  <c r="K355" i="7944"/>
  <c r="J356" i="7944"/>
  <c r="K60" i="7944"/>
  <c r="K356" i="7944"/>
  <c r="K357" i="7944"/>
  <c r="L60" i="7944"/>
  <c r="L357" i="7944"/>
  <c r="M357" i="7944"/>
  <c r="L358" i="7944"/>
  <c r="M358" i="7944"/>
  <c r="G29" i="7944"/>
  <c r="G61" i="7944"/>
  <c r="G366" i="7944"/>
  <c r="G379" i="7944"/>
  <c r="H29" i="7944"/>
  <c r="H61" i="7944"/>
  <c r="H368" i="7944"/>
  <c r="I61" i="7944"/>
  <c r="I368" i="7944"/>
  <c r="J368" i="7944"/>
  <c r="K368" i="7944"/>
  <c r="I369" i="7944"/>
  <c r="J61" i="7944"/>
  <c r="J370" i="7944"/>
  <c r="K370" i="7944"/>
  <c r="K61" i="7944"/>
  <c r="K371" i="7944"/>
  <c r="L61" i="7944"/>
  <c r="L372" i="7944"/>
  <c r="G30" i="7944"/>
  <c r="G62" i="7944"/>
  <c r="G380" i="7944"/>
  <c r="G393" i="7944"/>
  <c r="H30" i="7944"/>
  <c r="H62" i="7944"/>
  <c r="H380" i="7944"/>
  <c r="H382" i="7944"/>
  <c r="H393" i="7944"/>
  <c r="I62" i="7944"/>
  <c r="I380" i="7944"/>
  <c r="I382" i="7944"/>
  <c r="I383" i="7944"/>
  <c r="I393" i="7944"/>
  <c r="J62" i="7944"/>
  <c r="J382" i="7944"/>
  <c r="J383" i="7944"/>
  <c r="J384" i="7944"/>
  <c r="K384" i="7944"/>
  <c r="K62" i="7944"/>
  <c r="K382" i="7944"/>
  <c r="K385" i="7944"/>
  <c r="L385" i="7944"/>
  <c r="L62" i="7944"/>
  <c r="L386" i="7944"/>
  <c r="M386" i="7944"/>
  <c r="N386" i="7944"/>
  <c r="O386" i="7944"/>
  <c r="G31" i="7944"/>
  <c r="G63" i="7944"/>
  <c r="G394" i="7944"/>
  <c r="G407" i="7944"/>
  <c r="H31" i="7944"/>
  <c r="H63" i="7944"/>
  <c r="H394" i="7944"/>
  <c r="I394" i="7944"/>
  <c r="H396" i="7944"/>
  <c r="I396" i="7944"/>
  <c r="I63" i="7944"/>
  <c r="I397" i="7944"/>
  <c r="J397" i="7944"/>
  <c r="J63" i="7944"/>
  <c r="J398" i="7944"/>
  <c r="K63" i="7944"/>
  <c r="K398" i="7944"/>
  <c r="K399" i="7944"/>
  <c r="L63" i="7944"/>
  <c r="L399" i="7944"/>
  <c r="M399" i="7944"/>
  <c r="N399" i="7944"/>
  <c r="L400" i="7944"/>
  <c r="M400" i="7944"/>
  <c r="N400" i="7944"/>
  <c r="G32" i="7944"/>
  <c r="G64" i="7944"/>
  <c r="G408" i="7944"/>
  <c r="G421" i="7944"/>
  <c r="H32" i="7944"/>
  <c r="H64" i="7944"/>
  <c r="H410" i="7944"/>
  <c r="I410" i="7944"/>
  <c r="I64" i="7944"/>
  <c r="I411" i="7944"/>
  <c r="J64" i="7944"/>
  <c r="J411" i="7944"/>
  <c r="J412" i="7944"/>
  <c r="K64" i="7944"/>
  <c r="K411" i="7944"/>
  <c r="K412" i="7944"/>
  <c r="K413" i="7944"/>
  <c r="L413" i="7944"/>
  <c r="L64" i="7944"/>
  <c r="L412" i="7944"/>
  <c r="L414" i="7944"/>
  <c r="M414" i="7944"/>
  <c r="G33" i="7944"/>
  <c r="G65" i="7944"/>
  <c r="G422" i="7944"/>
  <c r="G435" i="7944"/>
  <c r="H33" i="7944"/>
  <c r="H65" i="7944"/>
  <c r="H424" i="7944"/>
  <c r="I424" i="7944"/>
  <c r="I65" i="7944"/>
  <c r="I425" i="7944"/>
  <c r="J425" i="7944"/>
  <c r="J65" i="7944"/>
  <c r="J426" i="7944"/>
  <c r="K426" i="7944"/>
  <c r="K65" i="7944"/>
  <c r="K427" i="7944"/>
  <c r="L427" i="7944"/>
  <c r="L65" i="7944"/>
  <c r="L428" i="7944"/>
  <c r="M428" i="7944"/>
  <c r="G34" i="7944"/>
  <c r="G66" i="7944"/>
  <c r="G436" i="7944"/>
  <c r="G449" i="7944"/>
  <c r="H34" i="7944"/>
  <c r="H66" i="7944"/>
  <c r="H436" i="7944"/>
  <c r="I436" i="7944"/>
  <c r="H438" i="7944"/>
  <c r="I66" i="7944"/>
  <c r="I439" i="7944"/>
  <c r="J66" i="7944"/>
  <c r="J440" i="7944"/>
  <c r="K66" i="7944"/>
  <c r="K440" i="7944"/>
  <c r="K441" i="7944"/>
  <c r="L441" i="7944"/>
  <c r="L66" i="7944"/>
  <c r="L442" i="7944"/>
  <c r="G35" i="7944"/>
  <c r="G67" i="7944"/>
  <c r="G450" i="7944"/>
  <c r="G463" i="7944"/>
  <c r="H35" i="7944"/>
  <c r="H67" i="7944"/>
  <c r="H450" i="7944"/>
  <c r="I450" i="7944"/>
  <c r="H452" i="7944"/>
  <c r="I67" i="7944"/>
  <c r="I452" i="7944"/>
  <c r="I453" i="7944"/>
  <c r="J453" i="7944"/>
  <c r="J67" i="7944"/>
  <c r="J454" i="7944"/>
  <c r="K67" i="7944"/>
  <c r="K455" i="7944"/>
  <c r="L67" i="7944"/>
  <c r="L456" i="7944"/>
  <c r="M456" i="7944"/>
  <c r="G36" i="7944"/>
  <c r="G68" i="7944"/>
  <c r="G464" i="7944"/>
  <c r="G477" i="7944"/>
  <c r="H36" i="7944"/>
  <c r="H68" i="7944"/>
  <c r="H466" i="7944"/>
  <c r="I466" i="7944"/>
  <c r="I68" i="7944"/>
  <c r="I467" i="7944"/>
  <c r="J68" i="7944"/>
  <c r="J467" i="7944"/>
  <c r="J468" i="7944"/>
  <c r="K68" i="7944"/>
  <c r="K467" i="7944"/>
  <c r="K468" i="7944"/>
  <c r="K469" i="7944"/>
  <c r="L469" i="7944"/>
  <c r="L68" i="7944"/>
  <c r="L468" i="7944"/>
  <c r="L470" i="7944"/>
  <c r="M470" i="7944"/>
  <c r="N470" i="7944"/>
  <c r="O470" i="7944"/>
  <c r="P3" i="7944"/>
  <c r="P470" i="7944"/>
  <c r="Q3" i="7944"/>
  <c r="Q470" i="7944"/>
  <c r="G22" i="1"/>
  <c r="D374" i="7941"/>
  <c r="G21" i="1"/>
  <c r="C226" i="18"/>
  <c r="G20" i="1"/>
  <c r="G19" i="1"/>
  <c r="G18" i="1"/>
  <c r="F120" i="1"/>
  <c r="G17" i="1"/>
  <c r="D145" i="7941"/>
  <c r="G16" i="1"/>
  <c r="C161" i="18"/>
  <c r="G15" i="1"/>
  <c r="G14" i="1"/>
  <c r="D142" i="7941"/>
  <c r="G13" i="1"/>
  <c r="D141" i="7941"/>
  <c r="G12" i="1"/>
  <c r="G11" i="1"/>
  <c r="G10" i="1"/>
  <c r="F112" i="1"/>
  <c r="G9" i="1"/>
  <c r="D137" i="7941"/>
  <c r="G8" i="1"/>
  <c r="C463" i="7942"/>
  <c r="G7" i="1"/>
  <c r="H4" i="7941"/>
  <c r="G4" i="7941"/>
  <c r="D367" i="7941"/>
  <c r="M6" i="18"/>
  <c r="N6" i="18"/>
  <c r="O6" i="18"/>
  <c r="P6" i="18"/>
  <c r="Q6" i="18"/>
  <c r="H335" i="7942"/>
  <c r="H336" i="7942"/>
  <c r="H337" i="7942"/>
  <c r="H338" i="7942"/>
  <c r="H339" i="7942"/>
  <c r="H340" i="7942"/>
  <c r="H342" i="7942"/>
  <c r="H343" i="7942"/>
  <c r="H344" i="7942"/>
  <c r="H345" i="7942"/>
  <c r="H346" i="7942"/>
  <c r="H347" i="7942"/>
  <c r="H348" i="7942"/>
  <c r="H349" i="7942"/>
  <c r="G4" i="7942"/>
  <c r="F4" i="7942"/>
  <c r="F4" i="18"/>
  <c r="M268" i="7944"/>
  <c r="M270" i="7944"/>
  <c r="M54" i="7944"/>
  <c r="N268" i="7944"/>
  <c r="N54" i="7944"/>
  <c r="O268" i="7944"/>
  <c r="O54" i="7944"/>
  <c r="P268" i="7944"/>
  <c r="P276" i="7944"/>
  <c r="P54" i="7944"/>
  <c r="Q268" i="7944"/>
  <c r="Q276" i="7944"/>
  <c r="Q54" i="7944"/>
  <c r="M282" i="7944"/>
  <c r="M284" i="7944"/>
  <c r="M286" i="7944"/>
  <c r="M287" i="7944"/>
  <c r="M288" i="7944"/>
  <c r="M289" i="7944"/>
  <c r="M55" i="7944"/>
  <c r="N282" i="7944"/>
  <c r="N284" i="7944"/>
  <c r="N286" i="7944"/>
  <c r="N287" i="7944"/>
  <c r="N288" i="7944"/>
  <c r="N289" i="7944"/>
  <c r="N290" i="7944"/>
  <c r="N55" i="7944"/>
  <c r="O282" i="7944"/>
  <c r="O284" i="7944"/>
  <c r="O286" i="7944"/>
  <c r="O287" i="7944"/>
  <c r="O288" i="7944"/>
  <c r="O289" i="7944"/>
  <c r="O290" i="7944"/>
  <c r="O291" i="7944"/>
  <c r="O55" i="7944"/>
  <c r="P282" i="7944"/>
  <c r="P284" i="7944"/>
  <c r="P286" i="7944"/>
  <c r="P287" i="7944"/>
  <c r="P288" i="7944"/>
  <c r="P289" i="7944"/>
  <c r="P290" i="7944"/>
  <c r="P291" i="7944"/>
  <c r="P292" i="7944"/>
  <c r="P55" i="7944"/>
  <c r="Q282" i="7944"/>
  <c r="Q284" i="7944"/>
  <c r="Q286" i="7944"/>
  <c r="Q287" i="7944"/>
  <c r="Q288" i="7944"/>
  <c r="Q289" i="7944"/>
  <c r="Q290" i="7944"/>
  <c r="Q291" i="7944"/>
  <c r="Q292" i="7944"/>
  <c r="Q293" i="7944"/>
  <c r="Q55" i="7944"/>
  <c r="M303" i="7944"/>
  <c r="N303" i="7944"/>
  <c r="M56" i="7944"/>
  <c r="N304" i="7944"/>
  <c r="O304" i="7944"/>
  <c r="N56" i="7944"/>
  <c r="O305" i="7944"/>
  <c r="P305" i="7944"/>
  <c r="Q305" i="7944"/>
  <c r="O56" i="7944"/>
  <c r="P306" i="7944"/>
  <c r="Q306" i="7944"/>
  <c r="P56" i="7944"/>
  <c r="Q307" i="7944"/>
  <c r="Q56" i="7944"/>
  <c r="M317" i="7944"/>
  <c r="M57" i="7944"/>
  <c r="N318" i="7944"/>
  <c r="O318" i="7944"/>
  <c r="N57" i="7944"/>
  <c r="O319" i="7944"/>
  <c r="O57" i="7944"/>
  <c r="P319" i="7944"/>
  <c r="Q319" i="7944"/>
  <c r="P320" i="7944"/>
  <c r="Q320" i="7944"/>
  <c r="P57" i="7944"/>
  <c r="Q321" i="7944"/>
  <c r="Q57" i="7944"/>
  <c r="M331" i="7944"/>
  <c r="N331" i="7944"/>
  <c r="M58" i="7944"/>
  <c r="N332" i="7944"/>
  <c r="O332" i="7944"/>
  <c r="N58" i="7944"/>
  <c r="O333" i="7944"/>
  <c r="O58" i="7944"/>
  <c r="P333" i="7944"/>
  <c r="Q333" i="7944"/>
  <c r="P334" i="7944"/>
  <c r="Q334" i="7944"/>
  <c r="P58" i="7944"/>
  <c r="Q335" i="7944"/>
  <c r="Q58" i="7944"/>
  <c r="M344" i="7944"/>
  <c r="M345" i="7944"/>
  <c r="N345" i="7944"/>
  <c r="O345" i="7944"/>
  <c r="P345" i="7944"/>
  <c r="M59" i="7944"/>
  <c r="N344" i="7944"/>
  <c r="N346" i="7944"/>
  <c r="N59" i="7944"/>
  <c r="O344" i="7944"/>
  <c r="P344" i="7944"/>
  <c r="Q344" i="7944"/>
  <c r="O347" i="7944"/>
  <c r="P347" i="7944"/>
  <c r="Q347" i="7944"/>
  <c r="O59" i="7944"/>
  <c r="P348" i="7944"/>
  <c r="P59" i="7944"/>
  <c r="Q348" i="7944"/>
  <c r="Q349" i="7944"/>
  <c r="Q59" i="7944"/>
  <c r="M60" i="7944"/>
  <c r="M359" i="7944"/>
  <c r="N360" i="7944"/>
  <c r="N60" i="7944"/>
  <c r="O360" i="7944"/>
  <c r="P360" i="7944"/>
  <c r="Q360" i="7944"/>
  <c r="O361" i="7944"/>
  <c r="P361" i="7944"/>
  <c r="O60" i="7944"/>
  <c r="P362" i="7944"/>
  <c r="Q362" i="7944"/>
  <c r="P60" i="7944"/>
  <c r="Q363" i="7944"/>
  <c r="Q60" i="7944"/>
  <c r="M61" i="7944"/>
  <c r="M372" i="7944"/>
  <c r="N372" i="7944"/>
  <c r="M373" i="7944"/>
  <c r="N373" i="7944"/>
  <c r="N374" i="7944"/>
  <c r="N61" i="7944"/>
  <c r="O374" i="7944"/>
  <c r="O375" i="7944"/>
  <c r="P375" i="7944"/>
  <c r="O61" i="7944"/>
  <c r="P376" i="7944"/>
  <c r="P61" i="7944"/>
  <c r="Q376" i="7944"/>
  <c r="Q377" i="7944"/>
  <c r="Q61" i="7944"/>
  <c r="M62" i="7944"/>
  <c r="M387" i="7944"/>
  <c r="N388" i="7944"/>
  <c r="O388" i="7944"/>
  <c r="P388" i="7944"/>
  <c r="Q388" i="7944"/>
  <c r="N62" i="7944"/>
  <c r="O389" i="7944"/>
  <c r="P389" i="7944"/>
  <c r="O62" i="7944"/>
  <c r="P390" i="7944"/>
  <c r="Q390" i="7944"/>
  <c r="P62" i="7944"/>
  <c r="Q391" i="7944"/>
  <c r="Q62" i="7944"/>
  <c r="M63" i="7944"/>
  <c r="M401" i="7944"/>
  <c r="N401" i="7944"/>
  <c r="N402" i="7944"/>
  <c r="O402" i="7944"/>
  <c r="N63" i="7944"/>
  <c r="O403" i="7944"/>
  <c r="P403" i="7944"/>
  <c r="O63" i="7944"/>
  <c r="P404" i="7944"/>
  <c r="Q404" i="7944"/>
  <c r="P63" i="7944"/>
  <c r="Q405" i="7944"/>
  <c r="Q63" i="7944"/>
  <c r="M64" i="7944"/>
  <c r="M412" i="7944"/>
  <c r="N412" i="7944"/>
  <c r="M415" i="7944"/>
  <c r="N415" i="7944"/>
  <c r="N416" i="7944"/>
  <c r="N64" i="7944"/>
  <c r="O416" i="7944"/>
  <c r="P416" i="7944"/>
  <c r="Q416" i="7944"/>
  <c r="O417" i="7944"/>
  <c r="P417" i="7944"/>
  <c r="O64" i="7944"/>
  <c r="P418" i="7944"/>
  <c r="P64" i="7944"/>
  <c r="Q418" i="7944"/>
  <c r="Q419" i="7944"/>
  <c r="Q64" i="7944"/>
  <c r="M65" i="7944"/>
  <c r="M429" i="7944"/>
  <c r="N429" i="7944"/>
  <c r="N430" i="7944"/>
  <c r="O430" i="7944"/>
  <c r="N65" i="7944"/>
  <c r="O431" i="7944"/>
  <c r="O65" i="7944"/>
  <c r="P432" i="7944"/>
  <c r="Q432" i="7944"/>
  <c r="P65" i="7944"/>
  <c r="Q433" i="7944"/>
  <c r="Q65" i="7944"/>
  <c r="M66" i="7944"/>
  <c r="M442" i="7944"/>
  <c r="N442" i="7944"/>
  <c r="M443" i="7944"/>
  <c r="N443" i="7944"/>
  <c r="N444" i="7944"/>
  <c r="N66" i="7944"/>
  <c r="O442" i="7944"/>
  <c r="O443" i="7944"/>
  <c r="O444" i="7944"/>
  <c r="O445" i="7944"/>
  <c r="O66" i="7944"/>
  <c r="P442" i="7944"/>
  <c r="Q442" i="7944"/>
  <c r="P444" i="7944"/>
  <c r="P445" i="7944"/>
  <c r="Q445" i="7944"/>
  <c r="P446" i="7944"/>
  <c r="Q446" i="7944"/>
  <c r="P66" i="7944"/>
  <c r="Q444" i="7944"/>
  <c r="Q447" i="7944"/>
  <c r="Q66" i="7944"/>
  <c r="M67" i="7944"/>
  <c r="M457" i="7944"/>
  <c r="N458" i="7944"/>
  <c r="O458" i="7944"/>
  <c r="N67" i="7944"/>
  <c r="O459" i="7944"/>
  <c r="P459" i="7944"/>
  <c r="Q459" i="7944"/>
  <c r="O67" i="7944"/>
  <c r="P460" i="7944"/>
  <c r="Q460" i="7944"/>
  <c r="P67" i="7944"/>
  <c r="Q461" i="7944"/>
  <c r="Q67" i="7944"/>
  <c r="M68" i="7944"/>
  <c r="M468" i="7944"/>
  <c r="N468" i="7944"/>
  <c r="O468" i="7944"/>
  <c r="M471" i="7944"/>
  <c r="N471" i="7944"/>
  <c r="N472" i="7944"/>
  <c r="N68" i="7944"/>
  <c r="O472" i="7944"/>
  <c r="P472" i="7944"/>
  <c r="Q472" i="7944"/>
  <c r="O473" i="7944"/>
  <c r="O68" i="7944"/>
  <c r="P473" i="7944"/>
  <c r="P474" i="7944"/>
  <c r="P68" i="7944"/>
  <c r="Q473" i="7944"/>
  <c r="Q474" i="7944"/>
  <c r="Q475" i="7944"/>
  <c r="Q68" i="7944"/>
  <c r="G478" i="7944"/>
  <c r="G491" i="7944"/>
  <c r="G37" i="7944"/>
  <c r="G69" i="7944"/>
  <c r="H37" i="7944"/>
  <c r="H480" i="7944"/>
  <c r="H69" i="7944"/>
  <c r="I481" i="7944"/>
  <c r="I69" i="7944"/>
  <c r="J482" i="7944"/>
  <c r="K482" i="7944"/>
  <c r="J69" i="7944"/>
  <c r="K483" i="7944"/>
  <c r="L483" i="7944"/>
  <c r="K69" i="7944"/>
  <c r="L484" i="7944"/>
  <c r="M484" i="7944"/>
  <c r="N484" i="7944"/>
  <c r="L69" i="7944"/>
  <c r="M69" i="7944"/>
  <c r="M485" i="7944"/>
  <c r="N485" i="7944"/>
  <c r="N486" i="7944"/>
  <c r="O486" i="7944"/>
  <c r="P486" i="7944"/>
  <c r="N69" i="7944"/>
  <c r="O487" i="7944"/>
  <c r="P487" i="7944"/>
  <c r="O69" i="7944"/>
  <c r="P488" i="7944"/>
  <c r="P69" i="7944"/>
  <c r="Q488" i="7944"/>
  <c r="Q489" i="7944"/>
  <c r="Q69" i="7944"/>
  <c r="H341" i="7942"/>
  <c r="M3" i="18"/>
  <c r="N3" i="18"/>
  <c r="N161" i="18"/>
  <c r="N184" i="1"/>
  <c r="N7" i="7942"/>
  <c r="N174" i="18"/>
  <c r="N213" i="18"/>
  <c r="N215" i="18"/>
  <c r="N218" i="18"/>
  <c r="N219" i="18"/>
  <c r="N239" i="18"/>
  <c r="N135" i="18"/>
  <c r="N148" i="18"/>
  <c r="O3" i="18"/>
  <c r="O184" i="1"/>
  <c r="O187" i="18"/>
  <c r="O217" i="18"/>
  <c r="O218" i="18"/>
  <c r="O221" i="18"/>
  <c r="O96" i="18"/>
  <c r="O135" i="18"/>
  <c r="O148" i="18"/>
  <c r="P3" i="18"/>
  <c r="P161" i="18"/>
  <c r="P184" i="1"/>
  <c r="P7" i="7942"/>
  <c r="P174" i="18"/>
  <c r="P215" i="18"/>
  <c r="P216" i="18"/>
  <c r="P219" i="18"/>
  <c r="P220" i="18"/>
  <c r="P226" i="18"/>
  <c r="P135" i="18"/>
  <c r="P148" i="18"/>
  <c r="Q3" i="18"/>
  <c r="Q184" i="1"/>
  <c r="Q7" i="7942"/>
  <c r="Q200" i="18"/>
  <c r="Q213" i="18"/>
  <c r="Q217" i="18"/>
  <c r="Q218" i="18"/>
  <c r="Q221" i="18"/>
  <c r="Q222" i="18"/>
  <c r="Q57" i="18"/>
  <c r="Q135" i="18"/>
  <c r="Q148" i="18"/>
  <c r="O7" i="7942"/>
  <c r="G493" i="7942"/>
  <c r="G461" i="7942"/>
  <c r="G429" i="7942"/>
  <c r="Q139" i="1"/>
  <c r="P139" i="1"/>
  <c r="O139" i="1"/>
  <c r="N139" i="1"/>
  <c r="M139" i="1"/>
  <c r="Q105" i="1"/>
  <c r="P105" i="1"/>
  <c r="O105" i="1"/>
  <c r="N105" i="1"/>
  <c r="M105" i="1"/>
  <c r="L105" i="1"/>
  <c r="K105" i="1"/>
  <c r="J105" i="1"/>
  <c r="I105" i="1"/>
  <c r="H105"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M75" i="7944"/>
  <c r="M76" i="7944"/>
  <c r="M77" i="7944"/>
  <c r="M78" i="7944"/>
  <c r="M79" i="7944"/>
  <c r="M86" i="7944"/>
  <c r="M100" i="7944"/>
  <c r="M114" i="7944"/>
  <c r="M128" i="7944"/>
  <c r="M142" i="7944"/>
  <c r="M156" i="7944"/>
  <c r="M170" i="7944"/>
  <c r="M184" i="7944"/>
  <c r="M198" i="7944"/>
  <c r="M212" i="7944"/>
  <c r="M226" i="7944"/>
  <c r="M228" i="7944"/>
  <c r="M240" i="7944"/>
  <c r="M254" i="7944"/>
  <c r="M256" i="7944"/>
  <c r="M257" i="7944"/>
  <c r="M260" i="7944"/>
  <c r="M261" i="7944"/>
  <c r="N75" i="7944"/>
  <c r="N76" i="7944"/>
  <c r="N77" i="7944"/>
  <c r="N78" i="7944"/>
  <c r="N79" i="7944"/>
  <c r="N80" i="7944"/>
  <c r="N86" i="7944"/>
  <c r="N100" i="7944"/>
  <c r="N102" i="7944"/>
  <c r="N114" i="7944"/>
  <c r="N122" i="7944"/>
  <c r="N128" i="7944"/>
  <c r="N142" i="7944"/>
  <c r="N150" i="7944"/>
  <c r="N156" i="7944"/>
  <c r="N170" i="7944"/>
  <c r="N178" i="7944"/>
  <c r="N184" i="7944"/>
  <c r="N198" i="7944"/>
  <c r="N212" i="7944"/>
  <c r="N226" i="7944"/>
  <c r="N240" i="7944"/>
  <c r="N254" i="7944"/>
  <c r="N257" i="7944"/>
  <c r="N258" i="7944"/>
  <c r="N261" i="7944"/>
  <c r="N262" i="7944"/>
  <c r="O75" i="7944"/>
  <c r="O76" i="7944"/>
  <c r="O77" i="7944"/>
  <c r="O78" i="7944"/>
  <c r="O79" i="7944"/>
  <c r="O80" i="7944"/>
  <c r="O81" i="7944"/>
  <c r="O86" i="7944"/>
  <c r="O100" i="7944"/>
  <c r="O109" i="7944"/>
  <c r="O114" i="7944"/>
  <c r="O128" i="7944"/>
  <c r="O142" i="7944"/>
  <c r="O156" i="7944"/>
  <c r="O170" i="7944"/>
  <c r="O184" i="7944"/>
  <c r="O198" i="7944"/>
  <c r="O212" i="7944"/>
  <c r="O226" i="7944"/>
  <c r="O240" i="7944"/>
  <c r="O254" i="7944"/>
  <c r="O258" i="7944"/>
  <c r="O259" i="7944"/>
  <c r="O262" i="7944"/>
  <c r="O263" i="7944"/>
  <c r="P75" i="7944"/>
  <c r="P76" i="7944"/>
  <c r="P77" i="7944"/>
  <c r="P78" i="7944"/>
  <c r="P79" i="7944"/>
  <c r="P80" i="7944"/>
  <c r="P81" i="7944"/>
  <c r="P82" i="7944"/>
  <c r="P86" i="7944"/>
  <c r="P95" i="7944"/>
  <c r="P100" i="7944"/>
  <c r="P102" i="7944"/>
  <c r="P114" i="7944"/>
  <c r="P116" i="7944"/>
  <c r="P128" i="7944"/>
  <c r="P142" i="7944"/>
  <c r="P156" i="7944"/>
  <c r="P170" i="7944"/>
  <c r="P179" i="7944"/>
  <c r="P184" i="7944"/>
  <c r="P198" i="7944"/>
  <c r="P206" i="7944"/>
  <c r="P212" i="7944"/>
  <c r="P222" i="7944"/>
  <c r="P226" i="7944"/>
  <c r="P240" i="7944"/>
  <c r="P254" i="7944"/>
  <c r="P256" i="7944"/>
  <c r="P259" i="7944"/>
  <c r="P260" i="7944"/>
  <c r="P263" i="7944"/>
  <c r="P264" i="7944"/>
  <c r="C37" i="7944"/>
  <c r="C36" i="7944"/>
  <c r="C35" i="7944"/>
  <c r="C34" i="7944"/>
  <c r="C33" i="7944"/>
  <c r="C32" i="7944"/>
  <c r="C31" i="7944"/>
  <c r="C30" i="7944"/>
  <c r="C29" i="7944"/>
  <c r="C28" i="7944"/>
  <c r="G202" i="7941"/>
  <c r="G206" i="7941"/>
  <c r="G207" i="7941"/>
  <c r="G208" i="7941"/>
  <c r="G210" i="7941"/>
  <c r="G213" i="794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G102" i="7941"/>
  <c r="G134" i="7941"/>
  <c r="G166"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4" i="7941"/>
  <c r="D63" i="7941"/>
  <c r="D62" i="7941"/>
  <c r="D61" i="7941"/>
  <c r="D60" i="7941"/>
  <c r="D59" i="7941"/>
  <c r="D36" i="7941"/>
  <c r="D35" i="7941"/>
  <c r="D34" i="7941"/>
  <c r="D33" i="7941"/>
  <c r="D32" i="7941"/>
  <c r="D31" i="7941"/>
  <c r="D30" i="7941"/>
  <c r="D29" i="7941"/>
  <c r="D28" i="7941"/>
  <c r="D27" i="7941"/>
  <c r="G597" i="18"/>
  <c r="G565" i="18"/>
  <c r="G533" i="18"/>
  <c r="G652" i="18"/>
  <c r="G653" i="18"/>
  <c r="G654" i="18"/>
  <c r="G655" i="18"/>
  <c r="G656" i="18"/>
  <c r="G657" i="18"/>
  <c r="G658" i="18"/>
  <c r="G659" i="18"/>
  <c r="G660" i="18"/>
  <c r="G661" i="18"/>
  <c r="D695" i="18"/>
  <c r="D694" i="18"/>
  <c r="D693" i="18"/>
  <c r="D692" i="18"/>
  <c r="D691" i="18"/>
  <c r="D690" i="18"/>
  <c r="D689" i="18"/>
  <c r="D688" i="18"/>
  <c r="D687" i="18"/>
  <c r="D686" i="18"/>
  <c r="D685" i="18"/>
  <c r="D684" i="18"/>
  <c r="D683" i="18"/>
  <c r="D682" i="18"/>
  <c r="D678" i="18"/>
  <c r="D674" i="18"/>
  <c r="D670" i="18"/>
  <c r="D668"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G204"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76" i="7944"/>
  <c r="Q263" i="7944"/>
  <c r="Q262" i="7944"/>
  <c r="Q259" i="7944"/>
  <c r="Q258" i="7944"/>
  <c r="Q249" i="7944"/>
  <c r="Q237" i="7944"/>
  <c r="Q221" i="7944"/>
  <c r="Q206" i="7944"/>
  <c r="Q179" i="7944"/>
  <c r="Q167" i="7944"/>
  <c r="Q125" i="7944"/>
  <c r="Q116" i="7944"/>
  <c r="Q111" i="7944"/>
  <c r="Q102" i="7944"/>
  <c r="Q94" i="7944"/>
  <c r="Q81" i="7944"/>
  <c r="Q80" i="7944"/>
  <c r="Q79" i="7944"/>
  <c r="Q78" i="7944"/>
  <c r="Q77" i="7944"/>
  <c r="Q75" i="7944"/>
  <c r="M40" i="7944"/>
  <c r="N40" i="7944"/>
  <c r="O40" i="7944"/>
  <c r="P40" i="7944"/>
  <c r="Q40" i="7944"/>
  <c r="M41" i="7944"/>
  <c r="M42" i="7944"/>
  <c r="M43" i="7944"/>
  <c r="M44" i="7944"/>
  <c r="M45" i="7944"/>
  <c r="M46" i="7944"/>
  <c r="M47" i="7944"/>
  <c r="M48" i="7944"/>
  <c r="M49" i="7944"/>
  <c r="M50" i="7944"/>
  <c r="M51" i="7944"/>
  <c r="M52" i="7944"/>
  <c r="M53" i="7944"/>
  <c r="M39" i="7944"/>
  <c r="N41" i="7944"/>
  <c r="O41" i="7944"/>
  <c r="O42" i="7944"/>
  <c r="O43" i="7944"/>
  <c r="O44" i="7944"/>
  <c r="O45" i="7944"/>
  <c r="O46" i="7944"/>
  <c r="O47" i="7944"/>
  <c r="O48" i="7944"/>
  <c r="O49" i="7944"/>
  <c r="O50" i="7944"/>
  <c r="O51" i="7944"/>
  <c r="O52" i="7944"/>
  <c r="O53" i="7944"/>
  <c r="O39" i="7944"/>
  <c r="P41" i="7944"/>
  <c r="Q41" i="7944"/>
  <c r="Q42" i="7944"/>
  <c r="Q43" i="7944"/>
  <c r="Q44" i="7944"/>
  <c r="Q45" i="7944"/>
  <c r="Q46" i="7944"/>
  <c r="Q47" i="7944"/>
  <c r="Q48" i="7944"/>
  <c r="Q49" i="7944"/>
  <c r="Q50" i="7944"/>
  <c r="Q51" i="7944"/>
  <c r="Q52" i="7944"/>
  <c r="Q53" i="7944"/>
  <c r="Q39" i="7944"/>
  <c r="N42" i="7944"/>
  <c r="P42" i="7944"/>
  <c r="N43" i="7944"/>
  <c r="P43" i="7944"/>
  <c r="N44" i="7944"/>
  <c r="P44" i="7944"/>
  <c r="N45" i="7944"/>
  <c r="P45" i="7944"/>
  <c r="N46" i="7944"/>
  <c r="P46" i="7944"/>
  <c r="N47" i="7944"/>
  <c r="P47" i="7944"/>
  <c r="N48" i="7944"/>
  <c r="P48" i="7944"/>
  <c r="N49" i="7944"/>
  <c r="P49" i="7944"/>
  <c r="N50" i="7944"/>
  <c r="P50" i="7944"/>
  <c r="N51" i="7944"/>
  <c r="P51" i="7944"/>
  <c r="N52" i="7944"/>
  <c r="P52" i="7944"/>
  <c r="N53" i="7944"/>
  <c r="P53" i="7944"/>
  <c r="Q254" i="7944"/>
  <c r="Q240" i="7944"/>
  <c r="Q226" i="7944"/>
  <c r="Q212" i="7944"/>
  <c r="Q198" i="7944"/>
  <c r="Q184" i="7944"/>
  <c r="Q170" i="7944"/>
  <c r="Q156" i="7944"/>
  <c r="Q142" i="7944"/>
  <c r="Q128" i="7944"/>
  <c r="Q114" i="7944"/>
  <c r="Q100" i="7944"/>
  <c r="Q86" i="7944"/>
  <c r="Q82" i="7944"/>
  <c r="Q83" i="7944"/>
  <c r="N40" i="1"/>
  <c r="O40" i="1"/>
  <c r="P40" i="1"/>
  <c r="Q40" i="1"/>
  <c r="F128" i="1"/>
  <c r="F127" i="1"/>
  <c r="F126" i="1"/>
  <c r="F125" i="1"/>
  <c r="F124" i="1"/>
  <c r="F122" i="1"/>
  <c r="F121" i="1"/>
  <c r="F117" i="1"/>
  <c r="F116" i="1"/>
  <c r="F114" i="1"/>
  <c r="F113" i="1"/>
  <c r="F111" i="1"/>
  <c r="F109" i="1"/>
  <c r="Q74" i="1"/>
  <c r="Q108" i="1"/>
  <c r="P74" i="1"/>
  <c r="P108" i="1"/>
  <c r="O74" i="1"/>
  <c r="O108" i="1"/>
  <c r="N74" i="1"/>
  <c r="N108" i="1"/>
  <c r="M74" i="1"/>
  <c r="M108" i="1"/>
  <c r="L74" i="1"/>
  <c r="L108" i="1"/>
  <c r="K74" i="1"/>
  <c r="K108" i="1"/>
  <c r="J74" i="1"/>
  <c r="J108" i="1"/>
  <c r="I74" i="1"/>
  <c r="I108" i="1"/>
  <c r="H74" i="1"/>
  <c r="H108" i="1"/>
  <c r="G74" i="1"/>
  <c r="G108" i="1"/>
  <c r="Q4" i="7944"/>
  <c r="R4" i="7944"/>
  <c r="H4" i="7944"/>
  <c r="I4" i="7944"/>
  <c r="J4" i="7944"/>
  <c r="K4" i="7944"/>
  <c r="L4" i="7944"/>
  <c r="M4" i="7944"/>
  <c r="N4" i="7944"/>
  <c r="O4" i="7944"/>
  <c r="P4" i="7944"/>
  <c r="G4" i="7944"/>
  <c r="N4" i="7941"/>
  <c r="O4" i="7941"/>
  <c r="P4" i="7941"/>
  <c r="Q4" i="7941"/>
  <c r="Q4" i="18"/>
  <c r="R4" i="18"/>
  <c r="H4" i="18"/>
  <c r="I4" i="18"/>
  <c r="J4" i="18"/>
  <c r="K4" i="18"/>
  <c r="L4" i="18"/>
  <c r="M4" i="18"/>
  <c r="N4" i="18"/>
  <c r="O4" i="18"/>
  <c r="P4" i="18"/>
  <c r="G4" i="18"/>
  <c r="B184" i="7944"/>
  <c r="B240" i="7944"/>
  <c r="B296" i="7944"/>
  <c r="B310" i="7944"/>
  <c r="B324" i="7944"/>
  <c r="B338" i="7944"/>
  <c r="B142" i="7944"/>
  <c r="B128" i="7944"/>
  <c r="B72" i="7944"/>
  <c r="C291" i="18"/>
  <c r="C278" i="18"/>
  <c r="C265" i="18"/>
  <c r="C252" i="18"/>
  <c r="C213" i="18"/>
  <c r="C200" i="18"/>
  <c r="C148" i="18"/>
  <c r="C96" i="18"/>
  <c r="C70" i="18"/>
  <c r="C44" i="18"/>
  <c r="Q4" i="7942"/>
  <c r="H4" i="7942"/>
  <c r="I4" i="7942"/>
  <c r="J4" i="7942"/>
  <c r="K4" i="7942"/>
  <c r="L4" i="7942"/>
  <c r="M4" i="7942"/>
  <c r="N4" i="7942"/>
  <c r="O4" i="7942"/>
  <c r="P4" i="7942"/>
  <c r="R3" i="18"/>
  <c r="F141" i="1"/>
  <c r="F5" i="1"/>
  <c r="H176" i="1"/>
  <c r="I176" i="1"/>
  <c r="J176" i="1"/>
  <c r="K176" i="1"/>
  <c r="L176" i="1"/>
  <c r="M176" i="1"/>
  <c r="N176" i="1"/>
  <c r="O176" i="1"/>
  <c r="P176" i="1"/>
  <c r="Q176" i="1"/>
  <c r="G176" i="1"/>
  <c r="H142" i="1"/>
  <c r="I142" i="1"/>
  <c r="J142" i="1"/>
  <c r="K142" i="1"/>
  <c r="L142" i="1"/>
  <c r="M142" i="1"/>
  <c r="N142" i="1"/>
  <c r="O142" i="1"/>
  <c r="P142" i="1"/>
  <c r="Q142" i="1"/>
  <c r="G142" i="1"/>
  <c r="C351" i="7944"/>
  <c r="C337" i="7944"/>
  <c r="C323" i="7944"/>
  <c r="C309" i="7944"/>
  <c r="C295" i="7944"/>
  <c r="C267" i="7944"/>
  <c r="C253" i="7944"/>
  <c r="C239" i="7944"/>
  <c r="C197" i="7944"/>
  <c r="C183" i="7944"/>
  <c r="C155" i="7944"/>
  <c r="C141" i="7944"/>
  <c r="C127" i="7944"/>
  <c r="C85" i="7944"/>
  <c r="C59" i="7944"/>
  <c r="C58" i="7944"/>
  <c r="C57" i="7944"/>
  <c r="C56" i="7944"/>
  <c r="C55" i="7944"/>
  <c r="C53" i="7944"/>
  <c r="C52" i="7944"/>
  <c r="C51" i="7944"/>
  <c r="C48" i="7944"/>
  <c r="C47" i="7944"/>
  <c r="C45" i="7944"/>
  <c r="C44" i="7944"/>
  <c r="C43" i="7944"/>
  <c r="C40" i="7944"/>
  <c r="C27" i="7944"/>
  <c r="C26" i="7944"/>
  <c r="C25" i="7944"/>
  <c r="C24" i="7944"/>
  <c r="G7" i="18"/>
  <c r="N39" i="7944"/>
  <c r="P39" i="7944"/>
  <c r="R3" i="7944"/>
  <c r="D154" i="7941"/>
  <c r="D153" i="7941"/>
  <c r="D152" i="7941"/>
  <c r="D151" i="7941"/>
  <c r="D148" i="7941"/>
  <c r="D147" i="7941"/>
  <c r="D143" i="7941"/>
  <c r="D140" i="7941"/>
  <c r="D139" i="7941"/>
  <c r="D135" i="7941"/>
  <c r="D584" i="18"/>
  <c r="D583" i="18"/>
  <c r="D582" i="18"/>
  <c r="D578" i="18"/>
  <c r="D574" i="18"/>
  <c r="D570" i="18"/>
  <c r="D566" i="18"/>
  <c r="C481" i="7942"/>
  <c r="C480" i="7942"/>
  <c r="C479" i="7942"/>
  <c r="C478" i="7942"/>
  <c r="C474" i="7942"/>
  <c r="C470" i="7942"/>
  <c r="C467" i="7942"/>
  <c r="C466" i="7942"/>
  <c r="C462" i="7942"/>
  <c r="C494" i="7942"/>
  <c r="C498" i="7942"/>
  <c r="C499" i="7942"/>
  <c r="C501" i="7942"/>
  <c r="C502" i="7942"/>
  <c r="C503" i="7942"/>
  <c r="C506" i="7942"/>
  <c r="C507" i="7942"/>
  <c r="C509" i="7942"/>
  <c r="C510" i="7942"/>
  <c r="C511" i="7942"/>
  <c r="C512" i="7942"/>
  <c r="C513" i="7942"/>
  <c r="D186" i="7941"/>
  <c r="D185" i="7941"/>
  <c r="D184" i="7941"/>
  <c r="D183" i="7941"/>
  <c r="D180" i="7941"/>
  <c r="D179" i="7941"/>
  <c r="D175" i="7941"/>
  <c r="D172" i="7941"/>
  <c r="D171" i="7941"/>
  <c r="D167" i="7941"/>
  <c r="D122" i="7941"/>
  <c r="D121" i="7941"/>
  <c r="D120" i="7941"/>
  <c r="D119" i="7941"/>
  <c r="D116" i="7941"/>
  <c r="D115" i="7941"/>
  <c r="D111" i="7941"/>
  <c r="D108" i="7941"/>
  <c r="D107" i="7941"/>
  <c r="D103" i="7941"/>
  <c r="D616" i="18"/>
  <c r="D615" i="18"/>
  <c r="D614" i="18"/>
  <c r="D613" i="18"/>
  <c r="D611" i="18"/>
  <c r="D610" i="18"/>
  <c r="D609" i="18"/>
  <c r="D606" i="18"/>
  <c r="D605" i="18"/>
  <c r="D603" i="18"/>
  <c r="D602" i="18"/>
  <c r="D601" i="18"/>
  <c r="D598" i="18"/>
  <c r="D346" i="7941"/>
  <c r="D345" i="7941"/>
  <c r="D344" i="7941"/>
  <c r="D343" i="7941"/>
  <c r="D342" i="7941"/>
  <c r="D340" i="7941"/>
  <c r="D339" i="7941"/>
  <c r="D338" i="7941"/>
  <c r="D335" i="7941"/>
  <c r="D334" i="7941"/>
  <c r="D332" i="7941"/>
  <c r="D331" i="7941"/>
  <c r="D330" i="7941"/>
  <c r="D327" i="7941"/>
  <c r="D314" i="7941"/>
  <c r="D313" i="7941"/>
  <c r="D312" i="7941"/>
  <c r="D311" i="7941"/>
  <c r="D310" i="7941"/>
  <c r="D308" i="7941"/>
  <c r="D307" i="7941"/>
  <c r="D306" i="7941"/>
  <c r="D304" i="7941"/>
  <c r="D303" i="7941"/>
  <c r="D302" i="7941"/>
  <c r="D300" i="7941"/>
  <c r="D299" i="7941"/>
  <c r="D298" i="7941"/>
  <c r="D296" i="7941"/>
  <c r="D295" i="7941"/>
  <c r="C307" i="7942"/>
  <c r="C305" i="7942"/>
  <c r="C303" i="7942"/>
  <c r="C301" i="7942"/>
  <c r="C295" i="7942"/>
  <c r="C293" i="7942"/>
  <c r="C287" i="7942"/>
  <c r="C285" i="7942"/>
  <c r="C279" i="7942"/>
  <c r="C277" i="7942"/>
  <c r="C271" i="7942"/>
  <c r="C269" i="7942"/>
  <c r="C256" i="7942"/>
  <c r="C255" i="7942"/>
  <c r="C254" i="7942"/>
  <c r="C253" i="7942"/>
  <c r="C252" i="7942"/>
  <c r="C250" i="7942"/>
  <c r="C249" i="7942"/>
  <c r="C248" i="7942"/>
  <c r="C246" i="7942"/>
  <c r="C245" i="7942"/>
  <c r="C244" i="7942"/>
  <c r="C242" i="7942"/>
  <c r="C241" i="7942"/>
  <c r="C240" i="7942"/>
  <c r="C238" i="7942"/>
  <c r="C237" i="7942"/>
  <c r="C224" i="7942"/>
  <c r="C223" i="7942"/>
  <c r="C222" i="7942"/>
  <c r="C221" i="7942"/>
  <c r="C220" i="7942"/>
  <c r="C218" i="7942"/>
  <c r="C217" i="7942"/>
  <c r="C216" i="7942"/>
  <c r="C214" i="7942"/>
  <c r="C213" i="7942"/>
  <c r="C212" i="7942"/>
  <c r="C210" i="7942"/>
  <c r="C209" i="7942"/>
  <c r="C208" i="7942"/>
  <c r="C206" i="7942"/>
  <c r="C205" i="7942"/>
  <c r="C192" i="7942"/>
  <c r="C191" i="7942"/>
  <c r="C190" i="7942"/>
  <c r="C189" i="7942"/>
  <c r="C188" i="7942"/>
  <c r="C186" i="7942"/>
  <c r="C185" i="7942"/>
  <c r="C184" i="7942"/>
  <c r="C182" i="7942"/>
  <c r="C181" i="7942"/>
  <c r="C180" i="7942"/>
  <c r="C178" i="7942"/>
  <c r="C177" i="7942"/>
  <c r="C176" i="7942"/>
  <c r="C174" i="7942"/>
  <c r="C173" i="7942"/>
  <c r="D552" i="18"/>
  <c r="D551" i="18"/>
  <c r="D550" i="18"/>
  <c r="D547" i="18"/>
  <c r="D546" i="18"/>
  <c r="D544" i="18"/>
  <c r="D543" i="18"/>
  <c r="D542" i="18"/>
  <c r="D539" i="18"/>
  <c r="D538" i="18"/>
  <c r="D535" i="18"/>
  <c r="D534" i="18"/>
  <c r="C449" i="7942"/>
  <c r="C448" i="7942"/>
  <c r="C447" i="7942"/>
  <c r="C446" i="7942"/>
  <c r="C443" i="7942"/>
  <c r="C442" i="7942"/>
  <c r="C440" i="7942"/>
  <c r="C439" i="7942"/>
  <c r="C438" i="7942"/>
  <c r="C435" i="7942"/>
  <c r="C434" i="7942"/>
  <c r="C431" i="7942"/>
  <c r="C430" i="7942"/>
  <c r="C417" i="7942"/>
  <c r="C416" i="7942"/>
  <c r="C415" i="7942"/>
  <c r="C414" i="7942"/>
  <c r="C411" i="7942"/>
  <c r="C410" i="7942"/>
  <c r="C408" i="7942"/>
  <c r="C407" i="7942"/>
  <c r="C406" i="7942"/>
  <c r="C403" i="7942"/>
  <c r="C402" i="7942"/>
  <c r="C399" i="7942"/>
  <c r="C398" i="7942"/>
  <c r="C385" i="7942"/>
  <c r="C384" i="7942"/>
  <c r="C383" i="7942"/>
  <c r="C382" i="7942"/>
  <c r="C379" i="7942"/>
  <c r="C378" i="7942"/>
  <c r="C376" i="7942"/>
  <c r="C375" i="7942"/>
  <c r="C374" i="7942"/>
  <c r="C371" i="7942"/>
  <c r="C370" i="7942"/>
  <c r="C367" i="7942"/>
  <c r="C366" i="7942"/>
  <c r="C353" i="7942"/>
  <c r="C352" i="7942"/>
  <c r="C351" i="7942"/>
  <c r="C350" i="7942"/>
  <c r="C347" i="7942"/>
  <c r="C346" i="7942"/>
  <c r="C344" i="7942"/>
  <c r="C343" i="7942"/>
  <c r="C342" i="7942"/>
  <c r="C339" i="7942"/>
  <c r="C338" i="7942"/>
  <c r="C335" i="7942"/>
  <c r="C334" i="7942"/>
  <c r="C12" i="7942"/>
  <c r="C13" i="7942"/>
  <c r="C16" i="7942"/>
  <c r="C17" i="7942"/>
  <c r="C20" i="7942"/>
  <c r="C21" i="7942"/>
  <c r="C24" i="7942"/>
  <c r="C25" i="7942"/>
  <c r="C26" i="7942"/>
  <c r="C28" i="7942"/>
  <c r="C29" i="7942"/>
  <c r="C30" i="7942"/>
  <c r="C31" i="7942"/>
  <c r="C44" i="7942"/>
  <c r="C45" i="7942"/>
  <c r="C48" i="7942"/>
  <c r="C49" i="7942"/>
  <c r="C52" i="7942"/>
  <c r="C53" i="7942"/>
  <c r="C56" i="7942"/>
  <c r="C57" i="7942"/>
  <c r="C58" i="7942"/>
  <c r="C60" i="7942"/>
  <c r="C61" i="7942"/>
  <c r="C62" i="7942"/>
  <c r="C63" i="7942"/>
  <c r="C76" i="7942"/>
  <c r="C77" i="7942"/>
  <c r="C80" i="7942"/>
  <c r="C81" i="7942"/>
  <c r="C84" i="7942"/>
  <c r="C85" i="7942"/>
  <c r="C88" i="7942"/>
  <c r="C89" i="7942"/>
  <c r="C90" i="7942"/>
  <c r="C92" i="7942"/>
  <c r="C93" i="7942"/>
  <c r="C94" i="7942"/>
  <c r="C95" i="7942"/>
  <c r="C108" i="7942"/>
  <c r="C110" i="7942"/>
  <c r="C116" i="7942"/>
  <c r="C118" i="7942"/>
  <c r="C124" i="7942"/>
  <c r="C126" i="7942"/>
  <c r="C132" i="7942"/>
  <c r="C134" i="7942"/>
  <c r="C136" i="7942"/>
  <c r="C140" i="7942"/>
  <c r="C142" i="7942"/>
  <c r="C144" i="7942"/>
  <c r="C146" i="7942"/>
  <c r="D378" i="7941"/>
  <c r="D377" i="7941"/>
  <c r="D376" i="7941"/>
  <c r="D375" i="7941"/>
  <c r="D218" i="7941"/>
  <c r="D217" i="7941"/>
  <c r="D216" i="7941"/>
  <c r="D215" i="7941"/>
  <c r="D212" i="7941"/>
  <c r="D211" i="7941"/>
  <c r="D209" i="7941"/>
  <c r="D208" i="7941"/>
  <c r="D207" i="7941"/>
  <c r="D204" i="7941"/>
  <c r="D203" i="7941"/>
  <c r="D200" i="7941"/>
  <c r="D199" i="7941"/>
  <c r="H3" i="7941"/>
  <c r="I3" i="7941"/>
  <c r="J3" i="7941"/>
  <c r="K3" i="7941"/>
  <c r="L3" i="7941"/>
  <c r="M3" i="7941"/>
  <c r="D7" i="7941"/>
  <c r="D8" i="7941"/>
  <c r="D10" i="7941"/>
  <c r="D11" i="7941"/>
  <c r="D12" i="7941"/>
  <c r="D14" i="7941"/>
  <c r="D15" i="7941"/>
  <c r="D16" i="7941"/>
  <c r="D18" i="7941"/>
  <c r="D19" i="7941"/>
  <c r="D20" i="7941"/>
  <c r="D22" i="7941"/>
  <c r="D23" i="7941"/>
  <c r="D24" i="7941"/>
  <c r="D25" i="7941"/>
  <c r="D26" i="7941"/>
  <c r="D39" i="7941"/>
  <c r="D40" i="7941"/>
  <c r="D42" i="7941"/>
  <c r="D43" i="7941"/>
  <c r="D44" i="7941"/>
  <c r="D46" i="7941"/>
  <c r="D47" i="7941"/>
  <c r="D48" i="7941"/>
  <c r="D50" i="7941"/>
  <c r="D51" i="7941"/>
  <c r="D52" i="7941"/>
  <c r="D54" i="7941"/>
  <c r="D55" i="7941"/>
  <c r="D56" i="7941"/>
  <c r="D57" i="7941"/>
  <c r="D58" i="7941"/>
  <c r="D71" i="7941"/>
  <c r="D72" i="7941"/>
  <c r="D74" i="7941"/>
  <c r="D75" i="7941"/>
  <c r="D76" i="7941"/>
  <c r="D78" i="7941"/>
  <c r="D79" i="7941"/>
  <c r="D80" i="7941"/>
  <c r="D82" i="7941"/>
  <c r="D83" i="7941"/>
  <c r="D84" i="7941"/>
  <c r="D86" i="7941"/>
  <c r="D87" i="7941"/>
  <c r="D88" i="7941"/>
  <c r="D89" i="7941"/>
  <c r="D90" i="7941"/>
  <c r="D231" i="7941"/>
  <c r="D232" i="7941"/>
  <c r="D234" i="7941"/>
  <c r="D235" i="7941"/>
  <c r="D236" i="7941"/>
  <c r="D238" i="7941"/>
  <c r="D239" i="7941"/>
  <c r="D240" i="7941"/>
  <c r="D242" i="7941"/>
  <c r="D243" i="7941"/>
  <c r="D244" i="7941"/>
  <c r="D246" i="7941"/>
  <c r="D247" i="7941"/>
  <c r="D248" i="7941"/>
  <c r="D249" i="7941"/>
  <c r="D250" i="7941"/>
  <c r="D263" i="7941"/>
  <c r="D264" i="7941"/>
  <c r="D266" i="7941"/>
  <c r="D267" i="7941"/>
  <c r="D268" i="7941"/>
  <c r="D270" i="7941"/>
  <c r="D271" i="7941"/>
  <c r="D272" i="7941"/>
  <c r="D274" i="7941"/>
  <c r="D275" i="7941"/>
  <c r="D276" i="7941"/>
  <c r="D278" i="7941"/>
  <c r="D279" i="7941"/>
  <c r="D280" i="7941"/>
  <c r="D281" i="7941"/>
  <c r="D282" i="7941"/>
  <c r="D650" i="18"/>
  <c r="D649" i="18"/>
  <c r="D648" i="18"/>
  <c r="D647" i="18"/>
  <c r="D645" i="18"/>
  <c r="D644" i="18"/>
  <c r="D643" i="18"/>
  <c r="D641" i="18"/>
  <c r="D640" i="18"/>
  <c r="D639" i="18"/>
  <c r="D637" i="18"/>
  <c r="D636" i="18"/>
  <c r="D635" i="18"/>
  <c r="D633" i="18"/>
  <c r="D632" i="18"/>
  <c r="D520" i="18"/>
  <c r="D519" i="18"/>
  <c r="D518" i="18"/>
  <c r="D515" i="18"/>
  <c r="D514" i="18"/>
  <c r="D512" i="18"/>
  <c r="D511" i="18"/>
  <c r="D510" i="18"/>
  <c r="D507" i="18"/>
  <c r="D506" i="18"/>
  <c r="D503" i="18"/>
  <c r="D502" i="18"/>
  <c r="D457" i="18"/>
  <c r="D456" i="18"/>
  <c r="D455" i="18"/>
  <c r="D454" i="18"/>
  <c r="D451" i="18"/>
  <c r="D450" i="18"/>
  <c r="D448" i="18"/>
  <c r="D447" i="18"/>
  <c r="D446" i="18"/>
  <c r="D443" i="18"/>
  <c r="D442" i="18"/>
  <c r="D439" i="18"/>
  <c r="D438" i="18"/>
  <c r="D31" i="18"/>
  <c r="D30" i="18"/>
  <c r="D29" i="18"/>
  <c r="D28" i="18"/>
  <c r="D25" i="18"/>
  <c r="D24" i="18"/>
  <c r="D22" i="18"/>
  <c r="D21" i="18"/>
  <c r="D20" i="18"/>
  <c r="D17" i="18"/>
  <c r="D16" i="18"/>
  <c r="D13" i="18"/>
  <c r="D12" i="18"/>
  <c r="D488" i="18"/>
  <c r="D487" i="18"/>
  <c r="D486" i="18"/>
  <c r="D483" i="18"/>
  <c r="D482" i="18"/>
  <c r="D479" i="18"/>
  <c r="D478" i="18"/>
  <c r="D475" i="18"/>
  <c r="D474" i="18"/>
  <c r="D471" i="18"/>
  <c r="D470" i="18"/>
  <c r="D56" i="18"/>
  <c r="D69" i="18"/>
  <c r="D108" i="18"/>
  <c r="D121" i="18"/>
  <c r="D160" i="18"/>
  <c r="D173" i="18"/>
  <c r="D186" i="18"/>
  <c r="D212" i="18"/>
  <c r="D225" i="18"/>
  <c r="F143" i="1"/>
  <c r="F144" i="1"/>
  <c r="F147" i="1"/>
  <c r="F148" i="1"/>
  <c r="F151" i="1"/>
  <c r="F152" i="1"/>
  <c r="F153" i="1"/>
  <c r="F155" i="1"/>
  <c r="F156" i="1"/>
  <c r="F159" i="1"/>
  <c r="F160" i="1"/>
  <c r="F161" i="1"/>
  <c r="F162" i="1"/>
  <c r="F92" i="1"/>
  <c r="F91" i="1"/>
  <c r="F90" i="1"/>
  <c r="F88" i="1"/>
  <c r="F87" i="1"/>
  <c r="F86" i="1"/>
  <c r="F84" i="1"/>
  <c r="F83" i="1"/>
  <c r="F82" i="1"/>
  <c r="F80" i="1"/>
  <c r="F79" i="1"/>
  <c r="F78" i="1"/>
  <c r="F76" i="1"/>
  <c r="F75" i="1"/>
  <c r="F60" i="1"/>
  <c r="F59" i="1"/>
  <c r="F58" i="1"/>
  <c r="F57" i="1"/>
  <c r="F56" i="1"/>
  <c r="F54" i="1"/>
  <c r="F53" i="1"/>
  <c r="F52" i="1"/>
  <c r="F50" i="1"/>
  <c r="F49" i="1"/>
  <c r="F48" i="1"/>
  <c r="F46" i="1"/>
  <c r="F45" i="1"/>
  <c r="F44" i="1"/>
  <c r="F42" i="1"/>
  <c r="F41" i="1"/>
  <c r="D303" i="18"/>
  <c r="D290" i="18"/>
  <c r="D277" i="18"/>
  <c r="D264" i="18"/>
  <c r="J481" i="7944"/>
  <c r="K481" i="7944"/>
  <c r="L481" i="7944"/>
  <c r="M481" i="7944"/>
  <c r="N481" i="7944"/>
  <c r="J466" i="7944"/>
  <c r="L467" i="7944"/>
  <c r="M467" i="7944"/>
  <c r="N467" i="7944"/>
  <c r="M469" i="7944"/>
  <c r="L455" i="7944"/>
  <c r="M455" i="7944"/>
  <c r="N455" i="7944"/>
  <c r="P458" i="7944"/>
  <c r="Q458" i="7944"/>
  <c r="K453" i="7944"/>
  <c r="K454" i="7944"/>
  <c r="L454" i="7944"/>
  <c r="P443" i="7944"/>
  <c r="P431" i="7944"/>
  <c r="Q431" i="7944"/>
  <c r="P430" i="7944"/>
  <c r="Q430" i="7944"/>
  <c r="L426" i="7944"/>
  <c r="M426" i="7944"/>
  <c r="N426" i="7944"/>
  <c r="O429" i="7944"/>
  <c r="P429" i="7944"/>
  <c r="Q429" i="7944"/>
  <c r="N414" i="7944"/>
  <c r="O414" i="7944"/>
  <c r="J410" i="7944"/>
  <c r="K410" i="7944"/>
  <c r="O415" i="7944"/>
  <c r="P415" i="7944"/>
  <c r="Q415" i="7944"/>
  <c r="L411" i="7944"/>
  <c r="K397" i="7944"/>
  <c r="L397" i="7944"/>
  <c r="L398" i="7944"/>
  <c r="M398" i="7944"/>
  <c r="N398" i="7944"/>
  <c r="P374" i="7944"/>
  <c r="Q374" i="7944"/>
  <c r="L370" i="7944"/>
  <c r="M370" i="7944"/>
  <c r="N358" i="7944"/>
  <c r="O358" i="7944"/>
  <c r="P358" i="7944"/>
  <c r="Q358" i="7944"/>
  <c r="L355" i="7944"/>
  <c r="H352" i="7944"/>
  <c r="L343" i="7944"/>
  <c r="M343" i="7944"/>
  <c r="N343" i="7944"/>
  <c r="L340" i="7944"/>
  <c r="K338" i="7944"/>
  <c r="N330" i="7944"/>
  <c r="O330" i="7944"/>
  <c r="K327" i="7944"/>
  <c r="L327" i="7944"/>
  <c r="L328" i="7944"/>
  <c r="M328" i="7944"/>
  <c r="K314" i="7944"/>
  <c r="L314" i="7944"/>
  <c r="M314" i="7944"/>
  <c r="N314" i="7944"/>
  <c r="O302" i="7944"/>
  <c r="P302" i="7944"/>
  <c r="Q302" i="7944"/>
  <c r="H296" i="7944"/>
  <c r="I296" i="7944"/>
  <c r="M441" i="7944"/>
  <c r="N441" i="7944"/>
  <c r="L342" i="7944"/>
  <c r="M342" i="7944"/>
  <c r="N342" i="7944"/>
  <c r="M301" i="7944"/>
  <c r="N301" i="7944"/>
  <c r="O301" i="7944"/>
  <c r="P386" i="7944"/>
  <c r="Q386" i="7944"/>
  <c r="J424" i="7944"/>
  <c r="K424" i="7944"/>
  <c r="M411" i="7944"/>
  <c r="N411" i="7944"/>
  <c r="O411" i="7944"/>
  <c r="P411" i="7944"/>
  <c r="M385" i="7944"/>
  <c r="N385" i="7944"/>
  <c r="M340" i="7944"/>
  <c r="N340" i="7944"/>
  <c r="K351" i="7944"/>
  <c r="O471" i="7944"/>
  <c r="P468" i="7944"/>
  <c r="Q468" i="7944"/>
  <c r="L384" i="7944"/>
  <c r="M355" i="7944"/>
  <c r="N355" i="7944"/>
  <c r="O355" i="7944"/>
  <c r="Q487" i="7944"/>
  <c r="N456" i="7944"/>
  <c r="O456" i="7944"/>
  <c r="P456" i="7944"/>
  <c r="Q443" i="7944"/>
  <c r="M427" i="7944"/>
  <c r="N427" i="7944"/>
  <c r="Q417" i="7944"/>
  <c r="O412" i="7944"/>
  <c r="P412" i="7944"/>
  <c r="Q375" i="7944"/>
  <c r="M313" i="7944"/>
  <c r="O303" i="7944"/>
  <c r="P303" i="7944"/>
  <c r="Q303" i="7944"/>
  <c r="J452" i="7944"/>
  <c r="K452" i="7944"/>
  <c r="J439" i="7944"/>
  <c r="K439" i="7944"/>
  <c r="I438" i="7944"/>
  <c r="I449" i="7944"/>
  <c r="J396" i="7944"/>
  <c r="K396" i="7944"/>
  <c r="I30" i="7944"/>
  <c r="J30" i="7944"/>
  <c r="L368" i="7944"/>
  <c r="M368" i="7944"/>
  <c r="L356" i="7944"/>
  <c r="L341" i="7944"/>
  <c r="H337" i="7944"/>
  <c r="L315" i="7944"/>
  <c r="J299" i="7944"/>
  <c r="L482" i="7944"/>
  <c r="M482" i="7944"/>
  <c r="N469" i="7944"/>
  <c r="O469" i="7944"/>
  <c r="P469" i="7944"/>
  <c r="N457" i="7944"/>
  <c r="O457" i="7944"/>
  <c r="N428" i="7944"/>
  <c r="O428" i="7944"/>
  <c r="M413" i="7944"/>
  <c r="P402" i="7944"/>
  <c r="Q402" i="7944"/>
  <c r="Q389" i="7944"/>
  <c r="N387" i="7944"/>
  <c r="Q361" i="7944"/>
  <c r="N359" i="7944"/>
  <c r="N357" i="7944"/>
  <c r="O357" i="7944"/>
  <c r="Q345" i="7944"/>
  <c r="O346" i="7944"/>
  <c r="P329" i="7944"/>
  <c r="Q329" i="7944"/>
  <c r="O331" i="7944"/>
  <c r="P331" i="7944"/>
  <c r="Q331" i="7944"/>
  <c r="N317" i="7944"/>
  <c r="N313" i="7944"/>
  <c r="H464" i="7944"/>
  <c r="L453" i="7944"/>
  <c r="L440" i="7944"/>
  <c r="H449" i="7944"/>
  <c r="I34" i="7944"/>
  <c r="L410" i="7944"/>
  <c r="H408" i="7944"/>
  <c r="K383" i="7944"/>
  <c r="J369" i="7944"/>
  <c r="H365" i="7944"/>
  <c r="I28" i="7944"/>
  <c r="L338" i="7944"/>
  <c r="M338" i="7944"/>
  <c r="H27" i="7944"/>
  <c r="I324" i="7944"/>
  <c r="J324" i="7944"/>
  <c r="H25" i="7944"/>
  <c r="L300" i="7944"/>
  <c r="M300" i="7944"/>
  <c r="H309" i="7944"/>
  <c r="K299" i="7944"/>
  <c r="L299" i="7944"/>
  <c r="H24" i="7944"/>
  <c r="Q486" i="7944"/>
  <c r="M483" i="7944"/>
  <c r="N483" i="7944"/>
  <c r="I480" i="7944"/>
  <c r="J480" i="7944"/>
  <c r="H478" i="7944"/>
  <c r="Q403" i="7944"/>
  <c r="H463" i="7944"/>
  <c r="I35" i="7944"/>
  <c r="K425" i="7944"/>
  <c r="L425" i="7944"/>
  <c r="H422" i="7944"/>
  <c r="H407" i="7944"/>
  <c r="I31" i="7944"/>
  <c r="L382" i="7944"/>
  <c r="J380" i="7944"/>
  <c r="J393" i="7944"/>
  <c r="K30" i="7944"/>
  <c r="L371" i="7944"/>
  <c r="M371" i="7944"/>
  <c r="H366" i="7944"/>
  <c r="I366" i="7944"/>
  <c r="I379" i="7944"/>
  <c r="K354" i="7944"/>
  <c r="H351" i="7944"/>
  <c r="I27" i="7944"/>
  <c r="J27" i="7944"/>
  <c r="K27" i="7944"/>
  <c r="L27" i="7944"/>
  <c r="H26" i="7944"/>
  <c r="I26" i="7944"/>
  <c r="H323" i="7944"/>
  <c r="I25" i="7944"/>
  <c r="J296" i="7944"/>
  <c r="C8" i="7944"/>
  <c r="C12" i="7944"/>
  <c r="C16" i="7944"/>
  <c r="C20" i="7944"/>
  <c r="C22" i="7944"/>
  <c r="D371" i="7941"/>
  <c r="D363" i="7941"/>
  <c r="D359" i="7941"/>
  <c r="N270" i="7944"/>
  <c r="N276" i="7944"/>
  <c r="O270" i="7944"/>
  <c r="O276" i="7944"/>
  <c r="P277" i="7944"/>
  <c r="Q277" i="7944"/>
  <c r="Q279" i="7944"/>
  <c r="O207" i="7944"/>
  <c r="M172" i="7944"/>
  <c r="O172" i="7944"/>
  <c r="O178" i="7944"/>
  <c r="P172" i="7944"/>
  <c r="P178" i="7944"/>
  <c r="P180" i="7944"/>
  <c r="Q180" i="7944"/>
  <c r="Q178" i="7944"/>
  <c r="Q172" i="7944"/>
  <c r="P164" i="7944"/>
  <c r="Q158" i="7944"/>
  <c r="P144" i="7944"/>
  <c r="Q150" i="7944"/>
  <c r="P136" i="7944"/>
  <c r="Q130" i="7944"/>
  <c r="N234" i="7944"/>
  <c r="O235" i="7944"/>
  <c r="P234" i="7944"/>
  <c r="P236" i="7944"/>
  <c r="Q236" i="7944"/>
  <c r="Q234" i="7944"/>
  <c r="O213" i="18"/>
  <c r="P213" i="18"/>
  <c r="P122" i="18"/>
  <c r="Q122" i="18"/>
  <c r="N109" i="18"/>
  <c r="O109" i="18"/>
  <c r="P70" i="18"/>
  <c r="Q70" i="18"/>
  <c r="N57" i="18"/>
  <c r="O57" i="18"/>
  <c r="Q248" i="7944"/>
  <c r="C9" i="7944"/>
  <c r="D667" i="18"/>
  <c r="C57" i="18"/>
  <c r="D567" i="18"/>
  <c r="C83" i="18"/>
  <c r="C13" i="7944"/>
  <c r="D671" i="18"/>
  <c r="C109" i="18"/>
  <c r="D571" i="18"/>
  <c r="D673" i="18"/>
  <c r="C17" i="7944"/>
  <c r="D675" i="18"/>
  <c r="D575" i="18"/>
  <c r="B226" i="7944"/>
  <c r="C21" i="7944"/>
  <c r="D679" i="18"/>
  <c r="B254" i="7944"/>
  <c r="D579" i="18"/>
  <c r="C475" i="7942"/>
  <c r="C23" i="7944"/>
  <c r="C477" i="7942"/>
  <c r="Q153" i="7944"/>
  <c r="Q181" i="7944"/>
  <c r="Q235" i="7944"/>
  <c r="P235" i="7944"/>
  <c r="P208" i="7944"/>
  <c r="O234" i="7944"/>
  <c r="O179" i="7944"/>
  <c r="O151" i="7944"/>
  <c r="N172" i="7944"/>
  <c r="N164" i="7944"/>
  <c r="M130" i="7944"/>
  <c r="Q109" i="18"/>
  <c r="P109" i="18"/>
  <c r="O122" i="18"/>
  <c r="O70" i="18"/>
  <c r="N122" i="18"/>
  <c r="N70" i="18"/>
  <c r="Q278" i="7944"/>
  <c r="Q270" i="7944"/>
  <c r="P278" i="7944"/>
  <c r="P270" i="7944"/>
  <c r="O277" i="7944"/>
  <c r="D360" i="7941"/>
  <c r="D364" i="7941"/>
  <c r="D368" i="7941"/>
  <c r="D372" i="7941"/>
  <c r="O485" i="7944"/>
  <c r="O483" i="7944"/>
  <c r="P483" i="7944"/>
  <c r="Q483" i="7944"/>
  <c r="O426" i="7944"/>
  <c r="P426" i="7944"/>
  <c r="Q426" i="7944"/>
  <c r="O400" i="7944"/>
  <c r="P400" i="7944"/>
  <c r="Q400" i="7944"/>
  <c r="O398" i="7944"/>
  <c r="O373" i="7944"/>
  <c r="P318" i="7944"/>
  <c r="Q318" i="7944"/>
  <c r="P316" i="7944"/>
  <c r="Q316" i="7944"/>
  <c r="O484" i="7944"/>
  <c r="P484" i="7944"/>
  <c r="Q484" i="7944"/>
  <c r="O427" i="7944"/>
  <c r="O401" i="7944"/>
  <c r="O399" i="7944"/>
  <c r="P399" i="7944"/>
  <c r="Q399" i="7944"/>
  <c r="O372" i="7944"/>
  <c r="P372" i="7944"/>
  <c r="Q372" i="7944"/>
  <c r="P332" i="7944"/>
  <c r="Q332" i="7944"/>
  <c r="P304" i="7944"/>
  <c r="Q304" i="7944"/>
  <c r="G236" i="7942"/>
  <c r="J436" i="7944"/>
  <c r="L310" i="7944"/>
  <c r="I463" i="7944"/>
  <c r="J450" i="7944"/>
  <c r="I407" i="7944"/>
  <c r="J394" i="7944"/>
  <c r="I326" i="7944"/>
  <c r="I312" i="7944"/>
  <c r="I323" i="7944"/>
  <c r="I298" i="7944"/>
  <c r="J34" i="7944"/>
  <c r="I24" i="7944"/>
  <c r="O481" i="7944"/>
  <c r="O467" i="7944"/>
  <c r="P467" i="7944"/>
  <c r="Q467" i="7944"/>
  <c r="P471" i="7944"/>
  <c r="Q471" i="7944"/>
  <c r="K466" i="7944"/>
  <c r="M454" i="7944"/>
  <c r="N454" i="7944"/>
  <c r="P457" i="7944"/>
  <c r="Q457" i="7944"/>
  <c r="O455" i="7944"/>
  <c r="J438" i="7944"/>
  <c r="K438" i="7944"/>
  <c r="L438" i="7944"/>
  <c r="M438" i="7944"/>
  <c r="P414" i="7944"/>
  <c r="Q414" i="7944"/>
  <c r="M397" i="7944"/>
  <c r="N397" i="7944"/>
  <c r="O397" i="7944"/>
  <c r="P397" i="7944"/>
  <c r="Q397" i="7944"/>
  <c r="J31" i="7944"/>
  <c r="P398" i="7944"/>
  <c r="Q398" i="7944"/>
  <c r="N368" i="7944"/>
  <c r="O368" i="7944"/>
  <c r="P368" i="7944"/>
  <c r="Q368" i="7944"/>
  <c r="N370" i="7944"/>
  <c r="O370" i="7944"/>
  <c r="P370" i="7944"/>
  <c r="Q370" i="7944"/>
  <c r="I352" i="7944"/>
  <c r="J352" i="7944"/>
  <c r="J365" i="7944"/>
  <c r="I365" i="7944"/>
  <c r="J28" i="7944"/>
  <c r="K28" i="7944"/>
  <c r="O343" i="7944"/>
  <c r="P343" i="7944"/>
  <c r="Q343" i="7944"/>
  <c r="N328" i="7944"/>
  <c r="O328" i="7944"/>
  <c r="P330" i="7944"/>
  <c r="Q330" i="7944"/>
  <c r="M327" i="7944"/>
  <c r="O314" i="7944"/>
  <c r="P314" i="7944"/>
  <c r="K296" i="7944"/>
  <c r="L296" i="7944"/>
  <c r="M296" i="7944"/>
  <c r="N482" i="7944"/>
  <c r="O482" i="7944"/>
  <c r="P482" i="7944"/>
  <c r="Q482" i="7944"/>
  <c r="K324" i="7944"/>
  <c r="L324" i="7944"/>
  <c r="M324" i="7944"/>
  <c r="N324" i="7944"/>
  <c r="N371" i="7944"/>
  <c r="L424" i="7944"/>
  <c r="I464" i="7944"/>
  <c r="H477" i="7944"/>
  <c r="I36" i="7944"/>
  <c r="N300" i="7944"/>
  <c r="H491" i="7944"/>
  <c r="I37" i="7944"/>
  <c r="N413" i="7944"/>
  <c r="O413" i="7944"/>
  <c r="P413" i="7944"/>
  <c r="Q412" i="7944"/>
  <c r="P355" i="7944"/>
  <c r="Q355" i="7944"/>
  <c r="M425" i="7944"/>
  <c r="N425" i="7944"/>
  <c r="K369" i="7944"/>
  <c r="O317" i="7944"/>
  <c r="P317" i="7944"/>
  <c r="Q317" i="7944"/>
  <c r="Q411" i="7944"/>
  <c r="M382" i="7944"/>
  <c r="M424" i="7944"/>
  <c r="N424" i="7944"/>
  <c r="O342" i="7944"/>
  <c r="M453" i="7944"/>
  <c r="P346" i="7944"/>
  <c r="Q346" i="7944"/>
  <c r="P428" i="7944"/>
  <c r="Q428" i="7944"/>
  <c r="Q469" i="7944"/>
  <c r="M356" i="7944"/>
  <c r="N356" i="7944"/>
  <c r="P357" i="7944"/>
  <c r="Q357" i="7944"/>
  <c r="O441" i="7944"/>
  <c r="P441" i="7944"/>
  <c r="K380" i="7944"/>
  <c r="I422" i="7944"/>
  <c r="H435" i="7944"/>
  <c r="I33" i="7944"/>
  <c r="I408" i="7944"/>
  <c r="H421" i="7944"/>
  <c r="I32" i="7944"/>
  <c r="L439" i="7944"/>
  <c r="M439" i="7944"/>
  <c r="N439" i="7944"/>
  <c r="L354" i="7944"/>
  <c r="M315" i="7944"/>
  <c r="N338" i="7944"/>
  <c r="M440" i="7944"/>
  <c r="M299" i="7944"/>
  <c r="N299" i="7944"/>
  <c r="L396" i="7944"/>
  <c r="O313" i="7944"/>
  <c r="P313" i="7944"/>
  <c r="Q313" i="7944"/>
  <c r="M410" i="7944"/>
  <c r="N410" i="7944"/>
  <c r="O359" i="7944"/>
  <c r="P359" i="7944"/>
  <c r="M384" i="7944"/>
  <c r="O340" i="7944"/>
  <c r="P340" i="7944"/>
  <c r="O385" i="7944"/>
  <c r="P301" i="7944"/>
  <c r="Q301" i="7944"/>
  <c r="P342" i="7944"/>
  <c r="Q342" i="7944"/>
  <c r="H379" i="7944"/>
  <c r="I29" i="7944"/>
  <c r="J29" i="7944"/>
  <c r="K480" i="7944"/>
  <c r="L480" i="7944"/>
  <c r="M480" i="7944"/>
  <c r="N480" i="7944"/>
  <c r="L452" i="7944"/>
  <c r="J312" i="7944"/>
  <c r="J323" i="7944"/>
  <c r="J35" i="7944"/>
  <c r="K352" i="7944"/>
  <c r="P455" i="7944"/>
  <c r="Q455" i="7944"/>
  <c r="I478" i="7944"/>
  <c r="J366" i="7944"/>
  <c r="K366" i="7944"/>
  <c r="L383" i="7944"/>
  <c r="M341" i="7944"/>
  <c r="Q456" i="7944"/>
  <c r="O387" i="7944"/>
  <c r="P387" i="7944"/>
  <c r="M396" i="7944"/>
  <c r="N396" i="7944"/>
  <c r="L351" i="7944"/>
  <c r="M27" i="7944"/>
  <c r="G671" i="18"/>
  <c r="G637" i="18"/>
  <c r="G687" i="18"/>
  <c r="G690" i="18"/>
  <c r="G677" i="18"/>
  <c r="G643" i="18"/>
  <c r="G693" i="18"/>
  <c r="G680" i="18"/>
  <c r="G646" i="18"/>
  <c r="G200" i="7941"/>
  <c r="G203" i="7941"/>
  <c r="G209" i="7941"/>
  <c r="G214" i="7941"/>
  <c r="M310" i="7944"/>
  <c r="G211" i="7941"/>
  <c r="G201" i="7941"/>
  <c r="G204" i="7941"/>
  <c r="G205" i="7941"/>
  <c r="G212" i="7941"/>
  <c r="K312" i="7944"/>
  <c r="K323" i="7944"/>
  <c r="J326" i="7944"/>
  <c r="J337" i="7944"/>
  <c r="J407" i="7944"/>
  <c r="J463" i="7944"/>
  <c r="J25" i="7944"/>
  <c r="K25" i="7944"/>
  <c r="L25" i="7944"/>
  <c r="J298" i="7944"/>
  <c r="J309" i="7944"/>
  <c r="K394" i="7944"/>
  <c r="K450" i="7944"/>
  <c r="I309" i="7944"/>
  <c r="I337" i="7944"/>
  <c r="J26" i="7944"/>
  <c r="K436" i="7944"/>
  <c r="P401" i="7944"/>
  <c r="Q401" i="7944"/>
  <c r="P427" i="7944"/>
  <c r="Q427" i="7944"/>
  <c r="P373" i="7944"/>
  <c r="Q373" i="7944"/>
  <c r="P481" i="7944"/>
  <c r="Q481" i="7944"/>
  <c r="P485" i="7944"/>
  <c r="Q485" i="7944"/>
  <c r="K31" i="7944"/>
  <c r="K35" i="7944"/>
  <c r="L466" i="7944"/>
  <c r="M466" i="7944"/>
  <c r="N466" i="7944"/>
  <c r="O466" i="7944"/>
  <c r="P466" i="7944"/>
  <c r="Q466" i="7944"/>
  <c r="O454" i="7944"/>
  <c r="P454" i="7944"/>
  <c r="Q454" i="7944"/>
  <c r="N438" i="7944"/>
  <c r="O438" i="7944"/>
  <c r="P438" i="7944"/>
  <c r="J449" i="7944"/>
  <c r="K34" i="7944"/>
  <c r="K393" i="7944"/>
  <c r="L30" i="7944"/>
  <c r="P385" i="7944"/>
  <c r="Q385" i="7944"/>
  <c r="L380" i="7944"/>
  <c r="M380" i="7944"/>
  <c r="N380" i="7944"/>
  <c r="K379" i="7944"/>
  <c r="K26" i="7944"/>
  <c r="P328" i="7944"/>
  <c r="Q328" i="7944"/>
  <c r="N327" i="7944"/>
  <c r="O327" i="7944"/>
  <c r="P327" i="7944"/>
  <c r="Q327" i="7944"/>
  <c r="Q314" i="7944"/>
  <c r="N296" i="7944"/>
  <c r="O410" i="7944"/>
  <c r="P410" i="7944"/>
  <c r="Q410" i="7944"/>
  <c r="N341" i="7944"/>
  <c r="O341" i="7944"/>
  <c r="P341" i="7944"/>
  <c r="Q341" i="7944"/>
  <c r="J422" i="7944"/>
  <c r="I435" i="7944"/>
  <c r="I477" i="7944"/>
  <c r="J36" i="7944"/>
  <c r="J464" i="7944"/>
  <c r="N310" i="7944"/>
  <c r="M452" i="7944"/>
  <c r="O439" i="7944"/>
  <c r="P439" i="7944"/>
  <c r="Q439" i="7944"/>
  <c r="M354" i="7944"/>
  <c r="N315" i="7944"/>
  <c r="O315" i="7944"/>
  <c r="P315" i="7944"/>
  <c r="Q315" i="7944"/>
  <c r="O356" i="7944"/>
  <c r="P356" i="7944"/>
  <c r="N453" i="7944"/>
  <c r="O299" i="7944"/>
  <c r="P299" i="7944"/>
  <c r="Q299" i="7944"/>
  <c r="O424" i="7944"/>
  <c r="P424" i="7944"/>
  <c r="Q424" i="7944"/>
  <c r="O371" i="7944"/>
  <c r="P371" i="7944"/>
  <c r="Q371" i="7944"/>
  <c r="Q340" i="7944"/>
  <c r="N382" i="7944"/>
  <c r="Q387" i="7944"/>
  <c r="J379" i="7944"/>
  <c r="L366" i="7944"/>
  <c r="K29" i="7944"/>
  <c r="L29" i="7944"/>
  <c r="J478" i="7944"/>
  <c r="J491" i="7944"/>
  <c r="J33" i="7944"/>
  <c r="Q413" i="7944"/>
  <c r="K365" i="7944"/>
  <c r="L28" i="7944"/>
  <c r="I421" i="7944"/>
  <c r="J32" i="7944"/>
  <c r="J408" i="7944"/>
  <c r="K326" i="7944"/>
  <c r="K337" i="7944"/>
  <c r="M383" i="7944"/>
  <c r="O480" i="7944"/>
  <c r="P480" i="7944"/>
  <c r="Q480" i="7944"/>
  <c r="N384" i="7944"/>
  <c r="O384" i="7944"/>
  <c r="Q359" i="7944"/>
  <c r="O338" i="7944"/>
  <c r="L352" i="7944"/>
  <c r="L369" i="7944"/>
  <c r="M369" i="7944"/>
  <c r="N369" i="7944"/>
  <c r="O369" i="7944"/>
  <c r="Q441" i="7944"/>
  <c r="O300" i="7944"/>
  <c r="I491" i="7944"/>
  <c r="J37" i="7944"/>
  <c r="K37" i="7944"/>
  <c r="K298" i="7944"/>
  <c r="K309" i="7944"/>
  <c r="O396" i="7944"/>
  <c r="P396" i="7944"/>
  <c r="Q396" i="7944"/>
  <c r="L393" i="7944"/>
  <c r="M30" i="7944"/>
  <c r="O425" i="7944"/>
  <c r="P425" i="7944"/>
  <c r="Q425" i="7944"/>
  <c r="N440" i="7944"/>
  <c r="K449" i="7944"/>
  <c r="L436" i="7944"/>
  <c r="M436" i="7944"/>
  <c r="K463" i="7944"/>
  <c r="L450" i="7944"/>
  <c r="K407" i="7944"/>
  <c r="L394" i="7944"/>
  <c r="M343" i="18"/>
  <c r="N343" i="18"/>
  <c r="O343" i="18"/>
  <c r="P343" i="18"/>
  <c r="Q343" i="18"/>
  <c r="J24" i="7944"/>
  <c r="K24" i="7944"/>
  <c r="M408" i="18"/>
  <c r="M382" i="18"/>
  <c r="N382" i="18"/>
  <c r="L312" i="7944"/>
  <c r="O324" i="7944"/>
  <c r="P324" i="7944"/>
  <c r="L31" i="7944"/>
  <c r="L35" i="7944"/>
  <c r="K478" i="7944"/>
  <c r="K491" i="7944"/>
  <c r="L37" i="7944"/>
  <c r="L478" i="7944"/>
  <c r="L491" i="7944"/>
  <c r="M37" i="7944"/>
  <c r="L34" i="7944"/>
  <c r="Q438" i="7944"/>
  <c r="P384" i="7944"/>
  <c r="Q384" i="7944"/>
  <c r="L379" i="7944"/>
  <c r="M29" i="7944"/>
  <c r="L26" i="7944"/>
  <c r="L326" i="7944"/>
  <c r="L337" i="7944"/>
  <c r="M26" i="7944"/>
  <c r="O310" i="7944"/>
  <c r="P310" i="7944"/>
  <c r="Q310" i="7944"/>
  <c r="N452" i="7944"/>
  <c r="O452" i="7944"/>
  <c r="P452" i="7944"/>
  <c r="K464" i="7944"/>
  <c r="K477" i="7944"/>
  <c r="J477" i="7944"/>
  <c r="K36" i="7944"/>
  <c r="L36" i="7944"/>
  <c r="J435" i="7944"/>
  <c r="K33" i="7944"/>
  <c r="O380" i="7944"/>
  <c r="P380" i="7944"/>
  <c r="Q380" i="7944"/>
  <c r="L365" i="7944"/>
  <c r="M28" i="7944"/>
  <c r="M352" i="7944"/>
  <c r="P300" i="7944"/>
  <c r="Q300" i="7944"/>
  <c r="N354" i="7944"/>
  <c r="O354" i="7944"/>
  <c r="P354" i="7944"/>
  <c r="Q354" i="7944"/>
  <c r="K422" i="7944"/>
  <c r="L422" i="7944"/>
  <c r="L435" i="7944"/>
  <c r="O453" i="7944"/>
  <c r="P453" i="7944"/>
  <c r="J421" i="7944"/>
  <c r="K32" i="7944"/>
  <c r="K408" i="7944"/>
  <c r="O440" i="7944"/>
  <c r="P440" i="7944"/>
  <c r="P369" i="7944"/>
  <c r="Q369" i="7944"/>
  <c r="O382" i="7944"/>
  <c r="P382" i="7944"/>
  <c r="Q382" i="7944"/>
  <c r="O296" i="7944"/>
  <c r="P296" i="7944"/>
  <c r="Q296" i="7944"/>
  <c r="L24" i="7944"/>
  <c r="N383" i="7944"/>
  <c r="O383" i="7944"/>
  <c r="L298" i="7944"/>
  <c r="P338" i="7944"/>
  <c r="Q338" i="7944"/>
  <c r="Q356" i="7944"/>
  <c r="M366" i="7944"/>
  <c r="N366" i="7944"/>
  <c r="M478" i="7944"/>
  <c r="N478" i="7944"/>
  <c r="O382" i="18"/>
  <c r="P382" i="18"/>
  <c r="L323" i="7944"/>
  <c r="M25" i="7944"/>
  <c r="M312" i="7944"/>
  <c r="N408" i="18"/>
  <c r="M395" i="18"/>
  <c r="M326" i="7944"/>
  <c r="N326" i="7944"/>
  <c r="O326" i="7944"/>
  <c r="L407" i="7944"/>
  <c r="M394" i="7944"/>
  <c r="L463" i="7944"/>
  <c r="M35" i="7944"/>
  <c r="M450" i="7944"/>
  <c r="L449" i="7944"/>
  <c r="N436" i="7944"/>
  <c r="N312" i="7944"/>
  <c r="O312" i="7944"/>
  <c r="M369" i="18"/>
  <c r="N369" i="18"/>
  <c r="Q324" i="7944"/>
  <c r="M304" i="18"/>
  <c r="M356" i="18"/>
  <c r="M31" i="7944"/>
  <c r="O478" i="7944"/>
  <c r="L464" i="7944"/>
  <c r="Q453" i="7944"/>
  <c r="Q452" i="7944"/>
  <c r="M34" i="7944"/>
  <c r="M298" i="7944"/>
  <c r="N298" i="7944"/>
  <c r="O298" i="7944"/>
  <c r="P383" i="7944"/>
  <c r="Q383" i="7944"/>
  <c r="N352" i="7944"/>
  <c r="O352" i="7944"/>
  <c r="P352" i="7944"/>
  <c r="K435" i="7944"/>
  <c r="L33" i="7944"/>
  <c r="M33" i="7944"/>
  <c r="M422" i="7944"/>
  <c r="L408" i="7944"/>
  <c r="K421" i="7944"/>
  <c r="L32" i="7944"/>
  <c r="O366" i="7944"/>
  <c r="P366" i="7944"/>
  <c r="Q366" i="7944"/>
  <c r="N422" i="7944"/>
  <c r="P312" i="7944"/>
  <c r="Q312" i="7944"/>
  <c r="P298" i="7944"/>
  <c r="Q298" i="7944"/>
  <c r="Q440" i="7944"/>
  <c r="L309" i="7944"/>
  <c r="M24" i="7944"/>
  <c r="P478" i="7944"/>
  <c r="Q478" i="7944"/>
  <c r="M291" i="18"/>
  <c r="N291" i="18"/>
  <c r="O369" i="18"/>
  <c r="P369" i="18"/>
  <c r="O408" i="18"/>
  <c r="P408" i="18"/>
  <c r="Q382" i="18"/>
  <c r="N356" i="18"/>
  <c r="O356" i="18"/>
  <c r="N395" i="18"/>
  <c r="N304" i="18"/>
  <c r="O304" i="18"/>
  <c r="M252" i="18"/>
  <c r="M330" i="18"/>
  <c r="O436" i="7944"/>
  <c r="P436" i="7944"/>
  <c r="Q436" i="7944"/>
  <c r="N450" i="7944"/>
  <c r="O450" i="7944"/>
  <c r="P450" i="7944"/>
  <c r="N394" i="7944"/>
  <c r="O394" i="7944"/>
  <c r="P394" i="7944"/>
  <c r="P326" i="7944"/>
  <c r="Q326" i="7944"/>
  <c r="O395" i="18"/>
  <c r="M421" i="18"/>
  <c r="L477" i="7944"/>
  <c r="M36" i="7944"/>
  <c r="M464" i="7944"/>
  <c r="N464" i="7944"/>
  <c r="O422" i="7944"/>
  <c r="P422" i="7944"/>
  <c r="L421" i="7944"/>
  <c r="M408" i="7944"/>
  <c r="N408" i="7944"/>
  <c r="O408" i="7944"/>
  <c r="Q450" i="7944"/>
  <c r="Q394" i="7944"/>
  <c r="M32" i="7944"/>
  <c r="Q352" i="7944"/>
  <c r="N252" i="18"/>
  <c r="O252" i="18"/>
  <c r="P252" i="18"/>
  <c r="Q252" i="18"/>
  <c r="Q408" i="18"/>
  <c r="Q369" i="18"/>
  <c r="P395" i="18"/>
  <c r="Q395" i="18"/>
  <c r="O291" i="18"/>
  <c r="P291" i="18"/>
  <c r="Q291" i="18"/>
  <c r="P408" i="7944"/>
  <c r="Q408" i="7944"/>
  <c r="P304" i="18"/>
  <c r="Q304" i="18"/>
  <c r="M317" i="18"/>
  <c r="N317" i="18"/>
  <c r="O317" i="18"/>
  <c r="M278" i="18"/>
  <c r="M265" i="18"/>
  <c r="P356" i="18"/>
  <c r="Q356" i="18"/>
  <c r="N421" i="18"/>
  <c r="O421" i="18"/>
  <c r="P421" i="18"/>
  <c r="Q421" i="18"/>
  <c r="N330" i="18"/>
  <c r="O330" i="18"/>
  <c r="P330" i="18"/>
  <c r="Q330" i="18"/>
  <c r="O464" i="7944"/>
  <c r="P464" i="7944"/>
  <c r="Q464" i="7944"/>
  <c r="Q422" i="7944"/>
  <c r="P317" i="18"/>
  <c r="Q317" i="18"/>
  <c r="N265" i="18"/>
  <c r="N278" i="18"/>
  <c r="O278" i="18"/>
  <c r="P278" i="18"/>
  <c r="Q278" i="18"/>
  <c r="O265" i="18"/>
  <c r="P265" i="18"/>
  <c r="Q265" i="18"/>
  <c r="D22" i="7946"/>
  <c r="P120" i="7944"/>
  <c r="N121" i="7944"/>
  <c r="M121" i="7944"/>
  <c r="M118" i="7944"/>
  <c r="P117" i="7944"/>
  <c r="M119" i="7944"/>
  <c r="D14" i="7946"/>
  <c r="M133" i="7944"/>
  <c r="M90" i="7944"/>
  <c r="M218" i="7944"/>
  <c r="M204" i="7944"/>
  <c r="M146" i="7944"/>
  <c r="M229" i="7944"/>
  <c r="M230" i="7944"/>
  <c r="M232" i="7944"/>
  <c r="M271" i="7944"/>
  <c r="M272" i="7944"/>
  <c r="M273" i="7944"/>
  <c r="M274" i="7944"/>
  <c r="M275" i="7944"/>
  <c r="M105" i="7944"/>
  <c r="M191" i="7944"/>
  <c r="M174" i="7944"/>
  <c r="M175" i="7944"/>
  <c r="M176" i="7944"/>
  <c r="M177" i="7944"/>
  <c r="N271" i="7944"/>
  <c r="N272" i="7944"/>
  <c r="N273" i="7944"/>
  <c r="N274" i="7944"/>
  <c r="N275" i="7944"/>
  <c r="N159" i="7944"/>
  <c r="N163" i="7944"/>
  <c r="N247" i="7944"/>
  <c r="N106" i="7944"/>
  <c r="N91" i="7944"/>
  <c r="N146" i="7944"/>
  <c r="N229" i="7944"/>
  <c r="N230" i="7944"/>
  <c r="N232" i="7944"/>
  <c r="N233" i="7944"/>
  <c r="N205" i="7944"/>
  <c r="N174" i="7944"/>
  <c r="N175" i="7944"/>
  <c r="N176" i="7944"/>
  <c r="N177" i="7944"/>
  <c r="O163" i="7944"/>
  <c r="O106" i="7944"/>
  <c r="O246" i="7944"/>
  <c r="O230" i="7944"/>
  <c r="O231" i="7944"/>
  <c r="O232" i="7944"/>
  <c r="O145" i="7944"/>
  <c r="O149" i="7944"/>
  <c r="O89" i="7944"/>
  <c r="O93" i="7944"/>
  <c r="O174" i="7944"/>
  <c r="O175" i="7944"/>
  <c r="O176" i="7944"/>
  <c r="O177" i="7944"/>
  <c r="O132" i="7944"/>
  <c r="O271" i="7944"/>
  <c r="O272" i="7944"/>
  <c r="O273" i="7944"/>
  <c r="O274" i="7944"/>
  <c r="O275" i="7944"/>
  <c r="P271" i="7944"/>
  <c r="P272" i="7944"/>
  <c r="P273" i="7944"/>
  <c r="P274" i="7944"/>
  <c r="P275" i="7944"/>
  <c r="P232" i="7944"/>
  <c r="P161" i="7944"/>
  <c r="P131" i="7944"/>
  <c r="P135" i="7944"/>
  <c r="P89" i="7944"/>
  <c r="P93" i="7944"/>
  <c r="P174" i="7944"/>
  <c r="P175" i="7944"/>
  <c r="P176" i="7944"/>
  <c r="P177" i="7944"/>
  <c r="P146" i="7944"/>
  <c r="P104" i="7944"/>
  <c r="P219" i="7944"/>
  <c r="Q89" i="7944"/>
  <c r="Q105" i="7944"/>
  <c r="Q132" i="7944"/>
  <c r="G156" i="7946"/>
  <c r="Q163" i="7944"/>
  <c r="H156" i="7946"/>
  <c r="E156" i="7946"/>
  <c r="Q145" i="7944"/>
  <c r="Q149" i="7944"/>
  <c r="Q174" i="7944"/>
  <c r="Q175" i="7944"/>
  <c r="Q176" i="7944"/>
  <c r="Q177" i="7944"/>
  <c r="Q271" i="7944"/>
  <c r="Q272" i="7944"/>
  <c r="Q273" i="7944"/>
  <c r="Q274" i="7944"/>
  <c r="Q275" i="7944"/>
  <c r="Q232" i="7944"/>
  <c r="D148" i="7946"/>
  <c r="H148" i="7946"/>
  <c r="E148" i="7946"/>
  <c r="F148" i="7946"/>
  <c r="D156" i="7946"/>
  <c r="G105" i="1"/>
  <c r="R106" i="1"/>
  <c r="G148" i="7946"/>
  <c r="G71" i="1"/>
  <c r="O74" i="7944"/>
  <c r="P74" i="7944"/>
  <c r="Q74" i="7944"/>
  <c r="N74" i="7944"/>
  <c r="M74" i="7944"/>
  <c r="O72" i="7944"/>
  <c r="M72" i="7944"/>
  <c r="P72" i="7944"/>
  <c r="Q72" i="7944"/>
  <c r="N72" i="7944"/>
  <c r="H244" i="7946"/>
  <c r="M37" i="1"/>
  <c r="D244" i="7946"/>
  <c r="G365" i="7942"/>
  <c r="G469" i="18"/>
  <c r="Q285" i="7944"/>
  <c r="Q247" i="7944"/>
  <c r="Q190" i="7944"/>
  <c r="Q148" i="7944"/>
  <c r="Q107" i="7944"/>
  <c r="Q103" i="7944"/>
  <c r="Q159" i="7944"/>
  <c r="P107" i="7944"/>
  <c r="P103" i="7944"/>
  <c r="P145" i="7944"/>
  <c r="P160" i="7944"/>
  <c r="O135" i="7944"/>
  <c r="O131" i="7944"/>
  <c r="O148" i="7944"/>
  <c r="O219" i="7944"/>
  <c r="O245" i="7944"/>
  <c r="O105" i="7944"/>
  <c r="O162" i="7944"/>
  <c r="O191" i="7944"/>
  <c r="N145" i="7944"/>
  <c r="N105" i="7944"/>
  <c r="N246" i="7944"/>
  <c r="N218" i="7944"/>
  <c r="N133" i="7944"/>
  <c r="N162" i="7944"/>
  <c r="M163" i="7944"/>
  <c r="M159" i="7944"/>
  <c r="M104" i="7944"/>
  <c r="M145" i="7944"/>
  <c r="M217" i="7944"/>
  <c r="M247" i="7944"/>
  <c r="M243" i="7944"/>
  <c r="M132" i="7944"/>
  <c r="M158" i="7944"/>
  <c r="O158" i="7944"/>
  <c r="O249" i="7944"/>
  <c r="Q137" i="7944"/>
  <c r="D581" i="18"/>
  <c r="D677" i="18"/>
  <c r="C135" i="18"/>
  <c r="D669" i="18"/>
  <c r="Q250" i="7944"/>
  <c r="Q136" i="7944"/>
  <c r="P130" i="7944"/>
  <c r="Q152" i="7944"/>
  <c r="O150" i="7944"/>
  <c r="Q164" i="7944"/>
  <c r="P158" i="7944"/>
  <c r="D472" i="18"/>
  <c r="D15" i="18"/>
  <c r="D19" i="18"/>
  <c r="D23" i="18"/>
  <c r="D27" i="18"/>
  <c r="D441" i="18"/>
  <c r="D445" i="18"/>
  <c r="D449" i="18"/>
  <c r="D453" i="18"/>
  <c r="D505" i="18"/>
  <c r="D509" i="18"/>
  <c r="D513" i="18"/>
  <c r="D517" i="18"/>
  <c r="D277" i="7941"/>
  <c r="D245" i="7941"/>
  <c r="D85" i="7941"/>
  <c r="D53" i="7941"/>
  <c r="D21" i="7941"/>
  <c r="D202" i="7941"/>
  <c r="D206" i="7941"/>
  <c r="D210" i="7941"/>
  <c r="D214" i="7941"/>
  <c r="C337" i="7942"/>
  <c r="C341" i="7942"/>
  <c r="C345" i="7942"/>
  <c r="C349" i="7942"/>
  <c r="C369" i="7942"/>
  <c r="C373" i="7942"/>
  <c r="C377" i="7942"/>
  <c r="C381" i="7942"/>
  <c r="C401" i="7942"/>
  <c r="C405" i="7942"/>
  <c r="C409" i="7942"/>
  <c r="C413" i="7942"/>
  <c r="C433" i="7942"/>
  <c r="C437" i="7942"/>
  <c r="C441" i="7942"/>
  <c r="C445" i="7942"/>
  <c r="D537" i="18"/>
  <c r="D541" i="18"/>
  <c r="D545" i="18"/>
  <c r="D549" i="18"/>
  <c r="C508" i="7942"/>
  <c r="H180" i="1"/>
  <c r="C187" i="18"/>
  <c r="C239" i="18"/>
  <c r="B114" i="7944"/>
  <c r="B170" i="7944"/>
  <c r="Q108" i="7944"/>
  <c r="Q222" i="7944"/>
  <c r="Q256" i="7944"/>
  <c r="Q260" i="7944"/>
  <c r="Q264" i="7944"/>
  <c r="D672" i="18"/>
  <c r="P262" i="7944"/>
  <c r="P258" i="7944"/>
  <c r="P248" i="7944"/>
  <c r="P221" i="7944"/>
  <c r="P151" i="7944"/>
  <c r="P110" i="7944"/>
  <c r="O261" i="7944"/>
  <c r="O257" i="7944"/>
  <c r="O108" i="7944"/>
  <c r="N260" i="7944"/>
  <c r="N256" i="7944"/>
  <c r="N220" i="7944"/>
  <c r="M259" i="7944"/>
  <c r="Q226" i="18"/>
  <c r="Q220" i="18"/>
  <c r="Q216" i="18"/>
  <c r="Q187" i="18"/>
  <c r="P83" i="18"/>
  <c r="P222" i="18"/>
  <c r="P218" i="18"/>
  <c r="P200" i="18"/>
  <c r="O220" i="18"/>
  <c r="O216" i="18"/>
  <c r="O174" i="18"/>
  <c r="N217" i="18"/>
  <c r="N200" i="18"/>
  <c r="M218" i="18"/>
  <c r="M109" i="18"/>
  <c r="M57" i="18"/>
  <c r="Q147" i="7944"/>
  <c r="Q104" i="7944"/>
  <c r="Q135" i="7944"/>
  <c r="Q131" i="7944"/>
  <c r="Q106" i="7944"/>
  <c r="Q162" i="7944"/>
  <c r="Q133" i="7944"/>
  <c r="P106" i="7944"/>
  <c r="P247" i="7944"/>
  <c r="P148" i="7944"/>
  <c r="P133" i="7944"/>
  <c r="P163" i="7944"/>
  <c r="P159" i="7944"/>
  <c r="O147" i="7944"/>
  <c r="O218" i="7944"/>
  <c r="O104" i="7944"/>
  <c r="O161" i="7944"/>
  <c r="N148" i="7944"/>
  <c r="N104" i="7944"/>
  <c r="N245" i="7944"/>
  <c r="N217" i="7944"/>
  <c r="N132" i="7944"/>
  <c r="N161" i="7944"/>
  <c r="M162" i="7944"/>
  <c r="M107" i="7944"/>
  <c r="M103" i="7944"/>
  <c r="M148" i="7944"/>
  <c r="M216" i="7944"/>
  <c r="M246" i="7944"/>
  <c r="M135" i="7944"/>
  <c r="M131" i="7944"/>
  <c r="N136" i="7944"/>
  <c r="N248" i="7944"/>
  <c r="P137" i="7944"/>
  <c r="P250" i="7944"/>
  <c r="B282" i="7944"/>
  <c r="C473" i="7942"/>
  <c r="D370" i="7941"/>
  <c r="C15" i="7944"/>
  <c r="D362" i="7941"/>
  <c r="P249" i="7944"/>
  <c r="Q138" i="7944"/>
  <c r="O137" i="7944"/>
  <c r="P152" i="7944"/>
  <c r="O144" i="7944"/>
  <c r="Q166" i="7944"/>
  <c r="O165" i="7944"/>
  <c r="C10" i="7944"/>
  <c r="D473" i="18"/>
  <c r="D477" i="18"/>
  <c r="D481" i="18"/>
  <c r="D485" i="18"/>
  <c r="C138" i="7942"/>
  <c r="C130" i="7942"/>
  <c r="C122" i="7942"/>
  <c r="C114" i="7942"/>
  <c r="C91" i="7942"/>
  <c r="C87" i="7942"/>
  <c r="C83" i="7942"/>
  <c r="C79" i="7942"/>
  <c r="C59" i="7942"/>
  <c r="C55" i="7942"/>
  <c r="C51" i="7942"/>
  <c r="C47" i="7942"/>
  <c r="C27" i="7942"/>
  <c r="C23" i="7942"/>
  <c r="C19" i="7942"/>
  <c r="C15" i="7942"/>
  <c r="D105" i="7941"/>
  <c r="D169" i="7941"/>
  <c r="C464" i="7942"/>
  <c r="D576" i="18"/>
  <c r="Q109" i="7944"/>
  <c r="Q139" i="7944"/>
  <c r="Q192" i="7944"/>
  <c r="Q223" i="7944"/>
  <c r="Q257" i="7944"/>
  <c r="Q261" i="7944"/>
  <c r="Q265" i="7944"/>
  <c r="P261" i="7944"/>
  <c r="P257" i="7944"/>
  <c r="P220" i="7944"/>
  <c r="P194" i="7944"/>
  <c r="P109" i="7944"/>
  <c r="O260" i="7944"/>
  <c r="O256" i="7944"/>
  <c r="O221" i="7944"/>
  <c r="O136" i="7944"/>
  <c r="O102" i="7944"/>
  <c r="N259" i="7944"/>
  <c r="N158" i="7944"/>
  <c r="N130" i="7944"/>
  <c r="Q83" i="18"/>
  <c r="Q223" i="18"/>
  <c r="Q219" i="18"/>
  <c r="Q215" i="18"/>
  <c r="Q174" i="18"/>
  <c r="P57" i="18"/>
  <c r="P221" i="18"/>
  <c r="P217" i="18"/>
  <c r="P187" i="18"/>
  <c r="O219" i="18"/>
  <c r="O215" i="18"/>
  <c r="N220" i="18"/>
  <c r="N216" i="18"/>
  <c r="N187" i="18"/>
  <c r="K31" i="7946"/>
  <c r="M239" i="18"/>
  <c r="M200" i="18"/>
  <c r="Q146" i="7944"/>
  <c r="Q161" i="7944"/>
  <c r="P105" i="7944"/>
  <c r="P246" i="7944"/>
  <c r="P147" i="7944"/>
  <c r="P132" i="7944"/>
  <c r="P189" i="7944"/>
  <c r="P162" i="7944"/>
  <c r="P285" i="7944"/>
  <c r="O133" i="7944"/>
  <c r="O285" i="7944"/>
  <c r="O146" i="7944"/>
  <c r="O247" i="7944"/>
  <c r="O107" i="7944"/>
  <c r="O103" i="7944"/>
  <c r="N285" i="7944"/>
  <c r="N147" i="7944"/>
  <c r="N107" i="7944"/>
  <c r="N103" i="7944"/>
  <c r="N135" i="7944"/>
  <c r="N131" i="7944"/>
  <c r="M188" i="7944"/>
  <c r="M161" i="7944"/>
  <c r="M106" i="7944"/>
  <c r="M147" i="7944"/>
  <c r="M219" i="7944"/>
  <c r="M245" i="7944"/>
  <c r="N144" i="7944"/>
  <c r="O130" i="7944"/>
  <c r="P165" i="7944"/>
  <c r="Q251" i="7944"/>
  <c r="Q165" i="7944"/>
  <c r="D681" i="18"/>
  <c r="D577" i="18"/>
  <c r="C19" i="7944"/>
  <c r="D573" i="18"/>
  <c r="D569" i="18"/>
  <c r="C11" i="7944"/>
  <c r="O248" i="7944"/>
  <c r="P138" i="7944"/>
  <c r="Q144" i="7944"/>
  <c r="P150" i="7944"/>
  <c r="M144" i="7944"/>
  <c r="P166" i="7944"/>
  <c r="D366" i="7941"/>
  <c r="F158" i="1"/>
  <c r="F154" i="1"/>
  <c r="F150" i="1"/>
  <c r="F146" i="1"/>
  <c r="D251" i="18"/>
  <c r="D199" i="18"/>
  <c r="D147" i="18"/>
  <c r="D95" i="18"/>
  <c r="C275" i="7942"/>
  <c r="C283" i="7942"/>
  <c r="C291" i="7942"/>
  <c r="C299" i="7942"/>
  <c r="D106" i="7941"/>
  <c r="D110" i="7941"/>
  <c r="D114" i="7941"/>
  <c r="D118" i="7941"/>
  <c r="D170" i="7941"/>
  <c r="D174" i="7941"/>
  <c r="D178" i="7941"/>
  <c r="D182" i="7941"/>
  <c r="C465" i="7942"/>
  <c r="C469" i="7942"/>
  <c r="D150" i="7941"/>
  <c r="I179" i="1"/>
  <c r="J179" i="1"/>
  <c r="K179" i="1"/>
  <c r="L179" i="1"/>
  <c r="M179" i="1"/>
  <c r="N179" i="1"/>
  <c r="O179" i="1"/>
  <c r="P179" i="1"/>
  <c r="Q179" i="1"/>
  <c r="Q110" i="7944"/>
  <c r="Q151" i="7944"/>
  <c r="Q220" i="7944"/>
  <c r="P108" i="7944"/>
  <c r="O220" i="7944"/>
  <c r="O192" i="7944"/>
  <c r="O164" i="7944"/>
  <c r="N108" i="7944"/>
  <c r="M102" i="7944"/>
  <c r="O200" i="18"/>
  <c r="Q246" i="7944"/>
  <c r="I180" i="1"/>
  <c r="J180" i="1"/>
  <c r="F156" i="7946"/>
  <c r="G173" i="1"/>
  <c r="B209" i="7946"/>
  <c r="B177" i="7946"/>
  <c r="Q18" i="7946"/>
  <c r="B201" i="7946"/>
  <c r="B116" i="7946"/>
  <c r="B92" i="7946"/>
  <c r="B100" i="7946"/>
  <c r="B20" i="7946"/>
  <c r="Q15" i="7946"/>
  <c r="Q11" i="7946"/>
  <c r="B84" i="7946"/>
  <c r="Q20" i="7946"/>
  <c r="B233" i="7946"/>
  <c r="Q9" i="7946"/>
  <c r="B145" i="7946"/>
  <c r="Q17" i="7946"/>
  <c r="B241" i="7946"/>
  <c r="Q14" i="7946"/>
  <c r="Q10" i="7946"/>
  <c r="Q6" i="7946"/>
  <c r="Q13" i="7946"/>
  <c r="B124" i="7946"/>
  <c r="Q12" i="7946"/>
  <c r="B68" i="7946"/>
  <c r="B193" i="7946"/>
  <c r="Q16" i="7946"/>
  <c r="B52" i="7946"/>
  <c r="B257" i="7946"/>
  <c r="Q19" i="7946"/>
  <c r="B44" i="7946"/>
  <c r="B28" i="7946"/>
  <c r="B76" i="7946"/>
  <c r="B217" i="7946"/>
  <c r="B12" i="7946"/>
  <c r="B4" i="7946"/>
  <c r="B169" i="7946"/>
  <c r="B108" i="7946"/>
  <c r="B153" i="7946"/>
  <c r="B249" i="7946"/>
  <c r="B137" i="7946"/>
  <c r="B60" i="7946"/>
  <c r="B161" i="7946"/>
  <c r="Q5" i="7946"/>
  <c r="B225" i="7946"/>
  <c r="Q8" i="7946"/>
  <c r="Q7" i="7946"/>
  <c r="B36" i="7946"/>
  <c r="B185" i="7946"/>
  <c r="G155" i="7946"/>
  <c r="P134" i="7944"/>
  <c r="G139" i="1"/>
  <c r="P245" i="7944"/>
  <c r="Q245" i="7944"/>
  <c r="F155" i="7946"/>
  <c r="N244" i="7944"/>
  <c r="M233" i="7944"/>
  <c r="M173" i="7944"/>
  <c r="J139" i="1"/>
  <c r="Q160" i="7944"/>
  <c r="P149" i="7944"/>
  <c r="P230" i="7944"/>
  <c r="Q230" i="7944"/>
  <c r="J71" i="1"/>
  <c r="I139" i="1"/>
  <c r="K71" i="1"/>
  <c r="I71" i="1"/>
  <c r="G333" i="7942"/>
  <c r="H155" i="7946"/>
  <c r="M134" i="7944"/>
  <c r="N160" i="7944"/>
  <c r="O189" i="7944"/>
  <c r="Q134" i="7944"/>
  <c r="H71" i="1"/>
  <c r="C472" i="7942"/>
  <c r="D177" i="7941"/>
  <c r="D113" i="7941"/>
  <c r="C289" i="7942"/>
  <c r="N187" i="7944"/>
  <c r="O190" i="7944"/>
  <c r="P190" i="7944"/>
  <c r="Q189" i="7944"/>
  <c r="D365" i="7941"/>
  <c r="N192" i="7944"/>
  <c r="C500" i="7942"/>
  <c r="D13" i="7941"/>
  <c r="D45" i="7941"/>
  <c r="D77" i="7941"/>
  <c r="D237" i="7941"/>
  <c r="D269" i="7941"/>
  <c r="D480" i="18"/>
  <c r="M149" i="7944"/>
  <c r="M190" i="7944"/>
  <c r="N149" i="7944"/>
  <c r="P191" i="7944"/>
  <c r="G397" i="7942"/>
  <c r="L71" i="1"/>
  <c r="Q173" i="7944"/>
  <c r="Q205" i="7944"/>
  <c r="Q90" i="7944"/>
  <c r="P205" i="7944"/>
  <c r="P91" i="7944"/>
  <c r="O91" i="7944"/>
  <c r="O204" i="7944"/>
  <c r="O233" i="7944"/>
  <c r="O188" i="7944"/>
  <c r="N203" i="7944"/>
  <c r="N231" i="7944"/>
  <c r="N93" i="7944"/>
  <c r="N89" i="7944"/>
  <c r="N134" i="7944"/>
  <c r="N189" i="7944"/>
  <c r="M160" i="7944"/>
  <c r="M202" i="7944"/>
  <c r="M92" i="7944"/>
  <c r="M244" i="7944"/>
  <c r="N119" i="7944"/>
  <c r="Q117" i="7944"/>
  <c r="N117" i="7944"/>
  <c r="P118" i="7944"/>
  <c r="Q121" i="7944"/>
  <c r="N120" i="7944"/>
  <c r="G688" i="18"/>
  <c r="G672" i="18"/>
  <c r="G638" i="18"/>
  <c r="G685" i="18"/>
  <c r="G651" i="18"/>
  <c r="G669" i="18"/>
  <c r="G635" i="18"/>
  <c r="G695" i="18"/>
  <c r="G679" i="18"/>
  <c r="G645" i="18"/>
  <c r="O206" i="7944"/>
  <c r="O83" i="18"/>
  <c r="Q209" i="7944"/>
  <c r="D373" i="7941"/>
  <c r="F145" i="1"/>
  <c r="D82" i="18"/>
  <c r="D14" i="18"/>
  <c r="D440" i="18"/>
  <c r="D504" i="18"/>
  <c r="D201" i="7941"/>
  <c r="C120" i="7942"/>
  <c r="C82" i="7942"/>
  <c r="C50" i="7942"/>
  <c r="C18" i="7942"/>
  <c r="C336" i="7942"/>
  <c r="C368" i="7942"/>
  <c r="C400" i="7942"/>
  <c r="C432" i="7942"/>
  <c r="D536" i="18"/>
  <c r="D297" i="7941"/>
  <c r="D301" i="7941"/>
  <c r="D305" i="7941"/>
  <c r="D309" i="7941"/>
  <c r="F119" i="1"/>
  <c r="Q97" i="7944"/>
  <c r="Q123" i="7944"/>
  <c r="P192" i="7944"/>
  <c r="P123" i="7944"/>
  <c r="O122" i="7944"/>
  <c r="Q161" i="18"/>
  <c r="P96" i="18"/>
  <c r="P193" i="7944"/>
  <c r="O160" i="7944"/>
  <c r="O239" i="18"/>
  <c r="N186" i="7944"/>
  <c r="O193" i="7944"/>
  <c r="D149" i="7941"/>
  <c r="C468" i="7942"/>
  <c r="D173" i="7941"/>
  <c r="D109" i="7941"/>
  <c r="C281" i="7942"/>
  <c r="N191" i="7944"/>
  <c r="O134" i="7944"/>
  <c r="D680" i="18"/>
  <c r="C122" i="18"/>
  <c r="C504" i="7942"/>
  <c r="D17" i="7941"/>
  <c r="D49" i="7941"/>
  <c r="D81" i="7941"/>
  <c r="D241" i="7941"/>
  <c r="D273" i="7941"/>
  <c r="D476" i="18"/>
  <c r="N188" i="7944"/>
  <c r="O187" i="7944"/>
  <c r="N37" i="1"/>
  <c r="Q233" i="7944"/>
  <c r="Q191" i="7944"/>
  <c r="Q92" i="7944"/>
  <c r="P204" i="7944"/>
  <c r="P173" i="7944"/>
  <c r="P90" i="7944"/>
  <c r="P188" i="7944"/>
  <c r="P231" i="7944"/>
  <c r="O173" i="7944"/>
  <c r="O90" i="7944"/>
  <c r="O203" i="7944"/>
  <c r="N173" i="7944"/>
  <c r="N202" i="7944"/>
  <c r="N92" i="7944"/>
  <c r="M231" i="7944"/>
  <c r="M205" i="7944"/>
  <c r="M201" i="7944"/>
  <c r="M91" i="7944"/>
  <c r="Q119" i="7944"/>
  <c r="O117" i="7944"/>
  <c r="Q118" i="7944"/>
  <c r="N118" i="7944"/>
  <c r="O121" i="7944"/>
  <c r="Q120" i="7944"/>
  <c r="G684" i="18"/>
  <c r="G650" i="18"/>
  <c r="G668" i="18"/>
  <c r="G634" i="18"/>
  <c r="G681" i="18"/>
  <c r="G647" i="18"/>
  <c r="G694" i="18"/>
  <c r="G682" i="18"/>
  <c r="G648" i="18"/>
  <c r="G674" i="18"/>
  <c r="G640" i="18"/>
  <c r="G691" i="18"/>
  <c r="G675" i="18"/>
  <c r="G641" i="18"/>
  <c r="Q208" i="7944"/>
  <c r="P207" i="7944"/>
  <c r="F149" i="1"/>
  <c r="D134" i="18"/>
  <c r="D26" i="18"/>
  <c r="D452" i="18"/>
  <c r="D516" i="18"/>
  <c r="D213" i="7941"/>
  <c r="C128" i="7942"/>
  <c r="C86" i="7942"/>
  <c r="C54" i="7942"/>
  <c r="C22" i="7942"/>
  <c r="C348" i="7942"/>
  <c r="C380" i="7942"/>
  <c r="C412" i="7942"/>
  <c r="C444" i="7942"/>
  <c r="D548" i="18"/>
  <c r="C273" i="7942"/>
  <c r="D337" i="7941"/>
  <c r="D608" i="18"/>
  <c r="C42" i="7944"/>
  <c r="C113" i="7944"/>
  <c r="C174" i="18"/>
  <c r="B100" i="7944"/>
  <c r="B212" i="7944"/>
  <c r="F115" i="1"/>
  <c r="Q96" i="7944"/>
  <c r="Q88" i="7944"/>
  <c r="Q124" i="7944"/>
  <c r="Q194" i="7944"/>
  <c r="D676" i="18"/>
  <c r="P122" i="7944"/>
  <c r="O186" i="7944"/>
  <c r="O116" i="7944"/>
  <c r="N206" i="7944"/>
  <c r="M116" i="7944"/>
  <c r="Q96" i="18"/>
  <c r="P239" i="18"/>
  <c r="O161" i="18"/>
  <c r="N96" i="18"/>
  <c r="M161" i="18"/>
  <c r="M96" i="18"/>
  <c r="M186" i="7944"/>
  <c r="Q193" i="7944"/>
  <c r="N190" i="7944"/>
  <c r="Q188" i="7944"/>
  <c r="D568" i="18"/>
  <c r="D181" i="7941"/>
  <c r="D117" i="7941"/>
  <c r="C297" i="7942"/>
  <c r="M189" i="7944"/>
  <c r="P218" i="7944"/>
  <c r="Q218" i="7944"/>
  <c r="N226" i="18"/>
  <c r="Q195" i="7944"/>
  <c r="C496" i="7942"/>
  <c r="D9" i="7941"/>
  <c r="D41" i="7941"/>
  <c r="D73" i="7941"/>
  <c r="D233" i="7941"/>
  <c r="D265" i="7941"/>
  <c r="D484" i="18"/>
  <c r="C14" i="7944"/>
  <c r="P187" i="7944"/>
  <c r="Q91" i="7944"/>
  <c r="Q93" i="7944"/>
  <c r="P92" i="7944"/>
  <c r="P233" i="7944"/>
  <c r="O92" i="7944"/>
  <c r="O205" i="7944"/>
  <c r="O159" i="7944"/>
  <c r="N204" i="7944"/>
  <c r="Q204" i="7944"/>
  <c r="N90" i="7944"/>
  <c r="N219" i="7944"/>
  <c r="Q219" i="7944"/>
  <c r="M187" i="7944"/>
  <c r="M203" i="7944"/>
  <c r="M93" i="7944"/>
  <c r="M89" i="7944"/>
  <c r="O119" i="7944"/>
  <c r="P119" i="7944"/>
  <c r="M117" i="7944"/>
  <c r="O118" i="7944"/>
  <c r="P121" i="7944"/>
  <c r="O120" i="7944"/>
  <c r="M120" i="7944"/>
  <c r="G692" i="18"/>
  <c r="G676" i="18"/>
  <c r="G642" i="18"/>
  <c r="G689" i="18"/>
  <c r="G673" i="18"/>
  <c r="G639" i="18"/>
  <c r="G686" i="18"/>
  <c r="G678" i="18"/>
  <c r="G644" i="18"/>
  <c r="G670" i="18"/>
  <c r="G636" i="18"/>
  <c r="G683" i="18"/>
  <c r="G649" i="18"/>
  <c r="Q207" i="7944"/>
  <c r="D369" i="7941"/>
  <c r="C18" i="7944"/>
  <c r="F43" i="1"/>
  <c r="F47" i="1"/>
  <c r="F51" i="1"/>
  <c r="F55" i="1"/>
  <c r="F77" i="1"/>
  <c r="F81" i="1"/>
  <c r="F85" i="1"/>
  <c r="F89" i="1"/>
  <c r="F157" i="1"/>
  <c r="D238" i="18"/>
  <c r="D18" i="18"/>
  <c r="D444" i="18"/>
  <c r="D508" i="18"/>
  <c r="D634" i="18"/>
  <c r="D638" i="18"/>
  <c r="D642" i="18"/>
  <c r="D646" i="18"/>
  <c r="D205" i="7941"/>
  <c r="C112" i="7942"/>
  <c r="C78" i="7942"/>
  <c r="C46" i="7942"/>
  <c r="C14" i="7942"/>
  <c r="C340" i="7942"/>
  <c r="C372" i="7942"/>
  <c r="C404" i="7942"/>
  <c r="C436" i="7942"/>
  <c r="D540" i="18"/>
  <c r="C175" i="7942"/>
  <c r="C179" i="7942"/>
  <c r="C183" i="7942"/>
  <c r="C187" i="7942"/>
  <c r="C207" i="7942"/>
  <c r="C211" i="7942"/>
  <c r="C215" i="7942"/>
  <c r="C219" i="7942"/>
  <c r="C239" i="7942"/>
  <c r="C243" i="7942"/>
  <c r="C247" i="7942"/>
  <c r="C251" i="7942"/>
  <c r="D329" i="7941"/>
  <c r="D600" i="18"/>
  <c r="C50" i="7944"/>
  <c r="C225" i="7944"/>
  <c r="F123" i="1"/>
  <c r="Q95" i="7944"/>
  <c r="Q122" i="7944"/>
  <c r="P124" i="7944"/>
  <c r="O123" i="7944"/>
  <c r="N116" i="7944"/>
  <c r="Q239" i="18"/>
  <c r="C157" i="7946"/>
  <c r="D154" i="7946"/>
  <c r="G6" i="7941"/>
  <c r="H437" i="18"/>
  <c r="R140" i="1"/>
  <c r="K180" i="1"/>
  <c r="L180" i="1"/>
  <c r="M180" i="1"/>
  <c r="N180" i="1"/>
  <c r="O180" i="1"/>
  <c r="P180" i="1"/>
  <c r="Q180" i="1"/>
  <c r="D155" i="7946"/>
  <c r="D147" i="7946"/>
  <c r="K39" i="7944"/>
  <c r="G244" i="7946"/>
  <c r="D110" i="7946"/>
  <c r="P203" i="7944"/>
  <c r="Q203" i="7944"/>
  <c r="D328" i="7941"/>
  <c r="D336" i="7941"/>
  <c r="D599" i="18"/>
  <c r="D607" i="18"/>
  <c r="C495" i="7942"/>
  <c r="D572" i="18"/>
  <c r="D136" i="7941"/>
  <c r="D144" i="7941"/>
  <c r="C41" i="7944"/>
  <c r="C49" i="7944"/>
  <c r="C99" i="7944"/>
  <c r="C211" i="7944"/>
  <c r="P88" i="7944"/>
  <c r="O94" i="7944"/>
  <c r="N94" i="7944"/>
  <c r="M285" i="7944"/>
  <c r="G110" i="7946"/>
  <c r="F110" i="7946"/>
  <c r="D333" i="7941"/>
  <c r="D341" i="7941"/>
  <c r="D604" i="18"/>
  <c r="D612" i="18"/>
  <c r="C505" i="7942"/>
  <c r="C476" i="7942"/>
  <c r="C46" i="7944"/>
  <c r="C54" i="7944"/>
  <c r="C169" i="7944"/>
  <c r="C281" i="7944"/>
  <c r="B86" i="7944"/>
  <c r="B156" i="7944"/>
  <c r="B198" i="7944"/>
  <c r="F110" i="1"/>
  <c r="F118" i="1"/>
  <c r="P96" i="7944"/>
  <c r="O88" i="7944"/>
  <c r="N88" i="7944"/>
  <c r="D361" i="7941"/>
  <c r="D138" i="7941"/>
  <c r="D146" i="7941"/>
  <c r="B268" i="7944"/>
  <c r="G147" i="7946"/>
  <c r="F147" i="7946"/>
  <c r="E147" i="7946"/>
  <c r="D104" i="7941"/>
  <c r="D112" i="7941"/>
  <c r="D168" i="7941"/>
  <c r="D176" i="7941"/>
  <c r="C497" i="7942"/>
  <c r="C471" i="7942"/>
  <c r="D580" i="18"/>
  <c r="P94" i="7944"/>
  <c r="O95" i="7944"/>
  <c r="M88" i="7944"/>
  <c r="E243" i="7946"/>
  <c r="C149" i="7946"/>
  <c r="D146" i="7946"/>
  <c r="C245" i="7946"/>
  <c r="D242" i="7946"/>
  <c r="D245" i="7946"/>
  <c r="E242" i="7946"/>
  <c r="D174" i="7946"/>
  <c r="D230" i="7946"/>
  <c r="R72" i="1"/>
  <c r="O229" i="7944"/>
  <c r="M242" i="7944"/>
  <c r="N216" i="7944"/>
  <c r="O216" i="7944"/>
  <c r="P216" i="7944"/>
  <c r="N228" i="7944"/>
  <c r="O244" i="7944"/>
  <c r="H243" i="7946"/>
  <c r="D157" i="7946"/>
  <c r="Q231" i="7944"/>
  <c r="L39" i="7944"/>
  <c r="Q187" i="7944"/>
  <c r="G665" i="18"/>
  <c r="G39" i="7944"/>
  <c r="H147" i="7946"/>
  <c r="P111" i="18"/>
  <c r="P229" i="7944"/>
  <c r="Q229" i="7944"/>
  <c r="P244" i="7944"/>
  <c r="Q244" i="7944"/>
  <c r="D149" i="7946"/>
  <c r="G631" i="18"/>
  <c r="O202" i="7944"/>
  <c r="P202" i="7944"/>
  <c r="Q202" i="7944"/>
  <c r="N150" i="18"/>
  <c r="M150" i="18"/>
  <c r="O150" i="18"/>
  <c r="I39" i="7944"/>
  <c r="N201" i="7944"/>
  <c r="M137" i="18"/>
  <c r="P137" i="18"/>
  <c r="Q137" i="18"/>
  <c r="O137" i="18"/>
  <c r="N137" i="18"/>
  <c r="M202" i="18"/>
  <c r="H6" i="7941"/>
  <c r="G70" i="7941"/>
  <c r="G199" i="7941"/>
  <c r="G198" i="7941"/>
  <c r="G43" i="7942"/>
  <c r="M215" i="7944"/>
  <c r="N215" i="7944"/>
  <c r="M214" i="7944"/>
  <c r="E110" i="7946"/>
  <c r="F243" i="7946"/>
  <c r="O98" i="18"/>
  <c r="N98" i="18"/>
  <c r="P98" i="18"/>
  <c r="M98" i="18"/>
  <c r="Q98" i="18"/>
  <c r="I173" i="1"/>
  <c r="M200" i="7944"/>
  <c r="N200" i="7944"/>
  <c r="G71" i="7944"/>
  <c r="H39" i="7944"/>
  <c r="M176" i="18"/>
  <c r="O217" i="7944"/>
  <c r="G243" i="7946"/>
  <c r="N243" i="7944"/>
  <c r="O243" i="7944"/>
  <c r="P243" i="7944"/>
  <c r="Q243" i="7944"/>
  <c r="P186" i="7944"/>
  <c r="Q186" i="7944"/>
  <c r="P85" i="18"/>
  <c r="Q85" i="18"/>
  <c r="N85" i="18"/>
  <c r="H173" i="1"/>
  <c r="O85" i="18"/>
  <c r="M85" i="18"/>
  <c r="J39" i="7944"/>
  <c r="J173" i="1"/>
  <c r="H665" i="18"/>
  <c r="H110" i="7946"/>
  <c r="Q216" i="7944"/>
  <c r="G7" i="7944"/>
  <c r="P44" i="18"/>
  <c r="H333" i="7942"/>
  <c r="N44" i="18"/>
  <c r="Q44" i="18"/>
  <c r="O44" i="18"/>
  <c r="M44" i="18"/>
  <c r="H71" i="7944"/>
  <c r="O215" i="7944"/>
  <c r="E245" i="7946"/>
  <c r="D246" i="7946"/>
  <c r="D214" i="7946"/>
  <c r="D198" i="7946"/>
  <c r="D254" i="7946"/>
  <c r="D158" i="7946"/>
  <c r="D262" i="7946"/>
  <c r="D190" i="7946"/>
  <c r="D182" i="7946"/>
  <c r="D166" i="7946"/>
  <c r="D238" i="7946"/>
  <c r="D222" i="7946"/>
  <c r="D150" i="7946"/>
  <c r="D206" i="7946"/>
  <c r="O228" i="7944"/>
  <c r="P124" i="18"/>
  <c r="P228" i="7944"/>
  <c r="Q228" i="7944"/>
  <c r="N242" i="7944"/>
  <c r="O242" i="7944"/>
  <c r="P242" i="7944"/>
  <c r="E247" i="7946"/>
  <c r="I71" i="7944"/>
  <c r="O59" i="18"/>
  <c r="P46" i="18"/>
  <c r="P59" i="18"/>
  <c r="O241" i="18"/>
  <c r="N59" i="18"/>
  <c r="M46" i="18"/>
  <c r="O46" i="18"/>
  <c r="M163" i="18"/>
  <c r="M59" i="18"/>
  <c r="Q59" i="18"/>
  <c r="N46" i="18"/>
  <c r="N72" i="18"/>
  <c r="Q46" i="18"/>
  <c r="M241" i="18"/>
  <c r="N241" i="18"/>
  <c r="P72" i="18"/>
  <c r="O228" i="18"/>
  <c r="P241" i="18"/>
  <c r="O72" i="18"/>
  <c r="M72" i="18"/>
  <c r="M111" i="18"/>
  <c r="M228" i="18"/>
  <c r="P228" i="18"/>
  <c r="Q72" i="18"/>
  <c r="Q228" i="18"/>
  <c r="M189" i="18"/>
  <c r="Q241" i="18"/>
  <c r="O111" i="18"/>
  <c r="N228" i="18"/>
  <c r="M124" i="18"/>
  <c r="E154" i="7946"/>
  <c r="Q111" i="18"/>
  <c r="L71" i="7944"/>
  <c r="N124" i="18"/>
  <c r="N111" i="18"/>
  <c r="K71" i="7944"/>
  <c r="Q124" i="18"/>
  <c r="O124" i="18"/>
  <c r="N202" i="18"/>
  <c r="O202" i="18"/>
  <c r="P202" i="18"/>
  <c r="Q202" i="18"/>
  <c r="E146" i="7946"/>
  <c r="O200" i="7944"/>
  <c r="P200" i="7944"/>
  <c r="Q200" i="7944"/>
  <c r="G75" i="7942"/>
  <c r="N214" i="7944"/>
  <c r="O214" i="7944"/>
  <c r="J71" i="7944"/>
  <c r="O201" i="7944"/>
  <c r="P201" i="7944"/>
  <c r="P217" i="7944"/>
  <c r="Q217" i="7944"/>
  <c r="K173" i="1"/>
  <c r="H7" i="7944"/>
  <c r="E199" i="7946"/>
  <c r="H43" i="18"/>
  <c r="E191" i="7946"/>
  <c r="P215" i="7944"/>
  <c r="Q215" i="7944"/>
  <c r="E215" i="7946"/>
  <c r="E231" i="7946"/>
  <c r="E239" i="7946"/>
  <c r="E175" i="7946"/>
  <c r="F242" i="7946"/>
  <c r="E206" i="7946"/>
  <c r="E230" i="7946"/>
  <c r="D89" i="7946"/>
  <c r="D142" i="7946"/>
  <c r="E214" i="7946"/>
  <c r="E166" i="7946"/>
  <c r="E182" i="7946"/>
  <c r="E246" i="7946"/>
  <c r="E238" i="7946"/>
  <c r="E174" i="7946"/>
  <c r="E198" i="7946"/>
  <c r="E222" i="7946"/>
  <c r="D105" i="7946"/>
  <c r="E190" i="7946"/>
  <c r="E254" i="7946"/>
  <c r="Q242" i="7944"/>
  <c r="N176" i="18"/>
  <c r="O176" i="18"/>
  <c r="E223" i="7946"/>
  <c r="E183" i="7946"/>
  <c r="E167" i="7946"/>
  <c r="E255" i="7946"/>
  <c r="M423" i="18"/>
  <c r="N423" i="18"/>
  <c r="O423" i="18"/>
  <c r="H11" i="18"/>
  <c r="H107" i="7942"/>
  <c r="D23" i="7946"/>
  <c r="D24" i="7946"/>
  <c r="E22" i="7946"/>
  <c r="E207" i="7946"/>
  <c r="M319" i="18"/>
  <c r="N319" i="18"/>
  <c r="P150" i="18"/>
  <c r="Q150" i="18"/>
  <c r="N189" i="18"/>
  <c r="O189" i="18"/>
  <c r="D15" i="7946"/>
  <c r="D16" i="7946"/>
  <c r="P176" i="18"/>
  <c r="Q176" i="18"/>
  <c r="O151" i="18"/>
  <c r="P151" i="18"/>
  <c r="Q47" i="18"/>
  <c r="Q60" i="18"/>
  <c r="N190" i="18"/>
  <c r="M151" i="18"/>
  <c r="M177" i="18"/>
  <c r="M60" i="18"/>
  <c r="N151" i="18"/>
  <c r="N177" i="18"/>
  <c r="Q73" i="18"/>
  <c r="M242" i="18"/>
  <c r="N73" i="18"/>
  <c r="N164" i="18"/>
  <c r="P60" i="18"/>
  <c r="O73" i="18"/>
  <c r="M73" i="18"/>
  <c r="N60" i="18"/>
  <c r="M138" i="18"/>
  <c r="P229" i="18"/>
  <c r="P138" i="18"/>
  <c r="M190" i="18"/>
  <c r="O60" i="18"/>
  <c r="N242" i="18"/>
  <c r="P242" i="18"/>
  <c r="Q242" i="18"/>
  <c r="O47" i="18"/>
  <c r="P73" i="18"/>
  <c r="O242" i="18"/>
  <c r="N138" i="18"/>
  <c r="O138" i="18"/>
  <c r="M229" i="18"/>
  <c r="N47" i="18"/>
  <c r="M47" i="18"/>
  <c r="M164" i="18"/>
  <c r="P47" i="18"/>
  <c r="Q138" i="18"/>
  <c r="N229" i="18"/>
  <c r="Q229" i="18"/>
  <c r="O229" i="18"/>
  <c r="N125" i="18"/>
  <c r="M86" i="18"/>
  <c r="Q86" i="18"/>
  <c r="N99" i="18"/>
  <c r="N203" i="18"/>
  <c r="Q112" i="18"/>
  <c r="M125" i="18"/>
  <c r="Q125" i="18"/>
  <c r="O86" i="18"/>
  <c r="Q99" i="18"/>
  <c r="M112" i="18"/>
  <c r="P125" i="18"/>
  <c r="P86" i="18"/>
  <c r="O99" i="18"/>
  <c r="O112" i="18"/>
  <c r="O125" i="18"/>
  <c r="N86" i="18"/>
  <c r="P99" i="18"/>
  <c r="M203" i="18"/>
  <c r="N112" i="18"/>
  <c r="P112" i="18"/>
  <c r="M99" i="18"/>
  <c r="E159" i="7946"/>
  <c r="E157" i="7946"/>
  <c r="N163" i="18"/>
  <c r="O163" i="18"/>
  <c r="P163" i="18"/>
  <c r="Q163" i="18"/>
  <c r="E14" i="7946"/>
  <c r="D111" i="7946"/>
  <c r="D112" i="7946"/>
  <c r="E149" i="7946"/>
  <c r="E151" i="7946"/>
  <c r="E263" i="7946"/>
  <c r="Q201" i="7944"/>
  <c r="E106" i="7946"/>
  <c r="P214" i="7944"/>
  <c r="Q214" i="7944"/>
  <c r="M7" i="18"/>
  <c r="N178" i="1"/>
  <c r="M25" i="18"/>
  <c r="L173" i="1"/>
  <c r="H631" i="18"/>
  <c r="I7" i="7944"/>
  <c r="F245" i="7946"/>
  <c r="F247" i="7946"/>
  <c r="D129" i="7946"/>
  <c r="D121" i="7946"/>
  <c r="D57" i="7946"/>
  <c r="D33" i="7946"/>
  <c r="D49" i="7946"/>
  <c r="D81" i="7946"/>
  <c r="E150" i="7946"/>
  <c r="D25" i="7946"/>
  <c r="E262" i="7946"/>
  <c r="D41" i="7946"/>
  <c r="D65" i="7946"/>
  <c r="E158" i="7946"/>
  <c r="D97" i="7946"/>
  <c r="D17" i="7946"/>
  <c r="D113" i="7946"/>
  <c r="M307" i="18"/>
  <c r="O319" i="18"/>
  <c r="Q151" i="18"/>
  <c r="M411" i="18"/>
  <c r="M281" i="18"/>
  <c r="N281" i="18"/>
  <c r="P423" i="18"/>
  <c r="O203" i="18"/>
  <c r="P203" i="18"/>
  <c r="Q203" i="18"/>
  <c r="O177" i="18"/>
  <c r="P177" i="18"/>
  <c r="O190" i="18"/>
  <c r="P190" i="18"/>
  <c r="Q190" i="18"/>
  <c r="O164" i="18"/>
  <c r="P164" i="18"/>
  <c r="Q164" i="18"/>
  <c r="F22" i="7946"/>
  <c r="H228" i="7941"/>
  <c r="E15" i="7946"/>
  <c r="I11" i="18"/>
  <c r="H223" i="7941"/>
  <c r="H217" i="7941"/>
  <c r="M254" i="18"/>
  <c r="H219" i="7941"/>
  <c r="Q423" i="18"/>
  <c r="E109" i="7946"/>
  <c r="H216" i="7941"/>
  <c r="H220" i="7941"/>
  <c r="M397" i="18"/>
  <c r="H225" i="7941"/>
  <c r="F154" i="7946"/>
  <c r="F14" i="7946"/>
  <c r="E111" i="7946"/>
  <c r="M398" i="18"/>
  <c r="N398" i="18"/>
  <c r="O398" i="18"/>
  <c r="P398" i="18"/>
  <c r="Q398" i="18"/>
  <c r="E23" i="7946"/>
  <c r="E13" i="7946"/>
  <c r="I224" i="7941"/>
  <c r="H224" i="7941"/>
  <c r="I43" i="18"/>
  <c r="E21" i="7946"/>
  <c r="H268" i="7942"/>
  <c r="H215" i="7941"/>
  <c r="H218" i="7941"/>
  <c r="N307" i="18"/>
  <c r="Q177" i="18"/>
  <c r="M333" i="18"/>
  <c r="M346" i="18"/>
  <c r="N346" i="18"/>
  <c r="O346" i="18"/>
  <c r="H221" i="7941"/>
  <c r="H227" i="7941"/>
  <c r="H226" i="7941"/>
  <c r="E98" i="7946"/>
  <c r="M360" i="18"/>
  <c r="N191" i="18"/>
  <c r="O165" i="18"/>
  <c r="M230" i="18"/>
  <c r="N178" i="18"/>
  <c r="Q48" i="18"/>
  <c r="O48" i="18"/>
  <c r="Q243" i="18"/>
  <c r="O87" i="18"/>
  <c r="N87" i="18"/>
  <c r="P152" i="18"/>
  <c r="P74" i="18"/>
  <c r="Q113" i="18"/>
  <c r="O113" i="18"/>
  <c r="O126" i="18"/>
  <c r="O230" i="18"/>
  <c r="P48" i="18"/>
  <c r="O243" i="18"/>
  <c r="M152" i="18"/>
  <c r="N74" i="18"/>
  <c r="N113" i="18"/>
  <c r="M126" i="18"/>
  <c r="M373" i="18"/>
  <c r="N373" i="18"/>
  <c r="O191" i="18"/>
  <c r="N165" i="18"/>
  <c r="N230" i="18"/>
  <c r="M178" i="18"/>
  <c r="N48" i="18"/>
  <c r="M48" i="18"/>
  <c r="M243" i="18"/>
  <c r="P87" i="18"/>
  <c r="N152" i="18"/>
  <c r="Q152" i="18"/>
  <c r="N204" i="18"/>
  <c r="Q74" i="18"/>
  <c r="O74" i="18"/>
  <c r="P113" i="18"/>
  <c r="Q100" i="18"/>
  <c r="P100" i="18"/>
  <c r="N126" i="18"/>
  <c r="Q126" i="18"/>
  <c r="O178" i="18"/>
  <c r="M204" i="18"/>
  <c r="M100" i="18"/>
  <c r="M191" i="18"/>
  <c r="P230" i="18"/>
  <c r="Q230" i="18"/>
  <c r="P243" i="18"/>
  <c r="N243" i="18"/>
  <c r="M87" i="18"/>
  <c r="O152" i="18"/>
  <c r="O204" i="18"/>
  <c r="M74" i="18"/>
  <c r="M113" i="18"/>
  <c r="O100" i="18"/>
  <c r="N100" i="18"/>
  <c r="P126" i="18"/>
  <c r="M165" i="18"/>
  <c r="Q87" i="18"/>
  <c r="M61" i="18"/>
  <c r="P61" i="18"/>
  <c r="M139" i="18"/>
  <c r="N139" i="18"/>
  <c r="N61" i="18"/>
  <c r="O61" i="18"/>
  <c r="Q61" i="18"/>
  <c r="Q139" i="18"/>
  <c r="P139" i="18"/>
  <c r="O139" i="18"/>
  <c r="H222" i="7941"/>
  <c r="I107" i="7942"/>
  <c r="H469" i="18"/>
  <c r="P189" i="18"/>
  <c r="Q189" i="18"/>
  <c r="E34" i="7946"/>
  <c r="F146" i="7946"/>
  <c r="P319" i="18"/>
  <c r="Q319" i="18"/>
  <c r="H209" i="7941"/>
  <c r="H211" i="7941"/>
  <c r="E90" i="7946"/>
  <c r="M483" i="18"/>
  <c r="M52" i="7941"/>
  <c r="O168" i="18"/>
  <c r="Q168" i="18"/>
  <c r="N168" i="18"/>
  <c r="M21" i="18"/>
  <c r="M479" i="18"/>
  <c r="M48" i="7941"/>
  <c r="P168" i="18"/>
  <c r="N324" i="18"/>
  <c r="O324" i="18"/>
  <c r="M33" i="18"/>
  <c r="M491" i="18"/>
  <c r="M60" i="7941"/>
  <c r="N170" i="1"/>
  <c r="N7" i="18"/>
  <c r="N158" i="1"/>
  <c r="N164" i="1"/>
  <c r="N155" i="1"/>
  <c r="N169" i="1"/>
  <c r="N152" i="1"/>
  <c r="N143" i="1"/>
  <c r="O178" i="1"/>
  <c r="N162" i="1"/>
  <c r="N147" i="1"/>
  <c r="N163" i="1"/>
  <c r="N144" i="1"/>
  <c r="N159" i="1"/>
  <c r="N165" i="1"/>
  <c r="N156" i="1"/>
  <c r="N25" i="18"/>
  <c r="N161" i="1"/>
  <c r="N150" i="1"/>
  <c r="N149" i="1"/>
  <c r="N171" i="1"/>
  <c r="N154" i="1"/>
  <c r="N168" i="1"/>
  <c r="N148" i="1"/>
  <c r="N157" i="1"/>
  <c r="N172" i="1"/>
  <c r="N166" i="1"/>
  <c r="N160" i="1"/>
  <c r="N151" i="1"/>
  <c r="N145" i="1"/>
  <c r="N153" i="1"/>
  <c r="N167" i="1"/>
  <c r="N146" i="1"/>
  <c r="N402" i="18"/>
  <c r="O402" i="18"/>
  <c r="P402" i="18"/>
  <c r="Q402" i="18"/>
  <c r="M39" i="18"/>
  <c r="M497" i="18"/>
  <c r="M66" i="7941"/>
  <c r="M28" i="18"/>
  <c r="M486" i="18"/>
  <c r="M55" i="7941"/>
  <c r="N259" i="18"/>
  <c r="N311" i="18"/>
  <c r="O311" i="18"/>
  <c r="P311" i="18"/>
  <c r="Q311" i="18"/>
  <c r="M32" i="18"/>
  <c r="M490" i="18"/>
  <c r="M59" i="7941"/>
  <c r="M31" i="18"/>
  <c r="M489" i="18"/>
  <c r="M58" i="7941"/>
  <c r="N298" i="18"/>
  <c r="Q194" i="18"/>
  <c r="O194" i="18"/>
  <c r="P194" i="18"/>
  <c r="M23" i="18"/>
  <c r="M481" i="18"/>
  <c r="M50" i="7941"/>
  <c r="N194" i="18"/>
  <c r="M29" i="18"/>
  <c r="M487" i="18"/>
  <c r="M56" i="7941"/>
  <c r="N272" i="18"/>
  <c r="O272" i="18"/>
  <c r="M18" i="18"/>
  <c r="M476" i="18"/>
  <c r="M45" i="7941"/>
  <c r="Q129" i="18"/>
  <c r="N129" i="18"/>
  <c r="O129" i="18"/>
  <c r="P129" i="18"/>
  <c r="M22" i="18"/>
  <c r="M480" i="18"/>
  <c r="M49" i="7941"/>
  <c r="Q181" i="18"/>
  <c r="P181" i="18"/>
  <c r="N181" i="18"/>
  <c r="O181" i="18"/>
  <c r="M35" i="18"/>
  <c r="M493" i="18"/>
  <c r="M62" i="7941"/>
  <c r="N350" i="18"/>
  <c r="O350" i="18"/>
  <c r="O103" i="18"/>
  <c r="N103" i="18"/>
  <c r="Q103" i="18"/>
  <c r="P103" i="18"/>
  <c r="M16" i="18"/>
  <c r="M474" i="18"/>
  <c r="M43" i="7941"/>
  <c r="M27" i="18"/>
  <c r="M485" i="18"/>
  <c r="M54" i="7941"/>
  <c r="P246" i="18"/>
  <c r="O246" i="18"/>
  <c r="N246" i="18"/>
  <c r="Q246" i="18"/>
  <c r="Q207" i="18"/>
  <c r="M24" i="18"/>
  <c r="M482" i="18"/>
  <c r="M51" i="7941"/>
  <c r="P207" i="18"/>
  <c r="N207" i="18"/>
  <c r="O207" i="18"/>
  <c r="P142" i="18"/>
  <c r="N142" i="18"/>
  <c r="O142" i="18"/>
  <c r="Q142" i="18"/>
  <c r="M19" i="18"/>
  <c r="M477" i="18"/>
  <c r="M46" i="7941"/>
  <c r="Q51" i="18"/>
  <c r="N51" i="18"/>
  <c r="P51" i="18"/>
  <c r="O51" i="18"/>
  <c r="M12" i="18"/>
  <c r="M14" i="18"/>
  <c r="M472" i="18"/>
  <c r="M41" i="7941"/>
  <c r="Q77" i="18"/>
  <c r="N77" i="18"/>
  <c r="O77" i="18"/>
  <c r="P77" i="18"/>
  <c r="N285" i="18"/>
  <c r="O285" i="18"/>
  <c r="M30" i="18"/>
  <c r="M488" i="18"/>
  <c r="M57" i="7941"/>
  <c r="N389" i="18"/>
  <c r="O389" i="18"/>
  <c r="M38" i="18"/>
  <c r="M496" i="18"/>
  <c r="M65" i="7941"/>
  <c r="N428" i="18"/>
  <c r="O428" i="18"/>
  <c r="P428" i="18"/>
  <c r="Q428" i="18"/>
  <c r="M41" i="18"/>
  <c r="M499" i="18"/>
  <c r="M68" i="7941"/>
  <c r="N415" i="18"/>
  <c r="O415" i="18"/>
  <c r="M40" i="18"/>
  <c r="M498" i="18"/>
  <c r="M67" i="7941"/>
  <c r="P64" i="18"/>
  <c r="O64" i="18"/>
  <c r="M13" i="18"/>
  <c r="M471" i="18"/>
  <c r="M40" i="7941"/>
  <c r="Q64" i="18"/>
  <c r="N64" i="18"/>
  <c r="N233" i="18"/>
  <c r="O233" i="18"/>
  <c r="Q233" i="18"/>
  <c r="M26" i="18"/>
  <c r="M484" i="18"/>
  <c r="M53" i="7941"/>
  <c r="P233" i="18"/>
  <c r="Q155" i="18"/>
  <c r="N155" i="18"/>
  <c r="O155" i="18"/>
  <c r="P155" i="18"/>
  <c r="M20" i="18"/>
  <c r="M478" i="18"/>
  <c r="M47" i="7941"/>
  <c r="N116" i="18"/>
  <c r="P116" i="18"/>
  <c r="M17" i="18"/>
  <c r="M475" i="18"/>
  <c r="M44" i="7941"/>
  <c r="O116" i="18"/>
  <c r="Q116" i="18"/>
  <c r="Q90" i="18"/>
  <c r="P90" i="18"/>
  <c r="N90" i="18"/>
  <c r="O90" i="18"/>
  <c r="M15" i="18"/>
  <c r="M473" i="18"/>
  <c r="M42" i="7941"/>
  <c r="M34" i="18"/>
  <c r="M492" i="18"/>
  <c r="M61" i="7941"/>
  <c r="N337" i="18"/>
  <c r="O337" i="18"/>
  <c r="P337" i="18"/>
  <c r="N376" i="18"/>
  <c r="O376" i="18"/>
  <c r="P376" i="18"/>
  <c r="M37" i="18"/>
  <c r="M495" i="18"/>
  <c r="M64" i="7941"/>
  <c r="M36" i="18"/>
  <c r="M494" i="18"/>
  <c r="M63" i="7941"/>
  <c r="N363" i="18"/>
  <c r="F199" i="7946"/>
  <c r="F183" i="7946"/>
  <c r="H501" i="18"/>
  <c r="F231" i="7946"/>
  <c r="E143" i="7946"/>
  <c r="F239" i="7946"/>
  <c r="F191" i="7946"/>
  <c r="F255" i="7946"/>
  <c r="F175" i="7946"/>
  <c r="J7" i="7944"/>
  <c r="F215" i="7946"/>
  <c r="F167" i="7946"/>
  <c r="F207" i="7946"/>
  <c r="F223" i="7946"/>
  <c r="G242" i="7946"/>
  <c r="D9" i="7946"/>
  <c r="F246" i="7946"/>
  <c r="D73" i="7946"/>
  <c r="E142" i="7946"/>
  <c r="E89" i="7946"/>
  <c r="F254" i="7946"/>
  <c r="F190" i="7946"/>
  <c r="F230" i="7946"/>
  <c r="F174" i="7946"/>
  <c r="F206" i="7946"/>
  <c r="F214" i="7946"/>
  <c r="F198" i="7946"/>
  <c r="E9" i="7946"/>
  <c r="E105" i="7946"/>
  <c r="F182" i="7946"/>
  <c r="E33" i="7946"/>
  <c r="F166" i="7946"/>
  <c r="F238" i="7946"/>
  <c r="F222" i="7946"/>
  <c r="I218" i="7941"/>
  <c r="M334" i="18"/>
  <c r="N334" i="18"/>
  <c r="O334" i="18"/>
  <c r="M425" i="18"/>
  <c r="N411" i="18"/>
  <c r="I216" i="7941"/>
  <c r="M294" i="18"/>
  <c r="N294" i="18"/>
  <c r="O294" i="18"/>
  <c r="P294" i="18"/>
  <c r="N360" i="18"/>
  <c r="O360" i="18"/>
  <c r="P360" i="18"/>
  <c r="Q360" i="18"/>
  <c r="P334" i="18"/>
  <c r="Q334" i="18"/>
  <c r="E74" i="7946"/>
  <c r="E10" i="7946"/>
  <c r="H38" i="7941"/>
  <c r="P191" i="18"/>
  <c r="Q191" i="18"/>
  <c r="I211" i="7941"/>
  <c r="H202" i="7941"/>
  <c r="F15" i="7946"/>
  <c r="M256" i="18"/>
  <c r="N256" i="18"/>
  <c r="O256" i="18"/>
  <c r="P256" i="18"/>
  <c r="H200" i="7941"/>
  <c r="I221" i="7941"/>
  <c r="O281" i="18"/>
  <c r="P281" i="18"/>
  <c r="Q281" i="18"/>
  <c r="H214" i="7941"/>
  <c r="M384" i="18"/>
  <c r="N384" i="18"/>
  <c r="O384" i="18"/>
  <c r="E50" i="7946"/>
  <c r="E130" i="7946"/>
  <c r="H206" i="7941"/>
  <c r="H207" i="7941"/>
  <c r="H204" i="7941"/>
  <c r="P166" i="18"/>
  <c r="M400" i="18"/>
  <c r="N400" i="18"/>
  <c r="O153" i="18"/>
  <c r="M75" i="18"/>
  <c r="N244" i="18"/>
  <c r="M387" i="18"/>
  <c r="N387" i="18"/>
  <c r="M192" i="18"/>
  <c r="O205" i="18"/>
  <c r="M62" i="18"/>
  <c r="O231" i="18"/>
  <c r="M231" i="18"/>
  <c r="Q140" i="18"/>
  <c r="O179" i="18"/>
  <c r="Q49" i="18"/>
  <c r="P153" i="18"/>
  <c r="N192" i="18"/>
  <c r="N62" i="18"/>
  <c r="N231" i="18"/>
  <c r="O166" i="18"/>
  <c r="M153" i="18"/>
  <c r="M335" i="18"/>
  <c r="N335" i="18"/>
  <c r="O335" i="18"/>
  <c r="Q75" i="18"/>
  <c r="P244" i="18"/>
  <c r="M244" i="18"/>
  <c r="P192" i="18"/>
  <c r="P205" i="18"/>
  <c r="O62" i="18"/>
  <c r="Q231" i="18"/>
  <c r="N140" i="18"/>
  <c r="O140" i="18"/>
  <c r="M361" i="18"/>
  <c r="M257" i="18"/>
  <c r="N257" i="18"/>
  <c r="O257" i="18"/>
  <c r="P179" i="18"/>
  <c r="P49" i="18"/>
  <c r="N166" i="18"/>
  <c r="M413" i="18"/>
  <c r="N413" i="18"/>
  <c r="O413" i="18"/>
  <c r="M322" i="18"/>
  <c r="N322" i="18"/>
  <c r="O322" i="18"/>
  <c r="M205" i="18"/>
  <c r="P62" i="18"/>
  <c r="N179" i="18"/>
  <c r="M166" i="18"/>
  <c r="Q153" i="18"/>
  <c r="N153" i="18"/>
  <c r="O75" i="18"/>
  <c r="N75" i="18"/>
  <c r="O244" i="18"/>
  <c r="O192" i="18"/>
  <c r="N205" i="18"/>
  <c r="Q62" i="18"/>
  <c r="P231" i="18"/>
  <c r="M140" i="18"/>
  <c r="M179" i="18"/>
  <c r="N49" i="18"/>
  <c r="O49" i="18"/>
  <c r="P75" i="18"/>
  <c r="Q244" i="18"/>
  <c r="M309" i="18"/>
  <c r="P140" i="18"/>
  <c r="M49" i="18"/>
  <c r="M127" i="18"/>
  <c r="P88" i="18"/>
  <c r="M101" i="18"/>
  <c r="O114" i="18"/>
  <c r="O88" i="18"/>
  <c r="M114" i="18"/>
  <c r="Q127" i="18"/>
  <c r="M88" i="18"/>
  <c r="N114" i="18"/>
  <c r="P127" i="18"/>
  <c r="O387" i="18"/>
  <c r="P387" i="18"/>
  <c r="Q387" i="18"/>
  <c r="Q101" i="18"/>
  <c r="Q114" i="18"/>
  <c r="N127" i="18"/>
  <c r="P101" i="18"/>
  <c r="P114" i="18"/>
  <c r="O400" i="18"/>
  <c r="P400" i="18"/>
  <c r="Q400" i="18"/>
  <c r="N88" i="18"/>
  <c r="Q88" i="18"/>
  <c r="N101" i="18"/>
  <c r="O127" i="18"/>
  <c r="O101" i="18"/>
  <c r="I223" i="7941"/>
  <c r="H212" i="7941"/>
  <c r="G22" i="7946"/>
  <c r="M386" i="18"/>
  <c r="N386" i="18"/>
  <c r="P178" i="18"/>
  <c r="Q178" i="18"/>
  <c r="M347" i="18"/>
  <c r="J11" i="18"/>
  <c r="M269" i="18"/>
  <c r="N269" i="18"/>
  <c r="O269" i="18"/>
  <c r="P269" i="18"/>
  <c r="F23" i="7946"/>
  <c r="M293" i="18"/>
  <c r="N293" i="18"/>
  <c r="J227" i="7941"/>
  <c r="I227" i="7941"/>
  <c r="E26" i="7946"/>
  <c r="E24" i="7946"/>
  <c r="M410" i="18"/>
  <c r="N410" i="18"/>
  <c r="E18" i="7946"/>
  <c r="E16" i="7946"/>
  <c r="I225" i="7941"/>
  <c r="M268" i="18"/>
  <c r="N268" i="18"/>
  <c r="E58" i="7946"/>
  <c r="M183" i="1"/>
  <c r="N183" i="1"/>
  <c r="O183" i="1"/>
  <c r="P183" i="1"/>
  <c r="Q183" i="1"/>
  <c r="M332" i="18"/>
  <c r="N332" i="18"/>
  <c r="O332" i="18"/>
  <c r="H205" i="7941"/>
  <c r="H201" i="7941"/>
  <c r="I222" i="7941"/>
  <c r="P204" i="18"/>
  <c r="Q204" i="18"/>
  <c r="P165" i="18"/>
  <c r="Q165" i="18"/>
  <c r="N333" i="18"/>
  <c r="O333" i="18"/>
  <c r="M358" i="18"/>
  <c r="I268" i="7942"/>
  <c r="H210" i="7941"/>
  <c r="O411" i="18"/>
  <c r="P411" i="18"/>
  <c r="Q411" i="18"/>
  <c r="M320" i="18"/>
  <c r="N320" i="18"/>
  <c r="O320" i="18"/>
  <c r="E112" i="7946"/>
  <c r="E114" i="7946"/>
  <c r="E82" i="7946"/>
  <c r="I219" i="7941"/>
  <c r="I38" i="7941"/>
  <c r="I469" i="18"/>
  <c r="N397" i="18"/>
  <c r="H208" i="7941"/>
  <c r="E122" i="7946"/>
  <c r="M267" i="18"/>
  <c r="N267" i="18"/>
  <c r="G14" i="7946"/>
  <c r="M308" i="18"/>
  <c r="N308" i="18"/>
  <c r="O308" i="18"/>
  <c r="P308" i="18"/>
  <c r="M321" i="18"/>
  <c r="N321" i="18"/>
  <c r="O321" i="18"/>
  <c r="O373" i="18"/>
  <c r="P373" i="18"/>
  <c r="Q373" i="18"/>
  <c r="M295" i="18"/>
  <c r="F111" i="7946"/>
  <c r="I226" i="7941"/>
  <c r="M280" i="18"/>
  <c r="J631" i="18"/>
  <c r="O307" i="18"/>
  <c r="P307" i="18"/>
  <c r="Q307" i="18"/>
  <c r="I215" i="7941"/>
  <c r="H213" i="7941"/>
  <c r="I631" i="18"/>
  <c r="M371" i="18"/>
  <c r="N371" i="18"/>
  <c r="F157" i="7946"/>
  <c r="F159" i="7946"/>
  <c r="I220" i="7941"/>
  <c r="J43" i="18"/>
  <c r="E42" i="7946"/>
  <c r="E66" i="7946"/>
  <c r="N254" i="18"/>
  <c r="O254" i="18"/>
  <c r="I217" i="7941"/>
  <c r="M345" i="18"/>
  <c r="P346" i="18"/>
  <c r="Q346" i="18"/>
  <c r="H203" i="7941"/>
  <c r="I228" i="7941"/>
  <c r="F151" i="7946"/>
  <c r="F149" i="7946"/>
  <c r="N425" i="18"/>
  <c r="O425" i="18"/>
  <c r="P425" i="18"/>
  <c r="I209" i="7941"/>
  <c r="F263" i="7946"/>
  <c r="O410" i="18"/>
  <c r="P410" i="18"/>
  <c r="N483" i="18"/>
  <c r="N52" i="7941"/>
  <c r="P389" i="18"/>
  <c r="Q389" i="18"/>
  <c r="P272" i="18"/>
  <c r="Q272" i="18"/>
  <c r="Q376" i="18"/>
  <c r="P285" i="18"/>
  <c r="Q285" i="18"/>
  <c r="P350" i="18"/>
  <c r="Q350" i="18"/>
  <c r="O363" i="18"/>
  <c r="P363" i="18"/>
  <c r="Q363" i="18"/>
  <c r="Q256" i="18"/>
  <c r="M470" i="18"/>
  <c r="M11" i="18"/>
  <c r="O298" i="18"/>
  <c r="O364" i="18"/>
  <c r="N36" i="18"/>
  <c r="N494" i="18"/>
  <c r="N63" i="7941"/>
  <c r="N29" i="18"/>
  <c r="N487" i="18"/>
  <c r="N56" i="7941"/>
  <c r="O273" i="18"/>
  <c r="P273" i="18"/>
  <c r="Q273" i="18"/>
  <c r="O117" i="18"/>
  <c r="P117" i="18"/>
  <c r="N17" i="18"/>
  <c r="N475" i="18"/>
  <c r="N44" i="7941"/>
  <c r="Q117" i="18"/>
  <c r="O130" i="18"/>
  <c r="N18" i="18"/>
  <c r="N476" i="18"/>
  <c r="N45" i="7941"/>
  <c r="Q130" i="18"/>
  <c r="P130" i="18"/>
  <c r="O338" i="18"/>
  <c r="N34" i="18"/>
  <c r="N492" i="18"/>
  <c r="N61" i="7941"/>
  <c r="O104" i="18"/>
  <c r="P104" i="18"/>
  <c r="Q104" i="18"/>
  <c r="N16" i="18"/>
  <c r="N474" i="18"/>
  <c r="N43" i="7941"/>
  <c r="O169" i="18"/>
  <c r="N21" i="18"/>
  <c r="N479" i="18"/>
  <c r="N48" i="7941"/>
  <c r="Q169" i="18"/>
  <c r="P169" i="18"/>
  <c r="O247" i="18"/>
  <c r="Q247" i="18"/>
  <c r="P247" i="18"/>
  <c r="N27" i="18"/>
  <c r="N485" i="18"/>
  <c r="N54" i="7941"/>
  <c r="N22" i="18"/>
  <c r="N480" i="18"/>
  <c r="N49" i="7941"/>
  <c r="P182" i="18"/>
  <c r="O182" i="18"/>
  <c r="Q182" i="18"/>
  <c r="O351" i="18"/>
  <c r="N35" i="18"/>
  <c r="N493" i="18"/>
  <c r="N62" i="7941"/>
  <c r="N37" i="18"/>
  <c r="N495" i="18"/>
  <c r="N64" i="7941"/>
  <c r="O377" i="18"/>
  <c r="P143" i="18"/>
  <c r="N19" i="18"/>
  <c r="N477" i="18"/>
  <c r="N46" i="7941"/>
  <c r="Q143" i="18"/>
  <c r="O143" i="18"/>
  <c r="O260" i="18"/>
  <c r="N28" i="18"/>
  <c r="N486" i="18"/>
  <c r="N55" i="7941"/>
  <c r="N31" i="18"/>
  <c r="N489" i="18"/>
  <c r="N58" i="7941"/>
  <c r="O299" i="18"/>
  <c r="O390" i="18"/>
  <c r="N38" i="18"/>
  <c r="N496" i="18"/>
  <c r="N65" i="7941"/>
  <c r="P415" i="18"/>
  <c r="Q415" i="18"/>
  <c r="P78" i="18"/>
  <c r="N14" i="18"/>
  <c r="N472" i="18"/>
  <c r="N41" i="7941"/>
  <c r="Q78" i="18"/>
  <c r="O78" i="18"/>
  <c r="O429" i="18"/>
  <c r="N41" i="18"/>
  <c r="N499" i="18"/>
  <c r="N68" i="7941"/>
  <c r="P195" i="18"/>
  <c r="N23" i="18"/>
  <c r="N481" i="18"/>
  <c r="N50" i="7941"/>
  <c r="O195" i="18"/>
  <c r="Q195" i="18"/>
  <c r="O286" i="18"/>
  <c r="P286" i="18"/>
  <c r="Q286" i="18"/>
  <c r="N30" i="18"/>
  <c r="N488" i="18"/>
  <c r="N57" i="7941"/>
  <c r="P65" i="18"/>
  <c r="N13" i="18"/>
  <c r="N471" i="18"/>
  <c r="N40" i="7941"/>
  <c r="Q65" i="18"/>
  <c r="O65" i="18"/>
  <c r="O171" i="1"/>
  <c r="O159" i="1"/>
  <c r="O150" i="1"/>
  <c r="O155" i="1"/>
  <c r="O153" i="1"/>
  <c r="O166" i="1"/>
  <c r="O146" i="1"/>
  <c r="O157" i="1"/>
  <c r="O172" i="1"/>
  <c r="O163" i="1"/>
  <c r="O149" i="1"/>
  <c r="O162" i="1"/>
  <c r="O148" i="1"/>
  <c r="O165" i="1"/>
  <c r="O147" i="1"/>
  <c r="O169" i="1"/>
  <c r="O167" i="1"/>
  <c r="O152" i="1"/>
  <c r="O170" i="1"/>
  <c r="O151" i="1"/>
  <c r="O7" i="18"/>
  <c r="O154" i="1"/>
  <c r="O168" i="1"/>
  <c r="O156" i="1"/>
  <c r="O25" i="18"/>
  <c r="O144" i="1"/>
  <c r="O161" i="1"/>
  <c r="O145" i="1"/>
  <c r="O160" i="1"/>
  <c r="P178" i="1"/>
  <c r="O164" i="1"/>
  <c r="O158" i="1"/>
  <c r="O143" i="1"/>
  <c r="N24" i="18"/>
  <c r="N482" i="18"/>
  <c r="N51" i="7941"/>
  <c r="O208" i="18"/>
  <c r="P208" i="18"/>
  <c r="Q208" i="18"/>
  <c r="O403" i="18"/>
  <c r="N39" i="18"/>
  <c r="N497" i="18"/>
  <c r="N66" i="7941"/>
  <c r="Q337" i="18"/>
  <c r="M225" i="18"/>
  <c r="M645" i="18"/>
  <c r="M18" i="7941"/>
  <c r="M85" i="7944"/>
  <c r="M212" i="18"/>
  <c r="M644" i="18"/>
  <c r="M337" i="7944"/>
  <c r="M160" i="18"/>
  <c r="M640" i="18"/>
  <c r="M379" i="7944"/>
  <c r="M25" i="7941"/>
  <c r="M12" i="7941"/>
  <c r="M69" i="18"/>
  <c r="M633" i="18"/>
  <c r="N446" i="18"/>
  <c r="N674" i="18"/>
  <c r="M155" i="7944"/>
  <c r="M394" i="18"/>
  <c r="M658" i="18"/>
  <c r="N19" i="7944"/>
  <c r="M56" i="18"/>
  <c r="M8" i="7941"/>
  <c r="M29" i="7941"/>
  <c r="M22" i="7941"/>
  <c r="M316" i="18"/>
  <c r="M652" i="18"/>
  <c r="M16" i="7941"/>
  <c r="N456" i="18"/>
  <c r="N684" i="18"/>
  <c r="M173" i="18"/>
  <c r="M641" i="18"/>
  <c r="M281" i="7944"/>
  <c r="M491" i="7944"/>
  <c r="N454" i="18"/>
  <c r="N682" i="18"/>
  <c r="N445" i="18"/>
  <c r="N673" i="18"/>
  <c r="N14" i="7944"/>
  <c r="N22" i="7944"/>
  <c r="M141" i="7944"/>
  <c r="M15" i="7941"/>
  <c r="N442" i="18"/>
  <c r="N670" i="18"/>
  <c r="M186" i="18"/>
  <c r="M642" i="18"/>
  <c r="N32" i="7944"/>
  <c r="M7" i="7941"/>
  <c r="N458" i="18"/>
  <c r="N686" i="18"/>
  <c r="M108" i="18"/>
  <c r="M636" i="18"/>
  <c r="N24" i="7944"/>
  <c r="N443" i="18"/>
  <c r="N671" i="18"/>
  <c r="M121" i="18"/>
  <c r="M637" i="18"/>
  <c r="N23" i="7944"/>
  <c r="N29" i="7944"/>
  <c r="M393" i="7944"/>
  <c r="N31" i="7944"/>
  <c r="N441" i="18"/>
  <c r="N669" i="18"/>
  <c r="M21" i="7941"/>
  <c r="M11" i="7941"/>
  <c r="M351" i="7944"/>
  <c r="M264" i="18"/>
  <c r="M648" i="18"/>
  <c r="M239" i="7944"/>
  <c r="M30" i="7941"/>
  <c r="M295" i="7944"/>
  <c r="N9" i="7944"/>
  <c r="M309" i="7944"/>
  <c r="M365" i="7944"/>
  <c r="N444" i="18"/>
  <c r="N672" i="18"/>
  <c r="M449" i="7944"/>
  <c r="M407" i="18"/>
  <c r="M659" i="18"/>
  <c r="M17" i="7941"/>
  <c r="N37" i="7944"/>
  <c r="M10" i="7941"/>
  <c r="N450" i="18"/>
  <c r="N678" i="18"/>
  <c r="M134" i="18"/>
  <c r="M638" i="18"/>
  <c r="N440" i="18"/>
  <c r="N668" i="18"/>
  <c r="M253" i="7944"/>
  <c r="N448" i="18"/>
  <c r="N676" i="18"/>
  <c r="N35" i="7944"/>
  <c r="N465" i="18"/>
  <c r="N693" i="18"/>
  <c r="M238" i="18"/>
  <c r="M646" i="18"/>
  <c r="N12" i="7944"/>
  <c r="M199" i="18"/>
  <c r="M643" i="18"/>
  <c r="N16" i="7944"/>
  <c r="N457" i="18"/>
  <c r="N685" i="18"/>
  <c r="N460" i="18"/>
  <c r="N688" i="18"/>
  <c r="M28" i="7941"/>
  <c r="N447" i="18"/>
  <c r="N675" i="18"/>
  <c r="M113" i="7944"/>
  <c r="M23" i="7941"/>
  <c r="M225" i="7944"/>
  <c r="N462" i="18"/>
  <c r="N690" i="18"/>
  <c r="M183" i="7944"/>
  <c r="M407" i="7944"/>
  <c r="M323" i="7944"/>
  <c r="N466" i="18"/>
  <c r="N694" i="18"/>
  <c r="N8" i="7944"/>
  <c r="N15" i="7944"/>
  <c r="M290" i="18"/>
  <c r="M650" i="18"/>
  <c r="M127" i="7944"/>
  <c r="M27" i="7941"/>
  <c r="N34" i="7944"/>
  <c r="M267" i="7944"/>
  <c r="N33" i="7944"/>
  <c r="M82" i="18"/>
  <c r="M634" i="18"/>
  <c r="M421" i="7944"/>
  <c r="N28" i="7944"/>
  <c r="M433" i="18"/>
  <c r="M661" i="18"/>
  <c r="N461" i="18"/>
  <c r="N689" i="18"/>
  <c r="N459" i="18"/>
  <c r="N687" i="18"/>
  <c r="M36" i="7941"/>
  <c r="N439" i="18"/>
  <c r="N667" i="18"/>
  <c r="M31" i="7941"/>
  <c r="N463" i="18"/>
  <c r="N691" i="18"/>
  <c r="M9" i="7941"/>
  <c r="N452" i="18"/>
  <c r="N680" i="18"/>
  <c r="M20" i="7941"/>
  <c r="M99" i="7944"/>
  <c r="M26" i="7941"/>
  <c r="N36" i="7944"/>
  <c r="M14" i="7941"/>
  <c r="M435" i="7944"/>
  <c r="M463" i="7944"/>
  <c r="M303" i="18"/>
  <c r="M651" i="18"/>
  <c r="M197" i="7944"/>
  <c r="M342" i="18"/>
  <c r="M654" i="18"/>
  <c r="M35" i="7941"/>
  <c r="N17" i="7944"/>
  <c r="M24" i="7941"/>
  <c r="N438" i="18"/>
  <c r="M251" i="18"/>
  <c r="M647" i="18"/>
  <c r="M211" i="7944"/>
  <c r="N30" i="7944"/>
  <c r="N467" i="18"/>
  <c r="N695" i="18"/>
  <c r="M33" i="7941"/>
  <c r="M477" i="7944"/>
  <c r="N21" i="7944"/>
  <c r="M368" i="18"/>
  <c r="M656" i="18"/>
  <c r="N11" i="7944"/>
  <c r="M329" i="18"/>
  <c r="M653" i="18"/>
  <c r="M19" i="7941"/>
  <c r="M147" i="18"/>
  <c r="M639" i="18"/>
  <c r="N20" i="7944"/>
  <c r="N27" i="7944"/>
  <c r="M95" i="18"/>
  <c r="M635" i="18"/>
  <c r="N449" i="18"/>
  <c r="N677" i="18"/>
  <c r="N10" i="7944"/>
  <c r="M169" i="7944"/>
  <c r="N18" i="7944"/>
  <c r="M277" i="18"/>
  <c r="M649" i="18"/>
  <c r="N453" i="18"/>
  <c r="N681" i="18"/>
  <c r="M381" i="18"/>
  <c r="M657" i="18"/>
  <c r="N13" i="7944"/>
  <c r="M355" i="18"/>
  <c r="M655" i="18"/>
  <c r="N464" i="18"/>
  <c r="N692" i="18"/>
  <c r="M13" i="7941"/>
  <c r="N26" i="7944"/>
  <c r="N455" i="18"/>
  <c r="N683" i="18"/>
  <c r="N25" i="7944"/>
  <c r="M32" i="7941"/>
  <c r="M420" i="18"/>
  <c r="M660" i="18"/>
  <c r="N451" i="18"/>
  <c r="N679" i="18"/>
  <c r="M34" i="7941"/>
  <c r="O259" i="18"/>
  <c r="P259" i="18"/>
  <c r="Q259" i="18"/>
  <c r="Q91" i="18"/>
  <c r="P91" i="18"/>
  <c r="N15" i="18"/>
  <c r="N473" i="18"/>
  <c r="N42" i="7941"/>
  <c r="O91" i="18"/>
  <c r="Q156" i="18"/>
  <c r="P156" i="18"/>
  <c r="O156" i="18"/>
  <c r="N20" i="18"/>
  <c r="N478" i="18"/>
  <c r="N47" i="7941"/>
  <c r="N26" i="18"/>
  <c r="N484" i="18"/>
  <c r="N53" i="7941"/>
  <c r="O234" i="18"/>
  <c r="Q234" i="18"/>
  <c r="P234" i="18"/>
  <c r="N40" i="18"/>
  <c r="N498" i="18"/>
  <c r="N67" i="7941"/>
  <c r="O416" i="18"/>
  <c r="O312" i="18"/>
  <c r="N32" i="18"/>
  <c r="N490" i="18"/>
  <c r="N59" i="7941"/>
  <c r="O52" i="18"/>
  <c r="N173" i="1"/>
  <c r="Q52" i="18"/>
  <c r="P52" i="18"/>
  <c r="N12" i="18"/>
  <c r="O325" i="18"/>
  <c r="N33" i="18"/>
  <c r="N491" i="18"/>
  <c r="N60" i="7941"/>
  <c r="P324" i="18"/>
  <c r="Q324" i="18"/>
  <c r="J211" i="7941"/>
  <c r="I437" i="18"/>
  <c r="K7" i="7944"/>
  <c r="H70" i="7941"/>
  <c r="H199" i="7941"/>
  <c r="G247" i="7946"/>
  <c r="G245" i="7946"/>
  <c r="E113" i="7946"/>
  <c r="F262" i="7946"/>
  <c r="E97" i="7946"/>
  <c r="E73" i="7946"/>
  <c r="E121" i="7946"/>
  <c r="E57" i="7946"/>
  <c r="F150" i="7946"/>
  <c r="E129" i="7946"/>
  <c r="E25" i="7946"/>
  <c r="F158" i="7946"/>
  <c r="E65" i="7946"/>
  <c r="E49" i="7946"/>
  <c r="E41" i="7946"/>
  <c r="E17" i="7946"/>
  <c r="E81" i="7946"/>
  <c r="J220" i="7941"/>
  <c r="J225" i="7941"/>
  <c r="P335" i="18"/>
  <c r="Q335" i="18"/>
  <c r="P257" i="18"/>
  <c r="Q257" i="18"/>
  <c r="J107" i="7942"/>
  <c r="M372" i="18"/>
  <c r="N372" i="18"/>
  <c r="O372" i="18"/>
  <c r="P372" i="18"/>
  <c r="M255" i="18"/>
  <c r="N255" i="18"/>
  <c r="O255" i="18"/>
  <c r="P255" i="18"/>
  <c r="J223" i="7941"/>
  <c r="Q179" i="18"/>
  <c r="O268" i="18"/>
  <c r="P268" i="18"/>
  <c r="Q268" i="18"/>
  <c r="Q294" i="18"/>
  <c r="H198" i="7941"/>
  <c r="J209" i="7941"/>
  <c r="Q192" i="18"/>
  <c r="Q166" i="18"/>
  <c r="Q205" i="18"/>
  <c r="O371" i="18"/>
  <c r="P371" i="18"/>
  <c r="Q371" i="18"/>
  <c r="H22" i="7946"/>
  <c r="N345" i="18"/>
  <c r="O345" i="18"/>
  <c r="P345" i="18"/>
  <c r="Q345" i="18"/>
  <c r="Q308" i="18"/>
  <c r="J224" i="7941"/>
  <c r="F13" i="7946"/>
  <c r="F18" i="7946"/>
  <c r="O293" i="18"/>
  <c r="P293" i="18"/>
  <c r="Q293" i="18"/>
  <c r="J469" i="18"/>
  <c r="M412" i="18"/>
  <c r="N412" i="18"/>
  <c r="H14" i="7946"/>
  <c r="I204" i="7941"/>
  <c r="I206" i="7941"/>
  <c r="I200" i="7941"/>
  <c r="Q269" i="18"/>
  <c r="I203" i="7941"/>
  <c r="G154" i="7946"/>
  <c r="I213" i="7941"/>
  <c r="M399" i="18"/>
  <c r="N399" i="18"/>
  <c r="O399" i="18"/>
  <c r="J222" i="7941"/>
  <c r="M385" i="18"/>
  <c r="N385" i="18"/>
  <c r="O385" i="18"/>
  <c r="I205" i="7941"/>
  <c r="P332" i="18"/>
  <c r="Q332" i="18"/>
  <c r="O397" i="18"/>
  <c r="P397" i="18"/>
  <c r="N358" i="18"/>
  <c r="O358" i="18"/>
  <c r="N347" i="18"/>
  <c r="O347" i="18"/>
  <c r="P322" i="18"/>
  <c r="Q322" i="18"/>
  <c r="K11" i="18"/>
  <c r="I202" i="7941"/>
  <c r="N280" i="18"/>
  <c r="J221" i="7941"/>
  <c r="P321" i="18"/>
  <c r="Q321" i="18"/>
  <c r="F109" i="7946"/>
  <c r="J268" i="7942"/>
  <c r="M359" i="18"/>
  <c r="N359" i="18"/>
  <c r="O359" i="18"/>
  <c r="P359" i="18"/>
  <c r="M282" i="18"/>
  <c r="N282" i="18"/>
  <c r="K43" i="18"/>
  <c r="I201" i="7941"/>
  <c r="P384" i="18"/>
  <c r="Q384" i="18"/>
  <c r="F21" i="7946"/>
  <c r="I212" i="7941"/>
  <c r="N309" i="18"/>
  <c r="P413" i="18"/>
  <c r="Q413" i="18"/>
  <c r="M283" i="18"/>
  <c r="G23" i="7946"/>
  <c r="M296" i="18"/>
  <c r="N296" i="18"/>
  <c r="O296" i="18"/>
  <c r="G15" i="7946"/>
  <c r="G111" i="7946"/>
  <c r="J214" i="7941"/>
  <c r="I214" i="7941"/>
  <c r="M424" i="18"/>
  <c r="N424" i="18"/>
  <c r="O424" i="18"/>
  <c r="P424" i="18"/>
  <c r="J215" i="7941"/>
  <c r="O280" i="18"/>
  <c r="N295" i="18"/>
  <c r="O295" i="18"/>
  <c r="P295" i="18"/>
  <c r="Q295" i="18"/>
  <c r="O267" i="18"/>
  <c r="P267" i="18"/>
  <c r="Q267" i="18"/>
  <c r="I208" i="7941"/>
  <c r="M306" i="18"/>
  <c r="P320" i="18"/>
  <c r="Q320" i="18"/>
  <c r="I210" i="7941"/>
  <c r="P333" i="18"/>
  <c r="Q333" i="18"/>
  <c r="M232" i="18"/>
  <c r="M193" i="18"/>
  <c r="Q50" i="18"/>
  <c r="M128" i="18"/>
  <c r="N128" i="18"/>
  <c r="M102" i="18"/>
  <c r="M323" i="18"/>
  <c r="P63" i="18"/>
  <c r="M297" i="18"/>
  <c r="N206" i="18"/>
  <c r="M375" i="18"/>
  <c r="N375" i="18"/>
  <c r="O375" i="18"/>
  <c r="P375" i="18"/>
  <c r="Q375" i="18"/>
  <c r="M115" i="18"/>
  <c r="N115" i="18"/>
  <c r="O154" i="18"/>
  <c r="Q89" i="18"/>
  <c r="N89" i="18"/>
  <c r="M245" i="18"/>
  <c r="M258" i="18"/>
  <c r="N258" i="18"/>
  <c r="O258" i="18"/>
  <c r="N167" i="18"/>
  <c r="M336" i="18"/>
  <c r="N336" i="18"/>
  <c r="O336" i="18"/>
  <c r="N141" i="18"/>
  <c r="Q180" i="18"/>
  <c r="N180" i="18"/>
  <c r="M414" i="18"/>
  <c r="O76" i="18"/>
  <c r="N76" i="18"/>
  <c r="M284" i="18"/>
  <c r="N284" i="18"/>
  <c r="O141" i="18"/>
  <c r="Q76" i="18"/>
  <c r="Q167" i="18"/>
  <c r="O232" i="18"/>
  <c r="Q232" i="18"/>
  <c r="P193" i="18"/>
  <c r="M271" i="18"/>
  <c r="N271" i="18"/>
  <c r="M349" i="18"/>
  <c r="N50" i="18"/>
  <c r="M50" i="18"/>
  <c r="P128" i="18"/>
  <c r="P102" i="18"/>
  <c r="O63" i="18"/>
  <c r="Q206" i="18"/>
  <c r="P115" i="18"/>
  <c r="P154" i="18"/>
  <c r="O89" i="18"/>
  <c r="N245" i="18"/>
  <c r="P167" i="18"/>
  <c r="M141" i="18"/>
  <c r="M180" i="18"/>
  <c r="M76" i="18"/>
  <c r="Q141" i="18"/>
  <c r="M362" i="18"/>
  <c r="N362" i="18"/>
  <c r="M427" i="18"/>
  <c r="N427" i="18"/>
  <c r="M89" i="18"/>
  <c r="O180" i="18"/>
  <c r="P232" i="18"/>
  <c r="N193" i="18"/>
  <c r="P50" i="18"/>
  <c r="O128" i="18"/>
  <c r="Q102" i="18"/>
  <c r="O102" i="18"/>
  <c r="Q63" i="18"/>
  <c r="N63" i="18"/>
  <c r="M206" i="18"/>
  <c r="O206" i="18"/>
  <c r="O115" i="18"/>
  <c r="Q154" i="18"/>
  <c r="N154" i="18"/>
  <c r="P89" i="18"/>
  <c r="Q245" i="18"/>
  <c r="O245" i="18"/>
  <c r="O167" i="18"/>
  <c r="M167" i="18"/>
  <c r="P180" i="18"/>
  <c r="M401" i="18"/>
  <c r="N401" i="18"/>
  <c r="P76" i="18"/>
  <c r="N232" i="18"/>
  <c r="Q193" i="18"/>
  <c r="O193" i="18"/>
  <c r="M310" i="18"/>
  <c r="N310" i="18"/>
  <c r="O310" i="18"/>
  <c r="P310" i="18"/>
  <c r="Q310" i="18"/>
  <c r="M388" i="18"/>
  <c r="N388" i="18"/>
  <c r="O388" i="18"/>
  <c r="P388" i="18"/>
  <c r="Q388" i="18"/>
  <c r="O50" i="18"/>
  <c r="Q128" i="18"/>
  <c r="N102" i="18"/>
  <c r="M63" i="18"/>
  <c r="P206" i="18"/>
  <c r="Q115" i="18"/>
  <c r="M154" i="18"/>
  <c r="P245" i="18"/>
  <c r="P141" i="18"/>
  <c r="P336" i="18"/>
  <c r="Q336" i="18"/>
  <c r="N297" i="18"/>
  <c r="O297" i="18"/>
  <c r="P297" i="18"/>
  <c r="Q297" i="18"/>
  <c r="P254" i="18"/>
  <c r="Q254" i="18"/>
  <c r="O386" i="18"/>
  <c r="P386" i="18"/>
  <c r="Q386" i="18"/>
  <c r="M426" i="18"/>
  <c r="N426" i="18"/>
  <c r="M270" i="18"/>
  <c r="M348" i="18"/>
  <c r="N361" i="18"/>
  <c r="M374" i="18"/>
  <c r="N374" i="18"/>
  <c r="O374" i="18"/>
  <c r="J216" i="7941"/>
  <c r="J38" i="7941"/>
  <c r="F74" i="7946"/>
  <c r="F34" i="7946"/>
  <c r="G146" i="7946"/>
  <c r="Q425" i="18"/>
  <c r="F90" i="7946"/>
  <c r="F106" i="7946"/>
  <c r="Q410" i="18"/>
  <c r="P416" i="18"/>
  <c r="O483" i="18"/>
  <c r="O52" i="7941"/>
  <c r="P53" i="18"/>
  <c r="O12" i="18"/>
  <c r="O173" i="1"/>
  <c r="Q53" i="18"/>
  <c r="P157" i="18"/>
  <c r="Q157" i="18"/>
  <c r="O20" i="18"/>
  <c r="O478" i="18"/>
  <c r="O47" i="7941"/>
  <c r="O38" i="18"/>
  <c r="O496" i="18"/>
  <c r="O65" i="7941"/>
  <c r="P390" i="18"/>
  <c r="P391" i="18"/>
  <c r="Q391" i="18"/>
  <c r="Q235" i="18"/>
  <c r="O26" i="18"/>
  <c r="O484" i="18"/>
  <c r="O53" i="7941"/>
  <c r="P235" i="18"/>
  <c r="P209" i="18"/>
  <c r="O24" i="18"/>
  <c r="O482" i="18"/>
  <c r="O51" i="7941"/>
  <c r="Q209" i="18"/>
  <c r="P248" i="18"/>
  <c r="O27" i="18"/>
  <c r="O485" i="18"/>
  <c r="O54" i="7941"/>
  <c r="Q248" i="18"/>
  <c r="P378" i="18"/>
  <c r="Q378" i="18"/>
  <c r="P377" i="18"/>
  <c r="O37" i="18"/>
  <c r="O495" i="18"/>
  <c r="O64" i="7941"/>
  <c r="O16" i="18"/>
  <c r="O474" i="18"/>
  <c r="O43" i="7941"/>
  <c r="Q105" i="18"/>
  <c r="P105" i="18"/>
  <c r="P92" i="18"/>
  <c r="Q92" i="18"/>
  <c r="O15" i="18"/>
  <c r="O473" i="18"/>
  <c r="O42" i="7941"/>
  <c r="O19" i="18"/>
  <c r="O477" i="18"/>
  <c r="O46" i="7941"/>
  <c r="Q144" i="18"/>
  <c r="P144" i="18"/>
  <c r="M463" i="18"/>
  <c r="M691" i="18"/>
  <c r="M527" i="18"/>
  <c r="M96" i="7941"/>
  <c r="M6" i="7941"/>
  <c r="P167" i="1"/>
  <c r="P168" i="1"/>
  <c r="P158" i="1"/>
  <c r="P170" i="1"/>
  <c r="P148" i="1"/>
  <c r="P156" i="1"/>
  <c r="P25" i="18"/>
  <c r="P145" i="1"/>
  <c r="P171" i="1"/>
  <c r="P153" i="1"/>
  <c r="P169" i="1"/>
  <c r="P151" i="1"/>
  <c r="P149" i="1"/>
  <c r="P165" i="1"/>
  <c r="P143" i="1"/>
  <c r="P162" i="1"/>
  <c r="P144" i="1"/>
  <c r="P159" i="1"/>
  <c r="P150" i="1"/>
  <c r="P163" i="1"/>
  <c r="P164" i="1"/>
  <c r="P146" i="1"/>
  <c r="P154" i="1"/>
  <c r="P157" i="1"/>
  <c r="P161" i="1"/>
  <c r="Q178" i="1"/>
  <c r="P166" i="1"/>
  <c r="P160" i="1"/>
  <c r="P147" i="1"/>
  <c r="P7" i="18"/>
  <c r="P172" i="1"/>
  <c r="P155" i="1"/>
  <c r="P152" i="1"/>
  <c r="O13" i="18"/>
  <c r="O471" i="18"/>
  <c r="O40" i="7941"/>
  <c r="Q66" i="18"/>
  <c r="P66" i="18"/>
  <c r="P365" i="18"/>
  <c r="Q365" i="18"/>
  <c r="O36" i="18"/>
  <c r="O494" i="18"/>
  <c r="O63" i="7941"/>
  <c r="P364" i="18"/>
  <c r="O17" i="18"/>
  <c r="O475" i="18"/>
  <c r="O44" i="7941"/>
  <c r="Q118" i="18"/>
  <c r="P118" i="18"/>
  <c r="O41" i="18"/>
  <c r="O499" i="18"/>
  <c r="O68" i="7941"/>
  <c r="P429" i="18"/>
  <c r="P430" i="18"/>
  <c r="Q430" i="18"/>
  <c r="Q183" i="18"/>
  <c r="P183" i="18"/>
  <c r="O22" i="18"/>
  <c r="O480" i="18"/>
  <c r="O49" i="7941"/>
  <c r="O40" i="18"/>
  <c r="O498" i="18"/>
  <c r="O67" i="7941"/>
  <c r="P417" i="18"/>
  <c r="Q417" i="18"/>
  <c r="P260" i="18"/>
  <c r="Q260" i="18"/>
  <c r="O31" i="18"/>
  <c r="O489" i="18"/>
  <c r="O58" i="7941"/>
  <c r="P300" i="18"/>
  <c r="Q300" i="18"/>
  <c r="P299" i="18"/>
  <c r="O438" i="18"/>
  <c r="N27" i="7941"/>
  <c r="O463" i="18"/>
  <c r="O691" i="18"/>
  <c r="O16" i="7944"/>
  <c r="O23" i="7944"/>
  <c r="O27" i="7944"/>
  <c r="N316" i="18"/>
  <c r="N652" i="18"/>
  <c r="N522" i="18"/>
  <c r="N91" i="7941"/>
  <c r="N34" i="7941"/>
  <c r="N183" i="7944"/>
  <c r="O443" i="18"/>
  <c r="O671" i="18"/>
  <c r="N19" i="7941"/>
  <c r="N208" i="7941"/>
  <c r="N379" i="7944"/>
  <c r="N7" i="7941"/>
  <c r="N219" i="7941"/>
  <c r="N218" i="7941"/>
  <c r="O464" i="18"/>
  <c r="O692" i="18"/>
  <c r="O453" i="18"/>
  <c r="O681" i="18"/>
  <c r="N290" i="18"/>
  <c r="N650" i="18"/>
  <c r="N520" i="18"/>
  <c r="N89" i="7941"/>
  <c r="N277" i="18"/>
  <c r="N649" i="18"/>
  <c r="N519" i="18"/>
  <c r="N88" i="7941"/>
  <c r="O452" i="18"/>
  <c r="O680" i="18"/>
  <c r="N134" i="18"/>
  <c r="N638" i="18"/>
  <c r="N508" i="18"/>
  <c r="N77" i="7941"/>
  <c r="N433" i="18"/>
  <c r="N661" i="18"/>
  <c r="N531" i="18"/>
  <c r="N100" i="7941"/>
  <c r="N329" i="18"/>
  <c r="N653" i="18"/>
  <c r="N523" i="18"/>
  <c r="N92" i="7941"/>
  <c r="N33" i="7941"/>
  <c r="O11" i="7944"/>
  <c r="N11" i="7941"/>
  <c r="N23" i="7941"/>
  <c r="N30" i="7941"/>
  <c r="N449" i="7944"/>
  <c r="N213" i="7941"/>
  <c r="O454" i="18"/>
  <c r="O682" i="18"/>
  <c r="N215" i="7941"/>
  <c r="N205" i="7941"/>
  <c r="N221" i="7941"/>
  <c r="N201" i="7941"/>
  <c r="N337" i="7944"/>
  <c r="N173" i="18"/>
  <c r="N641" i="18"/>
  <c r="N511" i="18"/>
  <c r="N80" i="7941"/>
  <c r="N222" i="7941"/>
  <c r="O9" i="7944"/>
  <c r="N355" i="18"/>
  <c r="N655" i="18"/>
  <c r="N525" i="18"/>
  <c r="N94" i="7941"/>
  <c r="N169" i="7944"/>
  <c r="O24" i="7944"/>
  <c r="N421" i="7944"/>
  <c r="N160" i="18"/>
  <c r="N640" i="18"/>
  <c r="N510" i="18"/>
  <c r="N79" i="7941"/>
  <c r="N108" i="18"/>
  <c r="N636" i="18"/>
  <c r="N506" i="18"/>
  <c r="N75" i="7941"/>
  <c r="N220" i="7941"/>
  <c r="O15" i="7944"/>
  <c r="N13" i="7941"/>
  <c r="N31" i="7941"/>
  <c r="N186" i="18"/>
  <c r="N642" i="18"/>
  <c r="N512" i="18"/>
  <c r="N81" i="7941"/>
  <c r="N393" i="7944"/>
  <c r="O18" i="7944"/>
  <c r="N251" i="18"/>
  <c r="N647" i="18"/>
  <c r="N517" i="18"/>
  <c r="N86" i="7941"/>
  <c r="O442" i="18"/>
  <c r="O670" i="18"/>
  <c r="O440" i="18"/>
  <c r="O668" i="18"/>
  <c r="O17" i="7944"/>
  <c r="N21" i="7941"/>
  <c r="N226" i="7941"/>
  <c r="N225" i="18"/>
  <c r="N645" i="18"/>
  <c r="N515" i="18"/>
  <c r="N84" i="7941"/>
  <c r="O465" i="18"/>
  <c r="O693" i="18"/>
  <c r="O458" i="18"/>
  <c r="O686" i="18"/>
  <c r="N121" i="18"/>
  <c r="N637" i="18"/>
  <c r="N507" i="18"/>
  <c r="N76" i="7941"/>
  <c r="N155" i="7944"/>
  <c r="N203" i="7941"/>
  <c r="O459" i="18"/>
  <c r="O687" i="18"/>
  <c r="O31" i="7944"/>
  <c r="O14" i="7944"/>
  <c r="N210" i="7941"/>
  <c r="N212" i="7941"/>
  <c r="O28" i="7944"/>
  <c r="O36" i="7944"/>
  <c r="O35" i="7944"/>
  <c r="N16" i="7941"/>
  <c r="N28" i="7941"/>
  <c r="O439" i="18"/>
  <c r="O667" i="18"/>
  <c r="N420" i="18"/>
  <c r="N660" i="18"/>
  <c r="N530" i="18"/>
  <c r="N99" i="7941"/>
  <c r="O8" i="7944"/>
  <c r="O30" i="7944"/>
  <c r="N211" i="7944"/>
  <c r="N113" i="7944"/>
  <c r="O20" i="7944"/>
  <c r="O444" i="18"/>
  <c r="O672" i="18"/>
  <c r="N36" i="7941"/>
  <c r="N368" i="18"/>
  <c r="N656" i="18"/>
  <c r="N526" i="18"/>
  <c r="N95" i="7941"/>
  <c r="N309" i="7944"/>
  <c r="N199" i="18"/>
  <c r="N643" i="18"/>
  <c r="N513" i="18"/>
  <c r="N82" i="7941"/>
  <c r="N29" i="7941"/>
  <c r="O448" i="18"/>
  <c r="O676" i="18"/>
  <c r="O461" i="18"/>
  <c r="O689" i="18"/>
  <c r="N407" i="18"/>
  <c r="N659" i="18"/>
  <c r="N529" i="18"/>
  <c r="N98" i="7941"/>
  <c r="N227" i="7941"/>
  <c r="N141" i="7944"/>
  <c r="N238" i="18"/>
  <c r="N646" i="18"/>
  <c r="N516" i="18"/>
  <c r="N85" i="7941"/>
  <c r="N281" i="7944"/>
  <c r="N24" i="7941"/>
  <c r="N217" i="7941"/>
  <c r="N491" i="7944"/>
  <c r="N99" i="7944"/>
  <c r="O12" i="7944"/>
  <c r="N224" i="7941"/>
  <c r="O22" i="7944"/>
  <c r="O13" i="7944"/>
  <c r="O457" i="18"/>
  <c r="O685" i="18"/>
  <c r="N216" i="7941"/>
  <c r="N239" i="7944"/>
  <c r="N18" i="7941"/>
  <c r="O29" i="7944"/>
  <c r="N17" i="7941"/>
  <c r="N351" i="7944"/>
  <c r="N197" i="7944"/>
  <c r="N295" i="7944"/>
  <c r="N214" i="7941"/>
  <c r="N303" i="18"/>
  <c r="N651" i="18"/>
  <c r="N521" i="18"/>
  <c r="N90" i="7941"/>
  <c r="N264" i="18"/>
  <c r="N648" i="18"/>
  <c r="N518" i="18"/>
  <c r="N87" i="7941"/>
  <c r="N394" i="18"/>
  <c r="N658" i="18"/>
  <c r="N528" i="18"/>
  <c r="N97" i="7941"/>
  <c r="N32" i="7941"/>
  <c r="N435" i="7944"/>
  <c r="N206" i="7941"/>
  <c r="N147" i="18"/>
  <c r="N639" i="18"/>
  <c r="N509" i="18"/>
  <c r="N78" i="7941"/>
  <c r="N8" i="7941"/>
  <c r="N253" i="7944"/>
  <c r="O34" i="7944"/>
  <c r="O449" i="18"/>
  <c r="O677" i="18"/>
  <c r="O33" i="7944"/>
  <c r="N209" i="7941"/>
  <c r="N10" i="7941"/>
  <c r="N14" i="7941"/>
  <c r="O455" i="18"/>
  <c r="O683" i="18"/>
  <c r="O32" i="7944"/>
  <c r="O460" i="18"/>
  <c r="O688" i="18"/>
  <c r="O26" i="7944"/>
  <c r="N207" i="7941"/>
  <c r="N82" i="18"/>
  <c r="N634" i="18"/>
  <c r="N504" i="18"/>
  <c r="N73" i="7941"/>
  <c r="O450" i="18"/>
  <c r="O678" i="18"/>
  <c r="N225" i="7941"/>
  <c r="N56" i="18"/>
  <c r="N26" i="7941"/>
  <c r="N9" i="7941"/>
  <c r="N365" i="7944"/>
  <c r="N22" i="7941"/>
  <c r="N35" i="7941"/>
  <c r="O19" i="7944"/>
  <c r="N69" i="18"/>
  <c r="N633" i="18"/>
  <c r="N503" i="18"/>
  <c r="N72" i="7941"/>
  <c r="O466" i="18"/>
  <c r="O694" i="18"/>
  <c r="O10" i="7944"/>
  <c r="N200" i="7941"/>
  <c r="N199" i="7941"/>
  <c r="N407" i="7944"/>
  <c r="N12" i="7941"/>
  <c r="N15" i="7941"/>
  <c r="N225" i="7944"/>
  <c r="N267" i="7944"/>
  <c r="N211" i="7941"/>
  <c r="N463" i="7944"/>
  <c r="O451" i="18"/>
  <c r="O679" i="18"/>
  <c r="O25" i="7944"/>
  <c r="N85" i="7944"/>
  <c r="O456" i="18"/>
  <c r="O684" i="18"/>
  <c r="N342" i="18"/>
  <c r="N654" i="18"/>
  <c r="N524" i="18"/>
  <c r="N93" i="7941"/>
  <c r="N228" i="7941"/>
  <c r="N95" i="18"/>
  <c r="N635" i="18"/>
  <c r="N505" i="18"/>
  <c r="N74" i="7941"/>
  <c r="O447" i="18"/>
  <c r="O675" i="18"/>
  <c r="N202" i="7941"/>
  <c r="O446" i="18"/>
  <c r="O674" i="18"/>
  <c r="O37" i="7944"/>
  <c r="O462" i="18"/>
  <c r="O690" i="18"/>
  <c r="N477" i="7944"/>
  <c r="O445" i="18"/>
  <c r="O673" i="18"/>
  <c r="O441" i="18"/>
  <c r="O669" i="18"/>
  <c r="N381" i="18"/>
  <c r="N657" i="18"/>
  <c r="N527" i="18"/>
  <c r="N96" i="7941"/>
  <c r="N212" i="18"/>
  <c r="N644" i="18"/>
  <c r="N20" i="7941"/>
  <c r="N223" i="7941"/>
  <c r="O21" i="7944"/>
  <c r="N127" i="7944"/>
  <c r="N204" i="7941"/>
  <c r="O467" i="18"/>
  <c r="O695" i="18"/>
  <c r="N323" i="7944"/>
  <c r="N25" i="7941"/>
  <c r="P274" i="18"/>
  <c r="Q274" i="18"/>
  <c r="O29" i="18"/>
  <c r="O487" i="18"/>
  <c r="O56" i="7941"/>
  <c r="N470" i="18"/>
  <c r="N11" i="18"/>
  <c r="N437" i="18"/>
  <c r="N666" i="18"/>
  <c r="N665" i="18"/>
  <c r="O14" i="18"/>
  <c r="O472" i="18"/>
  <c r="O41" i="7941"/>
  <c r="Q79" i="18"/>
  <c r="P79" i="18"/>
  <c r="O39" i="18"/>
  <c r="O497" i="18"/>
  <c r="O66" i="7941"/>
  <c r="P404" i="18"/>
  <c r="Q404" i="18"/>
  <c r="P403" i="18"/>
  <c r="O18" i="18"/>
  <c r="O476" i="18"/>
  <c r="O45" i="7941"/>
  <c r="Q131" i="18"/>
  <c r="P131" i="18"/>
  <c r="M39" i="7941"/>
  <c r="M38" i="7941"/>
  <c r="M469" i="18"/>
  <c r="N7" i="7944"/>
  <c r="M43" i="18"/>
  <c r="M632" i="18"/>
  <c r="M631" i="18"/>
  <c r="M71" i="7944"/>
  <c r="O33" i="18"/>
  <c r="O491" i="18"/>
  <c r="O60" i="7941"/>
  <c r="P325" i="18"/>
  <c r="P326" i="18"/>
  <c r="Q326" i="18"/>
  <c r="O30" i="18"/>
  <c r="O488" i="18"/>
  <c r="O57" i="7941"/>
  <c r="P287" i="18"/>
  <c r="Q287" i="18"/>
  <c r="O23" i="18"/>
  <c r="O481" i="18"/>
  <c r="O50" i="7941"/>
  <c r="P196" i="18"/>
  <c r="Q196" i="18"/>
  <c r="Q170" i="18"/>
  <c r="P170" i="18"/>
  <c r="O21" i="18"/>
  <c r="O479" i="18"/>
  <c r="O48" i="7941"/>
  <c r="P339" i="18"/>
  <c r="Q339" i="18"/>
  <c r="O34" i="18"/>
  <c r="O492" i="18"/>
  <c r="O61" i="7941"/>
  <c r="P338" i="18"/>
  <c r="P312" i="18"/>
  <c r="P313" i="18"/>
  <c r="Q313" i="18"/>
  <c r="O32" i="18"/>
  <c r="O490" i="18"/>
  <c r="O59" i="7941"/>
  <c r="O35" i="18"/>
  <c r="O493" i="18"/>
  <c r="O62" i="7941"/>
  <c r="P351" i="18"/>
  <c r="P352" i="18"/>
  <c r="Q352" i="18"/>
  <c r="O28" i="18"/>
  <c r="O486" i="18"/>
  <c r="O55" i="7941"/>
  <c r="P261" i="18"/>
  <c r="Q261" i="18"/>
  <c r="P298" i="18"/>
  <c r="Q298" i="18"/>
  <c r="K226" i="7941"/>
  <c r="L7" i="7944"/>
  <c r="J202" i="7941"/>
  <c r="F143" i="7946"/>
  <c r="I6" i="7941"/>
  <c r="G255" i="7946"/>
  <c r="G231" i="7946"/>
  <c r="G207" i="7946"/>
  <c r="G215" i="7946"/>
  <c r="G199" i="7946"/>
  <c r="G191" i="7946"/>
  <c r="F10" i="7946"/>
  <c r="G175" i="7946"/>
  <c r="I665" i="18"/>
  <c r="G167" i="7946"/>
  <c r="G183" i="7946"/>
  <c r="J206" i="7941"/>
  <c r="G239" i="7946"/>
  <c r="G223" i="7946"/>
  <c r="H242" i="7946"/>
  <c r="G230" i="7946"/>
  <c r="G214" i="7946"/>
  <c r="G222" i="7946"/>
  <c r="G174" i="7946"/>
  <c r="G246" i="7946"/>
  <c r="F105" i="7946"/>
  <c r="G190" i="7946"/>
  <c r="G182" i="7946"/>
  <c r="F33" i="7946"/>
  <c r="G238" i="7946"/>
  <c r="G254" i="7946"/>
  <c r="G166" i="7946"/>
  <c r="F89" i="7946"/>
  <c r="F9" i="7946"/>
  <c r="G206" i="7946"/>
  <c r="F73" i="7946"/>
  <c r="F142" i="7946"/>
  <c r="G198" i="7946"/>
  <c r="P258" i="18"/>
  <c r="Q258" i="18"/>
  <c r="Q255" i="18"/>
  <c r="O362" i="18"/>
  <c r="P362" i="18"/>
  <c r="Q362" i="18"/>
  <c r="O401" i="18"/>
  <c r="P401" i="18"/>
  <c r="Q401" i="18"/>
  <c r="O284" i="18"/>
  <c r="P284" i="18"/>
  <c r="Q284" i="18"/>
  <c r="J226" i="7941"/>
  <c r="O426" i="18"/>
  <c r="P426" i="18"/>
  <c r="Q426" i="18"/>
  <c r="O271" i="18"/>
  <c r="P271" i="18"/>
  <c r="Q271" i="18"/>
  <c r="Q325" i="18"/>
  <c r="O427" i="18"/>
  <c r="P427" i="18"/>
  <c r="Q427" i="18"/>
  <c r="Q364" i="18"/>
  <c r="K107" i="7942"/>
  <c r="P296" i="18"/>
  <c r="Q296" i="18"/>
  <c r="Q372" i="18"/>
  <c r="J203" i="7941"/>
  <c r="N140" i="7942"/>
  <c r="P280" i="18"/>
  <c r="Q280" i="18"/>
  <c r="O412" i="18"/>
  <c r="P412" i="18"/>
  <c r="Q412" i="18"/>
  <c r="J208" i="7941"/>
  <c r="M7" i="7944"/>
  <c r="K631" i="18"/>
  <c r="F16" i="7946"/>
  <c r="G13" i="7946"/>
  <c r="P358" i="18"/>
  <c r="Q358" i="18"/>
  <c r="F50" i="7946"/>
  <c r="O361" i="18"/>
  <c r="P361" i="18"/>
  <c r="Q361" i="18"/>
  <c r="N348" i="18"/>
  <c r="O348" i="18"/>
  <c r="P348" i="18"/>
  <c r="N270" i="18"/>
  <c r="O270" i="18"/>
  <c r="N414" i="18"/>
  <c r="O414" i="18"/>
  <c r="P414" i="18"/>
  <c r="Q414" i="18"/>
  <c r="F130" i="7946"/>
  <c r="J207" i="7941"/>
  <c r="I207" i="7941"/>
  <c r="Q359" i="18"/>
  <c r="F112" i="7946"/>
  <c r="F114" i="7946"/>
  <c r="Q424" i="18"/>
  <c r="G157" i="7946"/>
  <c r="G159" i="7946"/>
  <c r="H111" i="7946"/>
  <c r="N349" i="18"/>
  <c r="O349" i="18"/>
  <c r="P349" i="18"/>
  <c r="N323" i="18"/>
  <c r="J212" i="7941"/>
  <c r="F82" i="7946"/>
  <c r="J218" i="7941"/>
  <c r="F26" i="7946"/>
  <c r="F24" i="7946"/>
  <c r="J219" i="7941"/>
  <c r="F42" i="7946"/>
  <c r="L631" i="18"/>
  <c r="P399" i="18"/>
  <c r="Q399" i="18"/>
  <c r="P483" i="18"/>
  <c r="P52" i="7941"/>
  <c r="P374" i="18"/>
  <c r="Q374" i="18"/>
  <c r="L31" i="7946"/>
  <c r="L11" i="18"/>
  <c r="N306" i="18"/>
  <c r="O306" i="18"/>
  <c r="J210" i="7941"/>
  <c r="F58" i="7946"/>
  <c r="F98" i="7946"/>
  <c r="J228" i="7941"/>
  <c r="K469" i="18"/>
  <c r="K38" i="7941"/>
  <c r="P347" i="18"/>
  <c r="Q347" i="18"/>
  <c r="P385" i="18"/>
  <c r="Q385" i="18"/>
  <c r="F122" i="7946"/>
  <c r="K216" i="7941"/>
  <c r="H15" i="7946"/>
  <c r="H23" i="7946"/>
  <c r="N283" i="18"/>
  <c r="O283" i="18"/>
  <c r="P283" i="18"/>
  <c r="O309" i="18"/>
  <c r="P309" i="18"/>
  <c r="Q309" i="18"/>
  <c r="J201" i="7941"/>
  <c r="K268" i="7942"/>
  <c r="J217" i="7941"/>
  <c r="L43" i="18"/>
  <c r="K224" i="7941"/>
  <c r="O282" i="18"/>
  <c r="F66" i="7946"/>
  <c r="Q397" i="18"/>
  <c r="G149" i="7946"/>
  <c r="G151" i="7946"/>
  <c r="G263" i="7946"/>
  <c r="N273" i="7942"/>
  <c r="O273" i="7942"/>
  <c r="N274" i="7942"/>
  <c r="N317" i="7942"/>
  <c r="M465" i="18"/>
  <c r="M693" i="18"/>
  <c r="M529" i="18"/>
  <c r="M98" i="7941"/>
  <c r="O7" i="7944"/>
  <c r="N71" i="7944"/>
  <c r="P21" i="18"/>
  <c r="P479" i="18"/>
  <c r="P48" i="7941"/>
  <c r="Q171" i="18"/>
  <c r="Q106" i="18"/>
  <c r="P16" i="18"/>
  <c r="P474" i="18"/>
  <c r="P43" i="7941"/>
  <c r="P30" i="18"/>
  <c r="P488" i="18"/>
  <c r="P57" i="7941"/>
  <c r="Q288" i="18"/>
  <c r="Q327" i="18"/>
  <c r="P33" i="18"/>
  <c r="P491" i="18"/>
  <c r="P60" i="7941"/>
  <c r="P13" i="18"/>
  <c r="P471" i="18"/>
  <c r="P40" i="7941"/>
  <c r="Q67" i="18"/>
  <c r="P18" i="18"/>
  <c r="P476" i="18"/>
  <c r="P45" i="7941"/>
  <c r="Q132" i="18"/>
  <c r="Q418" i="18"/>
  <c r="Q416" i="18"/>
  <c r="P40" i="18"/>
  <c r="P498" i="18"/>
  <c r="P67" i="7941"/>
  <c r="P39" i="18"/>
  <c r="P497" i="18"/>
  <c r="P66" i="7941"/>
  <c r="Q405" i="18"/>
  <c r="Q403" i="18"/>
  <c r="N514" i="18"/>
  <c r="N83" i="7941"/>
  <c r="O160" i="18"/>
  <c r="O640" i="18"/>
  <c r="O510" i="18"/>
  <c r="O79" i="7941"/>
  <c r="O337" i="7944"/>
  <c r="O342" i="18"/>
  <c r="O654" i="18"/>
  <c r="O524" i="18"/>
  <c r="O93" i="7941"/>
  <c r="O24" i="7941"/>
  <c r="O9" i="7941"/>
  <c r="O26" i="7941"/>
  <c r="O226" i="7941"/>
  <c r="P29" i="7944"/>
  <c r="P447" i="18"/>
  <c r="P675" i="18"/>
  <c r="P37" i="7944"/>
  <c r="P457" i="18"/>
  <c r="P685" i="18"/>
  <c r="P452" i="18"/>
  <c r="P680" i="18"/>
  <c r="P8" i="7944"/>
  <c r="O393" i="7944"/>
  <c r="P446" i="18"/>
  <c r="P674" i="18"/>
  <c r="O10" i="7941"/>
  <c r="O421" i="7944"/>
  <c r="O85" i="7944"/>
  <c r="O221" i="7941"/>
  <c r="P12" i="7944"/>
  <c r="P17" i="7944"/>
  <c r="O212" i="7941"/>
  <c r="O29" i="7941"/>
  <c r="O211" i="7941"/>
  <c r="O127" i="7944"/>
  <c r="P21" i="7944"/>
  <c r="O323" i="7944"/>
  <c r="O147" i="18"/>
  <c r="O639" i="18"/>
  <c r="O509" i="18"/>
  <c r="O78" i="7941"/>
  <c r="O381" i="18"/>
  <c r="O657" i="18"/>
  <c r="O527" i="18"/>
  <c r="O96" i="7941"/>
  <c r="O220" i="7941"/>
  <c r="O25" i="7941"/>
  <c r="P454" i="18"/>
  <c r="P682" i="18"/>
  <c r="P445" i="18"/>
  <c r="P673" i="18"/>
  <c r="O365" i="7944"/>
  <c r="P450" i="18"/>
  <c r="P678" i="18"/>
  <c r="P16" i="7944"/>
  <c r="O19" i="7941"/>
  <c r="P33" i="7944"/>
  <c r="O210" i="7941"/>
  <c r="O225" i="7941"/>
  <c r="O18" i="7941"/>
  <c r="P9" i="7944"/>
  <c r="O449" i="7944"/>
  <c r="O394" i="18"/>
  <c r="O658" i="18"/>
  <c r="O528" i="18"/>
  <c r="O97" i="7941"/>
  <c r="O420" i="18"/>
  <c r="O660" i="18"/>
  <c r="O530" i="18"/>
  <c r="O99" i="7941"/>
  <c r="O219" i="7941"/>
  <c r="O277" i="18"/>
  <c r="O649" i="18"/>
  <c r="O519" i="18"/>
  <c r="O88" i="7941"/>
  <c r="O34" i="7941"/>
  <c r="P30" i="7944"/>
  <c r="O56" i="18"/>
  <c r="P35" i="7944"/>
  <c r="P456" i="18"/>
  <c r="P684" i="18"/>
  <c r="P25" i="7944"/>
  <c r="O13" i="7941"/>
  <c r="O199" i="7941"/>
  <c r="O31" i="7941"/>
  <c r="P458" i="18"/>
  <c r="P686" i="18"/>
  <c r="O203" i="7941"/>
  <c r="P24" i="7944"/>
  <c r="P443" i="18"/>
  <c r="P671" i="18"/>
  <c r="O35" i="7941"/>
  <c r="O264" i="18"/>
  <c r="O648" i="18"/>
  <c r="O518" i="18"/>
  <c r="O87" i="7941"/>
  <c r="O200" i="7941"/>
  <c r="O281" i="7944"/>
  <c r="O108" i="18"/>
  <c r="O636" i="18"/>
  <c r="O506" i="18"/>
  <c r="O75" i="7941"/>
  <c r="P10" i="7944"/>
  <c r="P448" i="18"/>
  <c r="P676" i="18"/>
  <c r="P449" i="18"/>
  <c r="P677" i="18"/>
  <c r="O251" i="18"/>
  <c r="O647" i="18"/>
  <c r="O517" i="18"/>
  <c r="O86" i="7941"/>
  <c r="O155" i="7944"/>
  <c r="P466" i="18"/>
  <c r="P694" i="18"/>
  <c r="O225" i="7944"/>
  <c r="O16" i="7941"/>
  <c r="O253" i="7944"/>
  <c r="O204" i="7941"/>
  <c r="O20" i="7941"/>
  <c r="O218" i="7941"/>
  <c r="O379" i="7944"/>
  <c r="O225" i="18"/>
  <c r="O645" i="18"/>
  <c r="O515" i="18"/>
  <c r="O84" i="7941"/>
  <c r="P467" i="18"/>
  <c r="P695" i="18"/>
  <c r="O227" i="7941"/>
  <c r="O186" i="18"/>
  <c r="O642" i="18"/>
  <c r="O512" i="18"/>
  <c r="O81" i="7941"/>
  <c r="O173" i="18"/>
  <c r="O641" i="18"/>
  <c r="O511" i="18"/>
  <c r="O80" i="7941"/>
  <c r="P460" i="18"/>
  <c r="P688" i="18"/>
  <c r="O199" i="18"/>
  <c r="O643" i="18"/>
  <c r="O513" i="18"/>
  <c r="O82" i="7941"/>
  <c r="O309" i="7944"/>
  <c r="O491" i="7944"/>
  <c r="O368" i="18"/>
  <c r="O656" i="18"/>
  <c r="O526" i="18"/>
  <c r="O95" i="7941"/>
  <c r="O207" i="7941"/>
  <c r="P455" i="18"/>
  <c r="P683" i="18"/>
  <c r="O295" i="7944"/>
  <c r="O303" i="18"/>
  <c r="O651" i="18"/>
  <c r="O521" i="18"/>
  <c r="O90" i="7941"/>
  <c r="O224" i="7941"/>
  <c r="O329" i="18"/>
  <c r="O653" i="18"/>
  <c r="O523" i="18"/>
  <c r="O92" i="7941"/>
  <c r="O290" i="18"/>
  <c r="O650" i="18"/>
  <c r="O520" i="18"/>
  <c r="O89" i="7941"/>
  <c r="O407" i="7944"/>
  <c r="O14" i="7941"/>
  <c r="P34" i="7944"/>
  <c r="O69" i="18"/>
  <c r="O633" i="18"/>
  <c r="O503" i="18"/>
  <c r="O72" i="7941"/>
  <c r="O214" i="7941"/>
  <c r="O141" i="7944"/>
  <c r="O238" i="18"/>
  <c r="O646" i="18"/>
  <c r="O516" i="18"/>
  <c r="O85" i="7941"/>
  <c r="P442" i="18"/>
  <c r="P670" i="18"/>
  <c r="O23" i="7941"/>
  <c r="O121" i="18"/>
  <c r="O637" i="18"/>
  <c r="O507" i="18"/>
  <c r="O76" i="7941"/>
  <c r="O351" i="7944"/>
  <c r="O197" i="7944"/>
  <c r="O213" i="7941"/>
  <c r="P444" i="18"/>
  <c r="P672" i="18"/>
  <c r="O212" i="18"/>
  <c r="O644" i="18"/>
  <c r="O514" i="18"/>
  <c r="O83" i="7941"/>
  <c r="O28" i="7941"/>
  <c r="O32" i="7941"/>
  <c r="O209" i="7941"/>
  <c r="P441" i="18"/>
  <c r="P669" i="18"/>
  <c r="P14" i="7944"/>
  <c r="P18" i="7944"/>
  <c r="O433" i="18"/>
  <c r="O661" i="18"/>
  <c r="O531" i="18"/>
  <c r="O100" i="7941"/>
  <c r="P11" i="7944"/>
  <c r="P440" i="18"/>
  <c r="P668" i="18"/>
  <c r="P20" i="7944"/>
  <c r="O7" i="7941"/>
  <c r="P31" i="7944"/>
  <c r="P15" i="7944"/>
  <c r="O316" i="18"/>
  <c r="O652" i="18"/>
  <c r="O522" i="18"/>
  <c r="O91" i="7941"/>
  <c r="O12" i="7941"/>
  <c r="O11" i="7941"/>
  <c r="P464" i="18"/>
  <c r="P692" i="18"/>
  <c r="P32" i="7944"/>
  <c r="P462" i="18"/>
  <c r="P690" i="18"/>
  <c r="O355" i="18"/>
  <c r="O655" i="18"/>
  <c r="O525" i="18"/>
  <c r="O94" i="7941"/>
  <c r="P27" i="7944"/>
  <c r="P451" i="18"/>
  <c r="P679" i="18"/>
  <c r="P19" i="7944"/>
  <c r="O215" i="7941"/>
  <c r="O113" i="7944"/>
  <c r="O477" i="7944"/>
  <c r="O223" i="7941"/>
  <c r="O205" i="7941"/>
  <c r="O82" i="18"/>
  <c r="O634" i="18"/>
  <c r="O504" i="18"/>
  <c r="O73" i="7941"/>
  <c r="O134" i="18"/>
  <c r="O638" i="18"/>
  <c r="O508" i="18"/>
  <c r="O77" i="7941"/>
  <c r="O15" i="7941"/>
  <c r="O201" i="7941"/>
  <c r="P453" i="18"/>
  <c r="P681" i="18"/>
  <c r="O216" i="7941"/>
  <c r="P22" i="7944"/>
  <c r="P465" i="18"/>
  <c r="P693" i="18"/>
  <c r="O407" i="18"/>
  <c r="O659" i="18"/>
  <c r="O529" i="18"/>
  <c r="O98" i="7941"/>
  <c r="O169" i="7944"/>
  <c r="O206" i="7941"/>
  <c r="O22" i="7941"/>
  <c r="P23" i="7944"/>
  <c r="P438" i="18"/>
  <c r="O33" i="7941"/>
  <c r="O222" i="7941"/>
  <c r="O183" i="7944"/>
  <c r="O99" i="7944"/>
  <c r="O27" i="7941"/>
  <c r="O217" i="7941"/>
  <c r="O8" i="7941"/>
  <c r="O30" i="7941"/>
  <c r="O17" i="7941"/>
  <c r="O202" i="7941"/>
  <c r="P461" i="18"/>
  <c r="P689" i="18"/>
  <c r="P459" i="18"/>
  <c r="P687" i="18"/>
  <c r="O463" i="7944"/>
  <c r="O435" i="7944"/>
  <c r="O21" i="7941"/>
  <c r="P36" i="7944"/>
  <c r="O211" i="7944"/>
  <c r="O228" i="7941"/>
  <c r="P13" i="7944"/>
  <c r="O239" i="7944"/>
  <c r="P28" i="7944"/>
  <c r="P463" i="18"/>
  <c r="P691" i="18"/>
  <c r="P26" i="7944"/>
  <c r="O208" i="7941"/>
  <c r="O267" i="7944"/>
  <c r="P439" i="18"/>
  <c r="P667" i="18"/>
  <c r="O95" i="18"/>
  <c r="O635" i="18"/>
  <c r="O505" i="18"/>
  <c r="O74" i="7941"/>
  <c r="O36" i="7941"/>
  <c r="P24" i="18"/>
  <c r="P482" i="18"/>
  <c r="P51" i="7941"/>
  <c r="Q210" i="18"/>
  <c r="Q275" i="18"/>
  <c r="P29" i="18"/>
  <c r="P487" i="18"/>
  <c r="P56" i="7941"/>
  <c r="Q236" i="18"/>
  <c r="P26" i="18"/>
  <c r="P484" i="18"/>
  <c r="P53" i="7941"/>
  <c r="Q314" i="18"/>
  <c r="Q312" i="18"/>
  <c r="P32" i="18"/>
  <c r="P490" i="18"/>
  <c r="P59" i="7941"/>
  <c r="Q299" i="18"/>
  <c r="Q301" i="18"/>
  <c r="P31" i="18"/>
  <c r="P489" i="18"/>
  <c r="P58" i="7941"/>
  <c r="P20" i="18"/>
  <c r="P478" i="18"/>
  <c r="P47" i="7941"/>
  <c r="Q158" i="18"/>
  <c r="P14" i="18"/>
  <c r="P472" i="18"/>
  <c r="P41" i="7941"/>
  <c r="Q80" i="18"/>
  <c r="Q249" i="18"/>
  <c r="P27" i="18"/>
  <c r="P485" i="18"/>
  <c r="P54" i="7941"/>
  <c r="O470" i="18"/>
  <c r="O11" i="18"/>
  <c r="Q431" i="18"/>
  <c r="P41" i="18"/>
  <c r="P499" i="18"/>
  <c r="P68" i="7941"/>
  <c r="Q429" i="18"/>
  <c r="Q351" i="18"/>
  <c r="Q353" i="18"/>
  <c r="P35" i="18"/>
  <c r="P493" i="18"/>
  <c r="P62" i="7941"/>
  <c r="Q197" i="18"/>
  <c r="P23" i="18"/>
  <c r="P481" i="18"/>
  <c r="P50" i="7941"/>
  <c r="P19" i="18"/>
  <c r="P477" i="18"/>
  <c r="P46" i="7941"/>
  <c r="Q145" i="18"/>
  <c r="Q54" i="18"/>
  <c r="P173" i="1"/>
  <c r="P12" i="18"/>
  <c r="Q390" i="18"/>
  <c r="P38" i="18"/>
  <c r="P496" i="18"/>
  <c r="P65" i="7941"/>
  <c r="Q392" i="18"/>
  <c r="Q377" i="18"/>
  <c r="Q379" i="18"/>
  <c r="P37" i="18"/>
  <c r="P495" i="18"/>
  <c r="P64" i="7941"/>
  <c r="N39" i="7941"/>
  <c r="N38" i="7941"/>
  <c r="N469" i="18"/>
  <c r="N198" i="7941"/>
  <c r="N6" i="7941"/>
  <c r="N632" i="18"/>
  <c r="N502" i="18"/>
  <c r="N43" i="18"/>
  <c r="O666" i="18"/>
  <c r="O665" i="18"/>
  <c r="O437" i="18"/>
  <c r="M318" i="7941"/>
  <c r="M305" i="7941"/>
  <c r="M310" i="7941"/>
  <c r="M295" i="7941"/>
  <c r="M238" i="7941"/>
  <c r="M250" i="7941"/>
  <c r="M260" i="7941"/>
  <c r="M296" i="7941"/>
  <c r="M300" i="7941"/>
  <c r="M320" i="7941"/>
  <c r="M256" i="7941"/>
  <c r="M322" i="7941"/>
  <c r="M242" i="7941"/>
  <c r="M233" i="7941"/>
  <c r="M299" i="7941"/>
  <c r="M317" i="7941"/>
  <c r="M234" i="7941"/>
  <c r="M232" i="7941"/>
  <c r="M247" i="7941"/>
  <c r="M240" i="7941"/>
  <c r="M298" i="7941"/>
  <c r="M239" i="7941"/>
  <c r="M253" i="7941"/>
  <c r="M323" i="7941"/>
  <c r="M245" i="7941"/>
  <c r="M301" i="7941"/>
  <c r="M243" i="7941"/>
  <c r="M303" i="7941"/>
  <c r="M313" i="7941"/>
  <c r="M302" i="7941"/>
  <c r="M259" i="7941"/>
  <c r="M304" i="7941"/>
  <c r="M258" i="7941"/>
  <c r="M237" i="7941"/>
  <c r="M241" i="7941"/>
  <c r="M306" i="7941"/>
  <c r="M249" i="7941"/>
  <c r="M324" i="7941"/>
  <c r="M248" i="7941"/>
  <c r="M246" i="7941"/>
  <c r="M309" i="7941"/>
  <c r="M257" i="7941"/>
  <c r="M255" i="7941"/>
  <c r="M315" i="7941"/>
  <c r="M231" i="7941"/>
  <c r="M312" i="7941"/>
  <c r="M236" i="7941"/>
  <c r="M319" i="7941"/>
  <c r="M307" i="7941"/>
  <c r="M308" i="7941"/>
  <c r="M235" i="7941"/>
  <c r="M252" i="7941"/>
  <c r="M314" i="7941"/>
  <c r="M244" i="7941"/>
  <c r="M321" i="7941"/>
  <c r="M254" i="7941"/>
  <c r="M311" i="7941"/>
  <c r="M297" i="7941"/>
  <c r="M316" i="7941"/>
  <c r="M251" i="7941"/>
  <c r="Q157" i="1"/>
  <c r="Q26" i="18"/>
  <c r="Q165" i="1"/>
  <c r="Q34" i="18"/>
  <c r="Q166" i="1"/>
  <c r="Q35" i="18"/>
  <c r="Q153" i="1"/>
  <c r="Q22" i="18"/>
  <c r="Q147" i="1"/>
  <c r="Q16" i="18"/>
  <c r="Q146" i="1"/>
  <c r="Q15" i="18"/>
  <c r="Q152" i="1"/>
  <c r="Q21" i="18"/>
  <c r="Q144" i="1"/>
  <c r="Q13" i="18"/>
  <c r="Q162" i="1"/>
  <c r="Q31" i="18"/>
  <c r="Q149" i="1"/>
  <c r="Q18" i="18"/>
  <c r="Q172" i="1"/>
  <c r="Q41" i="18"/>
  <c r="Q7" i="18"/>
  <c r="Q154" i="1"/>
  <c r="Q23" i="18"/>
  <c r="Q163" i="1"/>
  <c r="Q32" i="18"/>
  <c r="Q161" i="1"/>
  <c r="Q30" i="18"/>
  <c r="Q151" i="1"/>
  <c r="Q20" i="18"/>
  <c r="Q478" i="18"/>
  <c r="Q47" i="7941"/>
  <c r="Q148" i="1"/>
  <c r="Q17" i="18"/>
  <c r="Q171" i="1"/>
  <c r="Q40" i="18"/>
  <c r="Q169" i="1"/>
  <c r="Q38" i="18"/>
  <c r="Q164" i="1"/>
  <c r="Q33" i="18"/>
  <c r="Q491" i="18"/>
  <c r="Q60" i="7941"/>
  <c r="Q145" i="1"/>
  <c r="Q14" i="18"/>
  <c r="Q158" i="1"/>
  <c r="Q27" i="18"/>
  <c r="Q168" i="1"/>
  <c r="Q37" i="18"/>
  <c r="Q143" i="1"/>
  <c r="Q150" i="1"/>
  <c r="Q19" i="18"/>
  <c r="Q160" i="1"/>
  <c r="Q29" i="18"/>
  <c r="Q170" i="1"/>
  <c r="Q39" i="18"/>
  <c r="Q167" i="1"/>
  <c r="Q36" i="18"/>
  <c r="Q494" i="18"/>
  <c r="Q63" i="7941"/>
  <c r="Q155" i="1"/>
  <c r="Q24" i="18"/>
  <c r="Q159" i="1"/>
  <c r="Q28" i="18"/>
  <c r="Q156" i="1"/>
  <c r="Q25" i="18"/>
  <c r="Q93" i="18"/>
  <c r="P15" i="18"/>
  <c r="P473" i="18"/>
  <c r="P42" i="7941"/>
  <c r="P28" i="18"/>
  <c r="P486" i="18"/>
  <c r="P55" i="7941"/>
  <c r="Q262" i="18"/>
  <c r="P34" i="18"/>
  <c r="P492" i="18"/>
  <c r="P61" i="7941"/>
  <c r="Q340" i="18"/>
  <c r="Q338" i="18"/>
  <c r="Q184" i="18"/>
  <c r="P22" i="18"/>
  <c r="P480" i="18"/>
  <c r="P49" i="7941"/>
  <c r="Q119" i="18"/>
  <c r="P17" i="18"/>
  <c r="P475" i="18"/>
  <c r="P44" i="7941"/>
  <c r="P36" i="18"/>
  <c r="P494" i="18"/>
  <c r="P63" i="7941"/>
  <c r="Q366" i="18"/>
  <c r="K214" i="7941"/>
  <c r="M455" i="18"/>
  <c r="M683" i="18"/>
  <c r="M519" i="18"/>
  <c r="M88" i="7941"/>
  <c r="K220" i="7941"/>
  <c r="K227" i="7941"/>
  <c r="I501" i="18"/>
  <c r="K208" i="7941"/>
  <c r="K206" i="7941"/>
  <c r="H245" i="7946"/>
  <c r="H247" i="7946"/>
  <c r="F129" i="7946"/>
  <c r="F41" i="7946"/>
  <c r="F65" i="7946"/>
  <c r="G158" i="7946"/>
  <c r="F121" i="7946"/>
  <c r="F97" i="7946"/>
  <c r="F49" i="7946"/>
  <c r="F17" i="7946"/>
  <c r="G150" i="7946"/>
  <c r="F113" i="7946"/>
  <c r="G262" i="7946"/>
  <c r="F25" i="7946"/>
  <c r="F81" i="7946"/>
  <c r="F57" i="7946"/>
  <c r="N118" i="7942"/>
  <c r="N311" i="7942"/>
  <c r="N315" i="7942"/>
  <c r="M316" i="7942"/>
  <c r="N114" i="7942"/>
  <c r="M115" i="7942"/>
  <c r="M266" i="7941"/>
  <c r="N166" i="7942"/>
  <c r="O166" i="7942"/>
  <c r="N167" i="7942"/>
  <c r="J205" i="7941"/>
  <c r="L107" i="7942"/>
  <c r="N132" i="7942"/>
  <c r="M133" i="7942"/>
  <c r="N291" i="7942"/>
  <c r="M292" i="7942"/>
  <c r="N128" i="7942"/>
  <c r="M129" i="7942"/>
  <c r="M273" i="7941"/>
  <c r="J213" i="7941"/>
  <c r="N279" i="7942"/>
  <c r="N271" i="7942"/>
  <c r="O271" i="7942"/>
  <c r="N156" i="7942"/>
  <c r="O156" i="7942"/>
  <c r="N146" i="7942"/>
  <c r="M147" i="7942"/>
  <c r="M282" i="7941"/>
  <c r="K222" i="7941"/>
  <c r="M141" i="7942"/>
  <c r="Q283" i="18"/>
  <c r="K209" i="7941"/>
  <c r="N138" i="7942"/>
  <c r="M139" i="7942"/>
  <c r="M278" i="7941"/>
  <c r="N285" i="7942"/>
  <c r="M286" i="7942"/>
  <c r="N112" i="7942"/>
  <c r="M113" i="7942"/>
  <c r="M265" i="7941"/>
  <c r="N269" i="7942"/>
  <c r="P270" i="18"/>
  <c r="Q270" i="18"/>
  <c r="N160" i="7942"/>
  <c r="M161" i="7942"/>
  <c r="M289" i="7941"/>
  <c r="O140" i="7942"/>
  <c r="N141" i="7942"/>
  <c r="Q348" i="18"/>
  <c r="K205" i="7941"/>
  <c r="P273" i="7942"/>
  <c r="O274" i="7942"/>
  <c r="K201" i="7941"/>
  <c r="N142" i="7942"/>
  <c r="M143" i="7942"/>
  <c r="M280" i="7941"/>
  <c r="N152" i="7942"/>
  <c r="M153" i="7942"/>
  <c r="M285" i="7941"/>
  <c r="P306" i="18"/>
  <c r="Q306" i="18"/>
  <c r="L469" i="18"/>
  <c r="L38" i="7941"/>
  <c r="G21" i="7946"/>
  <c r="K215" i="7941"/>
  <c r="J200" i="7941"/>
  <c r="N321" i="7942"/>
  <c r="M322" i="7942"/>
  <c r="M353" i="7941"/>
  <c r="N164" i="7942"/>
  <c r="M165" i="7942"/>
  <c r="M291" i="7941"/>
  <c r="N297" i="7942"/>
  <c r="N130" i="7942"/>
  <c r="M131" i="7942"/>
  <c r="M274" i="7941"/>
  <c r="N136" i="7942"/>
  <c r="N162" i="7942"/>
  <c r="K211" i="7941"/>
  <c r="N116" i="7942"/>
  <c r="M117" i="7942"/>
  <c r="M267" i="7941"/>
  <c r="N289" i="7942"/>
  <c r="N293" i="7942"/>
  <c r="M294" i="7942"/>
  <c r="M339" i="7941"/>
  <c r="G18" i="7946"/>
  <c r="G16" i="7946"/>
  <c r="N122" i="7942"/>
  <c r="M123" i="7942"/>
  <c r="M270" i="7941"/>
  <c r="N110" i="7942"/>
  <c r="M111" i="7942"/>
  <c r="M264" i="7941"/>
  <c r="N319" i="7942"/>
  <c r="M320" i="7942"/>
  <c r="M352" i="7941"/>
  <c r="O323" i="18"/>
  <c r="J204" i="7941"/>
  <c r="N299" i="7942"/>
  <c r="O299" i="7942"/>
  <c r="N300" i="7942"/>
  <c r="H154" i="7946"/>
  <c r="K225" i="7941"/>
  <c r="L268" i="7942"/>
  <c r="P282" i="18"/>
  <c r="Q282" i="18"/>
  <c r="N126" i="7942"/>
  <c r="M127" i="7942"/>
  <c r="M272" i="7941"/>
  <c r="N325" i="7942"/>
  <c r="N275" i="7942"/>
  <c r="N295" i="7942"/>
  <c r="M296" i="7942"/>
  <c r="M340" i="7941"/>
  <c r="Q349" i="18"/>
  <c r="G109" i="7946"/>
  <c r="N124" i="7942"/>
  <c r="N283" i="7942"/>
  <c r="M284" i="7942"/>
  <c r="M334" i="7941"/>
  <c r="G74" i="7946"/>
  <c r="G34" i="7946"/>
  <c r="H146" i="7946"/>
  <c r="M119" i="7942"/>
  <c r="M268" i="7941"/>
  <c r="M312" i="7942"/>
  <c r="M348" i="7941"/>
  <c r="O311" i="7942"/>
  <c r="M318" i="7942"/>
  <c r="M351" i="7941"/>
  <c r="G90" i="7946"/>
  <c r="O317" i="7942"/>
  <c r="N318" i="7942"/>
  <c r="P166" i="7942"/>
  <c r="O167" i="7942"/>
  <c r="N272" i="7942"/>
  <c r="O128" i="7942"/>
  <c r="N129" i="7942"/>
  <c r="G106" i="7946"/>
  <c r="O118" i="7942"/>
  <c r="N119" i="7942"/>
  <c r="M274" i="7942"/>
  <c r="M329" i="7941"/>
  <c r="Q273" i="7942"/>
  <c r="M272" i="7942"/>
  <c r="M328" i="7941"/>
  <c r="N108" i="7942"/>
  <c r="Q486" i="18"/>
  <c r="Q55" i="7941"/>
  <c r="Q485" i="18"/>
  <c r="Q54" i="7941"/>
  <c r="Q490" i="18"/>
  <c r="Q59" i="7941"/>
  <c r="Q492" i="18"/>
  <c r="Q61" i="7941"/>
  <c r="Q487" i="18"/>
  <c r="Q56" i="7941"/>
  <c r="Q498" i="18"/>
  <c r="Q67" i="7941"/>
  <c r="Q476" i="18"/>
  <c r="Q45" i="7941"/>
  <c r="Q473" i="18"/>
  <c r="Q42" i="7941"/>
  <c r="M450" i="18"/>
  <c r="M678" i="18"/>
  <c r="M514" i="18"/>
  <c r="M83" i="7941"/>
  <c r="Q482" i="18"/>
  <c r="Q51" i="7941"/>
  <c r="Q477" i="18"/>
  <c r="Q46" i="7941"/>
  <c r="Q472" i="18"/>
  <c r="Q41" i="7941"/>
  <c r="Q475" i="18"/>
  <c r="Q44" i="7941"/>
  <c r="Q481" i="18"/>
  <c r="Q50" i="7941"/>
  <c r="Q489" i="18"/>
  <c r="Q58" i="7941"/>
  <c r="Q474" i="18"/>
  <c r="Q43" i="7941"/>
  <c r="Q484" i="18"/>
  <c r="Q53" i="7941"/>
  <c r="N501" i="18"/>
  <c r="N71" i="7941"/>
  <c r="N70" i="7941"/>
  <c r="O198" i="7941"/>
  <c r="P470" i="18"/>
  <c r="P11" i="18"/>
  <c r="O632" i="18"/>
  <c r="O43" i="18"/>
  <c r="P7" i="7944"/>
  <c r="O71" i="7944"/>
  <c r="Q471" i="18"/>
  <c r="Q40" i="7941"/>
  <c r="N243" i="7941"/>
  <c r="N231" i="7941"/>
  <c r="N320" i="7941"/>
  <c r="N306" i="7941"/>
  <c r="N234" i="7941"/>
  <c r="N319" i="7941"/>
  <c r="N237" i="7941"/>
  <c r="N241" i="7941"/>
  <c r="N324" i="7941"/>
  <c r="N322" i="7941"/>
  <c r="N323" i="7941"/>
  <c r="N304" i="7941"/>
  <c r="N247" i="7941"/>
  <c r="N236" i="7941"/>
  <c r="N252" i="7941"/>
  <c r="N235" i="7941"/>
  <c r="N297" i="7941"/>
  <c r="N310" i="7941"/>
  <c r="N317" i="7941"/>
  <c r="N250" i="7941"/>
  <c r="N239" i="7941"/>
  <c r="N314" i="7941"/>
  <c r="N305" i="7941"/>
  <c r="N260" i="7941"/>
  <c r="N298" i="7941"/>
  <c r="N299" i="7941"/>
  <c r="N312" i="7941"/>
  <c r="N316" i="7941"/>
  <c r="N313" i="7941"/>
  <c r="N255" i="7941"/>
  <c r="N308" i="7941"/>
  <c r="N259" i="7941"/>
  <c r="N242" i="7941"/>
  <c r="N232" i="7941"/>
  <c r="N248" i="7941"/>
  <c r="N256" i="7941"/>
  <c r="N321" i="7941"/>
  <c r="N249" i="7941"/>
  <c r="N295" i="7941"/>
  <c r="N309" i="7941"/>
  <c r="N302" i="7941"/>
  <c r="N244" i="7941"/>
  <c r="N253" i="7941"/>
  <c r="N254" i="7941"/>
  <c r="N307" i="7941"/>
  <c r="N296" i="7941"/>
  <c r="N300" i="7941"/>
  <c r="N257" i="7941"/>
  <c r="N246" i="7941"/>
  <c r="N233" i="7941"/>
  <c r="N311" i="7941"/>
  <c r="N301" i="7941"/>
  <c r="N238" i="7941"/>
  <c r="N258" i="7941"/>
  <c r="N251" i="7941"/>
  <c r="N245" i="7941"/>
  <c r="N315" i="7941"/>
  <c r="N318" i="7941"/>
  <c r="N303" i="7941"/>
  <c r="N240" i="7941"/>
  <c r="M350" i="7941"/>
  <c r="M279" i="7941"/>
  <c r="M338" i="7941"/>
  <c r="M275" i="7941"/>
  <c r="M335" i="7941"/>
  <c r="Q12" i="7944"/>
  <c r="P223" i="7941"/>
  <c r="P365" i="7944"/>
  <c r="Q21" i="7944"/>
  <c r="P31" i="7941"/>
  <c r="P12" i="7941"/>
  <c r="P17" i="7941"/>
  <c r="Q461" i="18"/>
  <c r="Q689" i="18"/>
  <c r="P201" i="7941"/>
  <c r="Q439" i="18"/>
  <c r="Q667" i="18"/>
  <c r="Q9" i="7944"/>
  <c r="P202" i="7941"/>
  <c r="Q457" i="18"/>
  <c r="Q685" i="18"/>
  <c r="P99" i="7944"/>
  <c r="Q446" i="18"/>
  <c r="Q674" i="18"/>
  <c r="P219" i="7941"/>
  <c r="P225" i="18"/>
  <c r="P645" i="18"/>
  <c r="P515" i="18"/>
  <c r="P84" i="7941"/>
  <c r="P32" i="7941"/>
  <c r="P381" i="18"/>
  <c r="P657" i="18"/>
  <c r="P527" i="18"/>
  <c r="P96" i="7941"/>
  <c r="P134" i="18"/>
  <c r="P638" i="18"/>
  <c r="P508" i="18"/>
  <c r="P77" i="7941"/>
  <c r="P23" i="7941"/>
  <c r="P29" i="7941"/>
  <c r="P253" i="7944"/>
  <c r="Q24" i="7944"/>
  <c r="P26" i="7941"/>
  <c r="P19" i="7941"/>
  <c r="Q455" i="18"/>
  <c r="Q683" i="18"/>
  <c r="Q465" i="18"/>
  <c r="Q693" i="18"/>
  <c r="P224" i="7941"/>
  <c r="Q29" i="7944"/>
  <c r="P30" i="7941"/>
  <c r="P449" i="7944"/>
  <c r="Q32" i="7944"/>
  <c r="P290" i="18"/>
  <c r="P650" i="18"/>
  <c r="P520" i="18"/>
  <c r="P89" i="7941"/>
  <c r="Q37" i="7944"/>
  <c r="Q452" i="18"/>
  <c r="Q680" i="18"/>
  <c r="P160" i="18"/>
  <c r="P640" i="18"/>
  <c r="P510" i="18"/>
  <c r="P79" i="7941"/>
  <c r="Q20" i="7944"/>
  <c r="Q459" i="18"/>
  <c r="Q687" i="18"/>
  <c r="P211" i="7944"/>
  <c r="Q14" i="7944"/>
  <c r="P225" i="7941"/>
  <c r="P9" i="7941"/>
  <c r="Q462" i="18"/>
  <c r="Q690" i="18"/>
  <c r="Q36" i="7944"/>
  <c r="P85" i="7944"/>
  <c r="P264" i="18"/>
  <c r="P648" i="18"/>
  <c r="P518" i="18"/>
  <c r="P87" i="7941"/>
  <c r="Q28" i="7944"/>
  <c r="P206" i="7941"/>
  <c r="P25" i="7941"/>
  <c r="Q447" i="18"/>
  <c r="Q675" i="18"/>
  <c r="P342" i="18"/>
  <c r="P654" i="18"/>
  <c r="P524" i="18"/>
  <c r="P93" i="7941"/>
  <c r="P207" i="7941"/>
  <c r="Q31" i="7944"/>
  <c r="Q26" i="7944"/>
  <c r="P435" i="7944"/>
  <c r="P251" i="18"/>
  <c r="P647" i="18"/>
  <c r="P517" i="18"/>
  <c r="P86" i="7941"/>
  <c r="P56" i="18"/>
  <c r="P113" i="7944"/>
  <c r="P24" i="7941"/>
  <c r="P11" i="7941"/>
  <c r="P35" i="7941"/>
  <c r="Q444" i="18"/>
  <c r="Q672" i="18"/>
  <c r="P69" i="18"/>
  <c r="P633" i="18"/>
  <c r="P503" i="18"/>
  <c r="P72" i="7941"/>
  <c r="P309" i="7944"/>
  <c r="P329" i="18"/>
  <c r="P653" i="18"/>
  <c r="P523" i="18"/>
  <c r="P92" i="7941"/>
  <c r="Q440" i="18"/>
  <c r="Q668" i="18"/>
  <c r="P36" i="7941"/>
  <c r="Q443" i="18"/>
  <c r="Q671" i="18"/>
  <c r="P277" i="18"/>
  <c r="P649" i="18"/>
  <c r="P519" i="18"/>
  <c r="P88" i="7941"/>
  <c r="Q458" i="18"/>
  <c r="Q686" i="18"/>
  <c r="P220" i="7941"/>
  <c r="P394" i="18"/>
  <c r="P658" i="18"/>
  <c r="P528" i="18"/>
  <c r="P97" i="7941"/>
  <c r="P316" i="18"/>
  <c r="P652" i="18"/>
  <c r="P522" i="18"/>
  <c r="P91" i="7941"/>
  <c r="Q19" i="7944"/>
  <c r="Q441" i="18"/>
  <c r="Q669" i="18"/>
  <c r="P199" i="7941"/>
  <c r="Q442" i="18"/>
  <c r="Q670" i="18"/>
  <c r="P216" i="7941"/>
  <c r="P15" i="7941"/>
  <c r="Q451" i="18"/>
  <c r="Q679" i="18"/>
  <c r="Q445" i="18"/>
  <c r="Q673" i="18"/>
  <c r="P10" i="7941"/>
  <c r="P212" i="7941"/>
  <c r="Q16" i="7944"/>
  <c r="Q27" i="7944"/>
  <c r="P477" i="7944"/>
  <c r="Q13" i="7944"/>
  <c r="P355" i="18"/>
  <c r="P655" i="18"/>
  <c r="P525" i="18"/>
  <c r="P94" i="7941"/>
  <c r="P215" i="7941"/>
  <c r="Q448" i="18"/>
  <c r="Q676" i="18"/>
  <c r="Q449" i="18"/>
  <c r="Q677" i="18"/>
  <c r="P210" i="7941"/>
  <c r="P323" i="7944"/>
  <c r="Q34" i="7944"/>
  <c r="P13" i="7941"/>
  <c r="P281" i="7944"/>
  <c r="Q17" i="7944"/>
  <c r="P28" i="7941"/>
  <c r="P22" i="7941"/>
  <c r="P95" i="18"/>
  <c r="P635" i="18"/>
  <c r="P505" i="18"/>
  <c r="P74" i="7941"/>
  <c r="P211" i="7941"/>
  <c r="P34" i="7941"/>
  <c r="Q450" i="18"/>
  <c r="Q678" i="18"/>
  <c r="P199" i="18"/>
  <c r="P643" i="18"/>
  <c r="P513" i="18"/>
  <c r="P82" i="7941"/>
  <c r="P27" i="7941"/>
  <c r="Q464" i="18"/>
  <c r="Q692" i="18"/>
  <c r="P183" i="7944"/>
  <c r="P18" i="7941"/>
  <c r="P205" i="7941"/>
  <c r="P218" i="7941"/>
  <c r="P217" i="7941"/>
  <c r="P200" i="7941"/>
  <c r="P208" i="7941"/>
  <c r="P491" i="7944"/>
  <c r="P173" i="18"/>
  <c r="P641" i="18"/>
  <c r="P511" i="18"/>
  <c r="P80" i="7941"/>
  <c r="P433" i="18"/>
  <c r="P661" i="18"/>
  <c r="P531" i="18"/>
  <c r="P100" i="7941"/>
  <c r="P186" i="18"/>
  <c r="P642" i="18"/>
  <c r="P512" i="18"/>
  <c r="P81" i="7941"/>
  <c r="Q466" i="18"/>
  <c r="Q694" i="18"/>
  <c r="P351" i="7944"/>
  <c r="P127" i="7944"/>
  <c r="P21" i="7941"/>
  <c r="P228" i="7941"/>
  <c r="P169" i="7944"/>
  <c r="Q33" i="7944"/>
  <c r="P393" i="7944"/>
  <c r="Q453" i="18"/>
  <c r="Q681" i="18"/>
  <c r="Q454" i="18"/>
  <c r="Q682" i="18"/>
  <c r="P108" i="18"/>
  <c r="P636" i="18"/>
  <c r="P506" i="18"/>
  <c r="P75" i="7941"/>
  <c r="P8" i="7941"/>
  <c r="Q18" i="7944"/>
  <c r="P82" i="18"/>
  <c r="P634" i="18"/>
  <c r="P504" i="18"/>
  <c r="P73" i="7941"/>
  <c r="P222" i="7941"/>
  <c r="P155" i="7944"/>
  <c r="Q22" i="7944"/>
  <c r="Q456" i="18"/>
  <c r="Q684" i="18"/>
  <c r="P368" i="18"/>
  <c r="P656" i="18"/>
  <c r="P526" i="18"/>
  <c r="P95" i="7941"/>
  <c r="P213" i="7941"/>
  <c r="P463" i="7944"/>
  <c r="P121" i="18"/>
  <c r="P637" i="18"/>
  <c r="P507" i="18"/>
  <c r="P76" i="7941"/>
  <c r="P226" i="7941"/>
  <c r="P203" i="7941"/>
  <c r="Q467" i="18"/>
  <c r="Q695" i="18"/>
  <c r="P7" i="7941"/>
  <c r="Q460" i="18"/>
  <c r="Q688" i="18"/>
  <c r="Q8" i="7944"/>
  <c r="P14" i="7941"/>
  <c r="P239" i="7944"/>
  <c r="P303" i="18"/>
  <c r="P651" i="18"/>
  <c r="P521" i="18"/>
  <c r="P90" i="7941"/>
  <c r="P209" i="7941"/>
  <c r="P16" i="7941"/>
  <c r="P141" i="7944"/>
  <c r="P214" i="7941"/>
  <c r="P337" i="7944"/>
  <c r="P204" i="7941"/>
  <c r="P212" i="18"/>
  <c r="P644" i="18"/>
  <c r="P514" i="18"/>
  <c r="P83" i="7941"/>
  <c r="Q30" i="7944"/>
  <c r="P295" i="7944"/>
  <c r="P147" i="18"/>
  <c r="P639" i="18"/>
  <c r="P509" i="18"/>
  <c r="P78" i="7941"/>
  <c r="P227" i="7941"/>
  <c r="Q463" i="18"/>
  <c r="Q691" i="18"/>
  <c r="P20" i="7941"/>
  <c r="P197" i="7944"/>
  <c r="P407" i="18"/>
  <c r="P659" i="18"/>
  <c r="P529" i="18"/>
  <c r="P98" i="7941"/>
  <c r="P33" i="7941"/>
  <c r="Q35" i="7944"/>
  <c r="P238" i="18"/>
  <c r="P646" i="18"/>
  <c r="P516" i="18"/>
  <c r="P85" i="7941"/>
  <c r="P225" i="7944"/>
  <c r="P420" i="18"/>
  <c r="P660" i="18"/>
  <c r="P530" i="18"/>
  <c r="P99" i="7941"/>
  <c r="Q15" i="7944"/>
  <c r="Q23" i="7944"/>
  <c r="P421" i="7944"/>
  <c r="Q11" i="7944"/>
  <c r="Q10" i="7944"/>
  <c r="P379" i="7944"/>
  <c r="P221" i="7941"/>
  <c r="Q438" i="18"/>
  <c r="P267" i="7944"/>
  <c r="P407" i="7944"/>
  <c r="Q25" i="7944"/>
  <c r="O39" i="7941"/>
  <c r="O38" i="7941"/>
  <c r="O469" i="18"/>
  <c r="O6" i="7941"/>
  <c r="Q12" i="18"/>
  <c r="Q173" i="1"/>
  <c r="Q480" i="18"/>
  <c r="Q49" i="7941"/>
  <c r="M230" i="7941"/>
  <c r="Q483" i="18"/>
  <c r="Q52" i="7941"/>
  <c r="Q497" i="18"/>
  <c r="Q66" i="7941"/>
  <c r="Q495" i="18"/>
  <c r="Q64" i="7941"/>
  <c r="Q496" i="18"/>
  <c r="Q65" i="7941"/>
  <c r="Q488" i="18"/>
  <c r="Q57" i="7941"/>
  <c r="Q499" i="18"/>
  <c r="Q68" i="7941"/>
  <c r="Q479" i="18"/>
  <c r="Q48" i="7941"/>
  <c r="Q493" i="18"/>
  <c r="Q62" i="7941"/>
  <c r="M294" i="7941"/>
  <c r="P666" i="18"/>
  <c r="P665" i="18"/>
  <c r="P437" i="18"/>
  <c r="N631" i="18"/>
  <c r="M459" i="18"/>
  <c r="M687" i="18"/>
  <c r="M523" i="18"/>
  <c r="M92" i="7941"/>
  <c r="M466" i="18"/>
  <c r="M694" i="18"/>
  <c r="M530" i="18"/>
  <c r="M99" i="7941"/>
  <c r="H207" i="7946"/>
  <c r="J437" i="18"/>
  <c r="H255" i="7946"/>
  <c r="H191" i="7946"/>
  <c r="H167" i="7946"/>
  <c r="H223" i="7946"/>
  <c r="G10" i="7946"/>
  <c r="G143" i="7946"/>
  <c r="H183" i="7946"/>
  <c r="K202" i="7941"/>
  <c r="I70" i="7941"/>
  <c r="I199" i="7941"/>
  <c r="I198" i="7941"/>
  <c r="H215" i="7946"/>
  <c r="K203" i="7941"/>
  <c r="H231" i="7946"/>
  <c r="H239" i="7946"/>
  <c r="H199" i="7946"/>
  <c r="H175" i="7946"/>
  <c r="I242" i="7946"/>
  <c r="G33" i="7946"/>
  <c r="G89" i="7946"/>
  <c r="H246" i="7946"/>
  <c r="G9" i="7946"/>
  <c r="G17" i="7946"/>
  <c r="G73" i="7946"/>
  <c r="G142" i="7946"/>
  <c r="G105" i="7946"/>
  <c r="M157" i="7942"/>
  <c r="M287" i="7941"/>
  <c r="O114" i="7942"/>
  <c r="N115" i="7942"/>
  <c r="K207" i="7941"/>
  <c r="M167" i="7942"/>
  <c r="M292" i="7941"/>
  <c r="O291" i="7942"/>
  <c r="O315" i="7942"/>
  <c r="N316" i="7942"/>
  <c r="K210" i="7941"/>
  <c r="O146" i="7942"/>
  <c r="P146" i="7942"/>
  <c r="O112" i="7942"/>
  <c r="M461" i="18"/>
  <c r="M689" i="18"/>
  <c r="M525" i="18"/>
  <c r="M94" i="7941"/>
  <c r="O138" i="7942"/>
  <c r="P138" i="7942"/>
  <c r="O139" i="7942"/>
  <c r="P291" i="7942"/>
  <c r="O292" i="7942"/>
  <c r="K228" i="7941"/>
  <c r="O160" i="7942"/>
  <c r="P160" i="7942"/>
  <c r="O285" i="7942"/>
  <c r="P271" i="7942"/>
  <c r="O272" i="7942"/>
  <c r="O132" i="7942"/>
  <c r="P132" i="7942"/>
  <c r="O133" i="7942"/>
  <c r="N157" i="7942"/>
  <c r="N287" i="7941"/>
  <c r="P156" i="7942"/>
  <c r="O157" i="7942"/>
  <c r="K218" i="7941"/>
  <c r="M454" i="18"/>
  <c r="M682" i="18"/>
  <c r="M518" i="18"/>
  <c r="M87" i="7941"/>
  <c r="M280" i="7942"/>
  <c r="M332" i="7941"/>
  <c r="M364" i="7941"/>
  <c r="O279" i="7942"/>
  <c r="O319" i="7942"/>
  <c r="N320" i="7942"/>
  <c r="N352" i="7941"/>
  <c r="M107" i="7942"/>
  <c r="L168" i="7942"/>
  <c r="O116" i="7942"/>
  <c r="N117" i="7942"/>
  <c r="O110" i="7942"/>
  <c r="P110" i="7942"/>
  <c r="O111" i="7942"/>
  <c r="N313" i="7942"/>
  <c r="M314" i="7942"/>
  <c r="M349" i="7941"/>
  <c r="M381" i="7941"/>
  <c r="K223" i="7941"/>
  <c r="M270" i="7942"/>
  <c r="M327" i="7941"/>
  <c r="O269" i="7942"/>
  <c r="P140" i="7942"/>
  <c r="O141" i="7942"/>
  <c r="N120" i="7942"/>
  <c r="M121" i="7942"/>
  <c r="M269" i="7941"/>
  <c r="P315" i="7942"/>
  <c r="O316" i="7942"/>
  <c r="K213" i="7941"/>
  <c r="M366" i="7941"/>
  <c r="M290" i="7942"/>
  <c r="M337" i="7941"/>
  <c r="O289" i="7942"/>
  <c r="N290" i="7942"/>
  <c r="M125" i="7942"/>
  <c r="M271" i="7941"/>
  <c r="M367" i="7941"/>
  <c r="O124" i="7942"/>
  <c r="N125" i="7942"/>
  <c r="N271" i="7941"/>
  <c r="M163" i="7942"/>
  <c r="M290" i="7941"/>
  <c r="O162" i="7942"/>
  <c r="N163" i="7942"/>
  <c r="N290" i="7941"/>
  <c r="M298" i="7942"/>
  <c r="M341" i="7941"/>
  <c r="O297" i="7942"/>
  <c r="N298" i="7942"/>
  <c r="N341" i="7941"/>
  <c r="G112" i="7946"/>
  <c r="G114" i="7946"/>
  <c r="K212" i="7941"/>
  <c r="M276" i="7942"/>
  <c r="M330" i="7941"/>
  <c r="M362" i="7941"/>
  <c r="O275" i="7942"/>
  <c r="N276" i="7942"/>
  <c r="N330" i="7941"/>
  <c r="M326" i="7942"/>
  <c r="M355" i="7941"/>
  <c r="M387" i="7941"/>
  <c r="H157" i="7946"/>
  <c r="H159" i="7946"/>
  <c r="N307" i="7942"/>
  <c r="M308" i="7942"/>
  <c r="M346" i="7941"/>
  <c r="M378" i="7941"/>
  <c r="H13" i="7946"/>
  <c r="M268" i="7942"/>
  <c r="L329" i="7942"/>
  <c r="O164" i="7942"/>
  <c r="P164" i="7942"/>
  <c r="O165" i="7942"/>
  <c r="O321" i="7942"/>
  <c r="N322" i="7942"/>
  <c r="N353" i="7941"/>
  <c r="N287" i="7942"/>
  <c r="M288" i="7942"/>
  <c r="M336" i="7941"/>
  <c r="M368" i="7941"/>
  <c r="G66" i="7946"/>
  <c r="N150" i="7942"/>
  <c r="O150" i="7942"/>
  <c r="N281" i="7942"/>
  <c r="M282" i="7942"/>
  <c r="M333" i="7941"/>
  <c r="N303" i="7942"/>
  <c r="O303" i="7942"/>
  <c r="N304" i="7942"/>
  <c r="N344" i="7941"/>
  <c r="N309" i="7942"/>
  <c r="M310" i="7942"/>
  <c r="M347" i="7941"/>
  <c r="M300" i="7942"/>
  <c r="M342" i="7941"/>
  <c r="P299" i="7942"/>
  <c r="G98" i="7946"/>
  <c r="O136" i="7942"/>
  <c r="M137" i="7942"/>
  <c r="M277" i="7941"/>
  <c r="G82" i="7946"/>
  <c r="K217" i="7941"/>
  <c r="O325" i="7942"/>
  <c r="N326" i="7942"/>
  <c r="N355" i="7941"/>
  <c r="K221" i="7941"/>
  <c r="O152" i="7942"/>
  <c r="N153" i="7942"/>
  <c r="N292" i="7942"/>
  <c r="N338" i="7941"/>
  <c r="Q291" i="7942"/>
  <c r="N301" i="7942"/>
  <c r="O295" i="7942"/>
  <c r="P116" i="7942"/>
  <c r="G58" i="7946"/>
  <c r="O126" i="7942"/>
  <c r="P126" i="7942"/>
  <c r="O127" i="7942"/>
  <c r="K219" i="7941"/>
  <c r="N148" i="7942"/>
  <c r="O148" i="7942"/>
  <c r="N149" i="7942"/>
  <c r="N283" i="7941"/>
  <c r="O122" i="7942"/>
  <c r="N277" i="7942"/>
  <c r="N154" i="7942"/>
  <c r="N134" i="7942"/>
  <c r="O130" i="7942"/>
  <c r="P130" i="7942"/>
  <c r="O131" i="7942"/>
  <c r="G42" i="7946"/>
  <c r="N323" i="7942"/>
  <c r="Q166" i="7942"/>
  <c r="Q167" i="7942"/>
  <c r="Q292" i="7941"/>
  <c r="O283" i="7942"/>
  <c r="N284" i="7942"/>
  <c r="N144" i="7942"/>
  <c r="Q132" i="7942"/>
  <c r="N305" i="7942"/>
  <c r="G50" i="7946"/>
  <c r="P323" i="18"/>
  <c r="Q323" i="18"/>
  <c r="O293" i="7942"/>
  <c r="N294" i="7942"/>
  <c r="N339" i="7941"/>
  <c r="N158" i="7942"/>
  <c r="G130" i="7946"/>
  <c r="G122" i="7946"/>
  <c r="N161" i="7942"/>
  <c r="N289" i="7941"/>
  <c r="G26" i="7946"/>
  <c r="G24" i="7946"/>
  <c r="O142" i="7942"/>
  <c r="N143" i="7942"/>
  <c r="N280" i="7941"/>
  <c r="N327" i="7942"/>
  <c r="M371" i="7941"/>
  <c r="M369" i="7941"/>
  <c r="M360" i="7941"/>
  <c r="H149" i="7946"/>
  <c r="H151" i="7946"/>
  <c r="M109" i="7942"/>
  <c r="M263" i="7941"/>
  <c r="M359" i="7941"/>
  <c r="O108" i="7942"/>
  <c r="P167" i="7942"/>
  <c r="N147" i="7942"/>
  <c r="N282" i="7941"/>
  <c r="Q156" i="7942"/>
  <c r="N113" i="7942"/>
  <c r="N265" i="7941"/>
  <c r="P112" i="7942"/>
  <c r="O113" i="7942"/>
  <c r="P118" i="7942"/>
  <c r="N286" i="7942"/>
  <c r="N335" i="7941"/>
  <c r="Q274" i="7942"/>
  <c r="Q329" i="7941"/>
  <c r="P274" i="7942"/>
  <c r="N312" i="7942"/>
  <c r="N348" i="7941"/>
  <c r="P311" i="7942"/>
  <c r="O312" i="7942"/>
  <c r="P317" i="7942"/>
  <c r="O318" i="7942"/>
  <c r="H263" i="7946"/>
  <c r="P285" i="7942"/>
  <c r="N139" i="7942"/>
  <c r="N278" i="7941"/>
  <c r="P128" i="7942"/>
  <c r="O129" i="7942"/>
  <c r="Q271" i="7942"/>
  <c r="M385" i="7941"/>
  <c r="M361" i="7941"/>
  <c r="M370" i="7941"/>
  <c r="M383" i="7941"/>
  <c r="M374" i="7941"/>
  <c r="N294" i="7941"/>
  <c r="O502" i="18"/>
  <c r="O631" i="18"/>
  <c r="N292" i="7941"/>
  <c r="O324" i="7941"/>
  <c r="O309" i="7941"/>
  <c r="O299" i="7941"/>
  <c r="O237" i="7941"/>
  <c r="O297" i="7941"/>
  <c r="O320" i="7941"/>
  <c r="O315" i="7941"/>
  <c r="O249" i="7941"/>
  <c r="O307" i="7941"/>
  <c r="O234" i="7941"/>
  <c r="O254" i="7941"/>
  <c r="O251" i="7941"/>
  <c r="O246" i="7941"/>
  <c r="O300" i="7941"/>
  <c r="O313" i="7941"/>
  <c r="O322" i="7941"/>
  <c r="O238" i="7941"/>
  <c r="O253" i="7941"/>
  <c r="O317" i="7941"/>
  <c r="O316" i="7941"/>
  <c r="O242" i="7941"/>
  <c r="O312" i="7941"/>
  <c r="O319" i="7941"/>
  <c r="O311" i="7941"/>
  <c r="O301" i="7941"/>
  <c r="O308" i="7941"/>
  <c r="O323" i="7941"/>
  <c r="O258" i="7941"/>
  <c r="O303" i="7941"/>
  <c r="O260" i="7941"/>
  <c r="N329" i="7941"/>
  <c r="N268" i="7941"/>
  <c r="O239" i="7941"/>
  <c r="O302" i="7941"/>
  <c r="O236" i="7941"/>
  <c r="O235" i="7941"/>
  <c r="O256" i="7941"/>
  <c r="O241" i="7941"/>
  <c r="O255" i="7941"/>
  <c r="O306" i="7941"/>
  <c r="O245" i="7941"/>
  <c r="O305" i="7941"/>
  <c r="O314" i="7941"/>
  <c r="O244" i="7941"/>
  <c r="O240" i="7941"/>
  <c r="O232" i="7941"/>
  <c r="O252" i="7941"/>
  <c r="O259" i="7941"/>
  <c r="O250" i="7941"/>
  <c r="O247" i="7941"/>
  <c r="O295" i="7941"/>
  <c r="O321" i="7941"/>
  <c r="O304" i="7941"/>
  <c r="O248" i="7941"/>
  <c r="O243" i="7941"/>
  <c r="O231" i="7941"/>
  <c r="O257" i="7941"/>
  <c r="O233" i="7941"/>
  <c r="O310" i="7941"/>
  <c r="O318" i="7941"/>
  <c r="O296" i="7941"/>
  <c r="O298" i="7941"/>
  <c r="N273" i="7941"/>
  <c r="N342" i="7941"/>
  <c r="N350" i="7941"/>
  <c r="N285" i="7941"/>
  <c r="N266" i="7941"/>
  <c r="N334" i="7941"/>
  <c r="N337" i="7941"/>
  <c r="N279" i="7941"/>
  <c r="N267" i="7941"/>
  <c r="N328" i="7941"/>
  <c r="N351" i="7941"/>
  <c r="P632" i="18"/>
  <c r="P43" i="18"/>
  <c r="N230" i="7941"/>
  <c r="Q199" i="18"/>
  <c r="Q643" i="18"/>
  <c r="Q513" i="18"/>
  <c r="Q82" i="7941"/>
  <c r="Q108" i="18"/>
  <c r="Q636" i="18"/>
  <c r="Q506" i="18"/>
  <c r="Q75" i="7941"/>
  <c r="R457" i="18"/>
  <c r="R455" i="18"/>
  <c r="Q277" i="18"/>
  <c r="Q649" i="18"/>
  <c r="Q519" i="18"/>
  <c r="Q88" i="7941"/>
  <c r="Q393" i="7944"/>
  <c r="Q227" i="7941"/>
  <c r="R32" i="7944"/>
  <c r="Q34" i="7941"/>
  <c r="Q36" i="7941"/>
  <c r="Q433" i="18"/>
  <c r="Q661" i="18"/>
  <c r="Q531" i="18"/>
  <c r="Q100" i="7941"/>
  <c r="R18" i="7944"/>
  <c r="Q7" i="7941"/>
  <c r="Q121" i="18"/>
  <c r="Q637" i="18"/>
  <c r="Q507" i="18"/>
  <c r="Q76" i="7941"/>
  <c r="R25" i="7944"/>
  <c r="Q211" i="7944"/>
  <c r="R449" i="18"/>
  <c r="R28" i="7944"/>
  <c r="Q226" i="7941"/>
  <c r="Q155" i="7944"/>
  <c r="R458" i="18"/>
  <c r="Q213" i="7941"/>
  <c r="R13" i="7944"/>
  <c r="Q449" i="7944"/>
  <c r="R438" i="18"/>
  <c r="Q16" i="7941"/>
  <c r="Q29" i="7941"/>
  <c r="R442" i="18"/>
  <c r="Q267" i="7944"/>
  <c r="R463" i="18"/>
  <c r="Q207" i="7941"/>
  <c r="Q147" i="18"/>
  <c r="Q639" i="18"/>
  <c r="Q509" i="18"/>
  <c r="Q78" i="7941"/>
  <c r="R452" i="18"/>
  <c r="R31" i="7944"/>
  <c r="Q19" i="7941"/>
  <c r="Q228" i="7941"/>
  <c r="R446" i="18"/>
  <c r="Q212" i="18"/>
  <c r="Q644" i="18"/>
  <c r="Q514" i="18"/>
  <c r="Q83" i="7941"/>
  <c r="R451" i="18"/>
  <c r="Q477" i="7944"/>
  <c r="Q13" i="7941"/>
  <c r="Q253" i="7944"/>
  <c r="Q435" i="7944"/>
  <c r="Q197" i="7944"/>
  <c r="Q264" i="18"/>
  <c r="Q648" i="18"/>
  <c r="Q518" i="18"/>
  <c r="Q87" i="7941"/>
  <c r="R36" i="7944"/>
  <c r="R12" i="7944"/>
  <c r="R440" i="18"/>
  <c r="R448" i="18"/>
  <c r="Q25" i="7941"/>
  <c r="R34" i="7944"/>
  <c r="Q32" i="7941"/>
  <c r="R17" i="7944"/>
  <c r="Q31" i="7941"/>
  <c r="R22" i="7944"/>
  <c r="Q463" i="7944"/>
  <c r="Q337" i="7944"/>
  <c r="Q379" i="7944"/>
  <c r="Q223" i="7941"/>
  <c r="Q239" i="7944"/>
  <c r="Q9" i="7941"/>
  <c r="Q215" i="7941"/>
  <c r="Q10" i="7941"/>
  <c r="Q134" i="18"/>
  <c r="Q638" i="18"/>
  <c r="Q508" i="18"/>
  <c r="Q77" i="7941"/>
  <c r="Q225" i="7944"/>
  <c r="Q295" i="7944"/>
  <c r="Q20" i="7941"/>
  <c r="Q355" i="18"/>
  <c r="Q655" i="18"/>
  <c r="Q525" i="18"/>
  <c r="Q94" i="7941"/>
  <c r="R453" i="18"/>
  <c r="Q221" i="7941"/>
  <c r="Q160" i="18"/>
  <c r="Q640" i="18"/>
  <c r="Q510" i="18"/>
  <c r="Q79" i="7941"/>
  <c r="R29" i="7944"/>
  <c r="R20" i="7944"/>
  <c r="Q208" i="7941"/>
  <c r="R456" i="18"/>
  <c r="R35" i="7944"/>
  <c r="Q127" i="7944"/>
  <c r="Q303" i="18"/>
  <c r="Q651" i="18"/>
  <c r="Q521" i="18"/>
  <c r="Q90" i="7941"/>
  <c r="Q421" i="7944"/>
  <c r="Q394" i="18"/>
  <c r="Q658" i="18"/>
  <c r="Q528" i="18"/>
  <c r="Q97" i="7941"/>
  <c r="R465" i="18"/>
  <c r="Q238" i="18"/>
  <c r="Q646" i="18"/>
  <c r="Q516" i="18"/>
  <c r="Q85" i="7941"/>
  <c r="Q35" i="7941"/>
  <c r="R16" i="7944"/>
  <c r="Q33" i="7941"/>
  <c r="R466" i="18"/>
  <c r="R33" i="7944"/>
  <c r="Q202" i="7941"/>
  <c r="Q200" i="7941"/>
  <c r="R461" i="18"/>
  <c r="Q205" i="7941"/>
  <c r="R444" i="18"/>
  <c r="Q219" i="7941"/>
  <c r="Q222" i="7941"/>
  <c r="Q203" i="7941"/>
  <c r="R450" i="18"/>
  <c r="R454" i="18"/>
  <c r="Q407" i="7944"/>
  <c r="Q329" i="18"/>
  <c r="Q653" i="18"/>
  <c r="Q523" i="18"/>
  <c r="Q92" i="7941"/>
  <c r="Q113" i="7944"/>
  <c r="Q217" i="7941"/>
  <c r="R459" i="18"/>
  <c r="Q224" i="7941"/>
  <c r="Q18" i="7941"/>
  <c r="Q69" i="18"/>
  <c r="Q633" i="18"/>
  <c r="Q503" i="18"/>
  <c r="Q72" i="7941"/>
  <c r="Q381" i="18"/>
  <c r="Q657" i="18"/>
  <c r="Q527" i="18"/>
  <c r="Q96" i="7941"/>
  <c r="Q368" i="18"/>
  <c r="Q656" i="18"/>
  <c r="Q526" i="18"/>
  <c r="Q95" i="7941"/>
  <c r="Q210" i="7941"/>
  <c r="Q316" i="18"/>
  <c r="Q652" i="18"/>
  <c r="Q522" i="18"/>
  <c r="Q91" i="7941"/>
  <c r="R447" i="18"/>
  <c r="Q12" i="7941"/>
  <c r="R441" i="18"/>
  <c r="Q201" i="7941"/>
  <c r="R462" i="18"/>
  <c r="Q491" i="7944"/>
  <c r="Q14" i="7941"/>
  <c r="Q26" i="7941"/>
  <c r="R19" i="7944"/>
  <c r="Q351" i="7944"/>
  <c r="Q342" i="18"/>
  <c r="Q654" i="18"/>
  <c r="Q524" i="18"/>
  <c r="Q93" i="7941"/>
  <c r="Q309" i="7944"/>
  <c r="Q225" i="7941"/>
  <c r="R30" i="7944"/>
  <c r="R27" i="7944"/>
  <c r="Q225" i="18"/>
  <c r="Q645" i="18"/>
  <c r="Q515" i="18"/>
  <c r="Q84" i="7941"/>
  <c r="Q212" i="7941"/>
  <c r="Q82" i="18"/>
  <c r="Q634" i="18"/>
  <c r="Q504" i="18"/>
  <c r="Q73" i="7941"/>
  <c r="R21" i="7944"/>
  <c r="R445" i="18"/>
  <c r="R467" i="18"/>
  <c r="Q85" i="7944"/>
  <c r="Q218" i="7941"/>
  <c r="Q216" i="7941"/>
  <c r="Q290" i="18"/>
  <c r="Q650" i="18"/>
  <c r="Q520" i="18"/>
  <c r="Q89" i="7941"/>
  <c r="R37" i="7944"/>
  <c r="Q204" i="7941"/>
  <c r="Q214" i="7941"/>
  <c r="Q141" i="7944"/>
  <c r="R10" i="7944"/>
  <c r="Q220" i="7941"/>
  <c r="R15" i="7944"/>
  <c r="Q183" i="7944"/>
  <c r="Q22" i="7941"/>
  <c r="R443" i="18"/>
  <c r="Q365" i="7944"/>
  <c r="Q21" i="7941"/>
  <c r="Q281" i="7944"/>
  <c r="Q95" i="18"/>
  <c r="Q635" i="18"/>
  <c r="Q505" i="18"/>
  <c r="Q74" i="7941"/>
  <c r="Q206" i="7941"/>
  <c r="Q56" i="18"/>
  <c r="R23" i="7944"/>
  <c r="R24" i="7944"/>
  <c r="Q30" i="7941"/>
  <c r="Q173" i="18"/>
  <c r="Q641" i="18"/>
  <c r="Q511" i="18"/>
  <c r="Q80" i="7941"/>
  <c r="Q209" i="7941"/>
  <c r="R11" i="7944"/>
  <c r="Q8" i="7941"/>
  <c r="R26" i="7944"/>
  <c r="Q99" i="7944"/>
  <c r="R9" i="7944"/>
  <c r="Q420" i="18"/>
  <c r="Q660" i="18"/>
  <c r="Q530" i="18"/>
  <c r="Q99" i="7941"/>
  <c r="Q27" i="7941"/>
  <c r="Q23" i="7941"/>
  <c r="Q323" i="7944"/>
  <c r="Q17" i="7941"/>
  <c r="Q24" i="7941"/>
  <c r="Q28" i="7941"/>
  <c r="Q251" i="18"/>
  <c r="Q647" i="18"/>
  <c r="Q517" i="18"/>
  <c r="Q86" i="7941"/>
  <c r="Q211" i="7941"/>
  <c r="Q186" i="18"/>
  <c r="Q642" i="18"/>
  <c r="Q512" i="18"/>
  <c r="Q81" i="7941"/>
  <c r="R8" i="7944"/>
  <c r="R14" i="7944"/>
  <c r="R460" i="18"/>
  <c r="Q169" i="7944"/>
  <c r="Q15" i="7941"/>
  <c r="R464" i="18"/>
  <c r="Q199" i="7941"/>
  <c r="R439" i="18"/>
  <c r="Q11" i="7941"/>
  <c r="Q407" i="18"/>
  <c r="Q659" i="18"/>
  <c r="Q529" i="18"/>
  <c r="Q98" i="7941"/>
  <c r="R174" i="1"/>
  <c r="Q7" i="7944"/>
  <c r="P71" i="7944"/>
  <c r="Q666" i="18"/>
  <c r="Q665" i="18"/>
  <c r="Q437" i="18"/>
  <c r="P198" i="7941"/>
  <c r="Q470" i="18"/>
  <c r="Q11" i="18"/>
  <c r="P6" i="7941"/>
  <c r="P469" i="18"/>
  <c r="P39" i="7941"/>
  <c r="P38" i="7941"/>
  <c r="M441" i="18"/>
  <c r="M669" i="18"/>
  <c r="M505" i="18"/>
  <c r="M74" i="7941"/>
  <c r="M453" i="18"/>
  <c r="M681" i="18"/>
  <c r="M517" i="18"/>
  <c r="M86" i="7941"/>
  <c r="I170" i="7946"/>
  <c r="I175" i="7946"/>
  <c r="I162" i="7946"/>
  <c r="I167" i="7946"/>
  <c r="I234" i="7946"/>
  <c r="I239" i="7946"/>
  <c r="I210" i="7946"/>
  <c r="I215" i="7946"/>
  <c r="I178" i="7946"/>
  <c r="I183" i="7946"/>
  <c r="I202" i="7946"/>
  <c r="I207" i="7946"/>
  <c r="I218" i="7946"/>
  <c r="I223" i="7946"/>
  <c r="I186" i="7946"/>
  <c r="I191" i="7946"/>
  <c r="J665" i="18"/>
  <c r="I194" i="7946"/>
  <c r="I199" i="7946"/>
  <c r="I226" i="7946"/>
  <c r="I231" i="7946"/>
  <c r="J6" i="7941"/>
  <c r="M445" i="18"/>
  <c r="M673" i="18"/>
  <c r="M509" i="18"/>
  <c r="M78" i="7941"/>
  <c r="M446" i="18"/>
  <c r="M674" i="18"/>
  <c r="M510" i="18"/>
  <c r="M79" i="7941"/>
  <c r="M447" i="18"/>
  <c r="M675" i="18"/>
  <c r="M511" i="18"/>
  <c r="M80" i="7941"/>
  <c r="I250" i="7946"/>
  <c r="I255" i="7946"/>
  <c r="S18" i="7946"/>
  <c r="I247" i="7946"/>
  <c r="G121" i="7946"/>
  <c r="G49" i="7946"/>
  <c r="G81" i="7946"/>
  <c r="G129" i="7946"/>
  <c r="G57" i="7946"/>
  <c r="H150" i="7946"/>
  <c r="G97" i="7946"/>
  <c r="G25" i="7946"/>
  <c r="G65" i="7946"/>
  <c r="H158" i="7946"/>
  <c r="G113" i="7946"/>
  <c r="G41" i="7946"/>
  <c r="P321" i="7942"/>
  <c r="O322" i="7942"/>
  <c r="P319" i="7942"/>
  <c r="O320" i="7942"/>
  <c r="N133" i="7942"/>
  <c r="N275" i="7941"/>
  <c r="P114" i="7942"/>
  <c r="O115" i="7942"/>
  <c r="M464" i="18"/>
  <c r="M692" i="18"/>
  <c r="M528" i="18"/>
  <c r="M97" i="7941"/>
  <c r="P289" i="7942"/>
  <c r="O290" i="7942"/>
  <c r="O281" i="7942"/>
  <c r="N282" i="7942"/>
  <c r="N333" i="7941"/>
  <c r="P124" i="7942"/>
  <c r="O125" i="7942"/>
  <c r="N367" i="7941"/>
  <c r="P275" i="7942"/>
  <c r="O276" i="7942"/>
  <c r="Q140" i="7942"/>
  <c r="P141" i="7942"/>
  <c r="Q114" i="7942"/>
  <c r="M462" i="18"/>
  <c r="M690" i="18"/>
  <c r="M526" i="18"/>
  <c r="M95" i="7941"/>
  <c r="P162" i="7942"/>
  <c r="O163" i="7942"/>
  <c r="N280" i="7942"/>
  <c r="N332" i="7941"/>
  <c r="P279" i="7942"/>
  <c r="O287" i="7942"/>
  <c r="N288" i="7942"/>
  <c r="N336" i="7941"/>
  <c r="M457" i="18"/>
  <c r="M685" i="18"/>
  <c r="M521" i="18"/>
  <c r="M90" i="7941"/>
  <c r="M373" i="7941"/>
  <c r="N374" i="7941"/>
  <c r="M440" i="18"/>
  <c r="M668" i="18"/>
  <c r="M504" i="18"/>
  <c r="M73" i="7941"/>
  <c r="O307" i="7942"/>
  <c r="N308" i="7942"/>
  <c r="N346" i="7941"/>
  <c r="N378" i="7941"/>
  <c r="Q141" i="7942"/>
  <c r="Q279" i="7941"/>
  <c r="O120" i="7942"/>
  <c r="N121" i="7942"/>
  <c r="N269" i="7941"/>
  <c r="N361" i="7941"/>
  <c r="N107" i="7942"/>
  <c r="M168" i="7942"/>
  <c r="O309" i="7942"/>
  <c r="N310" i="7942"/>
  <c r="N347" i="7941"/>
  <c r="N379" i="7941"/>
  <c r="P303" i="7942"/>
  <c r="O304" i="7942"/>
  <c r="N111" i="7942"/>
  <c r="N264" i="7941"/>
  <c r="Q124" i="7942"/>
  <c r="P125" i="7942"/>
  <c r="M365" i="7941"/>
  <c r="N270" i="7942"/>
  <c r="N327" i="7941"/>
  <c r="P269" i="7942"/>
  <c r="Q315" i="7942"/>
  <c r="O313" i="7942"/>
  <c r="L262" i="7941"/>
  <c r="M448" i="18"/>
  <c r="M676" i="18"/>
  <c r="M512" i="18"/>
  <c r="M81" i="7941"/>
  <c r="S7" i="7946"/>
  <c r="N151" i="7942"/>
  <c r="N284" i="7941"/>
  <c r="N380" i="7941"/>
  <c r="M159" i="7942"/>
  <c r="M288" i="7941"/>
  <c r="M384" i="7941"/>
  <c r="Q125" i="7942"/>
  <c r="Q271" i="7941"/>
  <c r="P142" i="7942"/>
  <c r="O143" i="7942"/>
  <c r="O280" i="7941"/>
  <c r="Q321" i="7942"/>
  <c r="M135" i="7942"/>
  <c r="M276" i="7941"/>
  <c r="M278" i="7942"/>
  <c r="M331" i="7941"/>
  <c r="N268" i="7942"/>
  <c r="M329" i="7942"/>
  <c r="O300" i="7942"/>
  <c r="O342" i="7941"/>
  <c r="Q299" i="7942"/>
  <c r="L326" i="7941"/>
  <c r="I154" i="7946"/>
  <c r="I159" i="7946"/>
  <c r="O134" i="7942"/>
  <c r="N135" i="7942"/>
  <c r="N276" i="7941"/>
  <c r="Q112" i="7942"/>
  <c r="P113" i="7942"/>
  <c r="O158" i="7942"/>
  <c r="N159" i="7942"/>
  <c r="N288" i="7941"/>
  <c r="N384" i="7941"/>
  <c r="H21" i="7946"/>
  <c r="Q160" i="7942"/>
  <c r="O161" i="7942"/>
  <c r="O289" i="7941"/>
  <c r="M145" i="7942"/>
  <c r="M281" i="7941"/>
  <c r="M324" i="7942"/>
  <c r="M354" i="7941"/>
  <c r="M386" i="7941"/>
  <c r="O323" i="7942"/>
  <c r="N324" i="7942"/>
  <c r="N354" i="7941"/>
  <c r="N386" i="7941"/>
  <c r="P293" i="7942"/>
  <c r="O294" i="7942"/>
  <c r="N123" i="7942"/>
  <c r="N270" i="7941"/>
  <c r="N366" i="7941"/>
  <c r="P281" i="7942"/>
  <c r="O282" i="7942"/>
  <c r="O333" i="7941"/>
  <c r="M302" i="7942"/>
  <c r="M343" i="7941"/>
  <c r="M375" i="7941"/>
  <c r="O301" i="7942"/>
  <c r="P283" i="7942"/>
  <c r="O284" i="7942"/>
  <c r="O334" i="7941"/>
  <c r="P292" i="7942"/>
  <c r="Q292" i="7942"/>
  <c r="Q338" i="7941"/>
  <c r="N165" i="7942"/>
  <c r="N291" i="7941"/>
  <c r="N387" i="7941"/>
  <c r="Q164" i="7942"/>
  <c r="H18" i="7946"/>
  <c r="H16" i="7946"/>
  <c r="O305" i="7942"/>
  <c r="N306" i="7942"/>
  <c r="N345" i="7941"/>
  <c r="O144" i="7942"/>
  <c r="Q162" i="7942"/>
  <c r="P152" i="7942"/>
  <c r="N376" i="7941"/>
  <c r="Q138" i="7942"/>
  <c r="Q139" i="7942"/>
  <c r="Q278" i="7941"/>
  <c r="Q311" i="7942"/>
  <c r="Q312" i="7942"/>
  <c r="Q348" i="7941"/>
  <c r="M328" i="7942"/>
  <c r="M356" i="7941"/>
  <c r="M388" i="7941"/>
  <c r="O327" i="7942"/>
  <c r="N328" i="7942"/>
  <c r="N356" i="7941"/>
  <c r="N388" i="7941"/>
  <c r="P133" i="7942"/>
  <c r="Q133" i="7942"/>
  <c r="Q275" i="7941"/>
  <c r="N127" i="7942"/>
  <c r="N272" i="7941"/>
  <c r="N368" i="7941"/>
  <c r="Q126" i="7942"/>
  <c r="O117" i="7942"/>
  <c r="O267" i="7941"/>
  <c r="Q116" i="7942"/>
  <c r="P136" i="7942"/>
  <c r="N137" i="7942"/>
  <c r="N277" i="7941"/>
  <c r="N373" i="7941"/>
  <c r="M304" i="7942"/>
  <c r="M344" i="7941"/>
  <c r="M376" i="7941"/>
  <c r="Q303" i="7942"/>
  <c r="K200" i="7941"/>
  <c r="Q319" i="7942"/>
  <c r="Q289" i="7942"/>
  <c r="M306" i="7942"/>
  <c r="M345" i="7941"/>
  <c r="N131" i="7942"/>
  <c r="N274" i="7941"/>
  <c r="N370" i="7941"/>
  <c r="Q130" i="7942"/>
  <c r="O154" i="7942"/>
  <c r="P154" i="7942"/>
  <c r="O155" i="7942"/>
  <c r="O286" i="7941"/>
  <c r="M155" i="7942"/>
  <c r="M286" i="7941"/>
  <c r="M382" i="7941"/>
  <c r="M149" i="7942"/>
  <c r="M283" i="7941"/>
  <c r="M379" i="7941"/>
  <c r="P295" i="7942"/>
  <c r="O296" i="7942"/>
  <c r="O340" i="7941"/>
  <c r="N296" i="7942"/>
  <c r="N340" i="7941"/>
  <c r="P122" i="7942"/>
  <c r="O123" i="7942"/>
  <c r="P148" i="7942"/>
  <c r="O149" i="7942"/>
  <c r="O283" i="7941"/>
  <c r="M151" i="7942"/>
  <c r="M284" i="7941"/>
  <c r="M380" i="7941"/>
  <c r="P150" i="7942"/>
  <c r="O151" i="7942"/>
  <c r="O284" i="7941"/>
  <c r="K204" i="7941"/>
  <c r="P325" i="7942"/>
  <c r="O326" i="7942"/>
  <c r="O277" i="7942"/>
  <c r="Q275" i="7942"/>
  <c r="H109" i="7946"/>
  <c r="P297" i="7942"/>
  <c r="Q110" i="7942"/>
  <c r="H74" i="7946"/>
  <c r="H34" i="7946"/>
  <c r="L32" i="7946"/>
  <c r="L33" i="7946"/>
  <c r="M31" i="7946"/>
  <c r="S6" i="7946"/>
  <c r="I146" i="7946"/>
  <c r="I151" i="7946"/>
  <c r="H106" i="7946"/>
  <c r="Q128" i="7942"/>
  <c r="P157" i="7942"/>
  <c r="Q157" i="7942"/>
  <c r="Q287" i="7941"/>
  <c r="P272" i="7942"/>
  <c r="Q272" i="7942"/>
  <c r="Q328" i="7941"/>
  <c r="P139" i="7942"/>
  <c r="O286" i="7942"/>
  <c r="O335" i="7941"/>
  <c r="Q317" i="7942"/>
  <c r="O119" i="7942"/>
  <c r="O268" i="7941"/>
  <c r="Q118" i="7942"/>
  <c r="O147" i="7942"/>
  <c r="Q146" i="7942"/>
  <c r="H90" i="7946"/>
  <c r="I258" i="7946"/>
  <c r="I263" i="7946"/>
  <c r="N109" i="7942"/>
  <c r="N263" i="7941"/>
  <c r="P108" i="7942"/>
  <c r="Q285" i="7942"/>
  <c r="N383" i="7941"/>
  <c r="Q198" i="7941"/>
  <c r="Q256" i="7941"/>
  <c r="N369" i="7941"/>
  <c r="N360" i="7941"/>
  <c r="R437" i="18"/>
  <c r="Q6" i="7941"/>
  <c r="N362" i="7941"/>
  <c r="O501" i="18"/>
  <c r="O71" i="7941"/>
  <c r="O70" i="7941"/>
  <c r="Q320" i="7941"/>
  <c r="O230" i="7941"/>
  <c r="O271" i="7941"/>
  <c r="P252" i="7941"/>
  <c r="P306" i="7941"/>
  <c r="O274" i="7941"/>
  <c r="P316" i="7941"/>
  <c r="P249" i="7941"/>
  <c r="P301" i="7941"/>
  <c r="P296" i="7941"/>
  <c r="O292" i="7941"/>
  <c r="P312" i="7941"/>
  <c r="P233" i="7941"/>
  <c r="O348" i="7941"/>
  <c r="P242" i="7941"/>
  <c r="P248" i="7941"/>
  <c r="P244" i="7941"/>
  <c r="P304" i="7941"/>
  <c r="P308" i="7941"/>
  <c r="P258" i="7941"/>
  <c r="P254" i="7941"/>
  <c r="P298" i="7941"/>
  <c r="O266" i="7941"/>
  <c r="P238" i="7941"/>
  <c r="P300" i="7941"/>
  <c r="P299" i="7941"/>
  <c r="O328" i="7941"/>
  <c r="P302" i="7941"/>
  <c r="P259" i="7941"/>
  <c r="P245" i="7941"/>
  <c r="P241" i="7941"/>
  <c r="P297" i="7941"/>
  <c r="P231" i="7941"/>
  <c r="O275" i="7941"/>
  <c r="O282" i="7941"/>
  <c r="P251" i="7941"/>
  <c r="P314" i="7941"/>
  <c r="P246" i="7941"/>
  <c r="P240" i="7941"/>
  <c r="P317" i="7941"/>
  <c r="O329" i="7941"/>
  <c r="O290" i="7941"/>
  <c r="P309" i="7941"/>
  <c r="P305" i="7941"/>
  <c r="O352" i="7941"/>
  <c r="P323" i="7941"/>
  <c r="P243" i="7941"/>
  <c r="O265" i="7941"/>
  <c r="P318" i="7941"/>
  <c r="P307" i="7941"/>
  <c r="P311" i="7941"/>
  <c r="P255" i="7941"/>
  <c r="P310" i="7941"/>
  <c r="P247" i="7941"/>
  <c r="P324" i="7941"/>
  <c r="P256" i="7941"/>
  <c r="P295" i="7941"/>
  <c r="P321" i="7941"/>
  <c r="P303" i="7941"/>
  <c r="P313" i="7941"/>
  <c r="O353" i="7941"/>
  <c r="P315" i="7941"/>
  <c r="O278" i="7941"/>
  <c r="P237" i="7941"/>
  <c r="P322" i="7941"/>
  <c r="P234" i="7941"/>
  <c r="P232" i="7941"/>
  <c r="P319" i="7941"/>
  <c r="P260" i="7941"/>
  <c r="P257" i="7941"/>
  <c r="P250" i="7941"/>
  <c r="P320" i="7941"/>
  <c r="P253" i="7941"/>
  <c r="P239" i="7941"/>
  <c r="P236" i="7941"/>
  <c r="P235" i="7941"/>
  <c r="O264" i="7941"/>
  <c r="O350" i="7941"/>
  <c r="O339" i="7941"/>
  <c r="O330" i="7941"/>
  <c r="O279" i="7941"/>
  <c r="O338" i="7941"/>
  <c r="O273" i="7941"/>
  <c r="O344" i="7941"/>
  <c r="O287" i="7941"/>
  <c r="O272" i="7941"/>
  <c r="O291" i="7941"/>
  <c r="O337" i="7941"/>
  <c r="O351" i="7941"/>
  <c r="O355" i="7941"/>
  <c r="Q71" i="7944"/>
  <c r="N364" i="7941"/>
  <c r="O294" i="7941"/>
  <c r="O270" i="7941"/>
  <c r="R7" i="7944"/>
  <c r="Q469" i="18"/>
  <c r="Q39" i="7941"/>
  <c r="Q38" i="7941"/>
  <c r="Q43" i="18"/>
  <c r="Q632" i="18"/>
  <c r="P502" i="18"/>
  <c r="P631" i="18"/>
  <c r="N385" i="7941"/>
  <c r="N371" i="7941"/>
  <c r="M442" i="18"/>
  <c r="M670" i="18"/>
  <c r="M506" i="18"/>
  <c r="M75" i="7941"/>
  <c r="J501" i="18"/>
  <c r="H143" i="7946"/>
  <c r="H10" i="7946"/>
  <c r="H17" i="7946"/>
  <c r="P287" i="7942"/>
  <c r="O288" i="7942"/>
  <c r="O336" i="7941"/>
  <c r="N365" i="7941"/>
  <c r="M467" i="18"/>
  <c r="M695" i="18"/>
  <c r="M531" i="18"/>
  <c r="M100" i="7941"/>
  <c r="Q142" i="7942"/>
  <c r="P143" i="7942"/>
  <c r="P280" i="7941"/>
  <c r="M444" i="18"/>
  <c r="M672" i="18"/>
  <c r="M508" i="18"/>
  <c r="M77" i="7941"/>
  <c r="Q295" i="7942"/>
  <c r="Q115" i="7942"/>
  <c r="Q266" i="7941"/>
  <c r="P115" i="7942"/>
  <c r="O280" i="7942"/>
  <c r="O332" i="7941"/>
  <c r="Q279" i="7942"/>
  <c r="P312" i="7942"/>
  <c r="Q113" i="7942"/>
  <c r="Q265" i="7941"/>
  <c r="P134" i="7942"/>
  <c r="O135" i="7942"/>
  <c r="O276" i="7941"/>
  <c r="O372" i="7941"/>
  <c r="Q293" i="7942"/>
  <c r="P327" i="7942"/>
  <c r="O328" i="7942"/>
  <c r="O356" i="7941"/>
  <c r="P309" i="7942"/>
  <c r="O310" i="7942"/>
  <c r="O347" i="7941"/>
  <c r="O379" i="7941"/>
  <c r="P120" i="7942"/>
  <c r="O121" i="7942"/>
  <c r="O269" i="7941"/>
  <c r="O365" i="7941"/>
  <c r="Q253" i="7941"/>
  <c r="O107" i="7942"/>
  <c r="N168" i="7942"/>
  <c r="Q248" i="7941"/>
  <c r="Q254" i="7941"/>
  <c r="Q309" i="7941"/>
  <c r="Q315" i="7941"/>
  <c r="P265" i="7941"/>
  <c r="Q298" i="7941"/>
  <c r="Q258" i="7941"/>
  <c r="Q316" i="7942"/>
  <c r="Q350" i="7941"/>
  <c r="P316" i="7942"/>
  <c r="O270" i="7942"/>
  <c r="O327" i="7941"/>
  <c r="Q269" i="7942"/>
  <c r="Q241" i="7941"/>
  <c r="Q236" i="7941"/>
  <c r="Q327" i="7942"/>
  <c r="Q328" i="7942"/>
  <c r="Q356" i="7941"/>
  <c r="P307" i="7942"/>
  <c r="Q120" i="7942"/>
  <c r="N372" i="7941"/>
  <c r="N314" i="7942"/>
  <c r="N349" i="7941"/>
  <c r="N381" i="7941"/>
  <c r="P313" i="7942"/>
  <c r="O314" i="7942"/>
  <c r="O349" i="7941"/>
  <c r="M458" i="18"/>
  <c r="M686" i="18"/>
  <c r="M522" i="18"/>
  <c r="M91" i="7941"/>
  <c r="P287" i="7941"/>
  <c r="Q243" i="7941"/>
  <c r="Q297" i="7941"/>
  <c r="Q245" i="7941"/>
  <c r="O362" i="7941"/>
  <c r="P348" i="7941"/>
  <c r="P292" i="7941"/>
  <c r="Q231" i="7941"/>
  <c r="Q314" i="7941"/>
  <c r="Q239" i="7941"/>
  <c r="M452" i="18"/>
  <c r="M680" i="18"/>
  <c r="M516" i="18"/>
  <c r="M85" i="7941"/>
  <c r="R6" i="7946"/>
  <c r="Q296" i="7942"/>
  <c r="Q340" i="7941"/>
  <c r="P296" i="7942"/>
  <c r="P340" i="7941"/>
  <c r="P320" i="7942"/>
  <c r="Q320" i="7942"/>
  <c r="Q352" i="7941"/>
  <c r="Q117" i="7942"/>
  <c r="Q267" i="7941"/>
  <c r="P117" i="7942"/>
  <c r="P267" i="7941"/>
  <c r="P163" i="7942"/>
  <c r="P290" i="7941"/>
  <c r="Q163" i="7942"/>
  <c r="Q290" i="7941"/>
  <c r="H66" i="7946"/>
  <c r="H50" i="7946"/>
  <c r="P300" i="7942"/>
  <c r="P342" i="7941"/>
  <c r="Q300" i="7942"/>
  <c r="Q342" i="7941"/>
  <c r="Q283" i="7942"/>
  <c r="Q134" i="7942"/>
  <c r="Q150" i="7942"/>
  <c r="P271" i="7941"/>
  <c r="Q259" i="7941"/>
  <c r="Q302" i="7941"/>
  <c r="Q249" i="7941"/>
  <c r="Q242" i="7941"/>
  <c r="P275" i="7941"/>
  <c r="Q250" i="7941"/>
  <c r="Q303" i="7941"/>
  <c r="Q323" i="7941"/>
  <c r="O298" i="7942"/>
  <c r="O341" i="7941"/>
  <c r="Q297" i="7942"/>
  <c r="P277" i="7942"/>
  <c r="N278" i="7942"/>
  <c r="N331" i="7941"/>
  <c r="O268" i="7942"/>
  <c r="N329" i="7942"/>
  <c r="M451" i="18"/>
  <c r="M679" i="18"/>
  <c r="M515" i="18"/>
  <c r="M84" i="7941"/>
  <c r="M443" i="18"/>
  <c r="M671" i="18"/>
  <c r="M507" i="18"/>
  <c r="M76" i="7941"/>
  <c r="P304" i="7942"/>
  <c r="P344" i="7941"/>
  <c r="Q304" i="7942"/>
  <c r="Q344" i="7941"/>
  <c r="O137" i="7942"/>
  <c r="O277" i="7941"/>
  <c r="Q136" i="7942"/>
  <c r="P144" i="7942"/>
  <c r="O145" i="7942"/>
  <c r="O281" i="7941"/>
  <c r="N145" i="7942"/>
  <c r="N281" i="7941"/>
  <c r="N377" i="7941"/>
  <c r="Q165" i="7942"/>
  <c r="Q291" i="7941"/>
  <c r="P165" i="7942"/>
  <c r="Q122" i="7942"/>
  <c r="H42" i="7946"/>
  <c r="H130" i="7946"/>
  <c r="P161" i="7942"/>
  <c r="Q161" i="7942"/>
  <c r="Q289" i="7941"/>
  <c r="H58" i="7946"/>
  <c r="M262" i="7941"/>
  <c r="M372" i="7941"/>
  <c r="P279" i="7941"/>
  <c r="P352" i="7941"/>
  <c r="Q318" i="7941"/>
  <c r="P328" i="7941"/>
  <c r="Q255" i="7941"/>
  <c r="Q296" i="7941"/>
  <c r="Q244" i="7941"/>
  <c r="Q317" i="7941"/>
  <c r="Q306" i="7941"/>
  <c r="Q235" i="7941"/>
  <c r="H112" i="7946"/>
  <c r="H114" i="7946"/>
  <c r="Q148" i="7942"/>
  <c r="N155" i="7942"/>
  <c r="N286" i="7941"/>
  <c r="N382" i="7941"/>
  <c r="Q154" i="7942"/>
  <c r="H122" i="7946"/>
  <c r="Q127" i="7942"/>
  <c r="Q272" i="7941"/>
  <c r="P127" i="7942"/>
  <c r="P272" i="7941"/>
  <c r="P294" i="7942"/>
  <c r="P339" i="7941"/>
  <c r="Q294" i="7942"/>
  <c r="Q339" i="7941"/>
  <c r="N302" i="7942"/>
  <c r="N343" i="7941"/>
  <c r="N375" i="7941"/>
  <c r="P301" i="7942"/>
  <c r="O302" i="7942"/>
  <c r="O343" i="7941"/>
  <c r="O375" i="7941"/>
  <c r="P323" i="7942"/>
  <c r="O324" i="7942"/>
  <c r="O354" i="7941"/>
  <c r="O386" i="7941"/>
  <c r="M449" i="18"/>
  <c r="M677" i="18"/>
  <c r="M513" i="18"/>
  <c r="M82" i="7941"/>
  <c r="H26" i="7946"/>
  <c r="H24" i="7946"/>
  <c r="H82" i="7946"/>
  <c r="P322" i="7942"/>
  <c r="P353" i="7941"/>
  <c r="Q322" i="7942"/>
  <c r="Q353" i="7941"/>
  <c r="P158" i="7942"/>
  <c r="P305" i="7942"/>
  <c r="P111" i="7942"/>
  <c r="P264" i="7941"/>
  <c r="P360" i="7941"/>
  <c r="Q111" i="7942"/>
  <c r="Q264" i="7941"/>
  <c r="P276" i="7942"/>
  <c r="P330" i="7941"/>
  <c r="Q276" i="7942"/>
  <c r="Q330" i="7941"/>
  <c r="Q131" i="7942"/>
  <c r="Q274" i="7941"/>
  <c r="P131" i="7942"/>
  <c r="P274" i="7941"/>
  <c r="Q290" i="7942"/>
  <c r="Q337" i="7941"/>
  <c r="P290" i="7942"/>
  <c r="P337" i="7941"/>
  <c r="M456" i="18"/>
  <c r="M684" i="18"/>
  <c r="M520" i="18"/>
  <c r="M89" i="7941"/>
  <c r="H98" i="7946"/>
  <c r="O153" i="7942"/>
  <c r="O285" i="7941"/>
  <c r="Q152" i="7942"/>
  <c r="I13" i="7946"/>
  <c r="I18" i="7946"/>
  <c r="Q287" i="7942"/>
  <c r="Q323" i="7942"/>
  <c r="M377" i="7941"/>
  <c r="Q325" i="7942"/>
  <c r="M460" i="18"/>
  <c r="M688" i="18"/>
  <c r="M524" i="18"/>
  <c r="M93" i="7941"/>
  <c r="Q281" i="7942"/>
  <c r="Q143" i="7942"/>
  <c r="Q280" i="7941"/>
  <c r="M326" i="7941"/>
  <c r="M363" i="7941"/>
  <c r="I69" i="7946"/>
  <c r="I74" i="7946"/>
  <c r="O360" i="7941"/>
  <c r="I29" i="7946"/>
  <c r="I34" i="7946"/>
  <c r="K32" i="7946"/>
  <c r="M32" i="7946"/>
  <c r="M33" i="7946"/>
  <c r="O376" i="7941"/>
  <c r="Q119" i="7942"/>
  <c r="Q268" i="7941"/>
  <c r="P119" i="7942"/>
  <c r="P268" i="7941"/>
  <c r="P286" i="7942"/>
  <c r="P335" i="7941"/>
  <c r="Q286" i="7942"/>
  <c r="Q335" i="7941"/>
  <c r="O109" i="7942"/>
  <c r="O263" i="7941"/>
  <c r="Q108" i="7942"/>
  <c r="I85" i="7946"/>
  <c r="I90" i="7946"/>
  <c r="Q129" i="7942"/>
  <c r="Q273" i="7941"/>
  <c r="P129" i="7942"/>
  <c r="P273" i="7941"/>
  <c r="N359" i="7941"/>
  <c r="Q147" i="7942"/>
  <c r="Q282" i="7941"/>
  <c r="P147" i="7942"/>
  <c r="P282" i="7941"/>
  <c r="P318" i="7942"/>
  <c r="P351" i="7941"/>
  <c r="Q318" i="7942"/>
  <c r="Q351" i="7941"/>
  <c r="I101" i="7946"/>
  <c r="I106" i="7946"/>
  <c r="O371" i="7941"/>
  <c r="Q246" i="7941"/>
  <c r="P278" i="7941"/>
  <c r="Q311" i="7941"/>
  <c r="Q299" i="7941"/>
  <c r="Q240" i="7941"/>
  <c r="Q321" i="7941"/>
  <c r="P350" i="7941"/>
  <c r="Q312" i="7941"/>
  <c r="Q305" i="7941"/>
  <c r="Q295" i="7941"/>
  <c r="Q260" i="7941"/>
  <c r="P329" i="7941"/>
  <c r="Q307" i="7941"/>
  <c r="O380" i="7941"/>
  <c r="P289" i="7941"/>
  <c r="Q237" i="7941"/>
  <c r="Q257" i="7941"/>
  <c r="Q234" i="7941"/>
  <c r="Q301" i="7941"/>
  <c r="O366" i="7941"/>
  <c r="O364" i="7941"/>
  <c r="O382" i="7941"/>
  <c r="P291" i="7941"/>
  <c r="P338" i="7941"/>
  <c r="Q322" i="7941"/>
  <c r="Q324" i="7941"/>
  <c r="Q251" i="7941"/>
  <c r="Q238" i="7941"/>
  <c r="Q308" i="7941"/>
  <c r="Q304" i="7941"/>
  <c r="Q310" i="7941"/>
  <c r="Q232" i="7941"/>
  <c r="Q233" i="7941"/>
  <c r="Q316" i="7941"/>
  <c r="Q319" i="7941"/>
  <c r="Q313" i="7941"/>
  <c r="Q247" i="7941"/>
  <c r="Q300" i="7941"/>
  <c r="P266" i="7941"/>
  <c r="Q252" i="7941"/>
  <c r="O374" i="7941"/>
  <c r="O361" i="7941"/>
  <c r="O388" i="7941"/>
  <c r="O369" i="7941"/>
  <c r="O367" i="7941"/>
  <c r="O387" i="7941"/>
  <c r="O385" i="7941"/>
  <c r="P294" i="7941"/>
  <c r="O368" i="7941"/>
  <c r="P230" i="7941"/>
  <c r="P71" i="7941"/>
  <c r="P70" i="7941"/>
  <c r="P501" i="18"/>
  <c r="Q631" i="18"/>
  <c r="Q502" i="18"/>
  <c r="O383" i="7941"/>
  <c r="O370" i="7941"/>
  <c r="I138" i="7946"/>
  <c r="I143" i="7946"/>
  <c r="K437" i="18"/>
  <c r="I5" i="7946"/>
  <c r="I10" i="7946"/>
  <c r="J70" i="7941"/>
  <c r="J199" i="7941"/>
  <c r="J198" i="7941"/>
  <c r="H113" i="7946"/>
  <c r="H25" i="7946"/>
  <c r="Q309" i="7942"/>
  <c r="P310" i="7942"/>
  <c r="P347" i="7941"/>
  <c r="Q360" i="7941"/>
  <c r="P361" i="7941"/>
  <c r="P328" i="7942"/>
  <c r="P356" i="7941"/>
  <c r="P388" i="7941"/>
  <c r="Q310" i="7942"/>
  <c r="Q347" i="7941"/>
  <c r="Q369" i="7941"/>
  <c r="P383" i="7941"/>
  <c r="P280" i="7942"/>
  <c r="P332" i="7941"/>
  <c r="Q280" i="7942"/>
  <c r="Q332" i="7941"/>
  <c r="Q364" i="7941"/>
  <c r="Q313" i="7942"/>
  <c r="P314" i="7942"/>
  <c r="P349" i="7941"/>
  <c r="P371" i="7941"/>
  <c r="P364" i="7941"/>
  <c r="O381" i="7941"/>
  <c r="O373" i="7941"/>
  <c r="P374" i="7941"/>
  <c r="P270" i="7942"/>
  <c r="P327" i="7941"/>
  <c r="Q270" i="7942"/>
  <c r="Q327" i="7941"/>
  <c r="Q362" i="7941"/>
  <c r="O359" i="7941"/>
  <c r="Q144" i="7942"/>
  <c r="P121" i="7942"/>
  <c r="P269" i="7941"/>
  <c r="Q121" i="7942"/>
  <c r="Q269" i="7941"/>
  <c r="Q376" i="7941"/>
  <c r="Q361" i="7941"/>
  <c r="Q371" i="7941"/>
  <c r="P107" i="7942"/>
  <c r="O168" i="7942"/>
  <c r="M439" i="18"/>
  <c r="M667" i="18"/>
  <c r="M503" i="18"/>
  <c r="M72" i="7941"/>
  <c r="O308" i="7942"/>
  <c r="O346" i="7941"/>
  <c r="O378" i="7941"/>
  <c r="Q307" i="7942"/>
  <c r="P367" i="7941"/>
  <c r="P376" i="7941"/>
  <c r="P370" i="7941"/>
  <c r="Q370" i="7941"/>
  <c r="N262" i="7941"/>
  <c r="M358" i="7941"/>
  <c r="P369" i="7941"/>
  <c r="R7" i="7946"/>
  <c r="R18" i="7946"/>
  <c r="Q294" i="7941"/>
  <c r="Q288" i="7942"/>
  <c r="Q336" i="7941"/>
  <c r="Q368" i="7941"/>
  <c r="P288" i="7942"/>
  <c r="P336" i="7941"/>
  <c r="P368" i="7941"/>
  <c r="O306" i="7942"/>
  <c r="O345" i="7941"/>
  <c r="O377" i="7941"/>
  <c r="Q305" i="7942"/>
  <c r="I53" i="7946"/>
  <c r="I58" i="7946"/>
  <c r="Q123" i="7942"/>
  <c r="Q270" i="7941"/>
  <c r="P123" i="7942"/>
  <c r="P270" i="7941"/>
  <c r="O278" i="7942"/>
  <c r="O331" i="7941"/>
  <c r="P268" i="7942"/>
  <c r="O329" i="7942"/>
  <c r="Q135" i="7942"/>
  <c r="Q276" i="7941"/>
  <c r="Q372" i="7941"/>
  <c r="P135" i="7942"/>
  <c r="P276" i="7941"/>
  <c r="P372" i="7941"/>
  <c r="I45" i="7946"/>
  <c r="I50" i="7946"/>
  <c r="Q383" i="7941"/>
  <c r="Q326" i="7942"/>
  <c r="Q355" i="7941"/>
  <c r="P326" i="7942"/>
  <c r="P355" i="7941"/>
  <c r="P387" i="7941"/>
  <c r="I93" i="7946"/>
  <c r="I98" i="7946"/>
  <c r="O159" i="7942"/>
  <c r="O288" i="7941"/>
  <c r="Q158" i="7942"/>
  <c r="I77" i="7946"/>
  <c r="I82" i="7946"/>
  <c r="Q149" i="7942"/>
  <c r="Q283" i="7941"/>
  <c r="Q379" i="7941"/>
  <c r="P149" i="7942"/>
  <c r="P283" i="7941"/>
  <c r="P379" i="7941"/>
  <c r="I125" i="7946"/>
  <c r="I130" i="7946"/>
  <c r="Q298" i="7942"/>
  <c r="Q341" i="7941"/>
  <c r="P298" i="7942"/>
  <c r="P341" i="7941"/>
  <c r="Q284" i="7942"/>
  <c r="Q334" i="7941"/>
  <c r="P284" i="7942"/>
  <c r="P334" i="7941"/>
  <c r="P153" i="7942"/>
  <c r="P285" i="7941"/>
  <c r="Q153" i="7942"/>
  <c r="Q285" i="7941"/>
  <c r="I21" i="7946"/>
  <c r="I26" i="7946"/>
  <c r="I117" i="7946"/>
  <c r="I122" i="7946"/>
  <c r="Q277" i="7942"/>
  <c r="I61" i="7946"/>
  <c r="I66" i="7946"/>
  <c r="Q301" i="7942"/>
  <c r="Q367" i="7941"/>
  <c r="Q282" i="7942"/>
  <c r="Q333" i="7941"/>
  <c r="Q365" i="7941"/>
  <c r="P282" i="7942"/>
  <c r="P333" i="7941"/>
  <c r="P324" i="7942"/>
  <c r="P354" i="7941"/>
  <c r="P386" i="7941"/>
  <c r="Q324" i="7942"/>
  <c r="Q354" i="7941"/>
  <c r="Q386" i="7941"/>
  <c r="Q155" i="7942"/>
  <c r="Q286" i="7941"/>
  <c r="Q382" i="7941"/>
  <c r="P155" i="7942"/>
  <c r="P286" i="7941"/>
  <c r="P382" i="7941"/>
  <c r="I109" i="7946"/>
  <c r="I114" i="7946"/>
  <c r="I37" i="7946"/>
  <c r="I42" i="7946"/>
  <c r="P137" i="7942"/>
  <c r="P277" i="7941"/>
  <c r="Q137" i="7942"/>
  <c r="Q277" i="7941"/>
  <c r="N363" i="7941"/>
  <c r="N358" i="7941"/>
  <c r="N326" i="7941"/>
  <c r="Q387" i="7941"/>
  <c r="P151" i="7942"/>
  <c r="P284" i="7941"/>
  <c r="P380" i="7941"/>
  <c r="Q151" i="7942"/>
  <c r="Q284" i="7941"/>
  <c r="Q380" i="7941"/>
  <c r="Q230" i="7941"/>
  <c r="Q388" i="7941"/>
  <c r="P385" i="7941"/>
  <c r="Q109" i="7942"/>
  <c r="Q263" i="7941"/>
  <c r="P109" i="7942"/>
  <c r="P263" i="7941"/>
  <c r="Q374" i="7941"/>
  <c r="P362" i="7941"/>
  <c r="Q385" i="7941"/>
  <c r="Q501" i="18"/>
  <c r="Q71" i="7941"/>
  <c r="Q70" i="7941"/>
  <c r="K6" i="7941"/>
  <c r="K665" i="18"/>
  <c r="Q314" i="7942"/>
  <c r="Q349" i="7941"/>
  <c r="P359" i="7941"/>
  <c r="Q381" i="7941"/>
  <c r="Q107" i="7942"/>
  <c r="Q168" i="7942"/>
  <c r="P365" i="7941"/>
  <c r="Q145" i="7942"/>
  <c r="Q281" i="7941"/>
  <c r="Q159" i="7942"/>
  <c r="Q288" i="7941"/>
  <c r="Q262" i="7941"/>
  <c r="P145" i="7942"/>
  <c r="P281" i="7941"/>
  <c r="P381" i="7941"/>
  <c r="Q373" i="7941"/>
  <c r="Q366" i="7941"/>
  <c r="Q308" i="7942"/>
  <c r="Q346" i="7941"/>
  <c r="Q378" i="7941"/>
  <c r="P308" i="7942"/>
  <c r="P346" i="7941"/>
  <c r="P378" i="7941"/>
  <c r="P373" i="7941"/>
  <c r="P278" i="7942"/>
  <c r="P331" i="7941"/>
  <c r="Q278" i="7942"/>
  <c r="Q331" i="7941"/>
  <c r="Q268" i="7942"/>
  <c r="Q384" i="7941"/>
  <c r="P159" i="7942"/>
  <c r="P288" i="7941"/>
  <c r="P384" i="7941"/>
  <c r="P302" i="7942"/>
  <c r="P343" i="7941"/>
  <c r="P375" i="7941"/>
  <c r="Q302" i="7942"/>
  <c r="Q343" i="7941"/>
  <c r="Q375" i="7941"/>
  <c r="O262" i="7941"/>
  <c r="O384" i="7941"/>
  <c r="O363" i="7941"/>
  <c r="O326" i="7941"/>
  <c r="P306" i="7942"/>
  <c r="P345" i="7941"/>
  <c r="Q306" i="7942"/>
  <c r="Q345" i="7941"/>
  <c r="Q377" i="7941"/>
  <c r="P366" i="7941"/>
  <c r="Q359" i="7941"/>
  <c r="P168" i="7942"/>
  <c r="K501" i="18"/>
  <c r="P262" i="7941"/>
  <c r="P377" i="7941"/>
  <c r="O358" i="7941"/>
  <c r="Q329" i="7942"/>
  <c r="P329" i="7942"/>
  <c r="Q326" i="7941"/>
  <c r="Q363" i="7941"/>
  <c r="Q358" i="7941"/>
  <c r="P363" i="7941"/>
  <c r="P358" i="7941"/>
  <c r="P326" i="7941"/>
  <c r="L437" i="18"/>
  <c r="K70" i="7941"/>
  <c r="K199" i="7941"/>
  <c r="K198" i="7941"/>
  <c r="L6" i="7941"/>
  <c r="L665" i="18"/>
  <c r="L501" i="18"/>
  <c r="M438" i="18"/>
  <c r="M437" i="18"/>
  <c r="M666" i="18"/>
  <c r="L70" i="7941"/>
  <c r="M665" i="18"/>
  <c r="M502" i="18"/>
  <c r="M501" i="18"/>
  <c r="M71" i="7941"/>
  <c r="M70" i="7941"/>
  <c r="L294" i="7941"/>
  <c r="L230" i="794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<sst xmlns="http://schemas.openxmlformats.org/spreadsheetml/2006/main" count="548" uniqueCount="128">
  <si>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</si>
  <si>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</si>
  <si>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</si>
  <si>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</si>
  <si>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</si>
  <si>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</si>
  <si>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</si>
  <si>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</si>
  <si>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</si>
  <si>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</si>
  <si>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</si>
  <si>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</si>
  <si>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</si>
  <si>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</si>
  <si>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</si>
  <si>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</si>
  <si>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</si>
  <si>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</si>
  <si>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</si>
  <si>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</si>
  <si>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</si>
  <si>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</si>
  <si>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</si>
  <si>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</si>
  <si>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</si>
  <si>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</si>
  <si>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</si>
  <si>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</si>
  <si>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</si>
  <si>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</si>
  <si>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</si>
  <si>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</si>
  <si>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</si>
  <si>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</si>
  <si>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</si>
  <si>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</si>
  <si>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</si>
  <si>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</si>
  <si>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</si>
  <si>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</si>
  <si>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</si>
  <si>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</si>
  <si>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</si>
  <si>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</si>
  <si>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</si>
  <si>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</si>
  <si>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</si>
  <si>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</si>
  <si>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</si>
  <si>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</si>
  <si>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</si>
  <si>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</si>
  <si>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</si>
  <si>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</si>
  <si>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</si>
  <si>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</si>
  <si>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</si>
  <si>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</si>
  <si>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</si>
  <si>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</si>
  <si>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</si>
  <si>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</si>
  <si>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</si>
  <si>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</si>
  <si>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</si>
  <si>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</si>
  <si>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</si>
  <si>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</si>
  <si>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</si>
  <si>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</si>
  <si>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</si>
  <si>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</si>
  <si>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</si>
  <si>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</si>
  <si>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</si>
  <si>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</si>
  <si>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</si>
  <si>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</si>
  <si>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</si>
  <si>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</si>
  <si>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</si>
  <si>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</si>
  <si>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</si>
  <si>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</si>
  <si>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</si>
  <si>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</si>
  <si>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</si>
  <si>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</si>
  <si>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</si>
  <si>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</si>
  <si>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</si>
  <si>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</si>
  <si>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</si>
  <si>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</si>
  <si>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</si>
  <si>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</si>
  <si>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</si>
  <si>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</si>
  <si>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</si>
  <si>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</si>
  <si>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</si>
  <si>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</si>
  <si>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</si>
  <si>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</si>
  <si>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</si>
  <si>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</si>
  <si>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</si>
  <si>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</si>
  <si>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</si>
  <si>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</si>
  <si>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</si>
  <si>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</si>
  <si>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</si>
  <si>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</si>
  <si>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</si>
  <si>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</si>
  <si>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</si>
  <si>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Real remaining lives calculation</t>
  </si>
  <si>
    <t>Real depreciation</t>
  </si>
  <si>
    <t>Real Capex</t>
  </si>
  <si>
    <t>Closing RAB</t>
  </si>
  <si>
    <t>Implied depreciation</t>
  </si>
  <si>
    <t>Implied average asset age, opening of the next period</t>
  </si>
  <si>
    <t>Implied average asset life (end of year)</t>
  </si>
  <si>
    <t>Tax remaining lives calculation</t>
  </si>
  <si>
    <t>TAB life</t>
  </si>
  <si>
    <t>RAB life</t>
  </si>
  <si>
    <t>Illustration of calculation of remaining life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</si>
</sst>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00_);_(* \(#,##0.00\);_(* &quot;-&quot;??_);_(@_)"/>
    <numFmt numFmtId="165" formatCode="_(&quot;$&quot;* #,##0.00_);_(&quot;$&quot;* \(#,##0.00\);_(&quot;$&quot;*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000_-;\-&quot;$&quot;* #,##0.000_-;_-&quot;$&quot;* &quot;-&quot;??_-;_-@_-"/>
    <numFmt numFmtId="177" formatCode="_(* #,##0.000_);_(* \(#,##0.000\);_(* &quot;-&quot;??_);_(@_)"/>
    <numFmt numFmtId="178" formatCode="_(* #,##0.0000_);_(* \(#,##0.0000\);_(* &quot;-&quot;??_);_(@_)"/>
    <numFmt numFmtId="179" formatCode="_(* #,##0.0_);_(* \(#,##0.0\);_(* &quot;-&quot;??_);_(@_)"/>
  </numFmts>
  <fonts count="3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10"/>
      <color rgb="FFFF0000"/>
      <name val="Arial"/>
      <family val="2"/>
    </font>
    <font>
      <sz val="11"/>
      <color rgb="FF006100"/>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6EFCE"/>
      </patternFill>
    </fill>
  </fills>
  <borders count="39">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6" fontId="4" fillId="2" borderId="0" applyNumberFormat="0" applyFont="0" applyBorder="0" applyAlignment="0">
      <alignment horizontal="right"/>
    </xf>
    <xf numFmtId="164"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xf numFmtId="0" fontId="31" fillId="14" borderId="0" applyNumberFormat="0" applyBorder="0" applyAlignment="0" applyProtection="0"/>
  </cellStyleXfs>
  <cellXfs count="338">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4"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4" fontId="10" fillId="10" borderId="0" xfId="2" applyFont="1" applyFill="1" applyAlignment="1">
      <alignment horizontal="right"/>
    </xf>
    <xf numFmtId="164"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4" fontId="10" fillId="10" borderId="3" xfId="2" applyFont="1" applyFill="1" applyBorder="1" applyAlignment="1">
      <alignment horizontal="right"/>
    </xf>
    <xf numFmtId="164"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4"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4" fontId="4" fillId="11" borderId="5" xfId="2" applyNumberFormat="1" applyFont="1" applyFill="1" applyBorder="1" applyAlignment="1">
      <alignment horizontal="right" vertical="center"/>
    </xf>
    <xf numFmtId="164" fontId="4" fillId="11" borderId="0" xfId="2" applyNumberFormat="1" applyFont="1" applyFill="1" applyBorder="1" applyAlignment="1">
      <alignment horizontal="right" vertical="center"/>
    </xf>
    <xf numFmtId="164" fontId="4" fillId="11" borderId="5" xfId="2" applyFont="1" applyFill="1" applyBorder="1" applyAlignment="1">
      <alignment horizontal="center" vertical="center"/>
    </xf>
    <xf numFmtId="164"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4" fontId="10" fillId="10" borderId="3" xfId="2" applyNumberFormat="1" applyFont="1" applyFill="1" applyBorder="1" applyAlignment="1">
      <alignment horizontal="right"/>
    </xf>
    <xf numFmtId="164"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4"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4"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4" fontId="10" fillId="10" borderId="0" xfId="2" applyFont="1" applyFill="1" applyBorder="1" applyAlignment="1">
      <alignment horizontal="right"/>
    </xf>
    <xf numFmtId="169" fontId="10" fillId="10" borderId="0" xfId="2" applyNumberFormat="1" applyFont="1" applyFill="1" applyBorder="1"/>
    <xf numFmtId="164"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4"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4" fontId="15" fillId="10" borderId="0" xfId="0" applyNumberFormat="1" applyFont="1" applyFill="1"/>
    <xf numFmtId="169" fontId="4" fillId="10" borderId="0" xfId="2" applyNumberFormat="1" applyFont="1" applyFill="1"/>
    <xf numFmtId="164"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4" fontId="0" fillId="10" borderId="0" xfId="2" applyNumberFormat="1" applyFont="1" applyFill="1"/>
    <xf numFmtId="164" fontId="4" fillId="10" borderId="0" xfId="0" applyNumberFormat="1" applyFont="1" applyFill="1"/>
    <xf numFmtId="164" fontId="10" fillId="10" borderId="4" xfId="2" applyNumberFormat="1" applyFont="1" applyFill="1" applyBorder="1" applyAlignment="1">
      <alignment horizontal="right"/>
    </xf>
    <xf numFmtId="164" fontId="4" fillId="10" borderId="0" xfId="2" applyNumberFormat="1" applyFont="1" applyFill="1"/>
    <xf numFmtId="164" fontId="4" fillId="12" borderId="2" xfId="2" applyNumberFormat="1" applyFont="1" applyFill="1" applyBorder="1"/>
    <xf numFmtId="164" fontId="4" fillId="10" borderId="0" xfId="2" applyNumberFormat="1" applyFont="1" applyFill="1" applyBorder="1"/>
    <xf numFmtId="0" fontId="0" fillId="12" borderId="0" xfId="0" applyFill="1" applyBorder="1"/>
    <xf numFmtId="170" fontId="2" fillId="10" borderId="0" xfId="2" applyNumberFormat="1" applyFont="1" applyFill="1" applyBorder="1"/>
    <xf numFmtId="164"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4"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4" fontId="1" fillId="10" borderId="0" xfId="2" applyNumberFormat="1" applyFill="1"/>
    <xf numFmtId="170" fontId="1" fillId="10" borderId="0" xfId="2" applyNumberFormat="1" applyFill="1"/>
    <xf numFmtId="170" fontId="0" fillId="10" borderId="0" xfId="2" applyNumberFormat="1" applyFont="1" applyFill="1" applyBorder="1"/>
    <xf numFmtId="164"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4" fontId="10" fillId="3" borderId="9" xfId="2" applyNumberFormat="1" applyFont="1" applyFill="1" applyBorder="1" applyAlignment="1">
      <alignment horizontal="right"/>
    </xf>
    <xf numFmtId="164" fontId="10" fillId="3" borderId="10" xfId="2" applyNumberFormat="1" applyFont="1" applyFill="1" applyBorder="1" applyAlignment="1">
      <alignment horizontal="right"/>
    </xf>
    <xf numFmtId="164" fontId="10" fillId="3" borderId="11" xfId="2" applyNumberFormat="1" applyFont="1" applyFill="1" applyBorder="1" applyAlignment="1">
      <alignment horizontal="right"/>
    </xf>
    <xf numFmtId="164"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4" fontId="15" fillId="10" borderId="0" xfId="0" applyNumberFormat="1" applyFont="1" applyFill="1" applyBorder="1"/>
    <xf numFmtId="164"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4" fontId="15" fillId="10" borderId="0" xfId="2" applyNumberFormat="1" applyFont="1" applyFill="1" applyBorder="1" applyAlignment="1">
      <alignment horizontal="right"/>
    </xf>
    <xf numFmtId="164" fontId="10" fillId="10" borderId="0" xfId="2" applyNumberFormat="1" applyFont="1" applyFill="1"/>
    <xf numFmtId="164" fontId="10" fillId="10" borderId="0" xfId="0" applyNumberFormat="1" applyFont="1" applyFill="1"/>
    <xf numFmtId="164" fontId="4" fillId="11" borderId="12" xfId="2" applyNumberFormat="1" applyFont="1" applyFill="1" applyBorder="1" applyAlignment="1">
      <alignment horizontal="right" vertical="center"/>
    </xf>
    <xf numFmtId="164"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4" fontId="4" fillId="10" borderId="5" xfId="2" applyNumberFormat="1" applyFont="1" applyFill="1" applyBorder="1" applyAlignment="1">
      <alignment horizontal="right" vertical="center"/>
    </xf>
    <xf numFmtId="164" fontId="4" fillId="10" borderId="13" xfId="2" applyNumberFormat="1" applyFont="1" applyFill="1" applyBorder="1" applyAlignment="1">
      <alignment horizontal="right" vertical="center"/>
    </xf>
    <xf numFmtId="164"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4" fontId="4" fillId="12" borderId="2" xfId="0" applyNumberFormat="1" applyFont="1" applyFill="1" applyBorder="1"/>
    <xf numFmtId="164"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4"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4" fontId="1" fillId="10" borderId="14" xfId="2" applyNumberFormat="1" applyFill="1" applyBorder="1"/>
    <xf numFmtId="164" fontId="15" fillId="10" borderId="14" xfId="0" applyNumberFormat="1" applyFont="1" applyFill="1" applyBorder="1"/>
    <xf numFmtId="164" fontId="0" fillId="10" borderId="14" xfId="0" applyNumberFormat="1" applyFill="1" applyBorder="1"/>
    <xf numFmtId="164" fontId="4" fillId="10" borderId="14" xfId="0" applyNumberFormat="1" applyFont="1" applyFill="1" applyBorder="1"/>
    <xf numFmtId="164" fontId="15" fillId="10" borderId="14" xfId="2" applyNumberFormat="1" applyFont="1" applyFill="1" applyBorder="1"/>
    <xf numFmtId="164"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4" fontId="0" fillId="10" borderId="14" xfId="2" applyNumberFormat="1" applyFont="1" applyFill="1" applyBorder="1"/>
    <xf numFmtId="170" fontId="0" fillId="10" borderId="14" xfId="2" applyNumberFormat="1" applyFont="1" applyFill="1" applyBorder="1"/>
    <xf numFmtId="164" fontId="15" fillId="0" borderId="14" xfId="2" applyNumberFormat="1" applyFont="1" applyFill="1" applyBorder="1"/>
    <xf numFmtId="0" fontId="0" fillId="10" borderId="14" xfId="0" applyFill="1" applyBorder="1"/>
    <xf numFmtId="170" fontId="1" fillId="10" borderId="14" xfId="2" applyNumberFormat="1" applyFill="1" applyBorder="1"/>
    <xf numFmtId="164" fontId="10" fillId="10" borderId="15" xfId="2" applyNumberFormat="1" applyFont="1" applyFill="1" applyBorder="1" applyAlignment="1">
      <alignment horizontal="right"/>
    </xf>
    <xf numFmtId="164" fontId="10" fillId="10" borderId="14" xfId="2" applyNumberFormat="1" applyFont="1" applyFill="1" applyBorder="1" applyAlignment="1">
      <alignment horizontal="right"/>
    </xf>
    <xf numFmtId="164" fontId="10" fillId="3" borderId="16" xfId="2" applyNumberFormat="1" applyFont="1" applyFill="1" applyBorder="1" applyAlignment="1">
      <alignment horizontal="right"/>
    </xf>
    <xf numFmtId="164" fontId="10" fillId="3" borderId="17" xfId="2" applyNumberFormat="1" applyFont="1" applyFill="1" applyBorder="1" applyAlignment="1">
      <alignment horizontal="right"/>
    </xf>
    <xf numFmtId="164"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4" fontId="4" fillId="0" borderId="0" xfId="2" applyFont="1" applyFill="1" applyBorder="1"/>
    <xf numFmtId="169" fontId="4" fillId="0" borderId="0" xfId="2" applyNumberFormat="1" applyFont="1" applyFill="1" applyBorder="1"/>
    <xf numFmtId="164" fontId="10" fillId="0" borderId="0" xfId="2" applyNumberFormat="1" applyFont="1" applyFill="1" applyBorder="1" applyAlignment="1">
      <alignment horizontal="right"/>
    </xf>
    <xf numFmtId="169" fontId="10" fillId="0" borderId="0" xfId="2" applyNumberFormat="1" applyFont="1" applyFill="1" applyBorder="1"/>
    <xf numFmtId="164" fontId="10" fillId="0" borderId="0" xfId="2" applyNumberFormat="1" applyFont="1" applyFill="1" applyAlignment="1">
      <alignment horizontal="right"/>
    </xf>
    <xf numFmtId="164" fontId="10" fillId="0" borderId="0" xfId="2" applyFont="1" applyFill="1" applyAlignment="1">
      <alignment horizontal="right"/>
    </xf>
    <xf numFmtId="0" fontId="0" fillId="0" borderId="0" xfId="0" applyFill="1" applyBorder="1"/>
    <xf numFmtId="164" fontId="10" fillId="3" borderId="10" xfId="2" applyFont="1" applyFill="1" applyBorder="1" applyAlignment="1">
      <alignment horizontal="right"/>
    </xf>
    <xf numFmtId="164" fontId="10" fillId="3" borderId="0" xfId="2" applyFont="1" applyFill="1" applyAlignment="1">
      <alignment horizontal="right"/>
    </xf>
    <xf numFmtId="164" fontId="10" fillId="3" borderId="11" xfId="2" applyFont="1" applyFill="1" applyBorder="1" applyAlignment="1">
      <alignment horizontal="right"/>
    </xf>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4"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4"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4" fillId="11" borderId="5" xfId="0" applyNumberFormat="1" applyFont="1" applyFill="1" applyBorder="1" applyAlignment="1">
      <alignment horizontal="center" vertical="center" wrapText="1"/>
    </xf>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0" fontId="1" fillId="11" borderId="8" xfId="2" applyNumberFormat="1" applyFont="1" applyFill="1" applyBorder="1" applyAlignment="1">
      <alignment horizontal="right" vertical="center"/>
    </xf>
    <xf numFmtId="2" fontId="0" fillId="11" borderId="5" xfId="0" applyNumberFormat="1" applyFill="1" applyBorder="1" applyAlignment="1">
      <alignment horizontal="center" wrapText="1"/>
    </xf>
    <xf numFmtId="176" fontId="10" fillId="10" borderId="0" xfId="3" applyNumberFormat="1" applyFont="1" applyFill="1" applyBorder="1" applyAlignment="1">
      <alignment horizontal="center" vertical="center"/>
    </xf>
    <xf numFmtId="168" fontId="1" fillId="11" borderId="0" xfId="0" applyNumberFormat="1" applyFont="1" applyFill="1" applyBorder="1" applyAlignment="1">
      <alignment horizontal="center" vertical="center" wrapText="1"/>
    </xf>
    <xf numFmtId="175" fontId="4" fillId="10" borderId="0" xfId="2" applyNumberFormat="1" applyFont="1" applyFill="1" applyBorder="1" applyAlignment="1">
      <alignment horizontal="center" vertical="center"/>
    </xf>
    <xf numFmtId="0" fontId="29" fillId="13" borderId="0" xfId="0" applyFont="1" applyFill="1" applyAlignment="1">
      <alignment vertical="center"/>
    </xf>
    <xf numFmtId="0" fontId="2" fillId="13" borderId="2" xfId="0" applyFont="1" applyFill="1" applyBorder="1"/>
    <xf numFmtId="0" fontId="2" fillId="13" borderId="2" xfId="0" applyFont="1" applyFill="1" applyBorder="1" applyAlignment="1">
      <alignment horizontal="right"/>
    </xf>
    <xf numFmtId="177" fontId="4" fillId="10" borderId="12" xfId="2" applyNumberFormat="1" applyFont="1" applyFill="1" applyBorder="1" applyAlignment="1">
      <alignment horizontal="right" vertical="center"/>
    </xf>
    <xf numFmtId="177" fontId="1" fillId="10" borderId="0" xfId="2" applyNumberFormat="1" applyFill="1"/>
    <xf numFmtId="0" fontId="30" fillId="10" borderId="0" xfId="0" applyFont="1" applyFill="1" applyBorder="1" applyAlignment="1">
      <alignment horizontal="center" vertical="center"/>
    </xf>
    <xf numFmtId="175" fontId="2" fillId="12" borderId="2" xfId="2" applyNumberFormat="1" applyFont="1" applyFill="1" applyBorder="1"/>
    <xf numFmtId="164" fontId="0" fillId="10" borderId="0" xfId="0" applyNumberFormat="1" applyFill="1"/>
    <xf numFmtId="9" fontId="0" fillId="10" borderId="0" xfId="0" applyNumberFormat="1" applyFill="1"/>
    <xf numFmtId="0" fontId="1" fillId="10" borderId="0" xfId="0" applyFont="1" applyFill="1"/>
    <xf numFmtId="164" fontId="30" fillId="10" borderId="0" xfId="0" applyNumberFormat="1" applyFont="1" applyFill="1" applyBorder="1" applyAlignment="1">
      <alignment horizontal="center" vertical="center"/>
    </xf>
    <xf numFmtId="0" fontId="1" fillId="0" borderId="0" xfId="0" applyFont="1"/>
    <xf numFmtId="0" fontId="2" fillId="0" borderId="0" xfId="0" applyFont="1"/>
    <xf numFmtId="2" fontId="0" fillId="0" borderId="0" xfId="0" applyNumberFormat="1"/>
    <xf numFmtId="0" fontId="15" fillId="0" borderId="0" xfId="0" applyFont="1"/>
    <xf numFmtId="2" fontId="15" fillId="0" borderId="0" xfId="0" applyNumberFormat="1" applyFont="1"/>
    <xf numFmtId="0" fontId="1" fillId="0" borderId="3" xfId="0" applyFont="1" applyBorder="1"/>
    <xf numFmtId="2" fontId="0" fillId="0" borderId="3" xfId="0" applyNumberFormat="1" applyBorder="1"/>
    <xf numFmtId="0" fontId="2" fillId="0" borderId="3" xfId="0" applyFont="1" applyBorder="1"/>
    <xf numFmtId="0" fontId="0" fillId="0" borderId="24" xfId="0" applyBorder="1"/>
    <xf numFmtId="2" fontId="0" fillId="0" borderId="25" xfId="0" applyNumberFormat="1" applyBorder="1"/>
    <xf numFmtId="0" fontId="0" fillId="0" borderId="26" xfId="0" applyBorder="1"/>
    <xf numFmtId="0" fontId="0" fillId="0" borderId="27" xfId="0" applyBorder="1"/>
    <xf numFmtId="2" fontId="0" fillId="0" borderId="28" xfId="0" applyNumberFormat="1" applyBorder="1"/>
    <xf numFmtId="0" fontId="2" fillId="0" borderId="23" xfId="0" applyFont="1" applyBorder="1"/>
    <xf numFmtId="0" fontId="2" fillId="0" borderId="30" xfId="0" applyFont="1" applyBorder="1"/>
    <xf numFmtId="0" fontId="1" fillId="0" borderId="31" xfId="0" applyFont="1" applyBorder="1"/>
    <xf numFmtId="2" fontId="0" fillId="0" borderId="33" xfId="0" applyNumberFormat="1" applyBorder="1"/>
    <xf numFmtId="2" fontId="0" fillId="0" borderId="34" xfId="0" applyNumberFormat="1" applyBorder="1"/>
    <xf numFmtId="0" fontId="1" fillId="0" borderId="29" xfId="0" applyFont="1" applyBorder="1"/>
    <xf numFmtId="164" fontId="1" fillId="11" borderId="5" xfId="2" applyNumberFormat="1" applyFont="1" applyFill="1" applyBorder="1" applyAlignment="1">
      <alignment horizontal="center" vertical="center"/>
    </xf>
    <xf numFmtId="164" fontId="4" fillId="10" borderId="3" xfId="0" applyNumberFormat="1" applyFont="1" applyFill="1" applyBorder="1"/>
    <xf numFmtId="0" fontId="1" fillId="0" borderId="35" xfId="0" applyFont="1" applyBorder="1"/>
    <xf numFmtId="0" fontId="0" fillId="0" borderId="4" xfId="0" applyBorder="1"/>
    <xf numFmtId="0" fontId="0" fillId="0" borderId="22" xfId="0" applyBorder="1"/>
    <xf numFmtId="0" fontId="0" fillId="0" borderId="36" xfId="0" applyBorder="1"/>
    <xf numFmtId="2" fontId="0" fillId="0" borderId="0" xfId="0" applyNumberFormat="1" applyBorder="1"/>
    <xf numFmtId="0" fontId="0" fillId="0" borderId="1" xfId="0" applyBorder="1"/>
    <xf numFmtId="0" fontId="0" fillId="0" borderId="37" xfId="0" applyBorder="1"/>
    <xf numFmtId="0" fontId="0" fillId="0" borderId="32" xfId="0" applyBorder="1"/>
    <xf numFmtId="2" fontId="0" fillId="0" borderId="38" xfId="0" applyNumberFormat="1" applyBorder="1"/>
    <xf numFmtId="175" fontId="0" fillId="10" borderId="0" xfId="0" applyNumberFormat="1" applyFill="1" applyAlignment="1">
      <alignment horizontal="center"/>
    </xf>
    <xf numFmtId="2" fontId="30" fillId="10" borderId="0" xfId="0" applyNumberFormat="1" applyFont="1" applyFill="1" applyBorder="1" applyAlignment="1">
      <alignment horizontal="center" vertical="center"/>
    </xf>
    <xf numFmtId="178" fontId="4" fillId="11" borderId="0" xfId="2" applyNumberFormat="1" applyFont="1" applyFill="1" applyBorder="1" applyAlignment="1">
      <alignment horizontal="right" vertical="center"/>
    </xf>
    <xf numFmtId="10" fontId="1" fillId="11" borderId="5" xfId="18" applyNumberFormat="1" applyFont="1" applyFill="1" applyBorder="1"/>
    <xf numFmtId="2" fontId="4" fillId="11" borderId="5" xfId="0" applyNumberFormat="1" applyFont="1" applyFill="1" applyBorder="1" applyAlignment="1">
      <alignment horizontal="center" vertical="center" wrapText="1"/>
    </xf>
    <xf numFmtId="179" fontId="1" fillId="10" borderId="0" xfId="2" applyNumberFormat="1" applyFill="1"/>
    <xf numFmtId="179" fontId="2" fillId="12" borderId="18" xfId="0" applyNumberFormat="1" applyFont="1" applyFill="1" applyBorder="1"/>
    <xf numFmtId="179" fontId="2" fillId="12" borderId="2" xfId="0" applyNumberFormat="1" applyFont="1" applyFill="1" applyBorder="1"/>
    <xf numFmtId="179" fontId="0" fillId="10" borderId="14" xfId="2" applyNumberFormat="1" applyFont="1" applyFill="1" applyBorder="1"/>
    <xf numFmtId="179" fontId="0" fillId="10" borderId="0" xfId="2" applyNumberFormat="1" applyFont="1" applyFill="1"/>
    <xf numFmtId="179" fontId="15" fillId="10" borderId="14" xfId="0" applyNumberFormat="1" applyFont="1" applyFill="1" applyBorder="1"/>
    <xf numFmtId="179" fontId="15" fillId="10" borderId="0" xfId="0" applyNumberFormat="1" applyFont="1" applyFill="1"/>
    <xf numFmtId="179" fontId="4" fillId="10" borderId="14" xfId="2" applyNumberFormat="1" applyFont="1" applyFill="1" applyBorder="1"/>
    <xf numFmtId="179" fontId="4" fillId="10" borderId="0" xfId="2" applyNumberFormat="1" applyFont="1" applyFill="1" applyBorder="1"/>
    <xf numFmtId="179" fontId="4" fillId="10" borderId="0" xfId="2" applyNumberFormat="1" applyFont="1" applyFill="1"/>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left" wrapText="1"/>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10" fontId="31" fillId="13" borderId="0" xfId="19" applyNumberFormat="1" applyFill="1"/>
  </cellXfs>
  <cellStyles count="20">
    <cellStyle name="Blockout" xfId="1"/>
    <cellStyle name="Comma" xfId="2" builtinId="3"/>
    <cellStyle name="Currency" xfId="3" builtinId="4"/>
    <cellStyle name="Good" xfId="19" builtinId="26"/>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htibell\AppData\Local\Temp\Temp1_AER%20final%20decision%20ActewAGL%20models.zip\AER%20final%20decision%20ActewAGL%20PTRM%20(Standard%20contro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X factor"/>
      <sheetName val="AER final decision ActewAGL PTR"/>
    </sheetNames>
    <definedNames>
      <definedName name="Asset1" refersTo="='Input'!$G$7"/>
      <definedName name="Asset10" refersTo="='Input'!$G$16"/>
      <definedName name="Asset11" refersTo="='Input'!$G$17"/>
      <definedName name="Asset12" refersTo="='Input'!$G$18"/>
      <definedName name="Asset13" refersTo="='Input'!$G$19"/>
      <definedName name="Asset14" refersTo="='Input'!$G$20"/>
      <definedName name="Asset15" refersTo="='Input'!$G$21"/>
      <definedName name="Asset16" refersTo="='Input'!$G$22"/>
      <definedName name="Asset2" refersTo="='Input'!$G$8"/>
      <definedName name="Asset3" refersTo="='Input'!$G$9"/>
      <definedName name="Asset4" refersTo="='Input'!$G$10"/>
      <definedName name="Asset5" refersTo="='Input'!$G$11"/>
      <definedName name="Asset6" refersTo="='Input'!$G$12"/>
      <definedName name="Asset7" refersTo="='Input'!$G$13"/>
      <definedName name="Asset8" refersTo="='Input'!$G$14"/>
      <definedName name="Asset9" refersTo="='Input'!$G$15"/>
    </definedNames>
    <sheetDataSet>
      <sheetData sheetId="0" refreshError="1"/>
      <sheetData sheetId="1" refreshError="1">
        <row r="7">
          <cell r="G7" t="str">
            <v>Opening Distribution Assets</v>
          </cell>
        </row>
        <row r="8">
          <cell r="G8" t="str">
            <v>Sub-transmission Overhead</v>
          </cell>
        </row>
        <row r="9">
          <cell r="G9" t="str">
            <v>Sub-transmission Underground</v>
          </cell>
        </row>
        <row r="10">
          <cell r="G10" t="str">
            <v>Zone Substation</v>
          </cell>
        </row>
        <row r="11">
          <cell r="G11" t="str">
            <v>Distribution Substations</v>
          </cell>
        </row>
        <row r="12">
          <cell r="G12" t="str">
            <v>Distribution Overhead Lines</v>
          </cell>
        </row>
        <row r="13">
          <cell r="G13" t="str">
            <v>Distribution Underground Lines</v>
          </cell>
        </row>
        <row r="14">
          <cell r="G14" t="str">
            <v>IT &amp; Communication Systems (Networks)</v>
          </cell>
        </row>
        <row r="15">
          <cell r="G15" t="str">
            <v>Motor Vehicles</v>
          </cell>
        </row>
        <row r="16">
          <cell r="G16" t="str">
            <v>Other Non-System Assets (Networks)</v>
          </cell>
        </row>
        <row r="17">
          <cell r="G17" t="str">
            <v>IT Systems (Corporate)</v>
          </cell>
        </row>
        <row r="18">
          <cell r="G18" t="str">
            <v>Telecommunications (Corporate)</v>
          </cell>
        </row>
        <row r="19">
          <cell r="G19" t="str">
            <v>Other Non-System Assets (Corporate)</v>
          </cell>
        </row>
        <row r="20">
          <cell r="G20" t="str">
            <v>Land</v>
          </cell>
        </row>
        <row r="21">
          <cell r="G21" t="str">
            <v>Buildings</v>
          </cell>
        </row>
        <row r="22">
          <cell r="G22" t="str">
            <v>Equity raising costs</v>
          </cell>
        </row>
      </sheetData>
      <sheetData sheetId="2" refreshError="1">
        <row r="15">
          <cell r="G15">
            <v>0.31527361555407185</v>
          </cell>
        </row>
        <row r="16">
          <cell r="G16">
            <v>0.29726862237852769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6"/>
      <c r="E1" s="133"/>
      <c r="F1" s="251" t="s">
        <v>94</v>
      </c>
      <c r="R1" s="9"/>
      <c r="S1" s="9"/>
      <c r="T1" s="9"/>
      <c r="U1" s="9"/>
      <c r="V1" s="9"/>
      <c r="W1" s="9"/>
    </row>
    <row r="2" spans="1:23" ht="44.25" customHeight="1">
      <c r="A2" s="9"/>
      <c r="B2" s="9"/>
      <c r="D2" s="46"/>
      <c r="F2" s="251"/>
      <c r="K2" s="251" t="s">
        <v>96</v>
      </c>
      <c r="R2" s="9"/>
      <c r="S2" s="9"/>
      <c r="T2" s="9"/>
      <c r="U2" s="9"/>
      <c r="V2" s="9"/>
      <c r="W2" s="9"/>
    </row>
    <row r="3" spans="1:23" ht="54.95" customHeight="1">
      <c r="A3" s="9"/>
      <c r="B3" s="9"/>
      <c r="D3" s="46"/>
      <c r="G3" s="251"/>
      <c r="K3" s="190" t="s">
        <v>89</v>
      </c>
      <c r="R3" s="9"/>
      <c r="S3" s="9"/>
      <c r="T3" s="9"/>
      <c r="U3" s="9"/>
      <c r="V3" s="9"/>
      <c r="W3" s="9"/>
    </row>
    <row r="4" spans="1:23" ht="36" customHeight="1">
      <c r="A4" s="9"/>
      <c r="B4" s="9"/>
      <c r="D4" s="46"/>
      <c r="G4" s="251"/>
      <c r="J4" s="192"/>
      <c r="K4" s="252" t="s">
        <v>115</v>
      </c>
      <c r="R4" s="9"/>
      <c r="S4" s="9"/>
      <c r="T4" s="9"/>
      <c r="U4" s="9"/>
      <c r="V4" s="9"/>
      <c r="W4" s="9"/>
    </row>
    <row r="5" spans="1:23" ht="36" customHeight="1">
      <c r="A5" s="9"/>
      <c r="B5" s="9"/>
      <c r="D5" s="46"/>
      <c r="L5" s="192"/>
      <c r="M5" s="192"/>
      <c r="N5" s="192"/>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4"/>
      <c r="B7" s="135" t="s">
        <v>32</v>
      </c>
      <c r="C7" s="124"/>
      <c r="D7" s="124"/>
      <c r="E7" s="124"/>
      <c r="F7" s="124"/>
      <c r="G7" s="124"/>
      <c r="H7" s="177"/>
      <c r="I7" s="124"/>
      <c r="J7" s="191"/>
      <c r="K7" s="177"/>
      <c r="L7" s="124"/>
      <c r="M7" s="124"/>
      <c r="N7" s="177"/>
      <c r="O7" s="177"/>
      <c r="P7" s="124"/>
      <c r="Q7" s="124"/>
      <c r="R7" s="124"/>
      <c r="S7" s="124"/>
      <c r="T7" s="124"/>
      <c r="U7" s="124"/>
      <c r="V7" s="124"/>
      <c r="W7" s="124"/>
    </row>
    <row r="8" spans="1:23" ht="15.75">
      <c r="A8" s="124"/>
      <c r="B8" s="124"/>
      <c r="C8" s="124"/>
      <c r="D8" s="124"/>
      <c r="E8" s="124"/>
      <c r="F8" s="124"/>
      <c r="G8" s="124"/>
      <c r="H8" s="177"/>
      <c r="I8" s="124"/>
      <c r="J8" s="178"/>
      <c r="K8" s="177"/>
      <c r="L8" s="124"/>
      <c r="M8" s="124"/>
      <c r="N8" s="124"/>
      <c r="O8" s="124"/>
      <c r="P8" s="124"/>
      <c r="Q8" s="124"/>
      <c r="R8" s="124"/>
      <c r="S8" s="124"/>
      <c r="T8" s="124"/>
      <c r="U8" s="124"/>
      <c r="V8" s="124"/>
      <c r="W8" s="124"/>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5" t="s">
        <v>97</v>
      </c>
      <c r="D13" s="43"/>
      <c r="E13" s="43"/>
      <c r="F13" s="43"/>
      <c r="G13" s="43"/>
      <c r="H13" s="43"/>
      <c r="I13" s="43"/>
      <c r="J13" s="43"/>
      <c r="K13" s="43"/>
      <c r="L13" s="43"/>
      <c r="M13" s="9"/>
      <c r="N13" s="9"/>
      <c r="O13" s="9"/>
      <c r="P13" s="9"/>
      <c r="Q13" s="9"/>
      <c r="R13" s="9"/>
      <c r="S13" s="9"/>
      <c r="T13" s="9"/>
      <c r="U13" s="9"/>
      <c r="V13" s="9"/>
      <c r="W13" s="9"/>
    </row>
    <row r="14" spans="1:23" ht="15">
      <c r="A14" s="9"/>
      <c r="B14" s="9"/>
      <c r="C14" s="175" t="s">
        <v>95</v>
      </c>
      <c r="D14" s="43"/>
      <c r="E14" s="43"/>
      <c r="F14" s="43"/>
      <c r="G14" s="43"/>
      <c r="H14" s="43"/>
      <c r="I14" s="43"/>
      <c r="J14" s="43"/>
      <c r="K14" s="43"/>
      <c r="L14" s="43"/>
      <c r="M14" s="9"/>
      <c r="N14" s="9"/>
      <c r="O14" s="9"/>
      <c r="P14" s="9"/>
      <c r="Q14" s="9"/>
      <c r="R14" s="9"/>
      <c r="S14" s="9"/>
      <c r="T14" s="9"/>
      <c r="U14" s="9"/>
      <c r="V14" s="9"/>
      <c r="W14" s="9"/>
    </row>
    <row r="15" spans="1:23" ht="15">
      <c r="A15" s="9"/>
      <c r="B15" s="9"/>
      <c r="C15" s="175"/>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3"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4" t="s">
        <v>109</v>
      </c>
      <c r="E21" s="255" t="s">
        <v>110</v>
      </c>
      <c r="F21" s="255"/>
      <c r="G21" s="255" t="s">
        <v>111</v>
      </c>
      <c r="H21" s="255"/>
      <c r="I21" s="43"/>
      <c r="J21" s="43"/>
      <c r="K21" s="43"/>
      <c r="L21" s="43"/>
      <c r="M21" s="9"/>
      <c r="N21" s="9"/>
      <c r="O21" s="9"/>
      <c r="P21" s="9"/>
      <c r="Q21" s="9"/>
      <c r="R21" s="9"/>
      <c r="S21" s="9"/>
      <c r="T21" s="9"/>
      <c r="U21" s="9"/>
      <c r="V21" s="9"/>
      <c r="W21" s="9"/>
    </row>
    <row r="22" spans="1:23" ht="15">
      <c r="A22" s="9"/>
      <c r="B22" s="9"/>
      <c r="C22" s="43"/>
      <c r="D22" s="256" t="s">
        <v>112</v>
      </c>
      <c r="E22" s="257">
        <v>39625</v>
      </c>
      <c r="F22" s="175"/>
      <c r="G22" s="175"/>
      <c r="H22" s="175"/>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9"/>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2"/>
      <c r="E40" s="238"/>
      <c r="F40" s="192"/>
      <c r="G40" s="192"/>
      <c r="H40" s="9"/>
      <c r="I40" s="9"/>
      <c r="J40" s="9"/>
      <c r="K40" s="9"/>
      <c r="L40" s="9"/>
      <c r="M40" s="9"/>
      <c r="N40" s="9"/>
      <c r="O40" s="9"/>
      <c r="P40" s="9"/>
      <c r="Q40" s="9"/>
      <c r="R40" s="9"/>
      <c r="S40" s="9"/>
      <c r="T40" s="9"/>
      <c r="U40" s="9"/>
      <c r="V40" s="9"/>
      <c r="W40" s="9"/>
    </row>
    <row r="41" spans="1:23" ht="15">
      <c r="A41" s="9"/>
      <c r="B41" s="9"/>
      <c r="C41" s="9"/>
      <c r="D41" s="250"/>
      <c r="E41" s="192"/>
      <c r="F41" s="192"/>
      <c r="G41" s="192"/>
      <c r="H41" s="9"/>
      <c r="I41" s="9"/>
      <c r="J41" s="9"/>
      <c r="K41" s="9"/>
      <c r="L41" s="9"/>
      <c r="M41" s="9"/>
      <c r="N41" s="9"/>
      <c r="O41" s="9"/>
      <c r="P41" s="9"/>
      <c r="Q41" s="9"/>
      <c r="R41" s="9"/>
      <c r="S41" s="9"/>
      <c r="T41" s="9"/>
      <c r="U41" s="9"/>
      <c r="V41" s="9"/>
      <c r="W41" s="9"/>
    </row>
    <row r="42" spans="1:23" ht="15">
      <c r="A42" s="9"/>
      <c r="B42" s="9"/>
      <c r="C42" s="9"/>
      <c r="D42" s="192"/>
      <c r="E42" s="6"/>
      <c r="F42" s="6"/>
      <c r="G42" s="192"/>
      <c r="H42" s="9"/>
      <c r="I42" s="9"/>
      <c r="J42" s="9"/>
      <c r="K42" s="9"/>
      <c r="L42" s="9"/>
      <c r="M42" s="9"/>
      <c r="N42" s="9"/>
      <c r="O42" s="9"/>
      <c r="P42" s="9"/>
      <c r="Q42" s="9"/>
      <c r="R42" s="9"/>
      <c r="S42" s="9"/>
      <c r="T42" s="9"/>
      <c r="U42" s="9"/>
      <c r="V42" s="9"/>
      <c r="W42" s="9"/>
    </row>
    <row r="43" spans="1:23" ht="15">
      <c r="A43" s="9"/>
      <c r="B43" s="9"/>
      <c r="C43" s="9"/>
      <c r="D43" s="192"/>
      <c r="E43" s="6"/>
      <c r="F43" s="6"/>
      <c r="G43" s="192"/>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zoomScale="90" workbookViewId="0"/>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2"/>
      <c r="AF1" s="192"/>
      <c r="AG1" s="192"/>
      <c r="AH1" s="192"/>
      <c r="AI1" s="192"/>
      <c r="AJ1" s="192"/>
      <c r="AK1" s="192"/>
      <c r="AL1" s="192"/>
      <c r="AM1" s="192"/>
      <c r="AN1" s="192"/>
      <c r="AO1" s="192"/>
      <c r="AP1" s="192"/>
      <c r="AQ1" s="192"/>
      <c r="AR1" s="192"/>
      <c r="AS1" s="192"/>
      <c r="AT1" s="192"/>
      <c r="AU1" s="192"/>
    </row>
    <row r="2" spans="1:47" ht="16.5" customHeight="1">
      <c r="A2" s="12"/>
      <c r="B2" s="12"/>
      <c r="C2" s="12"/>
      <c r="D2" s="12"/>
      <c r="E2" s="12"/>
      <c r="F2" s="53" t="s">
        <v>21</v>
      </c>
      <c r="G2" s="328" t="s">
        <v>78</v>
      </c>
      <c r="H2" s="329"/>
      <c r="I2" s="51"/>
      <c r="J2" s="280"/>
      <c r="K2" s="275"/>
      <c r="L2" s="51"/>
      <c r="M2" s="51"/>
      <c r="N2" s="51"/>
      <c r="O2" s="51"/>
      <c r="P2" s="51"/>
      <c r="Q2" s="51"/>
      <c r="R2" s="51"/>
      <c r="S2" s="51"/>
      <c r="T2" s="51"/>
      <c r="U2" s="51"/>
      <c r="V2" s="51"/>
      <c r="W2" s="51"/>
      <c r="X2" s="19"/>
      <c r="Y2" s="19"/>
      <c r="Z2" s="19"/>
      <c r="AA2" s="19"/>
      <c r="AB2" s="9"/>
      <c r="AC2" s="9"/>
      <c r="AD2" s="9"/>
      <c r="AE2" s="192"/>
      <c r="AF2" s="192"/>
      <c r="AG2" s="192"/>
      <c r="AH2" s="192"/>
      <c r="AI2" s="192"/>
      <c r="AJ2" s="192"/>
      <c r="AK2" s="192"/>
      <c r="AL2" s="192"/>
      <c r="AM2" s="192"/>
      <c r="AN2" s="192"/>
      <c r="AO2" s="192"/>
      <c r="AP2" s="192"/>
      <c r="AQ2" s="192"/>
      <c r="AR2" s="192"/>
      <c r="AS2" s="192"/>
      <c r="AT2" s="192"/>
      <c r="AU2" s="192"/>
    </row>
    <row r="3" spans="1:47" s="49" customFormat="1">
      <c r="A3" s="55"/>
      <c r="B3" s="55"/>
      <c r="C3" s="55"/>
      <c r="D3" s="55"/>
      <c r="E3" s="55"/>
      <c r="F3" s="56"/>
      <c r="G3" s="56"/>
      <c r="H3" s="55"/>
      <c r="I3" s="55"/>
      <c r="J3" s="301"/>
      <c r="K3" s="55"/>
      <c r="L3" s="55"/>
      <c r="M3" s="55"/>
      <c r="N3" s="55"/>
      <c r="O3" s="55"/>
      <c r="P3" s="55"/>
      <c r="Q3" s="55"/>
      <c r="R3" s="55"/>
      <c r="S3" s="55"/>
      <c r="T3" s="55"/>
      <c r="U3" s="55"/>
      <c r="V3" s="55"/>
      <c r="W3" s="55"/>
      <c r="X3" s="54"/>
      <c r="Y3" s="54"/>
      <c r="Z3" s="54"/>
      <c r="AA3" s="54"/>
      <c r="AB3" s="46"/>
      <c r="AC3" s="46"/>
      <c r="AD3" s="46"/>
      <c r="AE3" s="216"/>
      <c r="AF3" s="216"/>
      <c r="AG3" s="216"/>
      <c r="AH3" s="216"/>
      <c r="AI3" s="216"/>
      <c r="AJ3" s="216"/>
      <c r="AK3" s="216"/>
      <c r="AL3" s="216"/>
      <c r="AM3" s="216"/>
      <c r="AN3" s="216"/>
      <c r="AO3" s="216"/>
      <c r="AP3" s="216"/>
      <c r="AQ3" s="216"/>
      <c r="AR3" s="216"/>
      <c r="AS3" s="216"/>
      <c r="AT3" s="216"/>
      <c r="AU3" s="216"/>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38"/>
      <c r="AF4" s="238"/>
      <c r="AG4" s="238"/>
      <c r="AH4" s="238"/>
      <c r="AI4" s="238"/>
      <c r="AJ4" s="238"/>
      <c r="AK4" s="238"/>
      <c r="AL4" s="238"/>
      <c r="AM4" s="238"/>
      <c r="AN4" s="238"/>
      <c r="AO4" s="238"/>
      <c r="AP4" s="238"/>
      <c r="AQ4" s="238"/>
      <c r="AR4" s="238"/>
      <c r="AS4" s="238"/>
      <c r="AT4" s="238"/>
      <c r="AU4" s="238"/>
    </row>
    <row r="5" spans="1:47">
      <c r="A5" s="75"/>
      <c r="B5" s="75"/>
      <c r="C5" s="75"/>
      <c r="D5" s="75"/>
      <c r="E5" s="75"/>
      <c r="F5" s="163" t="str">
        <f>"Opening Regulated Asset Base for "&amp;CONCATENATE(LEFT(V7, 4)-1 &amp;"-" &amp;IF(V7&gt;"2009-10",,"0") &amp;RIGHT(V7,2)-1) &amp;" ($m Nominal)"</f>
        <v>Opening Regulated Asset Base for 2008-09 ($m Nominal)</v>
      </c>
      <c r="G5" s="163"/>
      <c r="H5" s="163"/>
      <c r="I5" s="163"/>
      <c r="J5" s="76"/>
      <c r="K5" s="77"/>
      <c r="L5" s="76"/>
      <c r="M5" s="77"/>
      <c r="N5" s="76"/>
      <c r="O5" s="76"/>
      <c r="P5" s="76"/>
      <c r="Q5" s="76"/>
      <c r="R5" s="76"/>
      <c r="S5" s="76"/>
      <c r="T5" s="76"/>
      <c r="U5" s="76"/>
      <c r="V5" s="77"/>
      <c r="W5" s="77"/>
      <c r="X5" s="8"/>
      <c r="Y5" s="8"/>
      <c r="Z5" s="8"/>
      <c r="AA5" s="8"/>
      <c r="AB5" s="44"/>
      <c r="AC5" s="9"/>
      <c r="AD5" s="9"/>
      <c r="AE5" s="192"/>
      <c r="AF5" s="192"/>
      <c r="AG5" s="192"/>
      <c r="AH5" s="192"/>
      <c r="AI5" s="192"/>
      <c r="AJ5" s="192"/>
      <c r="AK5" s="192"/>
      <c r="AL5" s="192"/>
      <c r="AM5" s="192"/>
      <c r="AN5" s="192"/>
      <c r="AO5" s="192"/>
      <c r="AP5" s="192"/>
      <c r="AQ5" s="192"/>
      <c r="AR5" s="192"/>
      <c r="AS5" s="192"/>
      <c r="AT5" s="192"/>
      <c r="AU5" s="192"/>
    </row>
    <row r="6" spans="1:47" ht="45" customHeight="1">
      <c r="A6" s="12"/>
      <c r="B6" s="12"/>
      <c r="C6" s="12"/>
      <c r="D6" s="12"/>
      <c r="E6" s="12"/>
      <c r="F6" s="39"/>
      <c r="G6" s="330" t="s">
        <v>88</v>
      </c>
      <c r="H6" s="330"/>
      <c r="I6" s="330"/>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2"/>
      <c r="AF6" s="192"/>
      <c r="AG6" s="192"/>
      <c r="AH6" s="192"/>
      <c r="AI6" s="192"/>
      <c r="AJ6" s="192"/>
      <c r="AK6" s="192"/>
      <c r="AL6" s="192"/>
      <c r="AM6" s="192"/>
      <c r="AN6" s="192"/>
      <c r="AO6" s="192"/>
      <c r="AP6" s="192"/>
      <c r="AQ6" s="192"/>
      <c r="AR6" s="192"/>
      <c r="AS6" s="192"/>
      <c r="AT6" s="192"/>
      <c r="AU6" s="192"/>
    </row>
    <row r="7" spans="1:47">
      <c r="A7" s="12"/>
      <c r="B7" s="12"/>
      <c r="C7" s="12"/>
      <c r="D7" s="12"/>
      <c r="E7" s="12"/>
      <c r="F7" s="40" t="s">
        <v>0</v>
      </c>
      <c r="G7" s="331" t="str">
        <f>[1]!Asset1</f>
        <v>Opening Distribution Assets</v>
      </c>
      <c r="H7" s="332"/>
      <c r="I7" s="332"/>
      <c r="J7" s="300">
        <v>498.28027838127326</v>
      </c>
      <c r="K7" s="266">
        <v>20.481617771851777</v>
      </c>
      <c r="L7" s="260">
        <v>40</v>
      </c>
      <c r="M7" s="266">
        <v>29.159874678113024</v>
      </c>
      <c r="N7" s="62">
        <v>4.1592114193485834</v>
      </c>
      <c r="O7" s="62"/>
      <c r="P7" s="62"/>
      <c r="Q7" s="62"/>
      <c r="R7" s="62"/>
      <c r="S7" s="64">
        <v>399.29428322833485</v>
      </c>
      <c r="T7" s="259">
        <v>23.718216785538054</v>
      </c>
      <c r="U7" s="315">
        <v>44.621655934639037</v>
      </c>
      <c r="V7" s="265" t="s">
        <v>116</v>
      </c>
      <c r="W7" s="8"/>
      <c r="X7" s="8"/>
      <c r="Y7" s="8"/>
      <c r="Z7" s="9"/>
      <c r="AA7" s="9"/>
      <c r="AB7" s="9"/>
      <c r="AC7" s="9"/>
      <c r="AD7" s="9"/>
      <c r="AE7" s="192"/>
      <c r="AF7" s="192"/>
      <c r="AG7" s="192"/>
      <c r="AH7" s="192"/>
      <c r="AI7" s="192"/>
      <c r="AJ7" s="192"/>
      <c r="AK7" s="192"/>
      <c r="AL7" s="192"/>
      <c r="AM7" s="192"/>
      <c r="AN7" s="192"/>
      <c r="AO7" s="192"/>
      <c r="AP7" s="192"/>
      <c r="AQ7" s="192"/>
      <c r="AR7" s="192"/>
      <c r="AS7" s="192"/>
      <c r="AT7" s="192"/>
      <c r="AU7" s="192"/>
    </row>
    <row r="8" spans="1:47">
      <c r="A8" s="12"/>
      <c r="B8" s="12"/>
      <c r="C8" s="12"/>
      <c r="D8" s="12"/>
      <c r="E8" s="12"/>
      <c r="F8" s="40" t="s">
        <v>1</v>
      </c>
      <c r="G8" s="326" t="str">
        <f>[1]!Asset2</f>
        <v>Sub-transmission Overhead</v>
      </c>
      <c r="H8" s="327"/>
      <c r="I8" s="327"/>
      <c r="J8" s="65">
        <v>0</v>
      </c>
      <c r="K8" s="262" t="s">
        <v>113</v>
      </c>
      <c r="L8" s="262">
        <v>40</v>
      </c>
      <c r="M8" s="262">
        <v>0</v>
      </c>
      <c r="N8" s="63"/>
      <c r="O8" s="63"/>
      <c r="P8" s="63"/>
      <c r="Q8" s="63"/>
      <c r="R8" s="63"/>
      <c r="S8" s="65">
        <v>0</v>
      </c>
      <c r="T8" s="268" t="s">
        <v>113</v>
      </c>
      <c r="U8" s="262">
        <v>47.5</v>
      </c>
      <c r="V8" s="8"/>
      <c r="W8" s="8"/>
      <c r="X8" s="8"/>
      <c r="Y8" s="8"/>
      <c r="Z8" s="9"/>
      <c r="AA8" s="9"/>
      <c r="AB8" s="9"/>
      <c r="AC8" s="9"/>
      <c r="AD8" s="9"/>
      <c r="AE8" s="192"/>
      <c r="AF8" s="192"/>
      <c r="AG8" s="192"/>
      <c r="AH8" s="192"/>
      <c r="AI8" s="192"/>
      <c r="AJ8" s="192"/>
      <c r="AK8" s="192"/>
      <c r="AL8" s="192"/>
      <c r="AM8" s="192"/>
      <c r="AN8" s="192"/>
      <c r="AO8" s="192"/>
      <c r="AP8" s="192"/>
      <c r="AQ8" s="192"/>
      <c r="AR8" s="192"/>
      <c r="AS8" s="192"/>
      <c r="AT8" s="192"/>
      <c r="AU8" s="192"/>
    </row>
    <row r="9" spans="1:47">
      <c r="A9" s="12"/>
      <c r="B9" s="12"/>
      <c r="C9" s="12"/>
      <c r="D9" s="12"/>
      <c r="E9" s="12"/>
      <c r="F9" s="40" t="s">
        <v>6</v>
      </c>
      <c r="G9" s="326" t="str">
        <f>[1]!Asset3</f>
        <v>Sub-transmission Underground</v>
      </c>
      <c r="H9" s="327"/>
      <c r="I9" s="327"/>
      <c r="J9" s="65">
        <v>0</v>
      </c>
      <c r="K9" s="262" t="s">
        <v>113</v>
      </c>
      <c r="L9" s="262">
        <v>60</v>
      </c>
      <c r="M9" s="262">
        <v>0</v>
      </c>
      <c r="N9" s="63"/>
      <c r="O9" s="63"/>
      <c r="P9" s="63"/>
      <c r="Q9" s="63"/>
      <c r="R9" s="63"/>
      <c r="S9" s="65">
        <v>0</v>
      </c>
      <c r="T9" s="268" t="s">
        <v>113</v>
      </c>
      <c r="U9" s="262">
        <v>47.5</v>
      </c>
      <c r="V9" s="8"/>
      <c r="W9" s="8"/>
      <c r="X9" s="8"/>
      <c r="Y9" s="8"/>
      <c r="Z9" s="9"/>
      <c r="AA9" s="9"/>
      <c r="AB9" s="9"/>
      <c r="AC9" s="9"/>
      <c r="AD9" s="9"/>
      <c r="AE9" s="192"/>
      <c r="AF9" s="192"/>
      <c r="AG9" s="192"/>
      <c r="AH9" s="192"/>
      <c r="AI9" s="192"/>
      <c r="AJ9" s="192"/>
      <c r="AK9" s="192"/>
      <c r="AL9" s="192"/>
      <c r="AM9" s="192"/>
      <c r="AN9" s="192"/>
      <c r="AO9" s="192"/>
      <c r="AP9" s="192"/>
      <c r="AQ9" s="192"/>
      <c r="AR9" s="192"/>
      <c r="AS9" s="192"/>
      <c r="AT9" s="192"/>
      <c r="AU9" s="192"/>
    </row>
    <row r="10" spans="1:47">
      <c r="A10" s="12"/>
      <c r="B10" s="12"/>
      <c r="C10" s="12"/>
      <c r="D10" s="12"/>
      <c r="E10" s="12"/>
      <c r="F10" s="40" t="s">
        <v>7</v>
      </c>
      <c r="G10" s="326" t="str">
        <f>[1]!Asset4</f>
        <v>Zone Substation</v>
      </c>
      <c r="H10" s="327"/>
      <c r="I10" s="327"/>
      <c r="J10" s="65">
        <v>0</v>
      </c>
      <c r="K10" s="262" t="s">
        <v>113</v>
      </c>
      <c r="L10" s="262">
        <v>40</v>
      </c>
      <c r="M10" s="262">
        <v>0</v>
      </c>
      <c r="N10" s="63"/>
      <c r="O10" s="63"/>
      <c r="P10" s="63"/>
      <c r="Q10" s="63"/>
      <c r="R10" s="63"/>
      <c r="S10" s="65">
        <v>0</v>
      </c>
      <c r="T10" s="268" t="s">
        <v>113</v>
      </c>
      <c r="U10" s="262">
        <v>40</v>
      </c>
      <c r="V10" s="8"/>
      <c r="W10" s="8"/>
      <c r="X10" s="8"/>
      <c r="Y10" s="8"/>
      <c r="Z10" s="9"/>
      <c r="AA10" s="9"/>
      <c r="AB10" s="9"/>
      <c r="AC10" s="9"/>
      <c r="AD10" s="9"/>
      <c r="AE10" s="192"/>
      <c r="AF10" s="192"/>
      <c r="AG10" s="192"/>
      <c r="AH10" s="192"/>
      <c r="AI10" s="192"/>
      <c r="AJ10" s="192"/>
      <c r="AK10" s="192"/>
      <c r="AL10" s="192"/>
      <c r="AM10" s="192"/>
      <c r="AN10" s="192"/>
      <c r="AO10" s="192"/>
      <c r="AP10" s="192"/>
      <c r="AQ10" s="192"/>
      <c r="AR10" s="192"/>
      <c r="AS10" s="192"/>
      <c r="AT10" s="192"/>
      <c r="AU10" s="192"/>
    </row>
    <row r="11" spans="1:47">
      <c r="A11" s="12"/>
      <c r="B11" s="12"/>
      <c r="C11" s="12"/>
      <c r="D11" s="12"/>
      <c r="E11" s="12"/>
      <c r="F11" s="40" t="s">
        <v>8</v>
      </c>
      <c r="G11" s="326" t="str">
        <f>[1]!Asset5</f>
        <v>Distribution Substations</v>
      </c>
      <c r="H11" s="327"/>
      <c r="I11" s="327"/>
      <c r="J11" s="65">
        <v>0</v>
      </c>
      <c r="K11" s="262" t="s">
        <v>113</v>
      </c>
      <c r="L11" s="262">
        <v>40</v>
      </c>
      <c r="M11" s="262">
        <v>0</v>
      </c>
      <c r="N11" s="63"/>
      <c r="O11" s="63"/>
      <c r="P11" s="63"/>
      <c r="Q11" s="63"/>
      <c r="R11" s="63"/>
      <c r="S11" s="65">
        <v>0</v>
      </c>
      <c r="T11" s="268" t="s">
        <v>113</v>
      </c>
      <c r="U11" s="262">
        <v>40</v>
      </c>
      <c r="V11" s="8"/>
      <c r="W11" s="8"/>
      <c r="X11" s="8"/>
      <c r="Y11" s="8"/>
      <c r="Z11" s="9"/>
      <c r="AA11" s="9"/>
      <c r="AB11" s="9"/>
      <c r="AC11" s="9"/>
      <c r="AD11" s="9"/>
      <c r="AE11" s="192"/>
      <c r="AF11" s="192"/>
      <c r="AG11" s="192"/>
      <c r="AH11" s="192"/>
      <c r="AI11" s="192"/>
      <c r="AJ11" s="192"/>
      <c r="AK11" s="192"/>
      <c r="AL11" s="192"/>
      <c r="AM11" s="192"/>
      <c r="AN11" s="192"/>
      <c r="AO11" s="192"/>
      <c r="AP11" s="192"/>
      <c r="AQ11" s="192"/>
      <c r="AR11" s="192"/>
      <c r="AS11" s="192"/>
      <c r="AT11" s="192"/>
      <c r="AU11" s="192"/>
    </row>
    <row r="12" spans="1:47">
      <c r="A12" s="12"/>
      <c r="B12" s="12"/>
      <c r="C12" s="12"/>
      <c r="D12" s="12"/>
      <c r="E12" s="12"/>
      <c r="F12" s="40" t="s">
        <v>9</v>
      </c>
      <c r="G12" s="326" t="str">
        <f>[1]!Asset6</f>
        <v>Distribution Overhead Lines</v>
      </c>
      <c r="H12" s="327"/>
      <c r="I12" s="327"/>
      <c r="J12" s="65">
        <v>0</v>
      </c>
      <c r="K12" s="262" t="s">
        <v>113</v>
      </c>
      <c r="L12" s="262">
        <v>50</v>
      </c>
      <c r="M12" s="262">
        <v>0</v>
      </c>
      <c r="N12" s="63"/>
      <c r="O12" s="63"/>
      <c r="P12" s="63"/>
      <c r="Q12" s="63"/>
      <c r="R12" s="63"/>
      <c r="S12" s="65">
        <v>0</v>
      </c>
      <c r="T12" s="268" t="s">
        <v>113</v>
      </c>
      <c r="U12" s="262">
        <v>45</v>
      </c>
      <c r="V12" s="8"/>
      <c r="W12" s="8"/>
      <c r="X12" s="8"/>
      <c r="Y12" s="8"/>
      <c r="Z12" s="9"/>
      <c r="AA12" s="9"/>
      <c r="AB12" s="9"/>
      <c r="AC12" s="9"/>
      <c r="AD12" s="9"/>
      <c r="AE12" s="192"/>
      <c r="AF12" s="192"/>
      <c r="AG12" s="192"/>
      <c r="AH12" s="192"/>
      <c r="AI12" s="192"/>
      <c r="AJ12" s="192"/>
      <c r="AK12" s="192"/>
      <c r="AL12" s="192"/>
      <c r="AM12" s="192"/>
      <c r="AN12" s="192"/>
      <c r="AO12" s="192"/>
      <c r="AP12" s="192"/>
      <c r="AQ12" s="192"/>
      <c r="AR12" s="192"/>
      <c r="AS12" s="192"/>
      <c r="AT12" s="192"/>
      <c r="AU12" s="192"/>
    </row>
    <row r="13" spans="1:47">
      <c r="A13" s="12"/>
      <c r="B13" s="12"/>
      <c r="C13" s="12"/>
      <c r="D13" s="12"/>
      <c r="E13" s="12"/>
      <c r="F13" s="40" t="s">
        <v>10</v>
      </c>
      <c r="G13" s="326" t="str">
        <f>[1]!Asset7</f>
        <v>Distribution Underground Lines</v>
      </c>
      <c r="H13" s="327"/>
      <c r="I13" s="327"/>
      <c r="J13" s="65">
        <v>0</v>
      </c>
      <c r="K13" s="262" t="s">
        <v>113</v>
      </c>
      <c r="L13" s="262">
        <v>60</v>
      </c>
      <c r="M13" s="262">
        <v>0</v>
      </c>
      <c r="N13" s="63"/>
      <c r="O13" s="63"/>
      <c r="P13" s="63"/>
      <c r="Q13" s="63"/>
      <c r="R13" s="63"/>
      <c r="S13" s="65">
        <v>0</v>
      </c>
      <c r="T13" s="268" t="s">
        <v>113</v>
      </c>
      <c r="U13" s="262">
        <v>50</v>
      </c>
      <c r="V13" s="8"/>
      <c r="W13" s="8"/>
      <c r="X13" s="8"/>
      <c r="Y13" s="8"/>
      <c r="Z13" s="9"/>
      <c r="AA13" s="9"/>
      <c r="AB13" s="9"/>
      <c r="AC13" s="9"/>
      <c r="AD13" s="9"/>
      <c r="AE13" s="192"/>
      <c r="AF13" s="192"/>
      <c r="AG13" s="192"/>
      <c r="AH13" s="192"/>
      <c r="AI13" s="192"/>
      <c r="AJ13" s="192"/>
      <c r="AK13" s="192"/>
      <c r="AL13" s="192"/>
      <c r="AM13" s="192"/>
      <c r="AN13" s="192"/>
      <c r="AO13" s="192"/>
      <c r="AP13" s="192"/>
      <c r="AQ13" s="192"/>
      <c r="AR13" s="192"/>
      <c r="AS13" s="192"/>
      <c r="AT13" s="192"/>
      <c r="AU13" s="192"/>
    </row>
    <row r="14" spans="1:47">
      <c r="A14" s="12"/>
      <c r="B14" s="12"/>
      <c r="C14" s="12"/>
      <c r="D14" s="12"/>
      <c r="E14" s="12"/>
      <c r="F14" s="40" t="s">
        <v>11</v>
      </c>
      <c r="G14" s="326" t="str">
        <f>[1]!Asset8</f>
        <v>IT &amp; Communication Systems (Networks)</v>
      </c>
      <c r="H14" s="327"/>
      <c r="I14" s="327"/>
      <c r="J14" s="65">
        <v>0</v>
      </c>
      <c r="K14" s="262" t="s">
        <v>113</v>
      </c>
      <c r="L14" s="262">
        <v>10</v>
      </c>
      <c r="M14" s="262">
        <v>0</v>
      </c>
      <c r="N14" s="63"/>
      <c r="O14" s="63"/>
      <c r="P14" s="63"/>
      <c r="Q14" s="63"/>
      <c r="R14" s="63"/>
      <c r="S14" s="65">
        <v>0</v>
      </c>
      <c r="T14" s="268" t="s">
        <v>113</v>
      </c>
      <c r="U14" s="262">
        <v>10</v>
      </c>
      <c r="V14" s="8"/>
      <c r="W14" s="8"/>
      <c r="X14" s="8"/>
      <c r="Y14" s="8"/>
      <c r="Z14" s="9"/>
      <c r="AA14" s="9"/>
      <c r="AB14" s="9"/>
      <c r="AC14" s="9"/>
      <c r="AD14" s="9"/>
      <c r="AE14" s="192"/>
      <c r="AF14" s="192"/>
      <c r="AG14" s="192"/>
      <c r="AH14" s="192"/>
      <c r="AI14" s="192"/>
      <c r="AJ14" s="192"/>
      <c r="AK14" s="192"/>
      <c r="AL14" s="192"/>
      <c r="AM14" s="192"/>
      <c r="AN14" s="192"/>
      <c r="AO14" s="192"/>
      <c r="AP14" s="192"/>
      <c r="AQ14" s="192"/>
      <c r="AR14" s="192"/>
      <c r="AS14" s="192"/>
      <c r="AT14" s="192"/>
      <c r="AU14" s="192"/>
    </row>
    <row r="15" spans="1:47" ht="11.25" customHeight="1">
      <c r="A15" s="12"/>
      <c r="B15" s="12"/>
      <c r="C15" s="12"/>
      <c r="D15" s="12"/>
      <c r="E15" s="12"/>
      <c r="F15" s="40" t="s">
        <v>12</v>
      </c>
      <c r="G15" s="326" t="str">
        <f>[1]!Asset9</f>
        <v>Motor Vehicles</v>
      </c>
      <c r="H15" s="327"/>
      <c r="I15" s="327"/>
      <c r="J15" s="65">
        <v>0</v>
      </c>
      <c r="K15" s="262" t="s">
        <v>113</v>
      </c>
      <c r="L15" s="262">
        <v>7</v>
      </c>
      <c r="M15" s="262">
        <v>0</v>
      </c>
      <c r="N15" s="63"/>
      <c r="O15" s="63"/>
      <c r="P15" s="63"/>
      <c r="Q15" s="63"/>
      <c r="R15" s="63"/>
      <c r="S15" s="65">
        <v>0</v>
      </c>
      <c r="T15" s="268" t="s">
        <v>113</v>
      </c>
      <c r="U15" s="262">
        <v>8</v>
      </c>
      <c r="V15" s="8"/>
      <c r="W15" s="8"/>
      <c r="X15" s="8"/>
      <c r="Y15" s="8"/>
      <c r="Z15" s="9"/>
      <c r="AA15" s="9"/>
      <c r="AB15" s="9"/>
      <c r="AC15" s="9"/>
      <c r="AD15" s="9"/>
      <c r="AE15" s="192"/>
      <c r="AF15" s="192"/>
      <c r="AG15" s="192"/>
      <c r="AH15" s="192"/>
      <c r="AI15" s="192"/>
      <c r="AJ15" s="192"/>
      <c r="AK15" s="192"/>
      <c r="AL15" s="192"/>
      <c r="AM15" s="192"/>
      <c r="AN15" s="192"/>
      <c r="AO15" s="192"/>
      <c r="AP15" s="192"/>
      <c r="AQ15" s="192"/>
      <c r="AR15" s="192"/>
      <c r="AS15" s="192"/>
      <c r="AT15" s="192"/>
      <c r="AU15" s="192"/>
    </row>
    <row r="16" spans="1:47">
      <c r="A16" s="12"/>
      <c r="B16" s="12"/>
      <c r="C16" s="12"/>
      <c r="D16" s="12"/>
      <c r="E16" s="12"/>
      <c r="F16" s="40" t="s">
        <v>13</v>
      </c>
      <c r="G16" s="326" t="str">
        <f>[1]!Asset10</f>
        <v>Other Non-System Assets (Networks)</v>
      </c>
      <c r="H16" s="327"/>
      <c r="I16" s="327"/>
      <c r="J16" s="65">
        <v>0</v>
      </c>
      <c r="K16" s="262" t="s">
        <v>113</v>
      </c>
      <c r="L16" s="262">
        <v>5</v>
      </c>
      <c r="M16" s="262">
        <v>0</v>
      </c>
      <c r="N16" s="63"/>
      <c r="O16" s="63"/>
      <c r="P16" s="63"/>
      <c r="Q16" s="63"/>
      <c r="R16" s="63"/>
      <c r="S16" s="65">
        <v>0</v>
      </c>
      <c r="T16" s="268" t="s">
        <v>113</v>
      </c>
      <c r="U16" s="262">
        <v>5.8</v>
      </c>
      <c r="V16" s="8"/>
      <c r="W16" s="8"/>
      <c r="X16" s="8"/>
      <c r="Y16" s="8"/>
      <c r="Z16" s="9"/>
      <c r="AA16" s="9"/>
      <c r="AB16" s="9"/>
      <c r="AC16" s="9"/>
      <c r="AD16" s="9"/>
      <c r="AE16" s="192"/>
      <c r="AF16" s="192"/>
      <c r="AG16" s="192"/>
      <c r="AH16" s="192"/>
      <c r="AI16" s="192"/>
      <c r="AJ16" s="192"/>
      <c r="AK16" s="192"/>
      <c r="AL16" s="192"/>
      <c r="AM16" s="192"/>
      <c r="AN16" s="192"/>
      <c r="AO16" s="192"/>
      <c r="AP16" s="192"/>
      <c r="AQ16" s="192"/>
      <c r="AR16" s="192"/>
      <c r="AS16" s="192"/>
      <c r="AT16" s="192"/>
      <c r="AU16" s="192"/>
    </row>
    <row r="17" spans="1:47">
      <c r="A17" s="12"/>
      <c r="B17" s="12"/>
      <c r="C17" s="12"/>
      <c r="D17" s="12"/>
      <c r="E17" s="12"/>
      <c r="F17" s="40" t="s">
        <v>14</v>
      </c>
      <c r="G17" s="326" t="str">
        <f>[1]!Asset11</f>
        <v>IT Systems (Corporate)</v>
      </c>
      <c r="H17" s="327"/>
      <c r="I17" s="327"/>
      <c r="J17" s="65">
        <v>0</v>
      </c>
      <c r="K17" s="262" t="s">
        <v>113</v>
      </c>
      <c r="L17" s="262">
        <v>5</v>
      </c>
      <c r="M17" s="262">
        <v>0</v>
      </c>
      <c r="N17" s="63"/>
      <c r="O17" s="63"/>
      <c r="P17" s="63"/>
      <c r="Q17" s="63"/>
      <c r="R17" s="63"/>
      <c r="S17" s="65">
        <v>0</v>
      </c>
      <c r="T17" s="268" t="s">
        <v>113</v>
      </c>
      <c r="U17" s="262">
        <v>4.0999999999999996</v>
      </c>
      <c r="V17" s="8"/>
      <c r="W17" s="8"/>
      <c r="X17" s="8"/>
      <c r="Y17" s="8"/>
      <c r="Z17" s="9"/>
      <c r="AA17" s="9"/>
      <c r="AB17" s="9"/>
      <c r="AC17" s="9"/>
      <c r="AD17" s="9"/>
      <c r="AE17" s="192"/>
      <c r="AF17" s="192"/>
      <c r="AG17" s="192"/>
      <c r="AH17" s="192"/>
      <c r="AI17" s="192"/>
      <c r="AJ17" s="192"/>
      <c r="AK17" s="192"/>
      <c r="AL17" s="192"/>
      <c r="AM17" s="192"/>
      <c r="AN17" s="192"/>
      <c r="AO17" s="192"/>
      <c r="AP17" s="192"/>
      <c r="AQ17" s="192"/>
      <c r="AR17" s="192"/>
      <c r="AS17" s="192"/>
      <c r="AT17" s="192"/>
      <c r="AU17" s="192"/>
    </row>
    <row r="18" spans="1:47">
      <c r="A18" s="12"/>
      <c r="B18" s="12"/>
      <c r="C18" s="12"/>
      <c r="D18" s="12"/>
      <c r="E18" s="12"/>
      <c r="F18" s="40" t="s">
        <v>15</v>
      </c>
      <c r="G18" s="326" t="str">
        <f>[1]!Asset12</f>
        <v>Telecommunications (Corporate)</v>
      </c>
      <c r="H18" s="327"/>
      <c r="I18" s="327"/>
      <c r="J18" s="65">
        <v>0</v>
      </c>
      <c r="K18" s="262" t="s">
        <v>113</v>
      </c>
      <c r="L18" s="262">
        <v>5</v>
      </c>
      <c r="M18" s="262">
        <v>0</v>
      </c>
      <c r="N18" s="63"/>
      <c r="O18" s="63"/>
      <c r="P18" s="63"/>
      <c r="Q18" s="63"/>
      <c r="R18" s="63"/>
      <c r="S18" s="65">
        <v>0</v>
      </c>
      <c r="T18" s="268" t="s">
        <v>113</v>
      </c>
      <c r="U18" s="262">
        <v>6.7</v>
      </c>
      <c r="V18" s="8"/>
      <c r="W18" s="8"/>
      <c r="X18" s="8"/>
      <c r="Y18" s="8"/>
      <c r="Z18" s="9"/>
      <c r="AA18" s="9"/>
      <c r="AB18" s="9"/>
      <c r="AC18" s="9"/>
      <c r="AD18" s="9"/>
      <c r="AE18" s="192"/>
      <c r="AF18" s="192"/>
      <c r="AG18" s="192"/>
      <c r="AH18" s="192"/>
      <c r="AI18" s="192"/>
      <c r="AJ18" s="192"/>
      <c r="AK18" s="192"/>
      <c r="AL18" s="192"/>
      <c r="AM18" s="192"/>
      <c r="AN18" s="192"/>
      <c r="AO18" s="192"/>
      <c r="AP18" s="192"/>
      <c r="AQ18" s="192"/>
      <c r="AR18" s="192"/>
      <c r="AS18" s="192"/>
      <c r="AT18" s="192"/>
      <c r="AU18" s="192"/>
    </row>
    <row r="19" spans="1:47">
      <c r="A19" s="12"/>
      <c r="B19" s="12"/>
      <c r="C19" s="12"/>
      <c r="D19" s="12"/>
      <c r="E19" s="12"/>
      <c r="F19" s="40" t="s">
        <v>16</v>
      </c>
      <c r="G19" s="326" t="str">
        <f>[1]!Asset13</f>
        <v>Other Non-System Assets (Corporate)</v>
      </c>
      <c r="H19" s="327"/>
      <c r="I19" s="327"/>
      <c r="J19" s="65">
        <v>0</v>
      </c>
      <c r="K19" s="262" t="s">
        <v>113</v>
      </c>
      <c r="L19" s="262">
        <v>5</v>
      </c>
      <c r="M19" s="262">
        <v>0</v>
      </c>
      <c r="N19" s="63"/>
      <c r="O19" s="63"/>
      <c r="P19" s="63"/>
      <c r="Q19" s="63"/>
      <c r="R19" s="63"/>
      <c r="S19" s="65">
        <v>0</v>
      </c>
      <c r="T19" s="268" t="s">
        <v>113</v>
      </c>
      <c r="U19" s="262">
        <v>5.7</v>
      </c>
      <c r="V19" s="8"/>
      <c r="W19" s="8"/>
      <c r="X19" s="8"/>
      <c r="Y19" s="8"/>
      <c r="Z19" s="9"/>
      <c r="AA19" s="9"/>
      <c r="AB19" s="9"/>
      <c r="AC19" s="9"/>
      <c r="AD19" s="9"/>
      <c r="AE19" s="192"/>
      <c r="AF19" s="192"/>
      <c r="AG19" s="192"/>
      <c r="AH19" s="192"/>
      <c r="AI19" s="192"/>
      <c r="AJ19" s="192"/>
      <c r="AK19" s="192"/>
      <c r="AL19" s="192"/>
      <c r="AM19" s="192"/>
      <c r="AN19" s="192"/>
      <c r="AO19" s="192"/>
      <c r="AP19" s="192"/>
      <c r="AQ19" s="192"/>
      <c r="AR19" s="192"/>
      <c r="AS19" s="192"/>
      <c r="AT19" s="192"/>
      <c r="AU19" s="192"/>
    </row>
    <row r="20" spans="1:47">
      <c r="A20" s="12"/>
      <c r="B20" s="12"/>
      <c r="C20" s="12"/>
      <c r="D20" s="12"/>
      <c r="E20" s="12"/>
      <c r="F20" s="40" t="s">
        <v>17</v>
      </c>
      <c r="G20" s="326" t="str">
        <f>[1]!Asset14</f>
        <v>Land</v>
      </c>
      <c r="H20" s="327"/>
      <c r="I20" s="327"/>
      <c r="J20" s="65">
        <v>0</v>
      </c>
      <c r="K20" s="262" t="s">
        <v>113</v>
      </c>
      <c r="L20" s="262" t="s">
        <v>113</v>
      </c>
      <c r="M20" s="262">
        <v>0</v>
      </c>
      <c r="N20" s="63"/>
      <c r="O20" s="63"/>
      <c r="P20" s="63"/>
      <c r="Q20" s="63"/>
      <c r="R20" s="63"/>
      <c r="S20" s="65">
        <v>0</v>
      </c>
      <c r="T20" s="268" t="s">
        <v>113</v>
      </c>
      <c r="U20" s="262" t="s">
        <v>113</v>
      </c>
      <c r="V20" s="8"/>
      <c r="W20" s="8"/>
      <c r="X20" s="8"/>
      <c r="Y20" s="8"/>
      <c r="Z20" s="9"/>
      <c r="AA20" s="9"/>
      <c r="AB20" s="9"/>
      <c r="AC20" s="9"/>
      <c r="AD20" s="9"/>
      <c r="AE20" s="192"/>
      <c r="AF20" s="192"/>
      <c r="AG20" s="192"/>
      <c r="AH20" s="192"/>
      <c r="AI20" s="192"/>
      <c r="AJ20" s="192"/>
      <c r="AK20" s="192"/>
      <c r="AL20" s="192"/>
      <c r="AM20" s="192"/>
      <c r="AN20" s="192"/>
      <c r="AO20" s="192"/>
      <c r="AP20" s="192"/>
      <c r="AQ20" s="192"/>
      <c r="AR20" s="192"/>
      <c r="AS20" s="192"/>
      <c r="AT20" s="192"/>
      <c r="AU20" s="192"/>
    </row>
    <row r="21" spans="1:47">
      <c r="A21" s="12"/>
      <c r="B21" s="12"/>
      <c r="C21" s="12"/>
      <c r="D21" s="12"/>
      <c r="E21" s="12"/>
      <c r="F21" s="40" t="s">
        <v>18</v>
      </c>
      <c r="G21" s="326" t="str">
        <f>[1]!Asset15</f>
        <v>Buildings</v>
      </c>
      <c r="H21" s="327"/>
      <c r="I21" s="327"/>
      <c r="J21" s="65">
        <v>0</v>
      </c>
      <c r="K21" s="262" t="s">
        <v>113</v>
      </c>
      <c r="L21" s="262">
        <v>60</v>
      </c>
      <c r="M21" s="262">
        <v>0</v>
      </c>
      <c r="N21" s="63"/>
      <c r="O21" s="63"/>
      <c r="P21" s="63"/>
      <c r="Q21" s="63"/>
      <c r="R21" s="63"/>
      <c r="S21" s="65">
        <v>0</v>
      </c>
      <c r="T21" s="268" t="s">
        <v>113</v>
      </c>
      <c r="U21" s="262">
        <v>100</v>
      </c>
      <c r="V21" s="8"/>
      <c r="W21" s="8"/>
      <c r="X21" s="8"/>
      <c r="Y21" s="8"/>
      <c r="Z21" s="9"/>
      <c r="AA21" s="9"/>
      <c r="AB21" s="9"/>
      <c r="AC21" s="9"/>
      <c r="AD21" s="9"/>
      <c r="AE21" s="192"/>
      <c r="AF21" s="192"/>
      <c r="AG21" s="192"/>
      <c r="AH21" s="192"/>
      <c r="AI21" s="192"/>
      <c r="AJ21" s="192"/>
      <c r="AK21" s="192"/>
      <c r="AL21" s="192"/>
      <c r="AM21" s="192"/>
      <c r="AN21" s="192"/>
      <c r="AO21" s="192"/>
      <c r="AP21" s="192"/>
      <c r="AQ21" s="192"/>
      <c r="AR21" s="192"/>
      <c r="AS21" s="192"/>
      <c r="AT21" s="192"/>
      <c r="AU21" s="192"/>
    </row>
    <row r="22" spans="1:47">
      <c r="A22" s="12"/>
      <c r="B22" s="12"/>
      <c r="C22" s="12"/>
      <c r="D22" s="12"/>
      <c r="E22" s="12"/>
      <c r="F22" s="40" t="s">
        <v>19</v>
      </c>
      <c r="G22" s="326" t="str">
        <f>[1]!Asset16</f>
        <v>Equity raising costs</v>
      </c>
      <c r="H22" s="327"/>
      <c r="I22" s="327"/>
      <c r="J22" s="65">
        <v>0</v>
      </c>
      <c r="K22" s="262" t="s">
        <v>113</v>
      </c>
      <c r="L22" s="262">
        <v>44.549314045499948</v>
      </c>
      <c r="M22" s="262">
        <v>0</v>
      </c>
      <c r="N22" s="63"/>
      <c r="O22" s="63"/>
      <c r="P22" s="63"/>
      <c r="Q22" s="63"/>
      <c r="R22" s="63"/>
      <c r="S22" s="65">
        <v>0</v>
      </c>
      <c r="T22" s="268" t="s">
        <v>113</v>
      </c>
      <c r="U22" s="262">
        <v>44.549314045499948</v>
      </c>
      <c r="V22" s="8"/>
      <c r="W22" s="8"/>
      <c r="X22" s="8"/>
      <c r="Y22" s="8"/>
      <c r="Z22" s="9"/>
      <c r="AA22" s="9"/>
      <c r="AB22" s="9"/>
      <c r="AC22" s="9"/>
      <c r="AD22" s="9"/>
      <c r="AE22" s="192"/>
      <c r="AF22" s="192"/>
      <c r="AG22" s="192"/>
      <c r="AH22" s="192"/>
      <c r="AI22" s="192"/>
      <c r="AJ22" s="192"/>
      <c r="AK22" s="192"/>
      <c r="AL22" s="192"/>
      <c r="AM22" s="192"/>
      <c r="AN22" s="192"/>
      <c r="AO22" s="192"/>
      <c r="AP22" s="192"/>
      <c r="AQ22" s="192"/>
      <c r="AR22" s="192"/>
      <c r="AS22" s="192"/>
      <c r="AT22" s="192"/>
      <c r="AU22" s="192"/>
    </row>
    <row r="23" spans="1:47" hidden="1">
      <c r="A23" s="12"/>
      <c r="B23" s="12"/>
      <c r="C23" s="12"/>
      <c r="D23" s="12"/>
      <c r="E23" s="12"/>
      <c r="F23" s="40" t="s">
        <v>20</v>
      </c>
      <c r="G23" s="326"/>
      <c r="H23" s="327"/>
      <c r="I23" s="327"/>
      <c r="J23" s="65"/>
      <c r="K23" s="261"/>
      <c r="L23" s="262"/>
      <c r="M23" s="262"/>
      <c r="N23" s="63"/>
      <c r="O23" s="63"/>
      <c r="P23" s="63"/>
      <c r="Q23" s="63"/>
      <c r="R23" s="63"/>
      <c r="S23" s="63"/>
      <c r="T23" s="263"/>
      <c r="U23" s="263"/>
      <c r="V23" s="8"/>
      <c r="W23" s="8"/>
      <c r="X23" s="8"/>
      <c r="Y23" s="8"/>
      <c r="Z23" s="9"/>
      <c r="AA23" s="9"/>
      <c r="AB23" s="9"/>
      <c r="AC23" s="9"/>
      <c r="AD23" s="9"/>
      <c r="AE23" s="192"/>
      <c r="AF23" s="192"/>
      <c r="AG23" s="192"/>
      <c r="AH23" s="192"/>
      <c r="AI23" s="192"/>
      <c r="AJ23" s="192"/>
      <c r="AK23" s="192"/>
      <c r="AL23" s="192"/>
      <c r="AM23" s="192"/>
      <c r="AN23" s="192"/>
      <c r="AO23" s="192"/>
      <c r="AP23" s="192"/>
      <c r="AQ23" s="192"/>
      <c r="AR23" s="192"/>
      <c r="AS23" s="192"/>
      <c r="AT23" s="192"/>
      <c r="AU23" s="192"/>
    </row>
    <row r="24" spans="1:47" hidden="1">
      <c r="A24" s="12"/>
      <c r="B24" s="12"/>
      <c r="C24" s="12"/>
      <c r="D24" s="12"/>
      <c r="E24" s="12"/>
      <c r="F24" s="40" t="s">
        <v>24</v>
      </c>
      <c r="G24" s="326"/>
      <c r="H24" s="327"/>
      <c r="I24" s="327"/>
      <c r="J24" s="65"/>
      <c r="K24" s="261"/>
      <c r="L24" s="262"/>
      <c r="M24" s="262"/>
      <c r="N24" s="63"/>
      <c r="O24" s="63"/>
      <c r="P24" s="63"/>
      <c r="Q24" s="63"/>
      <c r="R24" s="63"/>
      <c r="S24" s="63"/>
      <c r="T24" s="263"/>
      <c r="U24" s="263"/>
      <c r="V24" s="8"/>
      <c r="W24" s="8"/>
      <c r="X24" s="8"/>
      <c r="Y24" s="8"/>
      <c r="Z24" s="9"/>
      <c r="AA24" s="9"/>
      <c r="AB24" s="9"/>
      <c r="AC24" s="9"/>
      <c r="AD24" s="9"/>
      <c r="AE24" s="192"/>
      <c r="AF24" s="192"/>
      <c r="AG24" s="192"/>
      <c r="AH24" s="192"/>
      <c r="AI24" s="192"/>
      <c r="AJ24" s="192"/>
      <c r="AK24" s="192"/>
      <c r="AL24" s="192"/>
      <c r="AM24" s="192"/>
      <c r="AN24" s="192"/>
      <c r="AO24" s="192"/>
      <c r="AP24" s="192"/>
      <c r="AQ24" s="192"/>
      <c r="AR24" s="192"/>
      <c r="AS24" s="192"/>
      <c r="AT24" s="192"/>
      <c r="AU24" s="192"/>
    </row>
    <row r="25" spans="1:47" hidden="1">
      <c r="A25" s="12"/>
      <c r="B25" s="12"/>
      <c r="C25" s="12"/>
      <c r="D25" s="12"/>
      <c r="E25" s="12"/>
      <c r="F25" s="40" t="s">
        <v>25</v>
      </c>
      <c r="G25" s="326"/>
      <c r="H25" s="327"/>
      <c r="I25" s="327"/>
      <c r="J25" s="65"/>
      <c r="K25" s="261"/>
      <c r="L25" s="262"/>
      <c r="M25" s="262"/>
      <c r="N25" s="63"/>
      <c r="O25" s="63"/>
      <c r="P25" s="63"/>
      <c r="Q25" s="63"/>
      <c r="R25" s="63"/>
      <c r="S25" s="63"/>
      <c r="T25" s="263"/>
      <c r="U25" s="263"/>
      <c r="V25" s="8"/>
      <c r="W25" s="8"/>
      <c r="X25" s="8"/>
      <c r="Y25" s="8"/>
      <c r="Z25" s="9"/>
      <c r="AA25" s="9"/>
      <c r="AB25" s="9"/>
      <c r="AC25" s="9"/>
      <c r="AD25" s="9"/>
      <c r="AE25" s="192"/>
      <c r="AF25" s="192"/>
      <c r="AG25" s="192"/>
      <c r="AH25" s="192"/>
      <c r="AI25" s="192"/>
      <c r="AJ25" s="192"/>
      <c r="AK25" s="192"/>
      <c r="AL25" s="192"/>
      <c r="AM25" s="192"/>
      <c r="AN25" s="192"/>
      <c r="AO25" s="192"/>
      <c r="AP25" s="192"/>
      <c r="AQ25" s="192"/>
      <c r="AR25" s="192"/>
      <c r="AS25" s="192"/>
      <c r="AT25" s="192"/>
      <c r="AU25" s="192"/>
    </row>
    <row r="26" spans="1:47" hidden="1">
      <c r="A26" s="12"/>
      <c r="B26" s="12"/>
      <c r="C26" s="12"/>
      <c r="D26" s="12"/>
      <c r="E26" s="12"/>
      <c r="F26" s="40" t="s">
        <v>26</v>
      </c>
      <c r="G26" s="326"/>
      <c r="H26" s="327"/>
      <c r="I26" s="327"/>
      <c r="J26" s="65"/>
      <c r="K26" s="65"/>
      <c r="L26" s="65"/>
      <c r="M26" s="65"/>
      <c r="N26" s="65"/>
      <c r="O26" s="65"/>
      <c r="P26" s="65"/>
      <c r="Q26" s="65"/>
      <c r="R26" s="65"/>
      <c r="S26" s="65"/>
      <c r="T26" s="65"/>
      <c r="U26" s="65"/>
      <c r="V26" s="8"/>
      <c r="W26" s="8"/>
      <c r="X26" s="8"/>
      <c r="Y26" s="8"/>
      <c r="Z26" s="9"/>
      <c r="AA26" s="9"/>
      <c r="AB26" s="9"/>
      <c r="AC26" s="9"/>
      <c r="AD26" s="9"/>
      <c r="AE26" s="192"/>
      <c r="AF26" s="192"/>
      <c r="AG26" s="192"/>
      <c r="AH26" s="192"/>
      <c r="AI26" s="192"/>
      <c r="AJ26" s="192"/>
      <c r="AK26" s="192"/>
      <c r="AL26" s="192"/>
      <c r="AM26" s="192"/>
      <c r="AN26" s="192"/>
      <c r="AO26" s="192"/>
      <c r="AP26" s="192"/>
      <c r="AQ26" s="192"/>
      <c r="AR26" s="192"/>
      <c r="AS26" s="192"/>
      <c r="AT26" s="192"/>
      <c r="AU26" s="192"/>
    </row>
    <row r="27" spans="1:47" hidden="1">
      <c r="A27" s="12"/>
      <c r="B27" s="12"/>
      <c r="C27" s="12"/>
      <c r="D27" s="12"/>
      <c r="E27" s="12"/>
      <c r="F27" s="40" t="s">
        <v>98</v>
      </c>
      <c r="G27" s="326"/>
      <c r="H27" s="327"/>
      <c r="I27" s="327"/>
      <c r="J27" s="65"/>
      <c r="K27" s="65"/>
      <c r="L27" s="65"/>
      <c r="M27" s="65"/>
      <c r="N27" s="65"/>
      <c r="O27" s="65"/>
      <c r="P27" s="65"/>
      <c r="Q27" s="65"/>
      <c r="R27" s="65"/>
      <c r="S27" s="65"/>
      <c r="T27" s="65"/>
      <c r="U27" s="65"/>
      <c r="V27" s="8"/>
      <c r="W27" s="8"/>
      <c r="X27" s="8"/>
      <c r="Y27" s="8"/>
      <c r="Z27" s="9"/>
      <c r="AA27" s="9"/>
      <c r="AB27" s="9"/>
      <c r="AC27" s="9"/>
      <c r="AD27" s="9"/>
      <c r="AE27" s="192"/>
      <c r="AF27" s="192"/>
      <c r="AG27" s="192"/>
      <c r="AH27" s="192"/>
      <c r="AI27" s="192"/>
      <c r="AJ27" s="192"/>
      <c r="AK27" s="192"/>
      <c r="AL27" s="192"/>
      <c r="AM27" s="192"/>
      <c r="AN27" s="192"/>
      <c r="AO27" s="192"/>
      <c r="AP27" s="192"/>
      <c r="AQ27" s="192"/>
      <c r="AR27" s="192"/>
      <c r="AS27" s="192"/>
      <c r="AT27" s="192"/>
      <c r="AU27" s="192"/>
    </row>
    <row r="28" spans="1:47" hidden="1">
      <c r="A28" s="12"/>
      <c r="B28" s="12"/>
      <c r="C28" s="12"/>
      <c r="D28" s="12"/>
      <c r="E28" s="12"/>
      <c r="F28" s="40" t="s">
        <v>99</v>
      </c>
      <c r="G28" s="326"/>
      <c r="H28" s="327"/>
      <c r="I28" s="327"/>
      <c r="J28" s="65"/>
      <c r="K28" s="65"/>
      <c r="L28" s="65"/>
      <c r="M28" s="65"/>
      <c r="N28" s="65"/>
      <c r="O28" s="65"/>
      <c r="P28" s="65"/>
      <c r="Q28" s="65"/>
      <c r="R28" s="65"/>
      <c r="S28" s="65"/>
      <c r="T28" s="65"/>
      <c r="U28" s="65"/>
      <c r="V28" s="8"/>
      <c r="W28" s="8"/>
      <c r="X28" s="8"/>
      <c r="Y28" s="8"/>
      <c r="Z28" s="9"/>
      <c r="AA28" s="9"/>
      <c r="AB28" s="9"/>
      <c r="AC28" s="9"/>
      <c r="AD28" s="9"/>
      <c r="AE28" s="192"/>
      <c r="AF28" s="192"/>
      <c r="AG28" s="192"/>
      <c r="AH28" s="192"/>
      <c r="AI28" s="192"/>
      <c r="AJ28" s="192"/>
      <c r="AK28" s="192"/>
      <c r="AL28" s="192"/>
      <c r="AM28" s="192"/>
      <c r="AN28" s="192"/>
      <c r="AO28" s="192"/>
      <c r="AP28" s="192"/>
      <c r="AQ28" s="192"/>
      <c r="AR28" s="192"/>
      <c r="AS28" s="192"/>
      <c r="AT28" s="192"/>
      <c r="AU28" s="192"/>
    </row>
    <row r="29" spans="1:47" hidden="1">
      <c r="A29" s="12"/>
      <c r="B29" s="12"/>
      <c r="C29" s="12"/>
      <c r="D29" s="12"/>
      <c r="E29" s="12"/>
      <c r="F29" s="40" t="s">
        <v>100</v>
      </c>
      <c r="G29" s="326"/>
      <c r="H29" s="327"/>
      <c r="I29" s="327"/>
      <c r="J29" s="65"/>
      <c r="K29" s="65"/>
      <c r="L29" s="65"/>
      <c r="M29" s="65"/>
      <c r="N29" s="65"/>
      <c r="O29" s="65"/>
      <c r="P29" s="65"/>
      <c r="Q29" s="65"/>
      <c r="R29" s="65"/>
      <c r="S29" s="65"/>
      <c r="T29" s="65"/>
      <c r="U29" s="65"/>
      <c r="V29" s="8"/>
      <c r="W29" s="8"/>
      <c r="X29" s="8"/>
      <c r="Y29" s="8"/>
      <c r="Z29" s="9"/>
      <c r="AA29" s="9"/>
      <c r="AB29" s="9"/>
      <c r="AC29" s="9"/>
      <c r="AD29" s="9"/>
      <c r="AE29" s="192"/>
      <c r="AF29" s="192"/>
      <c r="AG29" s="192"/>
      <c r="AH29" s="192"/>
      <c r="AI29" s="192"/>
      <c r="AJ29" s="192"/>
      <c r="AK29" s="192"/>
      <c r="AL29" s="192"/>
      <c r="AM29" s="192"/>
      <c r="AN29" s="192"/>
      <c r="AO29" s="192"/>
      <c r="AP29" s="192"/>
      <c r="AQ29" s="192"/>
      <c r="AR29" s="192"/>
      <c r="AS29" s="192"/>
      <c r="AT29" s="192"/>
      <c r="AU29" s="192"/>
    </row>
    <row r="30" spans="1:47" hidden="1">
      <c r="A30" s="12"/>
      <c r="B30" s="12"/>
      <c r="C30" s="12"/>
      <c r="D30" s="12"/>
      <c r="E30" s="12"/>
      <c r="F30" s="40" t="s">
        <v>101</v>
      </c>
      <c r="G30" s="326"/>
      <c r="H30" s="327"/>
      <c r="I30" s="327"/>
      <c r="J30" s="65"/>
      <c r="K30" s="65"/>
      <c r="L30" s="65"/>
      <c r="M30" s="65"/>
      <c r="N30" s="65"/>
      <c r="O30" s="65"/>
      <c r="P30" s="65"/>
      <c r="Q30" s="65"/>
      <c r="R30" s="65"/>
      <c r="S30" s="65"/>
      <c r="T30" s="65"/>
      <c r="U30" s="65"/>
      <c r="V30" s="8"/>
      <c r="W30" s="8"/>
      <c r="X30" s="8"/>
      <c r="Y30" s="8"/>
      <c r="Z30" s="9"/>
      <c r="AA30" s="9"/>
      <c r="AB30" s="9"/>
      <c r="AC30" s="9"/>
      <c r="AD30" s="9"/>
      <c r="AE30" s="192"/>
      <c r="AF30" s="192"/>
      <c r="AG30" s="192"/>
      <c r="AH30" s="192"/>
      <c r="AI30" s="192"/>
      <c r="AJ30" s="192"/>
      <c r="AK30" s="192"/>
      <c r="AL30" s="192"/>
      <c r="AM30" s="192"/>
      <c r="AN30" s="192"/>
      <c r="AO30" s="192"/>
      <c r="AP30" s="192"/>
      <c r="AQ30" s="192"/>
      <c r="AR30" s="192"/>
      <c r="AS30" s="192"/>
      <c r="AT30" s="192"/>
      <c r="AU30" s="192"/>
    </row>
    <row r="31" spans="1:47" hidden="1">
      <c r="A31" s="12"/>
      <c r="B31" s="12"/>
      <c r="C31" s="12"/>
      <c r="D31" s="12"/>
      <c r="E31" s="12"/>
      <c r="F31" s="40" t="s">
        <v>102</v>
      </c>
      <c r="G31" s="326"/>
      <c r="H31" s="327"/>
      <c r="I31" s="327"/>
      <c r="J31" s="65"/>
      <c r="K31" s="65"/>
      <c r="L31" s="65"/>
      <c r="M31" s="65"/>
      <c r="N31" s="65"/>
      <c r="O31" s="65"/>
      <c r="P31" s="65"/>
      <c r="Q31" s="65"/>
      <c r="R31" s="65"/>
      <c r="S31" s="65"/>
      <c r="T31" s="65"/>
      <c r="U31" s="65"/>
      <c r="V31" s="8"/>
      <c r="W31" s="8"/>
      <c r="X31" s="8"/>
      <c r="Y31" s="8"/>
      <c r="Z31" s="9"/>
      <c r="AA31" s="9"/>
      <c r="AB31" s="9"/>
      <c r="AC31" s="9"/>
      <c r="AD31" s="9"/>
      <c r="AE31" s="192"/>
      <c r="AF31" s="192"/>
      <c r="AG31" s="192"/>
      <c r="AH31" s="192"/>
      <c r="AI31" s="192"/>
      <c r="AJ31" s="192"/>
      <c r="AK31" s="192"/>
      <c r="AL31" s="192"/>
      <c r="AM31" s="192"/>
      <c r="AN31" s="192"/>
      <c r="AO31" s="192"/>
      <c r="AP31" s="192"/>
      <c r="AQ31" s="192"/>
      <c r="AR31" s="192"/>
      <c r="AS31" s="192"/>
      <c r="AT31" s="192"/>
      <c r="AU31" s="192"/>
    </row>
    <row r="32" spans="1:47" hidden="1">
      <c r="A32" s="12"/>
      <c r="B32" s="12"/>
      <c r="C32" s="12"/>
      <c r="D32" s="12"/>
      <c r="E32" s="12"/>
      <c r="F32" s="40" t="s">
        <v>103</v>
      </c>
      <c r="G32" s="326"/>
      <c r="H32" s="327"/>
      <c r="I32" s="327"/>
      <c r="J32" s="65"/>
      <c r="K32" s="65"/>
      <c r="L32" s="65"/>
      <c r="M32" s="65"/>
      <c r="N32" s="65"/>
      <c r="O32" s="65"/>
      <c r="P32" s="65"/>
      <c r="Q32" s="65"/>
      <c r="R32" s="65"/>
      <c r="S32" s="65"/>
      <c r="T32" s="65"/>
      <c r="U32" s="65"/>
      <c r="V32" s="8"/>
      <c r="W32" s="8"/>
      <c r="X32" s="8"/>
      <c r="Y32" s="8"/>
      <c r="Z32" s="9"/>
      <c r="AA32" s="9"/>
      <c r="AB32" s="9"/>
      <c r="AC32" s="9"/>
      <c r="AD32" s="9"/>
      <c r="AE32" s="192"/>
      <c r="AF32" s="192"/>
      <c r="AG32" s="192"/>
      <c r="AH32" s="192"/>
      <c r="AI32" s="192"/>
      <c r="AJ32" s="192"/>
      <c r="AK32" s="192"/>
      <c r="AL32" s="192"/>
      <c r="AM32" s="192"/>
      <c r="AN32" s="192"/>
      <c r="AO32" s="192"/>
      <c r="AP32" s="192"/>
      <c r="AQ32" s="192"/>
      <c r="AR32" s="192"/>
      <c r="AS32" s="192"/>
      <c r="AT32" s="192"/>
      <c r="AU32" s="192"/>
    </row>
    <row r="33" spans="1:47" hidden="1">
      <c r="A33" s="12"/>
      <c r="B33" s="12"/>
      <c r="C33" s="12"/>
      <c r="D33" s="12"/>
      <c r="E33" s="12"/>
      <c r="F33" s="40" t="s">
        <v>104</v>
      </c>
      <c r="G33" s="326"/>
      <c r="H33" s="327"/>
      <c r="I33" s="327"/>
      <c r="J33" s="65"/>
      <c r="K33" s="65"/>
      <c r="L33" s="65"/>
      <c r="M33" s="65"/>
      <c r="N33" s="65"/>
      <c r="O33" s="65"/>
      <c r="P33" s="65"/>
      <c r="Q33" s="65"/>
      <c r="R33" s="65"/>
      <c r="S33" s="65"/>
      <c r="T33" s="65"/>
      <c r="U33" s="65"/>
      <c r="V33" s="8"/>
      <c r="W33" s="8"/>
      <c r="X33" s="8"/>
      <c r="Y33" s="8"/>
      <c r="Z33" s="9"/>
      <c r="AA33" s="9"/>
      <c r="AB33" s="9"/>
      <c r="AC33" s="9"/>
      <c r="AD33" s="9"/>
      <c r="AE33" s="192"/>
      <c r="AF33" s="192"/>
      <c r="AG33" s="192"/>
      <c r="AH33" s="192"/>
      <c r="AI33" s="192"/>
      <c r="AJ33" s="192"/>
      <c r="AK33" s="192"/>
      <c r="AL33" s="192"/>
      <c r="AM33" s="192"/>
      <c r="AN33" s="192"/>
      <c r="AO33" s="192"/>
      <c r="AP33" s="192"/>
      <c r="AQ33" s="192"/>
      <c r="AR33" s="192"/>
      <c r="AS33" s="192"/>
      <c r="AT33" s="192"/>
      <c r="AU33" s="192"/>
    </row>
    <row r="34" spans="1:47" hidden="1">
      <c r="A34" s="12"/>
      <c r="B34" s="12"/>
      <c r="C34" s="12"/>
      <c r="D34" s="12"/>
      <c r="E34" s="12"/>
      <c r="F34" s="40" t="s">
        <v>105</v>
      </c>
      <c r="G34" s="326"/>
      <c r="H34" s="327"/>
      <c r="I34" s="327"/>
      <c r="J34" s="65"/>
      <c r="K34" s="65"/>
      <c r="L34" s="65"/>
      <c r="M34" s="65"/>
      <c r="N34" s="65"/>
      <c r="O34" s="65"/>
      <c r="P34" s="65"/>
      <c r="Q34" s="65"/>
      <c r="R34" s="65"/>
      <c r="S34" s="65"/>
      <c r="T34" s="65"/>
      <c r="U34" s="65"/>
      <c r="V34" s="8"/>
      <c r="W34" s="8"/>
      <c r="X34" s="8"/>
      <c r="Y34" s="8"/>
      <c r="Z34" s="9"/>
      <c r="AA34" s="9"/>
      <c r="AB34" s="9"/>
      <c r="AC34" s="9"/>
      <c r="AD34" s="9"/>
      <c r="AE34" s="192"/>
      <c r="AF34" s="192"/>
      <c r="AG34" s="192"/>
      <c r="AH34" s="192"/>
      <c r="AI34" s="192"/>
      <c r="AJ34" s="192"/>
      <c r="AK34" s="192"/>
      <c r="AL34" s="192"/>
      <c r="AM34" s="192"/>
      <c r="AN34" s="192"/>
      <c r="AO34" s="192"/>
      <c r="AP34" s="192"/>
      <c r="AQ34" s="192"/>
      <c r="AR34" s="192"/>
      <c r="AS34" s="192"/>
      <c r="AT34" s="192"/>
      <c r="AU34" s="192"/>
    </row>
    <row r="35" spans="1:47" ht="6.75" hidden="1" customHeight="1">
      <c r="A35" s="12"/>
      <c r="B35" s="12"/>
      <c r="C35" s="12"/>
      <c r="D35" s="12"/>
      <c r="E35" s="12"/>
      <c r="F35" s="40" t="s">
        <v>106</v>
      </c>
      <c r="G35" s="326"/>
      <c r="H35" s="327"/>
      <c r="I35" s="327"/>
      <c r="J35" s="65"/>
      <c r="K35" s="65"/>
      <c r="L35" s="65"/>
      <c r="M35" s="65"/>
      <c r="N35" s="65"/>
      <c r="O35" s="65"/>
      <c r="P35" s="65"/>
      <c r="Q35" s="65"/>
      <c r="R35" s="65"/>
      <c r="S35" s="65"/>
      <c r="T35" s="65"/>
      <c r="U35" s="65"/>
      <c r="V35" s="8"/>
      <c r="W35" s="8"/>
      <c r="X35" s="8"/>
      <c r="Y35" s="8"/>
      <c r="Z35" s="9"/>
      <c r="AA35" s="9"/>
      <c r="AB35" s="9"/>
      <c r="AC35" s="9"/>
      <c r="AD35" s="9"/>
      <c r="AE35" s="192"/>
      <c r="AF35" s="192"/>
      <c r="AG35" s="192"/>
      <c r="AH35" s="192"/>
      <c r="AI35" s="192"/>
      <c r="AJ35" s="192"/>
      <c r="AK35" s="192"/>
      <c r="AL35" s="192"/>
      <c r="AM35" s="192"/>
      <c r="AN35" s="192"/>
      <c r="AO35" s="192"/>
      <c r="AP35" s="192"/>
      <c r="AQ35" s="192"/>
      <c r="AR35" s="192"/>
      <c r="AS35" s="192"/>
      <c r="AT35" s="192"/>
      <c r="AU35" s="192"/>
    </row>
    <row r="36" spans="1:47" hidden="1">
      <c r="A36" s="12"/>
      <c r="B36" s="12"/>
      <c r="C36" s="12"/>
      <c r="D36" s="12"/>
      <c r="E36" s="12"/>
      <c r="F36" s="40" t="s">
        <v>107</v>
      </c>
      <c r="G36" s="326"/>
      <c r="H36" s="327"/>
      <c r="I36" s="327"/>
      <c r="J36" s="65"/>
      <c r="K36" s="65"/>
      <c r="L36" s="65"/>
      <c r="M36" s="65"/>
      <c r="N36" s="65"/>
      <c r="O36" s="65"/>
      <c r="P36" s="65"/>
      <c r="Q36" s="65"/>
      <c r="R36" s="65"/>
      <c r="S36" s="65"/>
      <c r="T36" s="65"/>
      <c r="U36" s="65"/>
      <c r="V36" s="8"/>
      <c r="W36" s="8"/>
      <c r="X36" s="8"/>
      <c r="Y36" s="8"/>
      <c r="Z36" s="9"/>
      <c r="AA36" s="9"/>
      <c r="AB36" s="9"/>
      <c r="AC36" s="9"/>
      <c r="AD36" s="9"/>
      <c r="AE36" s="192"/>
      <c r="AF36" s="192"/>
      <c r="AG36" s="192"/>
      <c r="AH36" s="192"/>
      <c r="AI36" s="192"/>
      <c r="AJ36" s="192"/>
      <c r="AK36" s="192"/>
      <c r="AL36" s="192"/>
      <c r="AM36" s="192"/>
      <c r="AN36" s="192"/>
      <c r="AO36" s="192"/>
      <c r="AP36" s="192"/>
      <c r="AQ36" s="192"/>
      <c r="AR36" s="192"/>
      <c r="AS36" s="192"/>
      <c r="AT36" s="192"/>
      <c r="AU36" s="192"/>
    </row>
    <row r="37" spans="1:47">
      <c r="A37" s="12"/>
      <c r="B37" s="12"/>
      <c r="C37" s="12"/>
      <c r="D37" s="12"/>
      <c r="E37" s="12"/>
      <c r="F37" s="40" t="s">
        <v>22</v>
      </c>
      <c r="G37" s="161"/>
      <c r="H37" s="161"/>
      <c r="I37" s="161"/>
      <c r="J37" s="247">
        <f>SUM(J7:J36)</f>
        <v>498.28027838127326</v>
      </c>
      <c r="K37" s="61"/>
      <c r="L37" s="38"/>
      <c r="M37" s="247">
        <f t="shared" ref="M37:R37" si="0">SUM(M7:M36)</f>
        <v>29.159874678113024</v>
      </c>
      <c r="N37" s="247">
        <f t="shared" si="0"/>
        <v>4.1592114193485834</v>
      </c>
      <c r="O37" s="247">
        <f t="shared" si="0"/>
        <v>0</v>
      </c>
      <c r="P37" s="247">
        <f t="shared" si="0"/>
        <v>0</v>
      </c>
      <c r="Q37" s="247">
        <f t="shared" si="0"/>
        <v>0</v>
      </c>
      <c r="R37" s="247">
        <f t="shared" si="0"/>
        <v>0</v>
      </c>
      <c r="S37" s="61"/>
      <c r="T37" s="61"/>
      <c r="U37" s="61"/>
      <c r="V37" s="61"/>
      <c r="X37" s="38"/>
      <c r="Y37" s="8"/>
      <c r="Z37" s="8"/>
      <c r="AA37" s="8"/>
      <c r="AB37" s="8"/>
      <c r="AC37" s="8"/>
      <c r="AD37" s="8"/>
      <c r="AE37" s="192"/>
      <c r="AF37" s="192"/>
      <c r="AG37" s="192"/>
      <c r="AH37" s="192"/>
      <c r="AI37" s="192"/>
      <c r="AJ37" s="192"/>
      <c r="AK37" s="192"/>
      <c r="AL37" s="192"/>
      <c r="AM37" s="192"/>
      <c r="AN37" s="192"/>
      <c r="AO37" s="192"/>
      <c r="AP37" s="192"/>
      <c r="AQ37" s="192"/>
      <c r="AR37" s="192"/>
      <c r="AS37" s="192"/>
      <c r="AT37" s="192"/>
      <c r="AU37" s="192"/>
    </row>
    <row r="38" spans="1:47" ht="21" customHeight="1">
      <c r="A38" s="12"/>
      <c r="B38" s="12"/>
      <c r="C38" s="12"/>
      <c r="D38" s="12"/>
      <c r="E38" s="12"/>
      <c r="F38" s="92"/>
      <c r="G38" s="164"/>
      <c r="H38" s="51"/>
      <c r="I38" s="51"/>
      <c r="J38" s="312"/>
      <c r="K38" s="51"/>
      <c r="L38" s="51"/>
      <c r="M38" s="51"/>
      <c r="N38" s="182"/>
      <c r="O38" s="182"/>
      <c r="P38" s="182"/>
      <c r="Q38" s="182"/>
      <c r="R38" s="182"/>
      <c r="S38" s="182"/>
      <c r="T38" s="182"/>
      <c r="U38" s="182"/>
      <c r="V38" s="51"/>
      <c r="W38" s="51"/>
      <c r="X38" s="51"/>
      <c r="Y38" s="8"/>
      <c r="Z38" s="8"/>
      <c r="AA38" s="8"/>
      <c r="AB38" s="44"/>
      <c r="AC38" s="9"/>
      <c r="AD38" s="9"/>
      <c r="AE38" s="192"/>
      <c r="AF38" s="192"/>
      <c r="AG38" s="192"/>
      <c r="AH38" s="192"/>
      <c r="AI38" s="192"/>
      <c r="AJ38" s="192"/>
      <c r="AK38" s="192"/>
      <c r="AL38" s="192"/>
      <c r="AM38" s="192"/>
      <c r="AN38" s="192"/>
      <c r="AO38" s="192"/>
      <c r="AP38" s="192"/>
      <c r="AQ38" s="192"/>
      <c r="AR38" s="192"/>
      <c r="AS38" s="192"/>
      <c r="AT38" s="192"/>
      <c r="AU38" s="192"/>
    </row>
    <row r="39" spans="1:47" ht="13.5" customHeight="1">
      <c r="A39" s="75"/>
      <c r="B39" s="75"/>
      <c r="C39" s="75"/>
      <c r="D39" s="75"/>
      <c r="E39" s="75"/>
      <c r="F39" s="163" t="s">
        <v>84</v>
      </c>
      <c r="G39" s="163"/>
      <c r="H39" s="163"/>
      <c r="I39" s="163"/>
      <c r="J39" s="163"/>
      <c r="K39" s="78"/>
      <c r="L39" s="78"/>
      <c r="M39" s="76"/>
      <c r="N39" s="76"/>
      <c r="O39" s="76"/>
      <c r="P39" s="76"/>
      <c r="Q39" s="76"/>
      <c r="R39" s="76"/>
      <c r="S39" s="76"/>
      <c r="T39" s="76"/>
      <c r="U39" s="76"/>
      <c r="V39" s="76"/>
      <c r="W39" s="76"/>
      <c r="X39" s="8"/>
      <c r="Y39" s="8"/>
      <c r="Z39" s="8"/>
      <c r="AA39" s="8"/>
      <c r="AB39" s="44"/>
      <c r="AC39" s="9"/>
      <c r="AD39" s="9"/>
      <c r="AE39" s="192"/>
      <c r="AF39" s="192"/>
      <c r="AG39" s="192"/>
      <c r="AH39" s="192"/>
      <c r="AI39" s="192"/>
      <c r="AJ39" s="192"/>
      <c r="AK39" s="192"/>
      <c r="AL39" s="192"/>
      <c r="AM39" s="192"/>
      <c r="AN39" s="192"/>
      <c r="AO39" s="192"/>
      <c r="AP39" s="192"/>
      <c r="AQ39" s="192"/>
      <c r="AR39" s="192"/>
      <c r="AS39" s="192"/>
      <c r="AT39" s="192"/>
      <c r="AU39" s="192"/>
    </row>
    <row r="40" spans="1:47">
      <c r="A40" s="12"/>
      <c r="B40" s="12"/>
      <c r="C40" s="12"/>
      <c r="D40" s="12"/>
      <c r="E40" s="12"/>
      <c r="F40" s="39" t="s">
        <v>5</v>
      </c>
      <c r="G40" s="245" t="str">
        <f>CONCATENATE(LEFT(H40, 4)-1 &amp;"-" &amp;IF(H40&gt;"2009-10",,"0") &amp;RIGHT(H40,2)-1)</f>
        <v>2008-09</v>
      </c>
      <c r="H40" s="245" t="str">
        <f>V7</f>
        <v>2009-10</v>
      </c>
      <c r="I40" s="245" t="str">
        <f>CONCATENATE(LEFT(H40, 4)+1 &amp;"-" &amp;IF(H40&gt;"2007-08",,"0") &amp;RIGHT(H40,2)+1)</f>
        <v>2010-11</v>
      </c>
      <c r="J40" s="245" t="str">
        <f t="shared" ref="J40:P40" si="1">CONCATENATE(LEFT(I40, 4)+1 &amp;"-" &amp;IF(I40&gt;"2007-08",,"0") &amp;RIGHT(I40,2)+1)</f>
        <v>2011-12</v>
      </c>
      <c r="K40" s="245" t="str">
        <f t="shared" si="1"/>
        <v>2012-13</v>
      </c>
      <c r="L40" s="245" t="str">
        <f t="shared" si="1"/>
        <v>2013-14</v>
      </c>
      <c r="M40" s="245" t="str">
        <f t="shared" si="1"/>
        <v>2014-15</v>
      </c>
      <c r="N40" s="245" t="str">
        <f t="shared" si="1"/>
        <v>2015-16</v>
      </c>
      <c r="O40" s="245" t="str">
        <f t="shared" si="1"/>
        <v>2016-17</v>
      </c>
      <c r="P40" s="245" t="str">
        <f t="shared" si="1"/>
        <v>2017-18</v>
      </c>
      <c r="Q40" s="245" t="str">
        <f>CONCATENATE(LEFT(P40, 4)+1 &amp;"-" &amp;IF(P40&gt;"2007-08",,"0") &amp;RIGHT(P40,2)+1)</f>
        <v>2018-19</v>
      </c>
      <c r="R40" s="147"/>
      <c r="S40" s="8"/>
      <c r="T40" s="8"/>
      <c r="U40" s="8"/>
      <c r="V40" s="8"/>
      <c r="W40" s="44"/>
      <c r="X40" s="9"/>
      <c r="Y40" s="9"/>
      <c r="Z40" s="9"/>
      <c r="AA40" s="9"/>
      <c r="AB40" s="9"/>
      <c r="AC40" s="9"/>
      <c r="AD40" s="9"/>
      <c r="AE40" s="192"/>
      <c r="AF40" s="192"/>
      <c r="AG40" s="192"/>
      <c r="AH40" s="192"/>
      <c r="AI40" s="192"/>
      <c r="AJ40" s="192"/>
      <c r="AK40" s="192"/>
      <c r="AL40" s="192"/>
      <c r="AM40" s="192"/>
      <c r="AN40" s="192"/>
      <c r="AO40" s="192"/>
      <c r="AP40" s="192"/>
      <c r="AQ40" s="192"/>
      <c r="AR40" s="192"/>
      <c r="AS40" s="192"/>
      <c r="AT40" s="192"/>
      <c r="AU40" s="192"/>
    </row>
    <row r="41" spans="1:47" outlineLevel="1">
      <c r="A41" s="12"/>
      <c r="B41" s="12"/>
      <c r="C41" s="12"/>
      <c r="D41" s="12"/>
      <c r="E41" s="12"/>
      <c r="F41" s="40" t="str">
        <f>Asset1</f>
        <v>Opening Distribution Assets</v>
      </c>
      <c r="G41" s="170">
        <v>38.151267389991652</v>
      </c>
      <c r="H41" s="62"/>
      <c r="I41" s="62"/>
      <c r="J41" s="62"/>
      <c r="K41" s="62"/>
      <c r="L41" s="62"/>
      <c r="M41" s="62"/>
      <c r="N41" s="62"/>
      <c r="O41" s="62"/>
      <c r="P41" s="62"/>
      <c r="Q41" s="62"/>
      <c r="R41" s="8"/>
      <c r="S41" s="8"/>
      <c r="T41" s="8"/>
      <c r="U41" s="8"/>
      <c r="V41" s="8"/>
      <c r="W41" s="44"/>
      <c r="X41" s="9"/>
      <c r="Y41" s="9"/>
      <c r="Z41" s="9"/>
      <c r="AA41" s="9"/>
      <c r="AB41" s="9"/>
      <c r="AC41" s="9"/>
      <c r="AD41" s="9"/>
      <c r="AE41" s="192"/>
      <c r="AF41" s="192"/>
      <c r="AG41" s="192"/>
      <c r="AH41" s="192"/>
      <c r="AI41" s="192"/>
      <c r="AJ41" s="192"/>
      <c r="AK41" s="192"/>
      <c r="AL41" s="192"/>
      <c r="AM41" s="192"/>
      <c r="AN41" s="192"/>
      <c r="AO41" s="192"/>
      <c r="AP41" s="192"/>
      <c r="AQ41" s="192"/>
      <c r="AR41" s="192"/>
      <c r="AS41" s="192"/>
      <c r="AT41" s="192"/>
      <c r="AU41" s="192"/>
    </row>
    <row r="42" spans="1:47" outlineLevel="1">
      <c r="A42" s="12"/>
      <c r="B42" s="12"/>
      <c r="C42" s="12"/>
      <c r="D42" s="12"/>
      <c r="E42" s="12"/>
      <c r="F42" s="40" t="str">
        <f>Asset2</f>
        <v>Sub-transmission Overhead</v>
      </c>
      <c r="G42" s="171"/>
      <c r="H42" s="63"/>
      <c r="I42" s="63"/>
      <c r="J42" s="63"/>
      <c r="K42" s="63"/>
      <c r="L42" s="63"/>
      <c r="M42" s="63"/>
      <c r="N42" s="63"/>
      <c r="O42" s="63"/>
      <c r="P42" s="63"/>
      <c r="Q42" s="313"/>
      <c r="R42" s="8"/>
      <c r="S42" s="8"/>
      <c r="T42" s="8"/>
      <c r="U42" s="8"/>
      <c r="V42" s="8"/>
      <c r="W42" s="44"/>
      <c r="X42" s="9"/>
      <c r="Y42" s="9"/>
      <c r="Z42" s="9"/>
      <c r="AA42" s="9"/>
      <c r="AB42" s="9"/>
      <c r="AC42" s="9"/>
      <c r="AD42" s="9"/>
      <c r="AE42" s="192"/>
      <c r="AF42" s="192"/>
      <c r="AG42" s="192"/>
      <c r="AH42" s="192"/>
      <c r="AI42" s="192"/>
      <c r="AJ42" s="192"/>
      <c r="AK42" s="192"/>
      <c r="AL42" s="192"/>
      <c r="AM42" s="192"/>
      <c r="AN42" s="192"/>
      <c r="AO42" s="192"/>
      <c r="AP42" s="192"/>
      <c r="AQ42" s="192"/>
      <c r="AR42" s="192"/>
      <c r="AS42" s="192"/>
      <c r="AT42" s="192"/>
      <c r="AU42" s="192"/>
    </row>
    <row r="43" spans="1:47" outlineLevel="1">
      <c r="A43" s="12"/>
      <c r="B43" s="12"/>
      <c r="C43" s="12"/>
      <c r="D43" s="12"/>
      <c r="E43" s="12"/>
      <c r="F43" s="40" t="str">
        <f>Asset3</f>
        <v>Sub-transmission Underground</v>
      </c>
      <c r="G43" s="171"/>
      <c r="H43" s="63"/>
      <c r="I43" s="63"/>
      <c r="J43" s="63"/>
      <c r="K43" s="63"/>
      <c r="L43" s="63"/>
      <c r="M43" s="63"/>
      <c r="N43" s="63"/>
      <c r="O43" s="63"/>
      <c r="P43" s="63"/>
      <c r="Q43" s="313"/>
      <c r="R43" s="8"/>
      <c r="S43" s="8"/>
      <c r="T43" s="8"/>
      <c r="U43" s="8"/>
      <c r="V43" s="8"/>
      <c r="W43" s="44"/>
      <c r="X43" s="9"/>
      <c r="Y43" s="9"/>
      <c r="Z43" s="9"/>
      <c r="AA43" s="9"/>
      <c r="AB43" s="9"/>
      <c r="AC43" s="9"/>
      <c r="AD43" s="9"/>
      <c r="AE43" s="192"/>
      <c r="AF43" s="192"/>
      <c r="AG43" s="192"/>
      <c r="AH43" s="192"/>
      <c r="AI43" s="192"/>
      <c r="AJ43" s="192"/>
      <c r="AK43" s="192"/>
      <c r="AL43" s="192"/>
      <c r="AM43" s="192"/>
      <c r="AN43" s="192"/>
      <c r="AO43" s="192"/>
      <c r="AP43" s="192"/>
      <c r="AQ43" s="192"/>
      <c r="AR43" s="192"/>
      <c r="AS43" s="192"/>
      <c r="AT43" s="192"/>
      <c r="AU43" s="192"/>
    </row>
    <row r="44" spans="1:47" outlineLevel="1">
      <c r="A44" s="12"/>
      <c r="B44" s="12"/>
      <c r="C44" s="12"/>
      <c r="D44" s="12"/>
      <c r="E44" s="12"/>
      <c r="F44" s="40" t="str">
        <f>Asset4</f>
        <v>Zone Substation</v>
      </c>
      <c r="G44" s="171"/>
      <c r="H44" s="63">
        <v>0.7930148802741549</v>
      </c>
      <c r="I44" s="63">
        <v>8.09196468127041E-3</v>
      </c>
      <c r="J44" s="63">
        <v>0</v>
      </c>
      <c r="K44" s="63">
        <v>0.90027152663222343</v>
      </c>
      <c r="L44" s="63">
        <v>0.19444697705216729</v>
      </c>
      <c r="M44" s="63"/>
      <c r="N44" s="63"/>
      <c r="O44" s="63"/>
      <c r="P44" s="63"/>
      <c r="Q44" s="313"/>
      <c r="R44" s="8"/>
      <c r="S44" s="8"/>
      <c r="T44" s="8"/>
      <c r="U44" s="8"/>
      <c r="V44" s="8"/>
      <c r="W44" s="44"/>
      <c r="X44" s="9"/>
      <c r="Y44" s="9"/>
      <c r="Z44" s="9"/>
      <c r="AA44" s="9"/>
      <c r="AB44" s="9"/>
      <c r="AC44" s="9"/>
      <c r="AD44" s="9"/>
      <c r="AE44" s="192"/>
      <c r="AF44" s="192"/>
      <c r="AG44" s="192"/>
      <c r="AH44" s="192"/>
      <c r="AI44" s="192"/>
      <c r="AJ44" s="192"/>
      <c r="AK44" s="192"/>
      <c r="AL44" s="192"/>
      <c r="AM44" s="192"/>
      <c r="AN44" s="192"/>
      <c r="AO44" s="192"/>
      <c r="AP44" s="192"/>
      <c r="AQ44" s="192"/>
      <c r="AR44" s="192"/>
      <c r="AS44" s="192"/>
      <c r="AT44" s="192"/>
      <c r="AU44" s="192"/>
    </row>
    <row r="45" spans="1:47" outlineLevel="1">
      <c r="A45" s="12"/>
      <c r="B45" s="12"/>
      <c r="C45" s="12"/>
      <c r="D45" s="12"/>
      <c r="E45" s="12"/>
      <c r="F45" s="40" t="str">
        <f>Asset5</f>
        <v>Distribution Substations</v>
      </c>
      <c r="G45" s="171"/>
      <c r="H45" s="63">
        <v>12.2938196461266</v>
      </c>
      <c r="I45" s="63">
        <v>16.513742674113143</v>
      </c>
      <c r="J45" s="63">
        <v>14.010443735498505</v>
      </c>
      <c r="K45" s="63">
        <v>12.849291809861798</v>
      </c>
      <c r="L45" s="63">
        <v>13.498877705052596</v>
      </c>
      <c r="M45" s="63"/>
      <c r="N45" s="63"/>
      <c r="O45" s="63"/>
      <c r="P45" s="63"/>
      <c r="Q45" s="63"/>
      <c r="R45" s="8"/>
      <c r="S45" s="8"/>
      <c r="T45" s="8"/>
      <c r="U45" s="8"/>
      <c r="V45" s="8"/>
      <c r="W45" s="44"/>
      <c r="X45" s="9"/>
      <c r="Y45" s="9"/>
      <c r="Z45" s="9"/>
      <c r="AA45" s="9"/>
      <c r="AB45" s="9"/>
      <c r="AC45" s="9"/>
      <c r="AD45" s="9"/>
      <c r="AE45" s="192"/>
      <c r="AF45" s="192"/>
      <c r="AG45" s="192"/>
      <c r="AH45" s="192"/>
      <c r="AI45" s="192"/>
      <c r="AJ45" s="192"/>
      <c r="AK45" s="192"/>
      <c r="AL45" s="192"/>
      <c r="AM45" s="192"/>
      <c r="AN45" s="192"/>
      <c r="AO45" s="192"/>
      <c r="AP45" s="192"/>
      <c r="AQ45" s="192"/>
      <c r="AR45" s="192"/>
      <c r="AS45" s="192"/>
      <c r="AT45" s="192"/>
      <c r="AU45" s="192"/>
    </row>
    <row r="46" spans="1:47" outlineLevel="1">
      <c r="A46" s="12"/>
      <c r="B46" s="12"/>
      <c r="C46" s="12"/>
      <c r="D46" s="12"/>
      <c r="E46" s="12"/>
      <c r="F46" s="40" t="str">
        <f>Asset6</f>
        <v>Distribution Overhead Lines</v>
      </c>
      <c r="G46" s="171"/>
      <c r="H46" s="63">
        <v>10.824526619999999</v>
      </c>
      <c r="I46" s="63">
        <v>12.444574140000002</v>
      </c>
      <c r="J46" s="63">
        <v>13.689369850000002</v>
      </c>
      <c r="K46" s="63">
        <v>10.926074759999999</v>
      </c>
      <c r="L46" s="63">
        <v>9.6905608855406804</v>
      </c>
      <c r="M46" s="63"/>
      <c r="N46" s="63"/>
      <c r="O46" s="63"/>
      <c r="P46" s="63"/>
      <c r="Q46" s="63"/>
      <c r="R46" s="8"/>
      <c r="S46" s="8"/>
      <c r="T46" s="8"/>
      <c r="U46" s="8"/>
      <c r="V46" s="8"/>
      <c r="W46" s="44"/>
      <c r="X46" s="9"/>
      <c r="Y46" s="9"/>
      <c r="Z46" s="9"/>
      <c r="AA46" s="9"/>
      <c r="AB46" s="9"/>
      <c r="AC46" s="9"/>
      <c r="AD46" s="9"/>
      <c r="AE46" s="192"/>
      <c r="AF46" s="192"/>
      <c r="AG46" s="192"/>
      <c r="AH46" s="192"/>
      <c r="AI46" s="192"/>
      <c r="AJ46" s="192"/>
      <c r="AK46" s="192"/>
      <c r="AL46" s="192"/>
      <c r="AM46" s="192"/>
      <c r="AN46" s="192"/>
      <c r="AO46" s="192"/>
      <c r="AP46" s="192"/>
      <c r="AQ46" s="192"/>
      <c r="AR46" s="192"/>
      <c r="AS46" s="192"/>
      <c r="AT46" s="192"/>
      <c r="AU46" s="192"/>
    </row>
    <row r="47" spans="1:47" outlineLevel="1">
      <c r="A47" s="12"/>
      <c r="B47" s="12"/>
      <c r="C47" s="12"/>
      <c r="D47" s="12"/>
      <c r="E47" s="12"/>
      <c r="F47" s="40" t="str">
        <f>Asset7</f>
        <v>Distribution Underground Lines</v>
      </c>
      <c r="G47" s="171"/>
      <c r="H47" s="63">
        <v>18.977617213873398</v>
      </c>
      <c r="I47" s="63">
        <v>22.42314050588686</v>
      </c>
      <c r="J47" s="63">
        <v>21.434115264501493</v>
      </c>
      <c r="K47" s="63">
        <v>14.000379740138197</v>
      </c>
      <c r="L47" s="63">
        <v>18.202329581621413</v>
      </c>
      <c r="M47" s="63"/>
      <c r="N47" s="63"/>
      <c r="O47" s="63"/>
      <c r="P47" s="63"/>
      <c r="Q47" s="63"/>
      <c r="R47" s="8"/>
      <c r="S47" s="8"/>
      <c r="T47" s="8"/>
      <c r="U47" s="8"/>
      <c r="V47" s="8"/>
      <c r="W47" s="44"/>
      <c r="X47" s="9"/>
      <c r="Y47" s="9"/>
      <c r="Z47" s="9"/>
      <c r="AA47" s="9"/>
      <c r="AB47" s="9"/>
      <c r="AC47" s="9"/>
      <c r="AD47" s="9"/>
      <c r="AE47" s="192"/>
      <c r="AF47" s="192"/>
      <c r="AG47" s="192"/>
      <c r="AH47" s="192"/>
      <c r="AI47" s="192"/>
      <c r="AJ47" s="192"/>
      <c r="AK47" s="192"/>
      <c r="AL47" s="192"/>
      <c r="AM47" s="192"/>
      <c r="AN47" s="192"/>
      <c r="AO47" s="192"/>
      <c r="AP47" s="192"/>
      <c r="AQ47" s="192"/>
      <c r="AR47" s="192"/>
      <c r="AS47" s="192"/>
      <c r="AT47" s="192"/>
      <c r="AU47" s="192"/>
    </row>
    <row r="48" spans="1:47" outlineLevel="1">
      <c r="A48" s="12"/>
      <c r="B48" s="12"/>
      <c r="C48" s="12"/>
      <c r="D48" s="12"/>
      <c r="E48" s="12"/>
      <c r="F48" s="40" t="str">
        <f>Asset8</f>
        <v>IT &amp; Communication Systems (Networks)</v>
      </c>
      <c r="G48" s="171"/>
      <c r="H48" s="63">
        <v>1.2049402011190273</v>
      </c>
      <c r="I48" s="63">
        <v>0.84706399776831498</v>
      </c>
      <c r="J48" s="63">
        <v>2.3803847047274296</v>
      </c>
      <c r="K48" s="63">
        <v>6.3218837869471924</v>
      </c>
      <c r="L48" s="63">
        <v>19.439922710773658</v>
      </c>
      <c r="M48" s="63"/>
      <c r="N48" s="63"/>
      <c r="O48" s="63"/>
      <c r="P48" s="63"/>
      <c r="Q48" s="63"/>
      <c r="R48" s="8"/>
      <c r="S48" s="8"/>
      <c r="T48" s="8"/>
      <c r="U48" s="8"/>
      <c r="V48" s="8"/>
      <c r="W48" s="44"/>
      <c r="X48" s="9"/>
      <c r="Y48" s="9"/>
      <c r="Z48" s="9"/>
      <c r="AA48" s="9"/>
      <c r="AB48" s="9"/>
      <c r="AC48" s="9"/>
      <c r="AD48" s="9"/>
      <c r="AE48" s="192"/>
      <c r="AF48" s="192"/>
      <c r="AG48" s="192"/>
      <c r="AH48" s="192"/>
      <c r="AI48" s="192"/>
      <c r="AJ48" s="192"/>
      <c r="AK48" s="192"/>
      <c r="AL48" s="192"/>
      <c r="AM48" s="192"/>
      <c r="AN48" s="192"/>
      <c r="AO48" s="192"/>
      <c r="AP48" s="192"/>
      <c r="AQ48" s="192"/>
      <c r="AR48" s="192"/>
      <c r="AS48" s="192"/>
      <c r="AT48" s="192"/>
      <c r="AU48" s="192"/>
    </row>
    <row r="49" spans="1:47" outlineLevel="1">
      <c r="A49" s="12"/>
      <c r="B49" s="12"/>
      <c r="C49" s="12"/>
      <c r="D49" s="12"/>
      <c r="E49" s="12"/>
      <c r="F49" s="40" t="str">
        <f>Asset9</f>
        <v>Motor Vehicles</v>
      </c>
      <c r="G49" s="171"/>
      <c r="H49" s="63">
        <v>0</v>
      </c>
      <c r="I49" s="63">
        <v>0</v>
      </c>
      <c r="J49" s="63">
        <v>0.56430035826181035</v>
      </c>
      <c r="K49" s="63">
        <v>4.0011670578735208</v>
      </c>
      <c r="L49" s="63">
        <v>1.6323033470117705</v>
      </c>
      <c r="M49" s="63"/>
      <c r="N49" s="63"/>
      <c r="O49" s="63"/>
      <c r="P49" s="63"/>
      <c r="Q49" s="63"/>
      <c r="R49" s="8"/>
      <c r="S49" s="8"/>
      <c r="T49" s="8"/>
      <c r="U49" s="8"/>
      <c r="V49" s="8"/>
      <c r="W49" s="44"/>
      <c r="X49" s="9"/>
      <c r="Y49" s="9"/>
      <c r="Z49" s="9"/>
      <c r="AA49" s="9"/>
      <c r="AB49" s="9"/>
      <c r="AC49" s="9"/>
      <c r="AD49" s="9"/>
      <c r="AE49" s="192"/>
      <c r="AF49" s="192"/>
      <c r="AG49" s="192"/>
      <c r="AH49" s="192"/>
      <c r="AI49" s="192"/>
      <c r="AJ49" s="192"/>
      <c r="AK49" s="192"/>
      <c r="AL49" s="192"/>
      <c r="AM49" s="192"/>
      <c r="AN49" s="192"/>
      <c r="AO49" s="192"/>
      <c r="AP49" s="192"/>
      <c r="AQ49" s="192"/>
      <c r="AR49" s="192"/>
      <c r="AS49" s="192"/>
      <c r="AT49" s="192"/>
      <c r="AU49" s="192"/>
    </row>
    <row r="50" spans="1:47" outlineLevel="1">
      <c r="A50" s="12"/>
      <c r="B50" s="12"/>
      <c r="C50" s="12"/>
      <c r="D50" s="12"/>
      <c r="E50" s="12"/>
      <c r="F50" s="40" t="str">
        <f>Asset10</f>
        <v>Other Non-System Assets (Networks)</v>
      </c>
      <c r="G50" s="171"/>
      <c r="H50" s="63">
        <v>0.9410589139254546</v>
      </c>
      <c r="I50" s="63">
        <v>0.47735548186580218</v>
      </c>
      <c r="J50" s="63">
        <v>0.3809568917879142</v>
      </c>
      <c r="K50" s="63">
        <v>0.57931220299055441</v>
      </c>
      <c r="L50" s="63">
        <v>0.61618149494395547</v>
      </c>
      <c r="M50" s="63"/>
      <c r="N50" s="63"/>
      <c r="O50" s="63"/>
      <c r="P50" s="63"/>
      <c r="Q50" s="63"/>
      <c r="R50" s="8"/>
      <c r="S50" s="8"/>
      <c r="T50" s="8"/>
      <c r="U50" s="8"/>
      <c r="V50" s="8"/>
      <c r="W50" s="44"/>
      <c r="X50" s="9"/>
      <c r="Y50" s="9"/>
      <c r="Z50" s="9"/>
      <c r="AA50" s="9"/>
      <c r="AB50" s="9"/>
      <c r="AC50" s="9"/>
      <c r="AD50" s="9"/>
      <c r="AE50" s="192"/>
      <c r="AF50" s="192"/>
      <c r="AG50" s="192"/>
      <c r="AH50" s="192"/>
      <c r="AI50" s="192"/>
      <c r="AJ50" s="192"/>
      <c r="AK50" s="192"/>
      <c r="AL50" s="192"/>
      <c r="AM50" s="192"/>
      <c r="AN50" s="192"/>
      <c r="AO50" s="192"/>
      <c r="AP50" s="192"/>
      <c r="AQ50" s="192"/>
      <c r="AR50" s="192"/>
      <c r="AS50" s="192"/>
      <c r="AT50" s="192"/>
      <c r="AU50" s="192"/>
    </row>
    <row r="51" spans="1:47" outlineLevel="1">
      <c r="A51" s="12"/>
      <c r="B51" s="12"/>
      <c r="C51" s="12"/>
      <c r="D51" s="12"/>
      <c r="E51" s="12"/>
      <c r="F51" s="40" t="str">
        <f>Asset11</f>
        <v>IT Systems (Corporate)</v>
      </c>
      <c r="G51" s="171"/>
      <c r="H51" s="63">
        <v>0.89060567422099191</v>
      </c>
      <c r="I51" s="63">
        <v>0.27018162444994143</v>
      </c>
      <c r="J51" s="63">
        <v>1.391890812853448</v>
      </c>
      <c r="K51" s="63">
        <v>2.7895376685951869</v>
      </c>
      <c r="L51" s="63">
        <v>6.6222394305711489</v>
      </c>
      <c r="M51" s="63"/>
      <c r="N51" s="63"/>
      <c r="O51" s="63"/>
      <c r="P51" s="63"/>
      <c r="Q51" s="63"/>
      <c r="R51" s="8"/>
      <c r="S51" s="8"/>
      <c r="T51" s="8"/>
      <c r="U51" s="8"/>
      <c r="V51" s="8"/>
      <c r="W51" s="44"/>
      <c r="X51" s="9"/>
      <c r="Y51" s="9"/>
      <c r="Z51" s="9"/>
      <c r="AA51" s="9"/>
      <c r="AB51" s="9"/>
      <c r="AC51" s="9"/>
      <c r="AD51" s="9"/>
      <c r="AE51" s="192"/>
      <c r="AF51" s="192"/>
      <c r="AG51" s="192"/>
      <c r="AH51" s="192"/>
      <c r="AI51" s="192"/>
      <c r="AJ51" s="192"/>
      <c r="AK51" s="192"/>
      <c r="AL51" s="192"/>
      <c r="AM51" s="192"/>
      <c r="AN51" s="192"/>
      <c r="AO51" s="192"/>
      <c r="AP51" s="192"/>
      <c r="AQ51" s="192"/>
      <c r="AR51" s="192"/>
      <c r="AS51" s="192"/>
      <c r="AT51" s="192"/>
      <c r="AU51" s="192"/>
    </row>
    <row r="52" spans="1:47" outlineLevel="1">
      <c r="A52" s="12"/>
      <c r="B52" s="12"/>
      <c r="C52" s="12"/>
      <c r="D52" s="12"/>
      <c r="E52" s="12"/>
      <c r="F52" s="40" t="str">
        <f>Asset12</f>
        <v>Telecommunications (Corporate)</v>
      </c>
      <c r="G52" s="171"/>
      <c r="H52" s="63">
        <v>0.24566978388879748</v>
      </c>
      <c r="I52" s="63">
        <v>8.2214206294463119E-2</v>
      </c>
      <c r="J52" s="63">
        <v>3.915934683341088E-2</v>
      </c>
      <c r="K52" s="63">
        <v>5.1542831988595245E-2</v>
      </c>
      <c r="L52" s="63">
        <v>0</v>
      </c>
      <c r="M52" s="63"/>
      <c r="N52" s="63"/>
      <c r="O52" s="63"/>
      <c r="P52" s="63"/>
      <c r="Q52" s="63"/>
      <c r="R52" s="8"/>
      <c r="S52" s="8"/>
      <c r="T52" s="8"/>
      <c r="U52" s="8"/>
      <c r="V52" s="8"/>
      <c r="W52" s="44"/>
      <c r="X52" s="9"/>
      <c r="Y52" s="9"/>
      <c r="Z52" s="9"/>
      <c r="AA52" s="9"/>
      <c r="AB52" s="9"/>
      <c r="AC52" s="9"/>
      <c r="AD52" s="9"/>
      <c r="AE52" s="192"/>
      <c r="AF52" s="192"/>
      <c r="AG52" s="192"/>
      <c r="AH52" s="192"/>
      <c r="AI52" s="192"/>
      <c r="AJ52" s="192"/>
      <c r="AK52" s="192"/>
      <c r="AL52" s="192"/>
      <c r="AM52" s="192"/>
      <c r="AN52" s="192"/>
      <c r="AO52" s="192"/>
      <c r="AP52" s="192"/>
      <c r="AQ52" s="192"/>
      <c r="AR52" s="192"/>
      <c r="AS52" s="192"/>
      <c r="AT52" s="192"/>
      <c r="AU52" s="192"/>
    </row>
    <row r="53" spans="1:47" outlineLevel="1">
      <c r="A53" s="12"/>
      <c r="B53" s="12"/>
      <c r="C53" s="12"/>
      <c r="D53" s="12"/>
      <c r="E53" s="12"/>
      <c r="F53" s="40" t="str">
        <f>Asset13</f>
        <v>Other Non-System Assets (Corporate)</v>
      </c>
      <c r="G53" s="171"/>
      <c r="H53" s="63">
        <v>3.2530268100594033</v>
      </c>
      <c r="I53" s="63">
        <v>3.8933085292096687</v>
      </c>
      <c r="J53" s="63">
        <v>0.58960455432566472</v>
      </c>
      <c r="K53" s="63">
        <v>0.65942909729230337</v>
      </c>
      <c r="L53" s="63">
        <v>1.1511545107138581</v>
      </c>
      <c r="M53" s="63"/>
      <c r="N53" s="63"/>
      <c r="O53" s="63"/>
      <c r="P53" s="63"/>
      <c r="Q53" s="63"/>
      <c r="R53" s="8"/>
      <c r="S53" s="8"/>
      <c r="T53" s="8"/>
      <c r="U53" s="8"/>
      <c r="V53" s="8"/>
      <c r="W53" s="44"/>
      <c r="X53" s="9"/>
      <c r="Y53" s="9"/>
      <c r="Z53" s="9"/>
      <c r="AA53" s="9"/>
      <c r="AB53" s="9"/>
      <c r="AC53" s="9"/>
      <c r="AD53" s="9"/>
      <c r="AE53" s="192"/>
      <c r="AF53" s="192"/>
      <c r="AG53" s="192"/>
      <c r="AH53" s="192"/>
      <c r="AI53" s="192"/>
      <c r="AJ53" s="192"/>
      <c r="AK53" s="192"/>
      <c r="AL53" s="192"/>
      <c r="AM53" s="192"/>
      <c r="AN53" s="192"/>
      <c r="AO53" s="192"/>
      <c r="AP53" s="192"/>
      <c r="AQ53" s="192"/>
      <c r="AR53" s="192"/>
      <c r="AS53" s="192"/>
      <c r="AT53" s="192"/>
      <c r="AU53" s="192"/>
    </row>
    <row r="54" spans="1:47" outlineLevel="1">
      <c r="A54" s="12"/>
      <c r="B54" s="12"/>
      <c r="C54" s="12"/>
      <c r="D54" s="12"/>
      <c r="E54" s="12"/>
      <c r="F54" s="40" t="str">
        <f>Asset14</f>
        <v>Land</v>
      </c>
      <c r="G54" s="171"/>
      <c r="H54" s="63">
        <v>2.334453146068959</v>
      </c>
      <c r="I54" s="63">
        <v>0</v>
      </c>
      <c r="J54" s="63">
        <v>0</v>
      </c>
      <c r="K54" s="63">
        <v>0</v>
      </c>
      <c r="L54" s="63">
        <v>0</v>
      </c>
      <c r="M54" s="63"/>
      <c r="N54" s="63"/>
      <c r="O54" s="63"/>
      <c r="P54" s="63"/>
      <c r="Q54" s="63"/>
      <c r="R54" s="8"/>
      <c r="S54" s="8"/>
      <c r="T54" s="8"/>
      <c r="U54" s="8"/>
      <c r="V54" s="8"/>
      <c r="W54" s="44"/>
      <c r="X54" s="9"/>
      <c r="Y54" s="9"/>
      <c r="Z54" s="9"/>
      <c r="AA54" s="9"/>
      <c r="AB54" s="9"/>
      <c r="AC54" s="9"/>
      <c r="AD54" s="9"/>
      <c r="AE54" s="192"/>
      <c r="AF54" s="192"/>
      <c r="AG54" s="192"/>
      <c r="AH54" s="192"/>
      <c r="AI54" s="192"/>
      <c r="AJ54" s="192"/>
      <c r="AK54" s="192"/>
      <c r="AL54" s="192"/>
      <c r="AM54" s="192"/>
      <c r="AN54" s="192"/>
      <c r="AO54" s="192"/>
      <c r="AP54" s="192"/>
      <c r="AQ54" s="192"/>
      <c r="AR54" s="192"/>
      <c r="AS54" s="192"/>
      <c r="AT54" s="192"/>
      <c r="AU54" s="192"/>
    </row>
    <row r="55" spans="1:47" outlineLevel="1">
      <c r="A55" s="12"/>
      <c r="B55" s="12"/>
      <c r="C55" s="12"/>
      <c r="D55" s="12"/>
      <c r="E55" s="12"/>
      <c r="F55" s="40" t="str">
        <f>Asset15</f>
        <v>Buildings</v>
      </c>
      <c r="G55" s="171"/>
      <c r="H55" s="63">
        <v>5.9914696586509937</v>
      </c>
      <c r="I55" s="63">
        <v>9.0078722861663163</v>
      </c>
      <c r="J55" s="63">
        <v>0.73007080260382828</v>
      </c>
      <c r="K55" s="63">
        <v>1.1260074895522101</v>
      </c>
      <c r="L55" s="63">
        <v>1.6976285816639094</v>
      </c>
      <c r="M55" s="63"/>
      <c r="N55" s="63"/>
      <c r="O55" s="63"/>
      <c r="P55" s="63"/>
      <c r="Q55" s="63"/>
      <c r="R55" s="8"/>
      <c r="S55" s="8"/>
      <c r="T55" s="8"/>
      <c r="U55" s="8"/>
      <c r="V55" s="8"/>
      <c r="W55" s="44"/>
      <c r="X55" s="9"/>
      <c r="Y55" s="9"/>
      <c r="Z55" s="9"/>
      <c r="AA55" s="9"/>
      <c r="AB55" s="9"/>
      <c r="AC55" s="9"/>
      <c r="AD55" s="9"/>
      <c r="AE55" s="192"/>
      <c r="AF55" s="192"/>
      <c r="AG55" s="192"/>
      <c r="AH55" s="192"/>
      <c r="AI55" s="192"/>
      <c r="AJ55" s="192"/>
      <c r="AK55" s="192"/>
      <c r="AL55" s="192"/>
      <c r="AM55" s="192"/>
      <c r="AN55" s="192"/>
      <c r="AO55" s="192"/>
      <c r="AP55" s="192"/>
      <c r="AQ55" s="192"/>
      <c r="AR55" s="192"/>
      <c r="AS55" s="192"/>
      <c r="AT55" s="192"/>
      <c r="AU55" s="192"/>
    </row>
    <row r="56" spans="1:47" outlineLevel="1">
      <c r="A56" s="12"/>
      <c r="B56" s="12"/>
      <c r="C56" s="12"/>
      <c r="D56" s="12"/>
      <c r="E56" s="12"/>
      <c r="F56" s="40" t="str">
        <f>Asset16</f>
        <v>Equity raising costs</v>
      </c>
      <c r="G56" s="171"/>
      <c r="H56" s="63">
        <v>0.23136546984909195</v>
      </c>
      <c r="I56" s="63"/>
      <c r="J56" s="63"/>
      <c r="K56" s="63"/>
      <c r="L56" s="63"/>
      <c r="M56" s="63"/>
      <c r="N56" s="63"/>
      <c r="O56" s="63"/>
      <c r="P56" s="63"/>
      <c r="Q56" s="313"/>
      <c r="R56" s="8"/>
      <c r="S56" s="8"/>
      <c r="T56" s="8"/>
      <c r="U56" s="8"/>
      <c r="V56" s="8"/>
      <c r="W56" s="44"/>
      <c r="X56" s="9"/>
      <c r="Y56" s="9"/>
      <c r="Z56" s="9"/>
      <c r="AA56" s="9"/>
      <c r="AB56" s="9"/>
      <c r="AC56" s="9"/>
      <c r="AD56" s="9"/>
      <c r="AE56" s="192"/>
      <c r="AF56" s="192"/>
      <c r="AG56" s="192"/>
      <c r="AH56" s="192"/>
      <c r="AI56" s="192"/>
      <c r="AJ56" s="192"/>
      <c r="AK56" s="192"/>
      <c r="AL56" s="192"/>
      <c r="AM56" s="192"/>
      <c r="AN56" s="192"/>
      <c r="AO56" s="192"/>
      <c r="AP56" s="192"/>
      <c r="AQ56" s="192"/>
      <c r="AR56" s="192"/>
      <c r="AS56" s="192"/>
      <c r="AT56" s="192"/>
      <c r="AU56" s="192"/>
    </row>
    <row r="57" spans="1:47" outlineLevel="1">
      <c r="A57" s="12"/>
      <c r="B57" s="12"/>
      <c r="C57" s="12"/>
      <c r="D57" s="12"/>
      <c r="E57" s="12"/>
      <c r="F57" s="40">
        <f>Asset17</f>
        <v>0</v>
      </c>
      <c r="G57" s="171"/>
      <c r="H57" s="63"/>
      <c r="I57" s="63"/>
      <c r="J57" s="63"/>
      <c r="K57" s="63"/>
      <c r="L57" s="63"/>
      <c r="M57" s="63"/>
      <c r="N57" s="63"/>
      <c r="O57" s="63"/>
      <c r="P57" s="63"/>
      <c r="Q57" s="63"/>
      <c r="R57" s="8"/>
      <c r="S57" s="8"/>
      <c r="T57" s="8"/>
      <c r="U57" s="8"/>
      <c r="V57" s="8"/>
      <c r="W57" s="44"/>
      <c r="X57" s="9"/>
      <c r="Y57" s="9"/>
      <c r="Z57" s="9"/>
      <c r="AA57" s="9"/>
      <c r="AB57" s="9"/>
      <c r="AC57" s="9"/>
      <c r="AD57" s="9"/>
      <c r="AE57" s="192"/>
      <c r="AF57" s="192"/>
      <c r="AG57" s="192"/>
      <c r="AH57" s="192"/>
      <c r="AI57" s="192"/>
      <c r="AJ57" s="192"/>
      <c r="AK57" s="192"/>
      <c r="AL57" s="192"/>
      <c r="AM57" s="192"/>
      <c r="AN57" s="192"/>
      <c r="AO57" s="192"/>
      <c r="AP57" s="192"/>
      <c r="AQ57" s="192"/>
      <c r="AR57" s="192"/>
      <c r="AS57" s="192"/>
      <c r="AT57" s="192"/>
      <c r="AU57" s="192"/>
    </row>
    <row r="58" spans="1:47" outlineLevel="1">
      <c r="A58" s="12"/>
      <c r="B58" s="12"/>
      <c r="C58" s="12"/>
      <c r="D58" s="12"/>
      <c r="E58" s="12"/>
      <c r="F58" s="40">
        <f>Asset18</f>
        <v>0</v>
      </c>
      <c r="G58" s="171"/>
      <c r="H58" s="63"/>
      <c r="I58" s="63"/>
      <c r="J58" s="63"/>
      <c r="K58" s="63"/>
      <c r="L58" s="63"/>
      <c r="M58" s="63"/>
      <c r="N58" s="63"/>
      <c r="O58" s="63"/>
      <c r="P58" s="63"/>
      <c r="Q58" s="63"/>
      <c r="R58" s="8"/>
      <c r="S58" s="8"/>
      <c r="T58" s="8"/>
      <c r="U58" s="8"/>
      <c r="V58" s="8"/>
      <c r="W58" s="44"/>
      <c r="X58" s="9"/>
      <c r="Y58" s="9"/>
      <c r="Z58" s="9"/>
      <c r="AA58" s="9"/>
      <c r="AB58" s="9"/>
      <c r="AC58" s="9"/>
      <c r="AD58" s="9"/>
      <c r="AE58" s="192"/>
      <c r="AF58" s="192"/>
      <c r="AG58" s="192"/>
      <c r="AH58" s="192"/>
      <c r="AI58" s="192"/>
      <c r="AJ58" s="192"/>
      <c r="AK58" s="192"/>
      <c r="AL58" s="192"/>
      <c r="AM58" s="192"/>
      <c r="AN58" s="192"/>
      <c r="AO58" s="192"/>
      <c r="AP58" s="192"/>
      <c r="AQ58" s="192"/>
      <c r="AR58" s="192"/>
      <c r="AS58" s="192"/>
      <c r="AT58" s="192"/>
      <c r="AU58" s="192"/>
    </row>
    <row r="59" spans="1:47" outlineLevel="1">
      <c r="A59" s="12"/>
      <c r="B59" s="12"/>
      <c r="C59" s="12"/>
      <c r="D59" s="12"/>
      <c r="E59" s="12"/>
      <c r="F59" s="40">
        <f>Asset19</f>
        <v>0</v>
      </c>
      <c r="G59" s="171"/>
      <c r="H59" s="63"/>
      <c r="I59" s="63"/>
      <c r="J59" s="63"/>
      <c r="K59" s="63"/>
      <c r="L59" s="63"/>
      <c r="M59" s="63"/>
      <c r="N59" s="63"/>
      <c r="O59" s="63"/>
      <c r="P59" s="63"/>
      <c r="Q59" s="63"/>
      <c r="R59" s="8"/>
      <c r="S59" s="8"/>
      <c r="T59" s="8"/>
      <c r="U59" s="8"/>
      <c r="V59" s="8"/>
      <c r="W59" s="44"/>
      <c r="X59" s="9"/>
      <c r="Y59" s="9"/>
      <c r="Z59" s="9"/>
      <c r="AA59" s="9"/>
      <c r="AB59" s="9"/>
      <c r="AC59" s="9"/>
      <c r="AD59" s="9"/>
      <c r="AE59" s="192"/>
      <c r="AF59" s="192"/>
      <c r="AG59" s="192"/>
      <c r="AH59" s="192"/>
      <c r="AI59" s="192"/>
      <c r="AJ59" s="192"/>
      <c r="AK59" s="192"/>
      <c r="AL59" s="192"/>
      <c r="AM59" s="192"/>
      <c r="AN59" s="192"/>
      <c r="AO59" s="192"/>
      <c r="AP59" s="192"/>
      <c r="AQ59" s="192"/>
      <c r="AR59" s="192"/>
      <c r="AS59" s="192"/>
      <c r="AT59" s="192"/>
      <c r="AU59" s="192"/>
    </row>
    <row r="60" spans="1:47" outlineLevel="1">
      <c r="A60" s="12"/>
      <c r="B60" s="12"/>
      <c r="C60" s="12"/>
      <c r="D60" s="12"/>
      <c r="E60" s="12"/>
      <c r="F60" s="40">
        <f>Asset20</f>
        <v>0</v>
      </c>
      <c r="G60" s="171"/>
      <c r="H60" s="63"/>
      <c r="I60" s="63"/>
      <c r="J60" s="63"/>
      <c r="K60" s="63"/>
      <c r="L60" s="63"/>
      <c r="M60" s="63"/>
      <c r="N60" s="63"/>
      <c r="O60" s="63"/>
      <c r="P60" s="63"/>
      <c r="Q60" s="63"/>
      <c r="R60" s="8"/>
      <c r="S60" s="8"/>
      <c r="T60" s="8"/>
      <c r="U60" s="8"/>
      <c r="V60" s="8"/>
      <c r="W60" s="44"/>
      <c r="X60" s="9"/>
      <c r="Y60" s="9"/>
      <c r="Z60" s="9"/>
      <c r="AA60" s="9"/>
      <c r="AB60" s="9"/>
      <c r="AC60" s="9"/>
      <c r="AD60" s="9"/>
      <c r="AE60" s="192"/>
      <c r="AF60" s="192"/>
      <c r="AG60" s="192"/>
      <c r="AH60" s="192"/>
      <c r="AI60" s="192"/>
      <c r="AJ60" s="192"/>
      <c r="AK60" s="192"/>
      <c r="AL60" s="192"/>
      <c r="AM60" s="192"/>
      <c r="AN60" s="192"/>
      <c r="AO60" s="192"/>
      <c r="AP60" s="192"/>
      <c r="AQ60" s="192"/>
      <c r="AR60" s="192"/>
      <c r="AS60" s="192"/>
      <c r="AT60" s="192"/>
      <c r="AU60" s="192"/>
    </row>
    <row r="61" spans="1:47" outlineLevel="1">
      <c r="A61" s="12"/>
      <c r="B61" s="12"/>
      <c r="C61" s="12"/>
      <c r="D61" s="12"/>
      <c r="E61" s="12"/>
      <c r="F61" s="40">
        <f>Asset21</f>
        <v>0</v>
      </c>
      <c r="G61" s="171"/>
      <c r="H61" s="63"/>
      <c r="I61" s="63"/>
      <c r="J61" s="63"/>
      <c r="K61" s="63"/>
      <c r="L61" s="63"/>
      <c r="M61" s="63"/>
      <c r="N61" s="63"/>
      <c r="O61" s="63"/>
      <c r="P61" s="63"/>
      <c r="Q61" s="63"/>
      <c r="R61" s="8"/>
      <c r="S61" s="8"/>
      <c r="T61" s="8"/>
      <c r="U61" s="8"/>
      <c r="V61" s="8"/>
      <c r="W61" s="44"/>
      <c r="X61" s="9"/>
      <c r="Y61" s="9"/>
      <c r="Z61" s="9"/>
      <c r="AA61" s="9"/>
      <c r="AB61" s="9"/>
      <c r="AC61" s="9"/>
      <c r="AD61" s="9"/>
      <c r="AE61" s="192"/>
      <c r="AF61" s="192"/>
      <c r="AG61" s="192"/>
      <c r="AH61" s="192"/>
      <c r="AI61" s="192"/>
      <c r="AJ61" s="192"/>
      <c r="AK61" s="192"/>
      <c r="AL61" s="192"/>
      <c r="AM61" s="192"/>
      <c r="AN61" s="192"/>
      <c r="AO61" s="192"/>
      <c r="AP61" s="192"/>
      <c r="AQ61" s="192"/>
      <c r="AR61" s="192"/>
      <c r="AS61" s="192"/>
      <c r="AT61" s="192"/>
      <c r="AU61" s="192"/>
    </row>
    <row r="62" spans="1:47" outlineLevel="1">
      <c r="A62" s="12"/>
      <c r="B62" s="12"/>
      <c r="C62" s="12"/>
      <c r="D62" s="12"/>
      <c r="E62" s="12"/>
      <c r="F62" s="40">
        <f>Asset22</f>
        <v>0</v>
      </c>
      <c r="G62" s="171"/>
      <c r="H62" s="63"/>
      <c r="I62" s="63"/>
      <c r="J62" s="63"/>
      <c r="K62" s="63"/>
      <c r="L62" s="63"/>
      <c r="M62" s="63"/>
      <c r="N62" s="63"/>
      <c r="O62" s="63"/>
      <c r="P62" s="63"/>
      <c r="Q62" s="63"/>
      <c r="R62" s="8"/>
      <c r="S62" s="8"/>
      <c r="T62" s="8"/>
      <c r="U62" s="8"/>
      <c r="V62" s="8"/>
      <c r="W62" s="44"/>
      <c r="X62" s="9"/>
      <c r="Y62" s="9"/>
      <c r="Z62" s="9"/>
      <c r="AA62" s="9"/>
      <c r="AB62" s="9"/>
      <c r="AC62" s="9"/>
      <c r="AD62" s="9"/>
      <c r="AE62" s="192"/>
      <c r="AF62" s="192"/>
      <c r="AG62" s="192"/>
      <c r="AH62" s="192"/>
      <c r="AI62" s="192"/>
      <c r="AJ62" s="192"/>
      <c r="AK62" s="192"/>
      <c r="AL62" s="192"/>
      <c r="AM62" s="192"/>
      <c r="AN62" s="192"/>
      <c r="AO62" s="192"/>
      <c r="AP62" s="192"/>
      <c r="AQ62" s="192"/>
      <c r="AR62" s="192"/>
      <c r="AS62" s="192"/>
      <c r="AT62" s="192"/>
      <c r="AU62" s="192"/>
    </row>
    <row r="63" spans="1:47" outlineLevel="1">
      <c r="A63" s="12"/>
      <c r="B63" s="12"/>
      <c r="C63" s="12"/>
      <c r="D63" s="12"/>
      <c r="E63" s="12"/>
      <c r="F63" s="40">
        <f>Asset23</f>
        <v>0</v>
      </c>
      <c r="G63" s="171"/>
      <c r="H63" s="63"/>
      <c r="I63" s="63"/>
      <c r="J63" s="63"/>
      <c r="K63" s="63"/>
      <c r="L63" s="63"/>
      <c r="M63" s="63"/>
      <c r="N63" s="63"/>
      <c r="O63" s="63"/>
      <c r="P63" s="63"/>
      <c r="Q63" s="63"/>
      <c r="R63" s="8"/>
      <c r="S63" s="8"/>
      <c r="T63" s="8"/>
      <c r="U63" s="8"/>
      <c r="V63" s="8"/>
      <c r="W63" s="44"/>
      <c r="X63" s="9"/>
      <c r="Y63" s="9"/>
      <c r="Z63" s="9"/>
      <c r="AA63" s="9"/>
      <c r="AB63" s="9"/>
      <c r="AC63" s="9"/>
      <c r="AD63" s="9"/>
      <c r="AE63" s="192"/>
      <c r="AF63" s="192"/>
      <c r="AG63" s="192"/>
      <c r="AH63" s="192"/>
      <c r="AI63" s="192"/>
      <c r="AJ63" s="192"/>
      <c r="AK63" s="192"/>
      <c r="AL63" s="192"/>
      <c r="AM63" s="192"/>
      <c r="AN63" s="192"/>
      <c r="AO63" s="192"/>
      <c r="AP63" s="192"/>
      <c r="AQ63" s="192"/>
      <c r="AR63" s="192"/>
      <c r="AS63" s="192"/>
      <c r="AT63" s="192"/>
      <c r="AU63" s="192"/>
    </row>
    <row r="64" spans="1:47" outlineLevel="1">
      <c r="A64" s="12"/>
      <c r="B64" s="12"/>
      <c r="C64" s="12"/>
      <c r="D64" s="12"/>
      <c r="E64" s="12"/>
      <c r="F64" s="40">
        <f>Asset24</f>
        <v>0</v>
      </c>
      <c r="G64" s="171"/>
      <c r="H64" s="63"/>
      <c r="I64" s="63"/>
      <c r="J64" s="63"/>
      <c r="K64" s="63"/>
      <c r="L64" s="63"/>
      <c r="M64" s="63"/>
      <c r="N64" s="63"/>
      <c r="O64" s="63"/>
      <c r="P64" s="63"/>
      <c r="Q64" s="63"/>
      <c r="R64" s="8"/>
      <c r="S64" s="8"/>
      <c r="T64" s="8"/>
      <c r="U64" s="8"/>
      <c r="V64" s="8"/>
      <c r="W64" s="44"/>
      <c r="X64" s="9"/>
      <c r="Y64" s="9"/>
      <c r="Z64" s="9"/>
      <c r="AA64" s="9"/>
      <c r="AB64" s="9"/>
      <c r="AC64" s="9"/>
      <c r="AD64" s="9"/>
      <c r="AE64" s="192"/>
      <c r="AF64" s="192"/>
      <c r="AG64" s="192"/>
      <c r="AH64" s="192"/>
      <c r="AI64" s="192"/>
      <c r="AJ64" s="192"/>
      <c r="AK64" s="192"/>
      <c r="AL64" s="192"/>
      <c r="AM64" s="192"/>
      <c r="AN64" s="192"/>
      <c r="AO64" s="192"/>
      <c r="AP64" s="192"/>
      <c r="AQ64" s="192"/>
      <c r="AR64" s="192"/>
      <c r="AS64" s="192"/>
      <c r="AT64" s="192"/>
      <c r="AU64" s="192"/>
    </row>
    <row r="65" spans="1:47" outlineLevel="1">
      <c r="A65" s="12"/>
      <c r="B65" s="12"/>
      <c r="C65" s="12"/>
      <c r="D65" s="12"/>
      <c r="E65" s="12"/>
      <c r="F65" s="40">
        <f>Asset25</f>
        <v>0</v>
      </c>
      <c r="G65" s="171"/>
      <c r="H65" s="63"/>
      <c r="I65" s="63"/>
      <c r="J65" s="63"/>
      <c r="K65" s="63"/>
      <c r="L65" s="63"/>
      <c r="M65" s="63"/>
      <c r="N65" s="63"/>
      <c r="O65" s="63"/>
      <c r="P65" s="63"/>
      <c r="Q65" s="63"/>
      <c r="R65" s="8"/>
      <c r="S65" s="8"/>
      <c r="T65" s="8"/>
      <c r="U65" s="8"/>
      <c r="V65" s="8"/>
      <c r="W65" s="44"/>
      <c r="X65" s="9"/>
      <c r="Y65" s="9"/>
      <c r="Z65" s="9"/>
      <c r="AA65" s="9"/>
      <c r="AB65" s="9"/>
      <c r="AC65" s="9"/>
      <c r="AD65" s="9"/>
      <c r="AE65" s="192"/>
      <c r="AF65" s="192"/>
      <c r="AG65" s="192"/>
      <c r="AH65" s="192"/>
      <c r="AI65" s="192"/>
      <c r="AJ65" s="192"/>
      <c r="AK65" s="192"/>
      <c r="AL65" s="192"/>
      <c r="AM65" s="192"/>
      <c r="AN65" s="192"/>
      <c r="AO65" s="192"/>
      <c r="AP65" s="192"/>
      <c r="AQ65" s="192"/>
      <c r="AR65" s="192"/>
      <c r="AS65" s="192"/>
      <c r="AT65" s="192"/>
      <c r="AU65" s="192"/>
    </row>
    <row r="66" spans="1:47" outlineLevel="1">
      <c r="A66" s="12"/>
      <c r="B66" s="12"/>
      <c r="C66" s="12"/>
      <c r="D66" s="12"/>
      <c r="E66" s="12"/>
      <c r="F66" s="40">
        <f>Asset26</f>
        <v>0</v>
      </c>
      <c r="G66" s="171"/>
      <c r="H66" s="63"/>
      <c r="I66" s="63"/>
      <c r="J66" s="63"/>
      <c r="K66" s="63"/>
      <c r="L66" s="63"/>
      <c r="M66" s="63"/>
      <c r="N66" s="63"/>
      <c r="O66" s="63"/>
      <c r="P66" s="63"/>
      <c r="Q66" s="63"/>
      <c r="R66" s="8"/>
      <c r="S66" s="8"/>
      <c r="T66" s="8"/>
      <c r="U66" s="8"/>
      <c r="V66" s="8"/>
      <c r="W66" s="44"/>
      <c r="X66" s="9"/>
      <c r="Y66" s="9"/>
      <c r="Z66" s="9"/>
      <c r="AA66" s="9"/>
      <c r="AB66" s="9"/>
      <c r="AC66" s="9"/>
      <c r="AD66" s="9"/>
      <c r="AE66" s="192"/>
      <c r="AF66" s="192"/>
      <c r="AG66" s="192"/>
      <c r="AH66" s="192"/>
      <c r="AI66" s="192"/>
      <c r="AJ66" s="192"/>
      <c r="AK66" s="192"/>
      <c r="AL66" s="192"/>
      <c r="AM66" s="192"/>
      <c r="AN66" s="192"/>
      <c r="AO66" s="192"/>
      <c r="AP66" s="192"/>
      <c r="AQ66" s="192"/>
      <c r="AR66" s="192"/>
      <c r="AS66" s="192"/>
      <c r="AT66" s="192"/>
      <c r="AU66" s="192"/>
    </row>
    <row r="67" spans="1:47" outlineLevel="1">
      <c r="A67" s="12"/>
      <c r="B67" s="12"/>
      <c r="C67" s="12"/>
      <c r="D67" s="12"/>
      <c r="E67" s="12"/>
      <c r="F67" s="40">
        <f>Asset27</f>
        <v>0</v>
      </c>
      <c r="G67" s="171"/>
      <c r="H67" s="63"/>
      <c r="I67" s="63"/>
      <c r="J67" s="63"/>
      <c r="K67" s="63"/>
      <c r="L67" s="63"/>
      <c r="M67" s="63"/>
      <c r="N67" s="63"/>
      <c r="O67" s="63"/>
      <c r="P67" s="63"/>
      <c r="Q67" s="63"/>
      <c r="R67" s="8"/>
      <c r="S67" s="8"/>
      <c r="T67" s="8"/>
      <c r="U67" s="8"/>
      <c r="V67" s="8"/>
      <c r="W67" s="44"/>
      <c r="X67" s="9"/>
      <c r="Y67" s="9"/>
      <c r="Z67" s="9"/>
      <c r="AA67" s="9"/>
      <c r="AB67" s="9"/>
      <c r="AC67" s="9"/>
      <c r="AD67" s="9"/>
      <c r="AE67" s="192"/>
      <c r="AF67" s="192"/>
      <c r="AG67" s="192"/>
      <c r="AH67" s="192"/>
      <c r="AI67" s="192"/>
      <c r="AJ67" s="192"/>
      <c r="AK67" s="192"/>
      <c r="AL67" s="192"/>
      <c r="AM67" s="192"/>
      <c r="AN67" s="192"/>
      <c r="AO67" s="192"/>
      <c r="AP67" s="192"/>
      <c r="AQ67" s="192"/>
      <c r="AR67" s="192"/>
      <c r="AS67" s="192"/>
      <c r="AT67" s="192"/>
      <c r="AU67" s="192"/>
    </row>
    <row r="68" spans="1:47" outlineLevel="1">
      <c r="A68" s="12"/>
      <c r="B68" s="12"/>
      <c r="C68" s="12"/>
      <c r="D68" s="12"/>
      <c r="E68" s="12"/>
      <c r="F68" s="40">
        <f>Asset28</f>
        <v>0</v>
      </c>
      <c r="G68" s="171"/>
      <c r="H68" s="63"/>
      <c r="I68" s="63"/>
      <c r="J68" s="63"/>
      <c r="K68" s="63"/>
      <c r="L68" s="63"/>
      <c r="M68" s="63"/>
      <c r="N68" s="63"/>
      <c r="O68" s="63"/>
      <c r="P68" s="63"/>
      <c r="Q68" s="63"/>
      <c r="R68" s="8"/>
      <c r="S68" s="8"/>
      <c r="T68" s="8"/>
      <c r="U68" s="8"/>
      <c r="V68" s="8"/>
      <c r="W68" s="44"/>
      <c r="X68" s="9"/>
      <c r="Y68" s="9"/>
      <c r="Z68" s="9"/>
      <c r="AA68" s="9"/>
      <c r="AB68" s="9"/>
      <c r="AC68" s="9"/>
      <c r="AD68" s="9"/>
      <c r="AE68" s="192"/>
      <c r="AF68" s="192"/>
      <c r="AG68" s="192"/>
      <c r="AH68" s="192"/>
      <c r="AI68" s="192"/>
      <c r="AJ68" s="192"/>
      <c r="AK68" s="192"/>
      <c r="AL68" s="192"/>
      <c r="AM68" s="192"/>
      <c r="AN68" s="192"/>
      <c r="AO68" s="192"/>
      <c r="AP68" s="192"/>
      <c r="AQ68" s="192"/>
      <c r="AR68" s="192"/>
      <c r="AS68" s="192"/>
      <c r="AT68" s="192"/>
      <c r="AU68" s="192"/>
    </row>
    <row r="69" spans="1:47" outlineLevel="1">
      <c r="A69" s="12"/>
      <c r="B69" s="12"/>
      <c r="C69" s="12"/>
      <c r="D69" s="12"/>
      <c r="E69" s="12"/>
      <c r="F69" s="40">
        <f>Asset29</f>
        <v>0</v>
      </c>
      <c r="G69" s="171"/>
      <c r="H69" s="63"/>
      <c r="I69" s="63"/>
      <c r="J69" s="63"/>
      <c r="K69" s="63"/>
      <c r="L69" s="63"/>
      <c r="M69" s="63"/>
      <c r="N69" s="63"/>
      <c r="O69" s="63"/>
      <c r="P69" s="63"/>
      <c r="Q69" s="63"/>
      <c r="R69" s="8"/>
      <c r="S69" s="8"/>
      <c r="T69" s="8"/>
      <c r="U69" s="8"/>
      <c r="V69" s="8"/>
      <c r="W69" s="44"/>
      <c r="X69" s="9"/>
      <c r="Y69" s="9"/>
      <c r="Z69" s="9"/>
      <c r="AA69" s="9"/>
      <c r="AB69" s="9"/>
      <c r="AC69" s="9"/>
      <c r="AD69" s="9"/>
      <c r="AE69" s="192"/>
      <c r="AF69" s="192"/>
      <c r="AG69" s="192"/>
      <c r="AH69" s="192"/>
      <c r="AI69" s="192"/>
      <c r="AJ69" s="192"/>
      <c r="AK69" s="192"/>
      <c r="AL69" s="192"/>
      <c r="AM69" s="192"/>
      <c r="AN69" s="192"/>
      <c r="AO69" s="192"/>
      <c r="AP69" s="192"/>
      <c r="AQ69" s="192"/>
      <c r="AR69" s="192"/>
      <c r="AS69" s="192"/>
      <c r="AT69" s="192"/>
      <c r="AU69" s="192"/>
    </row>
    <row r="70" spans="1:47" outlineLevel="1">
      <c r="A70" s="12"/>
      <c r="B70" s="12"/>
      <c r="C70" s="12"/>
      <c r="D70" s="12"/>
      <c r="E70" s="12"/>
      <c r="F70" s="40">
        <f>Asset30</f>
        <v>0</v>
      </c>
      <c r="G70" s="171"/>
      <c r="H70" s="63"/>
      <c r="I70" s="63"/>
      <c r="J70" s="63"/>
      <c r="K70" s="63"/>
      <c r="L70" s="63"/>
      <c r="M70" s="63"/>
      <c r="N70" s="63"/>
      <c r="O70" s="63"/>
      <c r="P70" s="63"/>
      <c r="Q70" s="63"/>
      <c r="R70" s="8"/>
      <c r="S70" s="8"/>
      <c r="T70" s="8"/>
      <c r="U70" s="8"/>
      <c r="V70" s="8"/>
      <c r="W70" s="44"/>
      <c r="X70" s="9"/>
      <c r="Y70" s="9"/>
      <c r="Z70" s="9"/>
      <c r="AA70" s="9"/>
      <c r="AB70" s="9"/>
      <c r="AC70" s="9"/>
      <c r="AD70" s="9"/>
      <c r="AE70" s="192"/>
      <c r="AF70" s="192"/>
      <c r="AG70" s="192"/>
      <c r="AH70" s="192"/>
      <c r="AI70" s="192"/>
      <c r="AJ70" s="192"/>
      <c r="AK70" s="192"/>
      <c r="AL70" s="192"/>
      <c r="AM70" s="192"/>
      <c r="AN70" s="192"/>
      <c r="AO70" s="192"/>
      <c r="AP70" s="192"/>
      <c r="AQ70" s="192"/>
      <c r="AR70" s="192"/>
      <c r="AS70" s="192"/>
      <c r="AT70" s="192"/>
      <c r="AU70" s="192"/>
    </row>
    <row r="71" spans="1:47">
      <c r="A71" s="12"/>
      <c r="B71" s="12"/>
      <c r="C71" s="12"/>
      <c r="D71" s="12"/>
      <c r="E71" s="12"/>
      <c r="F71" s="40" t="s">
        <v>22</v>
      </c>
      <c r="G71" s="247">
        <f>SUM(G41:G70)</f>
        <v>38.151267389991652</v>
      </c>
      <c r="H71" s="269">
        <f t="shared" ref="H71:P71" si="2">SUM(H41:H70)</f>
        <v>57.981568018056876</v>
      </c>
      <c r="I71" s="269">
        <f t="shared" si="2"/>
        <v>65.96754541043579</v>
      </c>
      <c r="J71" s="269">
        <f t="shared" si="2"/>
        <v>55.210296321393514</v>
      </c>
      <c r="K71" s="269">
        <f t="shared" si="2"/>
        <v>54.20489797187178</v>
      </c>
      <c r="L71" s="269">
        <f t="shared" si="2"/>
        <v>72.74564522494515</v>
      </c>
      <c r="M71" s="247">
        <f t="shared" si="2"/>
        <v>0</v>
      </c>
      <c r="N71" s="247">
        <f t="shared" si="2"/>
        <v>0</v>
      </c>
      <c r="O71" s="247">
        <f t="shared" si="2"/>
        <v>0</v>
      </c>
      <c r="P71" s="247">
        <f t="shared" si="2"/>
        <v>0</v>
      </c>
      <c r="Q71" s="247">
        <f>SUM(Q41:Q70)</f>
        <v>0</v>
      </c>
      <c r="R71" s="38"/>
      <c r="S71" s="38"/>
      <c r="T71" s="38"/>
      <c r="U71" s="38"/>
      <c r="V71" s="38"/>
      <c r="W71" s="38"/>
      <c r="X71" s="48"/>
      <c r="Y71" s="8"/>
      <c r="Z71" s="8"/>
      <c r="AA71" s="44"/>
      <c r="AB71" s="9"/>
      <c r="AC71" s="9"/>
      <c r="AD71" s="9"/>
      <c r="AE71" s="192"/>
      <c r="AF71" s="192"/>
      <c r="AG71" s="192"/>
      <c r="AH71" s="192"/>
      <c r="AI71" s="192"/>
      <c r="AJ71" s="192"/>
      <c r="AK71" s="192"/>
      <c r="AL71" s="192"/>
      <c r="AM71" s="192"/>
      <c r="AN71" s="192"/>
      <c r="AO71" s="192"/>
      <c r="AP71" s="192"/>
      <c r="AQ71" s="192"/>
      <c r="AR71" s="192"/>
      <c r="AS71" s="192"/>
      <c r="AT71" s="192"/>
      <c r="AU71" s="192"/>
    </row>
    <row r="72" spans="1:47" ht="21" customHeight="1">
      <c r="A72" s="9"/>
      <c r="B72" s="9"/>
      <c r="C72" s="9"/>
      <c r="D72" s="9"/>
      <c r="E72" s="9"/>
      <c r="F72" s="9"/>
      <c r="G72" s="277"/>
      <c r="H72" s="277"/>
      <c r="I72" s="277"/>
      <c r="J72" s="277"/>
      <c r="K72" s="277"/>
      <c r="L72" s="277"/>
      <c r="M72" s="9"/>
      <c r="N72" s="9"/>
      <c r="O72" s="9"/>
      <c r="P72" s="9"/>
      <c r="Q72" s="9"/>
      <c r="R72" s="246">
        <f>SUM(G71:Q71)</f>
        <v>344.26122033669481</v>
      </c>
      <c r="S72" s="9"/>
      <c r="T72" s="9"/>
      <c r="U72" s="9"/>
      <c r="V72" s="9"/>
      <c r="W72" s="9"/>
      <c r="X72" s="9"/>
      <c r="Y72" s="9"/>
      <c r="Z72" s="9"/>
      <c r="AA72" s="19"/>
      <c r="AB72" s="9"/>
      <c r="AC72" s="9"/>
      <c r="AD72" s="9"/>
      <c r="AE72" s="192"/>
      <c r="AF72" s="192"/>
      <c r="AG72" s="192"/>
      <c r="AH72" s="192"/>
      <c r="AI72" s="192"/>
      <c r="AJ72" s="192"/>
      <c r="AK72" s="192"/>
      <c r="AL72" s="192"/>
      <c r="AM72" s="192"/>
      <c r="AN72" s="192"/>
      <c r="AO72" s="192"/>
      <c r="AP72" s="192"/>
      <c r="AQ72" s="192"/>
      <c r="AR72" s="192"/>
      <c r="AS72" s="192"/>
      <c r="AT72" s="192"/>
      <c r="AU72" s="192"/>
    </row>
    <row r="73" spans="1:47" ht="13.5" customHeight="1">
      <c r="A73" s="75"/>
      <c r="B73" s="75"/>
      <c r="C73" s="75"/>
      <c r="D73" s="75"/>
      <c r="E73" s="75"/>
      <c r="F73" s="163" t="s">
        <v>85</v>
      </c>
      <c r="G73" s="163"/>
      <c r="H73" s="163"/>
      <c r="I73" s="163"/>
      <c r="J73" s="163"/>
      <c r="K73" s="78"/>
      <c r="L73" s="78"/>
      <c r="M73" s="76"/>
      <c r="N73" s="76"/>
      <c r="O73" s="76"/>
      <c r="P73" s="76"/>
      <c r="Q73" s="76"/>
      <c r="R73" s="76"/>
      <c r="S73" s="76"/>
      <c r="T73" s="76"/>
      <c r="U73" s="76"/>
      <c r="V73" s="76"/>
      <c r="W73" s="76"/>
      <c r="X73" s="8"/>
      <c r="Y73" s="8"/>
      <c r="Z73" s="8"/>
      <c r="AA73" s="8"/>
      <c r="AB73" s="44"/>
      <c r="AC73" s="9"/>
      <c r="AD73" s="9"/>
      <c r="AE73" s="192"/>
      <c r="AF73" s="192"/>
      <c r="AG73" s="192"/>
      <c r="AH73" s="192"/>
      <c r="AI73" s="192"/>
      <c r="AJ73" s="192"/>
      <c r="AK73" s="192"/>
      <c r="AL73" s="192"/>
      <c r="AM73" s="192"/>
      <c r="AN73" s="192"/>
      <c r="AO73" s="192"/>
      <c r="AP73" s="192"/>
      <c r="AQ73" s="192"/>
      <c r="AR73" s="192"/>
      <c r="AS73" s="192"/>
      <c r="AT73" s="192"/>
      <c r="AU73" s="192"/>
    </row>
    <row r="74" spans="1:47">
      <c r="A74" s="12"/>
      <c r="B74" s="12"/>
      <c r="C74" s="12"/>
      <c r="D74" s="12"/>
      <c r="E74" s="12"/>
      <c r="F74" s="39" t="s">
        <v>5</v>
      </c>
      <c r="G74" s="245" t="str">
        <f>G40</f>
        <v>2008-09</v>
      </c>
      <c r="H74" s="245" t="str">
        <f t="shared" ref="H74:Q74" si="3">H40</f>
        <v>2009-10</v>
      </c>
      <c r="I74" s="245" t="str">
        <f t="shared" si="3"/>
        <v>2010-11</v>
      </c>
      <c r="J74" s="245" t="str">
        <f t="shared" si="3"/>
        <v>2011-12</v>
      </c>
      <c r="K74" s="245" t="str">
        <f t="shared" si="3"/>
        <v>2012-13</v>
      </c>
      <c r="L74" s="245" t="str">
        <f t="shared" si="3"/>
        <v>2013-14</v>
      </c>
      <c r="M74" s="245" t="str">
        <f t="shared" si="3"/>
        <v>2014-15</v>
      </c>
      <c r="N74" s="245" t="str">
        <f t="shared" si="3"/>
        <v>2015-16</v>
      </c>
      <c r="O74" s="245" t="str">
        <f t="shared" si="3"/>
        <v>2016-17</v>
      </c>
      <c r="P74" s="245" t="str">
        <f t="shared" si="3"/>
        <v>2017-18</v>
      </c>
      <c r="Q74" s="245" t="str">
        <f t="shared" si="3"/>
        <v>2018-19</v>
      </c>
      <c r="R74" s="8"/>
      <c r="S74" s="8"/>
      <c r="T74" s="8"/>
      <c r="U74" s="8"/>
      <c r="V74" s="8"/>
      <c r="W74" s="44"/>
      <c r="X74" s="9"/>
      <c r="Y74" s="9"/>
      <c r="Z74" s="9"/>
      <c r="AA74" s="9"/>
      <c r="AB74" s="9"/>
      <c r="AC74" s="9"/>
      <c r="AD74" s="9"/>
      <c r="AE74" s="192"/>
      <c r="AF74" s="192"/>
      <c r="AG74" s="192"/>
      <c r="AH74" s="192"/>
      <c r="AI74" s="192"/>
      <c r="AJ74" s="192"/>
      <c r="AK74" s="192"/>
      <c r="AL74" s="192"/>
      <c r="AM74" s="192"/>
      <c r="AN74" s="192"/>
      <c r="AO74" s="192"/>
      <c r="AP74" s="192"/>
      <c r="AQ74" s="192"/>
      <c r="AR74" s="192"/>
      <c r="AS74" s="192"/>
      <c r="AT74" s="192"/>
      <c r="AU74" s="192"/>
    </row>
    <row r="75" spans="1:47" outlineLevel="1">
      <c r="A75" s="12"/>
      <c r="B75" s="12"/>
      <c r="C75" s="12"/>
      <c r="D75" s="12"/>
      <c r="E75" s="12"/>
      <c r="F75" s="40" t="str">
        <f>Asset1</f>
        <v>Opening Distribution Assets</v>
      </c>
      <c r="G75" s="170">
        <v>8.3740094368301072</v>
      </c>
      <c r="H75" s="62"/>
      <c r="I75" s="62"/>
      <c r="J75" s="62"/>
      <c r="K75" s="62"/>
      <c r="L75" s="62"/>
      <c r="M75" s="62"/>
      <c r="N75" s="62"/>
      <c r="O75" s="62"/>
      <c r="P75" s="62"/>
      <c r="Q75" s="62"/>
      <c r="R75" s="8"/>
      <c r="S75" s="8"/>
      <c r="T75" s="8"/>
      <c r="U75" s="8"/>
      <c r="V75" s="8"/>
      <c r="W75" s="44"/>
      <c r="X75" s="9"/>
      <c r="Y75" s="9"/>
      <c r="Z75" s="9"/>
      <c r="AA75" s="9"/>
      <c r="AB75" s="9"/>
      <c r="AC75" s="9"/>
      <c r="AD75" s="9"/>
      <c r="AE75" s="192"/>
      <c r="AF75" s="192"/>
      <c r="AG75" s="192"/>
      <c r="AH75" s="192"/>
      <c r="AI75" s="192"/>
      <c r="AJ75" s="192"/>
      <c r="AK75" s="192"/>
      <c r="AL75" s="192"/>
      <c r="AM75" s="192"/>
      <c r="AN75" s="192"/>
      <c r="AO75" s="192"/>
      <c r="AP75" s="192"/>
      <c r="AQ75" s="192"/>
      <c r="AR75" s="192"/>
      <c r="AS75" s="192"/>
      <c r="AT75" s="192"/>
      <c r="AU75" s="192"/>
    </row>
    <row r="76" spans="1:47" outlineLevel="1">
      <c r="A76" s="12"/>
      <c r="B76" s="12"/>
      <c r="C76" s="12"/>
      <c r="D76" s="12"/>
      <c r="E76" s="12"/>
      <c r="F76" s="40" t="str">
        <f>Asset2</f>
        <v>Sub-transmission Overhead</v>
      </c>
      <c r="G76" s="171"/>
      <c r="H76" s="63"/>
      <c r="I76" s="63"/>
      <c r="J76" s="63"/>
      <c r="K76" s="63"/>
      <c r="L76" s="63"/>
      <c r="M76" s="63"/>
      <c r="N76" s="63"/>
      <c r="O76" s="63"/>
      <c r="P76" s="63"/>
      <c r="Q76" s="63"/>
      <c r="R76" s="8"/>
      <c r="S76" s="8"/>
      <c r="T76" s="8"/>
      <c r="U76" s="8"/>
      <c r="V76" s="8"/>
      <c r="W76" s="44"/>
      <c r="X76" s="9"/>
      <c r="Y76" s="9"/>
      <c r="Z76" s="9"/>
      <c r="AA76" s="9"/>
      <c r="AB76" s="9"/>
      <c r="AC76" s="9"/>
      <c r="AD76" s="9"/>
      <c r="AE76" s="192"/>
      <c r="AF76" s="192"/>
      <c r="AG76" s="192"/>
      <c r="AH76" s="192"/>
      <c r="AI76" s="192"/>
      <c r="AJ76" s="192"/>
      <c r="AK76" s="192"/>
      <c r="AL76" s="192"/>
      <c r="AM76" s="192"/>
      <c r="AN76" s="192"/>
      <c r="AO76" s="192"/>
      <c r="AP76" s="192"/>
      <c r="AQ76" s="192"/>
      <c r="AR76" s="192"/>
      <c r="AS76" s="192"/>
      <c r="AT76" s="192"/>
      <c r="AU76" s="192"/>
    </row>
    <row r="77" spans="1:47" outlineLevel="1">
      <c r="A77" s="12"/>
      <c r="B77" s="12"/>
      <c r="C77" s="12"/>
      <c r="D77" s="12"/>
      <c r="E77" s="12"/>
      <c r="F77" s="40" t="str">
        <f>Asset3</f>
        <v>Sub-transmission Underground</v>
      </c>
      <c r="G77" s="171"/>
      <c r="H77" s="63"/>
      <c r="I77" s="63"/>
      <c r="J77" s="63"/>
      <c r="K77" s="63"/>
      <c r="L77" s="63"/>
      <c r="M77" s="63"/>
      <c r="N77" s="63"/>
      <c r="O77" s="63"/>
      <c r="P77" s="63"/>
      <c r="Q77" s="63"/>
      <c r="R77" s="8"/>
      <c r="S77" s="8"/>
      <c r="T77" s="8"/>
      <c r="U77" s="8"/>
      <c r="V77" s="8"/>
      <c r="W77" s="44"/>
      <c r="X77" s="9"/>
      <c r="Y77" s="9"/>
      <c r="Z77" s="9"/>
      <c r="AA77" s="9"/>
      <c r="AB77" s="9"/>
      <c r="AC77" s="9"/>
      <c r="AD77" s="9"/>
      <c r="AE77" s="192"/>
      <c r="AF77" s="192"/>
      <c r="AG77" s="192"/>
      <c r="AH77" s="192"/>
      <c r="AI77" s="192"/>
      <c r="AJ77" s="192"/>
      <c r="AK77" s="192"/>
      <c r="AL77" s="192"/>
      <c r="AM77" s="192"/>
      <c r="AN77" s="192"/>
      <c r="AO77" s="192"/>
      <c r="AP77" s="192"/>
      <c r="AQ77" s="192"/>
      <c r="AR77" s="192"/>
      <c r="AS77" s="192"/>
      <c r="AT77" s="192"/>
      <c r="AU77" s="192"/>
    </row>
    <row r="78" spans="1:47" outlineLevel="1">
      <c r="A78" s="12"/>
      <c r="B78" s="12"/>
      <c r="C78" s="12"/>
      <c r="D78" s="12"/>
      <c r="E78" s="12"/>
      <c r="F78" s="40" t="str">
        <f>Asset4</f>
        <v>Zone Substation</v>
      </c>
      <c r="G78" s="171"/>
      <c r="H78" s="63"/>
      <c r="I78" s="63"/>
      <c r="J78" s="63"/>
      <c r="K78" s="63"/>
      <c r="L78" s="63"/>
      <c r="M78" s="63"/>
      <c r="N78" s="63"/>
      <c r="O78" s="63"/>
      <c r="P78" s="63"/>
      <c r="Q78" s="63"/>
      <c r="R78" s="8"/>
      <c r="S78" s="8"/>
      <c r="T78" s="8"/>
      <c r="U78" s="8"/>
      <c r="V78" s="8"/>
      <c r="W78" s="44"/>
      <c r="X78" s="9"/>
      <c r="Y78" s="9"/>
      <c r="Z78" s="9"/>
      <c r="AA78" s="9"/>
      <c r="AB78" s="9"/>
      <c r="AC78" s="9"/>
      <c r="AD78" s="9"/>
      <c r="AE78" s="192"/>
      <c r="AF78" s="192"/>
      <c r="AG78" s="192"/>
      <c r="AH78" s="192"/>
      <c r="AI78" s="192"/>
      <c r="AJ78" s="192"/>
      <c r="AK78" s="192"/>
      <c r="AL78" s="192"/>
      <c r="AM78" s="192"/>
      <c r="AN78" s="192"/>
      <c r="AO78" s="192"/>
      <c r="AP78" s="192"/>
      <c r="AQ78" s="192"/>
      <c r="AR78" s="192"/>
      <c r="AS78" s="192"/>
      <c r="AT78" s="192"/>
      <c r="AU78" s="192"/>
    </row>
    <row r="79" spans="1:47" outlineLevel="1">
      <c r="A79" s="12"/>
      <c r="B79" s="12"/>
      <c r="C79" s="12"/>
      <c r="D79" s="12"/>
      <c r="E79" s="12"/>
      <c r="F79" s="40" t="str">
        <f>Asset5</f>
        <v>Distribution Substations</v>
      </c>
      <c r="G79" s="171"/>
      <c r="H79" s="63"/>
      <c r="I79" s="63"/>
      <c r="J79" s="63"/>
      <c r="K79" s="63"/>
      <c r="L79" s="63"/>
      <c r="M79" s="63"/>
      <c r="N79" s="63"/>
      <c r="O79" s="63"/>
      <c r="P79" s="63"/>
      <c r="Q79" s="63"/>
      <c r="R79" s="8"/>
      <c r="S79" s="8"/>
      <c r="T79" s="8"/>
      <c r="U79" s="8"/>
      <c r="V79" s="8"/>
      <c r="W79" s="44"/>
      <c r="X79" s="9"/>
      <c r="Y79" s="9"/>
      <c r="Z79" s="9"/>
      <c r="AA79" s="9"/>
      <c r="AB79" s="9"/>
      <c r="AC79" s="9"/>
      <c r="AD79" s="9"/>
      <c r="AE79" s="192"/>
      <c r="AF79" s="192"/>
      <c r="AG79" s="192"/>
      <c r="AH79" s="192"/>
      <c r="AI79" s="192"/>
      <c r="AJ79" s="192"/>
      <c r="AK79" s="192"/>
      <c r="AL79" s="192"/>
      <c r="AM79" s="192"/>
      <c r="AN79" s="192"/>
      <c r="AO79" s="192"/>
      <c r="AP79" s="192"/>
      <c r="AQ79" s="192"/>
      <c r="AR79" s="192"/>
      <c r="AS79" s="192"/>
      <c r="AT79" s="192"/>
      <c r="AU79" s="192"/>
    </row>
    <row r="80" spans="1:47" outlineLevel="1">
      <c r="A80" s="12"/>
      <c r="B80" s="12"/>
      <c r="C80" s="12"/>
      <c r="D80" s="12"/>
      <c r="E80" s="12"/>
      <c r="F80" s="40" t="str">
        <f>Asset6</f>
        <v>Distribution Overhead Lines</v>
      </c>
      <c r="G80" s="171"/>
      <c r="H80" s="63"/>
      <c r="I80" s="63"/>
      <c r="J80" s="63"/>
      <c r="K80" s="63"/>
      <c r="L80" s="63"/>
      <c r="M80" s="63"/>
      <c r="N80" s="63"/>
      <c r="O80" s="63"/>
      <c r="P80" s="63"/>
      <c r="Q80" s="63"/>
      <c r="R80" s="8"/>
      <c r="S80" s="8"/>
      <c r="T80" s="8"/>
      <c r="U80" s="8"/>
      <c r="V80" s="8"/>
      <c r="W80" s="44"/>
      <c r="X80" s="9"/>
      <c r="Y80" s="9"/>
      <c r="Z80" s="9"/>
      <c r="AA80" s="9"/>
      <c r="AB80" s="9"/>
      <c r="AC80" s="9"/>
      <c r="AD80" s="9"/>
      <c r="AE80" s="192"/>
      <c r="AF80" s="192"/>
      <c r="AG80" s="192"/>
      <c r="AH80" s="192"/>
      <c r="AI80" s="192"/>
      <c r="AJ80" s="192"/>
      <c r="AK80" s="192"/>
      <c r="AL80" s="192"/>
      <c r="AM80" s="192"/>
      <c r="AN80" s="192"/>
      <c r="AO80" s="192"/>
      <c r="AP80" s="192"/>
      <c r="AQ80" s="192"/>
      <c r="AR80" s="192"/>
      <c r="AS80" s="192"/>
      <c r="AT80" s="192"/>
      <c r="AU80" s="192"/>
    </row>
    <row r="81" spans="1:47" outlineLevel="1">
      <c r="A81" s="12"/>
      <c r="B81" s="12"/>
      <c r="C81" s="12"/>
      <c r="D81" s="12"/>
      <c r="E81" s="12"/>
      <c r="F81" s="40" t="str">
        <f>Asset7</f>
        <v>Distribution Underground Lines</v>
      </c>
      <c r="G81" s="171"/>
      <c r="H81" s="63"/>
      <c r="I81" s="63"/>
      <c r="J81" s="63"/>
      <c r="K81" s="63"/>
      <c r="L81" s="63"/>
      <c r="M81" s="63"/>
      <c r="N81" s="63"/>
      <c r="O81" s="63"/>
      <c r="P81" s="63"/>
      <c r="Q81" s="63"/>
      <c r="R81" s="8"/>
      <c r="S81" s="8"/>
      <c r="T81" s="8"/>
      <c r="U81" s="8"/>
      <c r="V81" s="8"/>
      <c r="W81" s="44"/>
      <c r="X81" s="9"/>
      <c r="Y81" s="9"/>
      <c r="Z81" s="9"/>
      <c r="AA81" s="9"/>
      <c r="AB81" s="9"/>
      <c r="AC81" s="9"/>
      <c r="AD81" s="9"/>
      <c r="AE81" s="192"/>
      <c r="AF81" s="192"/>
      <c r="AG81" s="192"/>
      <c r="AH81" s="192"/>
      <c r="AI81" s="192"/>
      <c r="AJ81" s="192"/>
      <c r="AK81" s="192"/>
      <c r="AL81" s="192"/>
      <c r="AM81" s="192"/>
      <c r="AN81" s="192"/>
      <c r="AO81" s="192"/>
      <c r="AP81" s="192"/>
      <c r="AQ81" s="192"/>
      <c r="AR81" s="192"/>
      <c r="AS81" s="192"/>
      <c r="AT81" s="192"/>
      <c r="AU81" s="192"/>
    </row>
    <row r="82" spans="1:47" outlineLevel="1">
      <c r="A82" s="12"/>
      <c r="B82" s="12"/>
      <c r="C82" s="12"/>
      <c r="D82" s="12"/>
      <c r="E82" s="12"/>
      <c r="F82" s="40" t="str">
        <f>Asset8</f>
        <v>IT &amp; Communication Systems (Networks)</v>
      </c>
      <c r="G82" s="171"/>
      <c r="H82" s="63"/>
      <c r="I82" s="63"/>
      <c r="J82" s="63"/>
      <c r="K82" s="63"/>
      <c r="L82" s="63"/>
      <c r="M82" s="63"/>
      <c r="N82" s="63"/>
      <c r="O82" s="63"/>
      <c r="P82" s="63"/>
      <c r="Q82" s="63"/>
      <c r="R82" s="8"/>
      <c r="S82" s="8"/>
      <c r="T82" s="8"/>
      <c r="U82" s="8"/>
      <c r="V82" s="8"/>
      <c r="W82" s="44"/>
      <c r="X82" s="9"/>
      <c r="Y82" s="9"/>
      <c r="Z82" s="9"/>
      <c r="AA82" s="9"/>
      <c r="AB82" s="9"/>
      <c r="AC82" s="9"/>
      <c r="AD82" s="9"/>
      <c r="AE82" s="192"/>
      <c r="AF82" s="192"/>
      <c r="AG82" s="192"/>
      <c r="AH82" s="192"/>
      <c r="AI82" s="192"/>
      <c r="AJ82" s="192"/>
      <c r="AK82" s="192"/>
      <c r="AL82" s="192"/>
      <c r="AM82" s="192"/>
      <c r="AN82" s="192"/>
      <c r="AO82" s="192"/>
      <c r="AP82" s="192"/>
      <c r="AQ82" s="192"/>
      <c r="AR82" s="192"/>
      <c r="AS82" s="192"/>
      <c r="AT82" s="192"/>
      <c r="AU82" s="192"/>
    </row>
    <row r="83" spans="1:47" outlineLevel="1">
      <c r="A83" s="12"/>
      <c r="B83" s="12"/>
      <c r="C83" s="12"/>
      <c r="D83" s="12"/>
      <c r="E83" s="12"/>
      <c r="F83" s="40" t="str">
        <f>Asset9</f>
        <v>Motor Vehicles</v>
      </c>
      <c r="G83" s="171"/>
      <c r="H83" s="63"/>
      <c r="I83" s="63"/>
      <c r="J83" s="63"/>
      <c r="K83" s="63"/>
      <c r="L83" s="63"/>
      <c r="M83" s="63"/>
      <c r="N83" s="63"/>
      <c r="O83" s="63"/>
      <c r="P83" s="63"/>
      <c r="Q83" s="63"/>
      <c r="R83" s="8"/>
      <c r="S83" s="8"/>
      <c r="T83" s="8"/>
      <c r="U83" s="8"/>
      <c r="V83" s="8"/>
      <c r="W83" s="44"/>
      <c r="X83" s="9"/>
      <c r="Y83" s="9"/>
      <c r="Z83" s="9"/>
      <c r="AA83" s="9"/>
      <c r="AB83" s="9"/>
      <c r="AC83" s="9"/>
      <c r="AD83" s="9"/>
      <c r="AE83" s="192"/>
      <c r="AF83" s="192"/>
      <c r="AG83" s="192"/>
      <c r="AH83" s="192"/>
      <c r="AI83" s="192"/>
      <c r="AJ83" s="192"/>
      <c r="AK83" s="192"/>
      <c r="AL83" s="192"/>
      <c r="AM83" s="192"/>
      <c r="AN83" s="192"/>
      <c r="AO83" s="192"/>
      <c r="AP83" s="192"/>
      <c r="AQ83" s="192"/>
      <c r="AR83" s="192"/>
      <c r="AS83" s="192"/>
      <c r="AT83" s="192"/>
      <c r="AU83" s="192"/>
    </row>
    <row r="84" spans="1:47" outlineLevel="1">
      <c r="A84" s="12"/>
      <c r="B84" s="12"/>
      <c r="C84" s="12"/>
      <c r="D84" s="12"/>
      <c r="E84" s="12"/>
      <c r="F84" s="40" t="str">
        <f>Asset10</f>
        <v>Other Non-System Assets (Networks)</v>
      </c>
      <c r="G84" s="171"/>
      <c r="H84" s="63"/>
      <c r="I84" s="63"/>
      <c r="J84" s="63"/>
      <c r="K84" s="63"/>
      <c r="L84" s="63"/>
      <c r="M84" s="63"/>
      <c r="N84" s="63"/>
      <c r="O84" s="63"/>
      <c r="P84" s="63"/>
      <c r="Q84" s="63"/>
      <c r="R84" s="8"/>
      <c r="S84" s="8"/>
      <c r="T84" s="8"/>
      <c r="U84" s="8"/>
      <c r="V84" s="8"/>
      <c r="W84" s="44"/>
      <c r="X84" s="9"/>
      <c r="Y84" s="9"/>
      <c r="Z84" s="9"/>
      <c r="AA84" s="9"/>
      <c r="AB84" s="9"/>
      <c r="AC84" s="9"/>
      <c r="AD84" s="9"/>
      <c r="AE84" s="192"/>
      <c r="AF84" s="192"/>
      <c r="AG84" s="192"/>
      <c r="AH84" s="192"/>
      <c r="AI84" s="192"/>
      <c r="AJ84" s="192"/>
      <c r="AK84" s="192"/>
      <c r="AL84" s="192"/>
      <c r="AM84" s="192"/>
      <c r="AN84" s="192"/>
      <c r="AO84" s="192"/>
      <c r="AP84" s="192"/>
      <c r="AQ84" s="192"/>
      <c r="AR84" s="192"/>
      <c r="AS84" s="192"/>
      <c r="AT84" s="192"/>
      <c r="AU84" s="192"/>
    </row>
    <row r="85" spans="1:47" outlineLevel="1">
      <c r="A85" s="12"/>
      <c r="B85" s="12"/>
      <c r="C85" s="12"/>
      <c r="D85" s="12"/>
      <c r="E85" s="12"/>
      <c r="F85" s="40" t="str">
        <f>Asset11</f>
        <v>IT Systems (Corporate)</v>
      </c>
      <c r="G85" s="171"/>
      <c r="H85" s="63"/>
      <c r="I85" s="63"/>
      <c r="J85" s="63"/>
      <c r="K85" s="63"/>
      <c r="L85" s="63"/>
      <c r="M85" s="63"/>
      <c r="N85" s="63"/>
      <c r="O85" s="63"/>
      <c r="P85" s="63"/>
      <c r="Q85" s="63"/>
      <c r="R85" s="8"/>
      <c r="S85" s="8"/>
      <c r="T85" s="8"/>
      <c r="U85" s="8"/>
      <c r="V85" s="8"/>
      <c r="W85" s="44"/>
      <c r="X85" s="9"/>
      <c r="Y85" s="9"/>
      <c r="Z85" s="9"/>
      <c r="AA85" s="9"/>
      <c r="AB85" s="9"/>
      <c r="AC85" s="9"/>
      <c r="AD85" s="9"/>
      <c r="AE85" s="192"/>
      <c r="AF85" s="192"/>
      <c r="AG85" s="192"/>
      <c r="AH85" s="192"/>
      <c r="AI85" s="192"/>
      <c r="AJ85" s="192"/>
      <c r="AK85" s="192"/>
      <c r="AL85" s="192"/>
      <c r="AM85" s="192"/>
      <c r="AN85" s="192"/>
      <c r="AO85" s="192"/>
      <c r="AP85" s="192"/>
      <c r="AQ85" s="192"/>
      <c r="AR85" s="192"/>
      <c r="AS85" s="192"/>
      <c r="AT85" s="192"/>
      <c r="AU85" s="192"/>
    </row>
    <row r="86" spans="1:47" outlineLevel="1">
      <c r="A86" s="12"/>
      <c r="B86" s="12"/>
      <c r="C86" s="12"/>
      <c r="D86" s="12"/>
      <c r="E86" s="12"/>
      <c r="F86" s="40" t="str">
        <f>Asset12</f>
        <v>Telecommunications (Corporate)</v>
      </c>
      <c r="G86" s="171"/>
      <c r="H86" s="63"/>
      <c r="I86" s="63"/>
      <c r="J86" s="63"/>
      <c r="K86" s="63"/>
      <c r="L86" s="63"/>
      <c r="M86" s="63"/>
      <c r="N86" s="63"/>
      <c r="O86" s="63"/>
      <c r="P86" s="63"/>
      <c r="Q86" s="63"/>
      <c r="R86" s="8"/>
      <c r="S86" s="8"/>
      <c r="T86" s="8"/>
      <c r="U86" s="8"/>
      <c r="V86" s="8"/>
      <c r="W86" s="44"/>
      <c r="X86" s="9"/>
      <c r="Y86" s="9"/>
      <c r="Z86" s="9"/>
      <c r="AA86" s="9"/>
      <c r="AB86" s="9"/>
      <c r="AC86" s="9"/>
      <c r="AD86" s="9"/>
      <c r="AE86" s="192"/>
      <c r="AF86" s="192"/>
      <c r="AG86" s="192"/>
      <c r="AH86" s="192"/>
      <c r="AI86" s="192"/>
      <c r="AJ86" s="192"/>
      <c r="AK86" s="192"/>
      <c r="AL86" s="192"/>
      <c r="AM86" s="192"/>
      <c r="AN86" s="192"/>
      <c r="AO86" s="192"/>
      <c r="AP86" s="192"/>
      <c r="AQ86" s="192"/>
      <c r="AR86" s="192"/>
      <c r="AS86" s="192"/>
      <c r="AT86" s="192"/>
      <c r="AU86" s="192"/>
    </row>
    <row r="87" spans="1:47" outlineLevel="1">
      <c r="A87" s="12"/>
      <c r="B87" s="12"/>
      <c r="C87" s="12"/>
      <c r="D87" s="12"/>
      <c r="E87" s="12"/>
      <c r="F87" s="40" t="str">
        <f>Asset13</f>
        <v>Other Non-System Assets (Corporate)</v>
      </c>
      <c r="G87" s="171"/>
      <c r="H87" s="63"/>
      <c r="I87" s="63"/>
      <c r="J87" s="63"/>
      <c r="K87" s="63"/>
      <c r="L87" s="63"/>
      <c r="M87" s="63"/>
      <c r="N87" s="63"/>
      <c r="O87" s="63"/>
      <c r="P87" s="63"/>
      <c r="Q87" s="63"/>
      <c r="R87" s="8"/>
      <c r="S87" s="8"/>
      <c r="T87" s="8"/>
      <c r="U87" s="8"/>
      <c r="V87" s="8"/>
      <c r="W87" s="44"/>
      <c r="X87" s="9"/>
      <c r="Y87" s="9"/>
      <c r="Z87" s="9"/>
      <c r="AA87" s="9"/>
      <c r="AB87" s="9"/>
      <c r="AC87" s="9"/>
      <c r="AD87" s="9"/>
      <c r="AE87" s="192"/>
      <c r="AF87" s="192"/>
      <c r="AG87" s="192"/>
      <c r="AH87" s="192"/>
      <c r="AI87" s="192"/>
      <c r="AJ87" s="192"/>
      <c r="AK87" s="192"/>
      <c r="AL87" s="192"/>
      <c r="AM87" s="192"/>
      <c r="AN87" s="192"/>
      <c r="AO87" s="192"/>
      <c r="AP87" s="192"/>
      <c r="AQ87" s="192"/>
      <c r="AR87" s="192"/>
      <c r="AS87" s="192"/>
      <c r="AT87" s="192"/>
      <c r="AU87" s="192"/>
    </row>
    <row r="88" spans="1:47" outlineLevel="1">
      <c r="A88" s="12"/>
      <c r="B88" s="12"/>
      <c r="C88" s="12"/>
      <c r="D88" s="12"/>
      <c r="E88" s="12"/>
      <c r="F88" s="40" t="str">
        <f>Asset14</f>
        <v>Land</v>
      </c>
      <c r="G88" s="171"/>
      <c r="H88" s="63"/>
      <c r="I88" s="63"/>
      <c r="J88" s="63"/>
      <c r="K88" s="63"/>
      <c r="L88" s="63"/>
      <c r="M88" s="63"/>
      <c r="N88" s="63"/>
      <c r="O88" s="63"/>
      <c r="P88" s="63"/>
      <c r="Q88" s="63"/>
      <c r="R88" s="8"/>
      <c r="S88" s="8"/>
      <c r="T88" s="8"/>
      <c r="U88" s="8"/>
      <c r="V88" s="8"/>
      <c r="W88" s="44"/>
      <c r="X88" s="9"/>
      <c r="Y88" s="9"/>
      <c r="Z88" s="9"/>
      <c r="AA88" s="9"/>
      <c r="AB88" s="9"/>
      <c r="AC88" s="9"/>
      <c r="AD88" s="9"/>
      <c r="AE88" s="192"/>
      <c r="AF88" s="192"/>
      <c r="AG88" s="192"/>
      <c r="AH88" s="192"/>
      <c r="AI88" s="192"/>
      <c r="AJ88" s="192"/>
      <c r="AK88" s="192"/>
      <c r="AL88" s="192"/>
      <c r="AM88" s="192"/>
      <c r="AN88" s="192"/>
      <c r="AO88" s="192"/>
      <c r="AP88" s="192"/>
      <c r="AQ88" s="192"/>
      <c r="AR88" s="192"/>
      <c r="AS88" s="192"/>
      <c r="AT88" s="192"/>
      <c r="AU88" s="192"/>
    </row>
    <row r="89" spans="1:47" outlineLevel="1">
      <c r="A89" s="12"/>
      <c r="B89" s="12"/>
      <c r="C89" s="12"/>
      <c r="D89" s="12"/>
      <c r="E89" s="12"/>
      <c r="F89" s="40" t="str">
        <f>Asset15</f>
        <v>Buildings</v>
      </c>
      <c r="G89" s="171"/>
      <c r="H89" s="63"/>
      <c r="I89" s="63"/>
      <c r="J89" s="63"/>
      <c r="K89" s="63"/>
      <c r="L89" s="63"/>
      <c r="M89" s="63"/>
      <c r="N89" s="63"/>
      <c r="O89" s="63"/>
      <c r="P89" s="63"/>
      <c r="Q89" s="63"/>
      <c r="R89" s="8"/>
      <c r="S89" s="8"/>
      <c r="T89" s="8"/>
      <c r="U89" s="8"/>
      <c r="V89" s="8"/>
      <c r="W89" s="44"/>
      <c r="X89" s="9"/>
      <c r="Y89" s="9"/>
      <c r="Z89" s="9"/>
      <c r="AA89" s="9"/>
      <c r="AB89" s="9"/>
      <c r="AC89" s="9"/>
      <c r="AD89" s="9"/>
      <c r="AE89" s="192"/>
      <c r="AF89" s="192"/>
      <c r="AG89" s="192"/>
      <c r="AH89" s="192"/>
      <c r="AI89" s="192"/>
      <c r="AJ89" s="192"/>
      <c r="AK89" s="192"/>
      <c r="AL89" s="192"/>
      <c r="AM89" s="192"/>
      <c r="AN89" s="192"/>
      <c r="AO89" s="192"/>
      <c r="AP89" s="192"/>
      <c r="AQ89" s="192"/>
      <c r="AR89" s="192"/>
      <c r="AS89" s="192"/>
      <c r="AT89" s="192"/>
      <c r="AU89" s="192"/>
    </row>
    <row r="90" spans="1:47" outlineLevel="1">
      <c r="A90" s="12"/>
      <c r="B90" s="12"/>
      <c r="C90" s="12"/>
      <c r="D90" s="12"/>
      <c r="E90" s="12"/>
      <c r="F90" s="40" t="str">
        <f>Asset16</f>
        <v>Equity raising costs</v>
      </c>
      <c r="G90" s="171"/>
      <c r="H90" s="63"/>
      <c r="I90" s="63"/>
      <c r="J90" s="63"/>
      <c r="K90" s="63"/>
      <c r="L90" s="63"/>
      <c r="M90" s="63"/>
      <c r="N90" s="63"/>
      <c r="O90" s="63"/>
      <c r="P90" s="63"/>
      <c r="Q90" s="63"/>
      <c r="R90" s="8"/>
      <c r="S90" s="8"/>
      <c r="T90" s="8"/>
      <c r="U90" s="8"/>
      <c r="V90" s="8"/>
      <c r="W90" s="44"/>
      <c r="X90" s="9"/>
      <c r="Y90" s="9"/>
      <c r="Z90" s="9"/>
      <c r="AA90" s="9"/>
      <c r="AB90" s="9"/>
      <c r="AC90" s="9"/>
      <c r="AD90" s="9"/>
      <c r="AE90" s="192"/>
      <c r="AF90" s="192"/>
      <c r="AG90" s="192"/>
      <c r="AH90" s="192"/>
      <c r="AI90" s="192"/>
      <c r="AJ90" s="192"/>
      <c r="AK90" s="192"/>
      <c r="AL90" s="192"/>
      <c r="AM90" s="192"/>
      <c r="AN90" s="192"/>
      <c r="AO90" s="192"/>
      <c r="AP90" s="192"/>
      <c r="AQ90" s="192"/>
      <c r="AR90" s="192"/>
      <c r="AS90" s="192"/>
      <c r="AT90" s="192"/>
      <c r="AU90" s="192"/>
    </row>
    <row r="91" spans="1:47" hidden="1" outlineLevel="1">
      <c r="A91" s="12"/>
      <c r="B91" s="12"/>
      <c r="C91" s="12"/>
      <c r="D91" s="12"/>
      <c r="E91" s="12"/>
      <c r="F91" s="40">
        <f>Asset17</f>
        <v>0</v>
      </c>
      <c r="G91" s="171"/>
      <c r="H91" s="63"/>
      <c r="I91" s="63"/>
      <c r="J91" s="63"/>
      <c r="K91" s="63"/>
      <c r="L91" s="63"/>
      <c r="M91" s="63"/>
      <c r="N91" s="63"/>
      <c r="O91" s="63"/>
      <c r="P91" s="63"/>
      <c r="Q91" s="63"/>
      <c r="R91" s="8"/>
      <c r="S91" s="8"/>
      <c r="T91" s="8"/>
      <c r="U91" s="8"/>
      <c r="V91" s="8"/>
      <c r="W91" s="44"/>
      <c r="X91" s="9"/>
      <c r="Y91" s="9"/>
      <c r="Z91" s="9"/>
      <c r="AA91" s="9"/>
      <c r="AB91" s="9"/>
      <c r="AC91" s="9"/>
      <c r="AD91" s="9"/>
      <c r="AE91" s="192"/>
      <c r="AF91" s="192"/>
      <c r="AG91" s="192"/>
      <c r="AH91" s="192"/>
      <c r="AI91" s="192"/>
      <c r="AJ91" s="192"/>
      <c r="AK91" s="192"/>
      <c r="AL91" s="192"/>
      <c r="AM91" s="192"/>
      <c r="AN91" s="192"/>
      <c r="AO91" s="192"/>
      <c r="AP91" s="192"/>
      <c r="AQ91" s="192"/>
      <c r="AR91" s="192"/>
      <c r="AS91" s="192"/>
      <c r="AT91" s="192"/>
      <c r="AU91" s="192"/>
    </row>
    <row r="92" spans="1:47" hidden="1" outlineLevel="1">
      <c r="A92" s="12"/>
      <c r="B92" s="12"/>
      <c r="C92" s="12"/>
      <c r="D92" s="12"/>
      <c r="E92" s="12"/>
      <c r="F92" s="40">
        <f>Asset18</f>
        <v>0</v>
      </c>
      <c r="G92" s="171"/>
      <c r="H92" s="63"/>
      <c r="I92" s="63"/>
      <c r="J92" s="63"/>
      <c r="K92" s="63"/>
      <c r="L92" s="63"/>
      <c r="M92" s="63"/>
      <c r="N92" s="63"/>
      <c r="O92" s="63"/>
      <c r="P92" s="63"/>
      <c r="Q92" s="63"/>
      <c r="R92" s="8"/>
      <c r="S92" s="8"/>
      <c r="T92" s="8"/>
      <c r="U92" s="8"/>
      <c r="V92" s="8"/>
      <c r="W92" s="44"/>
      <c r="X92" s="9"/>
      <c r="Y92" s="9"/>
      <c r="Z92" s="9"/>
      <c r="AA92" s="9"/>
      <c r="AB92" s="9"/>
      <c r="AC92" s="9"/>
      <c r="AD92" s="9"/>
      <c r="AE92" s="192"/>
      <c r="AF92" s="192"/>
      <c r="AG92" s="192"/>
      <c r="AH92" s="192"/>
      <c r="AI92" s="192"/>
      <c r="AJ92" s="192"/>
      <c r="AK92" s="192"/>
      <c r="AL92" s="192"/>
      <c r="AM92" s="192"/>
      <c r="AN92" s="192"/>
      <c r="AO92" s="192"/>
      <c r="AP92" s="192"/>
      <c r="AQ92" s="192"/>
      <c r="AR92" s="192"/>
      <c r="AS92" s="192"/>
      <c r="AT92" s="192"/>
      <c r="AU92" s="192"/>
    </row>
    <row r="93" spans="1:47" hidden="1" outlineLevel="1">
      <c r="A93" s="12"/>
      <c r="B93" s="12"/>
      <c r="C93" s="12"/>
      <c r="D93" s="12"/>
      <c r="E93" s="12"/>
      <c r="F93" s="40">
        <f>Asset19</f>
        <v>0</v>
      </c>
      <c r="G93" s="171"/>
      <c r="H93" s="63"/>
      <c r="I93" s="63"/>
      <c r="J93" s="63"/>
      <c r="K93" s="63"/>
      <c r="L93" s="63"/>
      <c r="M93" s="63"/>
      <c r="N93" s="63"/>
      <c r="O93" s="63"/>
      <c r="P93" s="63"/>
      <c r="Q93" s="63"/>
      <c r="R93" s="8"/>
      <c r="S93" s="8"/>
      <c r="T93" s="8"/>
      <c r="U93" s="8"/>
      <c r="V93" s="8"/>
      <c r="W93" s="44"/>
      <c r="X93" s="9"/>
      <c r="Y93" s="9"/>
      <c r="Z93" s="9"/>
      <c r="AA93" s="9"/>
      <c r="AB93" s="9"/>
      <c r="AC93" s="9"/>
      <c r="AD93" s="9"/>
      <c r="AE93" s="192"/>
      <c r="AF93" s="192"/>
      <c r="AG93" s="192"/>
      <c r="AH93" s="192"/>
      <c r="AI93" s="192"/>
      <c r="AJ93" s="192"/>
      <c r="AK93" s="192"/>
      <c r="AL93" s="192"/>
      <c r="AM93" s="192"/>
      <c r="AN93" s="192"/>
      <c r="AO93" s="192"/>
      <c r="AP93" s="192"/>
      <c r="AQ93" s="192"/>
      <c r="AR93" s="192"/>
      <c r="AS93" s="192"/>
      <c r="AT93" s="192"/>
      <c r="AU93" s="192"/>
    </row>
    <row r="94" spans="1:47" hidden="1" outlineLevel="1">
      <c r="A94" s="12"/>
      <c r="B94" s="12"/>
      <c r="C94" s="12"/>
      <c r="D94" s="12"/>
      <c r="E94" s="12"/>
      <c r="F94" s="40">
        <f>Asset20</f>
        <v>0</v>
      </c>
      <c r="G94" s="171"/>
      <c r="H94" s="63"/>
      <c r="I94" s="63"/>
      <c r="J94" s="63"/>
      <c r="K94" s="63"/>
      <c r="L94" s="63"/>
      <c r="M94" s="63"/>
      <c r="N94" s="63"/>
      <c r="O94" s="63"/>
      <c r="P94" s="63"/>
      <c r="Q94" s="63"/>
      <c r="R94" s="8"/>
      <c r="S94" s="8"/>
      <c r="T94" s="8"/>
      <c r="U94" s="8"/>
      <c r="V94" s="8"/>
      <c r="W94" s="44"/>
      <c r="X94" s="9"/>
      <c r="Y94" s="9"/>
      <c r="Z94" s="9"/>
      <c r="AA94" s="9"/>
      <c r="AB94" s="9"/>
      <c r="AC94" s="9"/>
      <c r="AD94" s="9"/>
      <c r="AE94" s="192"/>
      <c r="AF94" s="192"/>
      <c r="AG94" s="192"/>
      <c r="AH94" s="192"/>
      <c r="AI94" s="192"/>
      <c r="AJ94" s="192"/>
      <c r="AK94" s="192"/>
      <c r="AL94" s="192"/>
      <c r="AM94" s="192"/>
      <c r="AN94" s="192"/>
      <c r="AO94" s="192"/>
      <c r="AP94" s="192"/>
      <c r="AQ94" s="192"/>
      <c r="AR94" s="192"/>
      <c r="AS94" s="192"/>
      <c r="AT94" s="192"/>
      <c r="AU94" s="192"/>
    </row>
    <row r="95" spans="1:47" hidden="1" outlineLevel="1">
      <c r="A95" s="12"/>
      <c r="B95" s="12"/>
      <c r="C95" s="12"/>
      <c r="D95" s="12"/>
      <c r="E95" s="12"/>
      <c r="F95" s="40">
        <f>Asset21</f>
        <v>0</v>
      </c>
      <c r="G95" s="171"/>
      <c r="H95" s="63"/>
      <c r="I95" s="63"/>
      <c r="J95" s="63"/>
      <c r="K95" s="63"/>
      <c r="L95" s="63"/>
      <c r="M95" s="63"/>
      <c r="N95" s="63"/>
      <c r="O95" s="63"/>
      <c r="P95" s="63"/>
      <c r="Q95" s="63"/>
      <c r="R95" s="8"/>
      <c r="S95" s="8"/>
      <c r="T95" s="8"/>
      <c r="U95" s="8"/>
      <c r="V95" s="8"/>
      <c r="W95" s="44"/>
      <c r="X95" s="9"/>
      <c r="Y95" s="9"/>
      <c r="Z95" s="9"/>
      <c r="AA95" s="9"/>
      <c r="AB95" s="9"/>
      <c r="AC95" s="9"/>
      <c r="AD95" s="9"/>
      <c r="AE95" s="192"/>
      <c r="AF95" s="192"/>
      <c r="AG95" s="192"/>
      <c r="AH95" s="192"/>
      <c r="AI95" s="192"/>
      <c r="AJ95" s="192"/>
      <c r="AK95" s="192"/>
      <c r="AL95" s="192"/>
      <c r="AM95" s="192"/>
      <c r="AN95" s="192"/>
      <c r="AO95" s="192"/>
      <c r="AP95" s="192"/>
      <c r="AQ95" s="192"/>
      <c r="AR95" s="192"/>
      <c r="AS95" s="192"/>
      <c r="AT95" s="192"/>
      <c r="AU95" s="192"/>
    </row>
    <row r="96" spans="1:47" hidden="1" outlineLevel="1">
      <c r="A96" s="12"/>
      <c r="B96" s="12"/>
      <c r="C96" s="12"/>
      <c r="D96" s="12"/>
      <c r="E96" s="12"/>
      <c r="F96" s="40">
        <f>Asset22</f>
        <v>0</v>
      </c>
      <c r="G96" s="171"/>
      <c r="H96" s="63"/>
      <c r="I96" s="63"/>
      <c r="J96" s="63"/>
      <c r="K96" s="63"/>
      <c r="L96" s="63"/>
      <c r="M96" s="63"/>
      <c r="N96" s="63"/>
      <c r="O96" s="63"/>
      <c r="P96" s="63"/>
      <c r="Q96" s="63"/>
      <c r="R96" s="8"/>
      <c r="S96" s="8"/>
      <c r="T96" s="8"/>
      <c r="U96" s="8"/>
      <c r="V96" s="8"/>
      <c r="W96" s="44"/>
      <c r="X96" s="9"/>
      <c r="Y96" s="9"/>
      <c r="Z96" s="9"/>
      <c r="AA96" s="9"/>
      <c r="AB96" s="9"/>
      <c r="AC96" s="9"/>
      <c r="AD96" s="9"/>
      <c r="AE96" s="192"/>
      <c r="AF96" s="192"/>
      <c r="AG96" s="192"/>
      <c r="AH96" s="192"/>
      <c r="AI96" s="192"/>
      <c r="AJ96" s="192"/>
      <c r="AK96" s="192"/>
      <c r="AL96" s="192"/>
      <c r="AM96" s="192"/>
      <c r="AN96" s="192"/>
      <c r="AO96" s="192"/>
      <c r="AP96" s="192"/>
      <c r="AQ96" s="192"/>
      <c r="AR96" s="192"/>
      <c r="AS96" s="192"/>
      <c r="AT96" s="192"/>
      <c r="AU96" s="192"/>
    </row>
    <row r="97" spans="1:47" hidden="1" outlineLevel="1">
      <c r="A97" s="12"/>
      <c r="B97" s="12"/>
      <c r="C97" s="12"/>
      <c r="D97" s="12"/>
      <c r="E97" s="12"/>
      <c r="F97" s="40">
        <f>Asset23</f>
        <v>0</v>
      </c>
      <c r="G97" s="171"/>
      <c r="H97" s="63"/>
      <c r="I97" s="63"/>
      <c r="J97" s="63"/>
      <c r="K97" s="63"/>
      <c r="L97" s="63"/>
      <c r="M97" s="63"/>
      <c r="N97" s="63"/>
      <c r="O97" s="63"/>
      <c r="P97" s="63"/>
      <c r="Q97" s="63"/>
      <c r="R97" s="8"/>
      <c r="S97" s="8"/>
      <c r="T97" s="8"/>
      <c r="U97" s="8"/>
      <c r="V97" s="8"/>
      <c r="W97" s="44"/>
      <c r="X97" s="9"/>
      <c r="Y97" s="9"/>
      <c r="Z97" s="9"/>
      <c r="AA97" s="9"/>
      <c r="AB97" s="9"/>
      <c r="AC97" s="9"/>
      <c r="AD97" s="9"/>
      <c r="AE97" s="192"/>
      <c r="AF97" s="192"/>
      <c r="AG97" s="192"/>
      <c r="AH97" s="192"/>
      <c r="AI97" s="192"/>
      <c r="AJ97" s="192"/>
      <c r="AK97" s="192"/>
      <c r="AL97" s="192"/>
      <c r="AM97" s="192"/>
      <c r="AN97" s="192"/>
      <c r="AO97" s="192"/>
      <c r="AP97" s="192"/>
      <c r="AQ97" s="192"/>
      <c r="AR97" s="192"/>
      <c r="AS97" s="192"/>
      <c r="AT97" s="192"/>
      <c r="AU97" s="192"/>
    </row>
    <row r="98" spans="1:47" hidden="1" outlineLevel="1">
      <c r="A98" s="12"/>
      <c r="B98" s="12"/>
      <c r="C98" s="12"/>
      <c r="D98" s="12"/>
      <c r="E98" s="12"/>
      <c r="F98" s="40">
        <f>Asset24</f>
        <v>0</v>
      </c>
      <c r="G98" s="171"/>
      <c r="H98" s="63"/>
      <c r="I98" s="63"/>
      <c r="J98" s="63"/>
      <c r="K98" s="63"/>
      <c r="L98" s="63"/>
      <c r="M98" s="63"/>
      <c r="N98" s="63"/>
      <c r="O98" s="63"/>
      <c r="P98" s="63"/>
      <c r="Q98" s="63"/>
      <c r="R98" s="8"/>
      <c r="S98" s="8"/>
      <c r="T98" s="8"/>
      <c r="U98" s="8"/>
      <c r="V98" s="8"/>
      <c r="W98" s="44"/>
      <c r="X98" s="9"/>
      <c r="Y98" s="9"/>
      <c r="Z98" s="9"/>
      <c r="AA98" s="9"/>
      <c r="AB98" s="9"/>
      <c r="AC98" s="9"/>
      <c r="AD98" s="9"/>
      <c r="AE98" s="192"/>
      <c r="AF98" s="192"/>
      <c r="AG98" s="192"/>
      <c r="AH98" s="192"/>
      <c r="AI98" s="192"/>
      <c r="AJ98" s="192"/>
      <c r="AK98" s="192"/>
      <c r="AL98" s="192"/>
      <c r="AM98" s="192"/>
      <c r="AN98" s="192"/>
      <c r="AO98" s="192"/>
      <c r="AP98" s="192"/>
      <c r="AQ98" s="192"/>
      <c r="AR98" s="192"/>
      <c r="AS98" s="192"/>
      <c r="AT98" s="192"/>
      <c r="AU98" s="192"/>
    </row>
    <row r="99" spans="1:47" hidden="1" outlineLevel="1">
      <c r="A99" s="12"/>
      <c r="B99" s="12"/>
      <c r="C99" s="12"/>
      <c r="D99" s="12"/>
      <c r="E99" s="12"/>
      <c r="F99" s="40">
        <f>Asset25</f>
        <v>0</v>
      </c>
      <c r="G99" s="171"/>
      <c r="H99" s="63"/>
      <c r="I99" s="63"/>
      <c r="J99" s="63"/>
      <c r="K99" s="63"/>
      <c r="L99" s="63"/>
      <c r="M99" s="63"/>
      <c r="N99" s="63"/>
      <c r="O99" s="63"/>
      <c r="P99" s="63"/>
      <c r="Q99" s="63"/>
      <c r="R99" s="8"/>
      <c r="S99" s="8"/>
      <c r="T99" s="8"/>
      <c r="U99" s="8"/>
      <c r="V99" s="8"/>
      <c r="W99" s="44"/>
      <c r="X99" s="9"/>
      <c r="Y99" s="9"/>
      <c r="Z99" s="9"/>
      <c r="AA99" s="9"/>
      <c r="AB99" s="9"/>
      <c r="AC99" s="9"/>
      <c r="AD99" s="9"/>
      <c r="AE99" s="192"/>
      <c r="AF99" s="192"/>
      <c r="AG99" s="192"/>
      <c r="AH99" s="192"/>
      <c r="AI99" s="192"/>
      <c r="AJ99" s="192"/>
      <c r="AK99" s="192"/>
      <c r="AL99" s="192"/>
      <c r="AM99" s="192"/>
      <c r="AN99" s="192"/>
      <c r="AO99" s="192"/>
      <c r="AP99" s="192"/>
      <c r="AQ99" s="192"/>
      <c r="AR99" s="192"/>
      <c r="AS99" s="192"/>
      <c r="AT99" s="192"/>
      <c r="AU99" s="192"/>
    </row>
    <row r="100" spans="1:47" hidden="1" outlineLevel="1">
      <c r="A100" s="12"/>
      <c r="B100" s="12"/>
      <c r="C100" s="12"/>
      <c r="D100" s="12"/>
      <c r="E100" s="12"/>
      <c r="F100" s="40">
        <f>Asset26</f>
        <v>0</v>
      </c>
      <c r="G100" s="171"/>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2"/>
      <c r="AF100" s="192"/>
      <c r="AG100" s="192"/>
      <c r="AH100" s="192"/>
      <c r="AI100" s="192"/>
      <c r="AJ100" s="192"/>
      <c r="AK100" s="192"/>
      <c r="AL100" s="192"/>
      <c r="AM100" s="192"/>
      <c r="AN100" s="192"/>
      <c r="AO100" s="192"/>
      <c r="AP100" s="192"/>
      <c r="AQ100" s="192"/>
      <c r="AR100" s="192"/>
      <c r="AS100" s="192"/>
      <c r="AT100" s="192"/>
      <c r="AU100" s="192"/>
    </row>
    <row r="101" spans="1:47" hidden="1" outlineLevel="1">
      <c r="A101" s="12"/>
      <c r="B101" s="12"/>
      <c r="C101" s="12"/>
      <c r="D101" s="12"/>
      <c r="E101" s="12"/>
      <c r="F101" s="40">
        <f>Asset27</f>
        <v>0</v>
      </c>
      <c r="G101" s="171"/>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2"/>
      <c r="AF101" s="192"/>
      <c r="AG101" s="192"/>
      <c r="AH101" s="192"/>
      <c r="AI101" s="192"/>
      <c r="AJ101" s="192"/>
      <c r="AK101" s="192"/>
      <c r="AL101" s="192"/>
      <c r="AM101" s="192"/>
      <c r="AN101" s="192"/>
      <c r="AO101" s="192"/>
      <c r="AP101" s="192"/>
      <c r="AQ101" s="192"/>
      <c r="AR101" s="192"/>
      <c r="AS101" s="192"/>
      <c r="AT101" s="192"/>
      <c r="AU101" s="192"/>
    </row>
    <row r="102" spans="1:47" hidden="1" outlineLevel="1">
      <c r="A102" s="12"/>
      <c r="B102" s="12"/>
      <c r="C102" s="12"/>
      <c r="D102" s="12"/>
      <c r="E102" s="12"/>
      <c r="F102" s="40">
        <f>Asset28</f>
        <v>0</v>
      </c>
      <c r="G102" s="171"/>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2"/>
      <c r="AF102" s="192"/>
      <c r="AG102" s="192"/>
      <c r="AH102" s="192"/>
      <c r="AI102" s="192"/>
      <c r="AJ102" s="192"/>
      <c r="AK102" s="192"/>
      <c r="AL102" s="192"/>
      <c r="AM102" s="192"/>
      <c r="AN102" s="192"/>
      <c r="AO102" s="192"/>
      <c r="AP102" s="192"/>
      <c r="AQ102" s="192"/>
      <c r="AR102" s="192"/>
      <c r="AS102" s="192"/>
      <c r="AT102" s="192"/>
      <c r="AU102" s="192"/>
    </row>
    <row r="103" spans="1:47" hidden="1" outlineLevel="1">
      <c r="A103" s="12"/>
      <c r="B103" s="12"/>
      <c r="C103" s="12"/>
      <c r="D103" s="12"/>
      <c r="E103" s="12"/>
      <c r="F103" s="40">
        <f>Asset29</f>
        <v>0</v>
      </c>
      <c r="G103" s="171"/>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2"/>
      <c r="AF103" s="192"/>
      <c r="AG103" s="192"/>
      <c r="AH103" s="192"/>
      <c r="AI103" s="192"/>
      <c r="AJ103" s="192"/>
      <c r="AK103" s="192"/>
      <c r="AL103" s="192"/>
      <c r="AM103" s="192"/>
      <c r="AN103" s="192"/>
      <c r="AO103" s="192"/>
      <c r="AP103" s="192"/>
      <c r="AQ103" s="192"/>
      <c r="AR103" s="192"/>
      <c r="AS103" s="192"/>
      <c r="AT103" s="192"/>
      <c r="AU103" s="192"/>
    </row>
    <row r="104" spans="1:47" hidden="1" outlineLevel="1">
      <c r="A104" s="12"/>
      <c r="B104" s="12"/>
      <c r="C104" s="12"/>
      <c r="D104" s="12"/>
      <c r="E104" s="12"/>
      <c r="F104" s="40">
        <f>Asset30</f>
        <v>0</v>
      </c>
      <c r="G104" s="171"/>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2"/>
      <c r="AF104" s="192"/>
      <c r="AG104" s="192"/>
      <c r="AH104" s="192"/>
      <c r="AI104" s="192"/>
      <c r="AJ104" s="192"/>
      <c r="AK104" s="192"/>
      <c r="AL104" s="192"/>
      <c r="AM104" s="192"/>
      <c r="AN104" s="192"/>
      <c r="AO104" s="192"/>
      <c r="AP104" s="192"/>
      <c r="AQ104" s="192"/>
      <c r="AR104" s="192"/>
      <c r="AS104" s="192"/>
      <c r="AT104" s="192"/>
      <c r="AU104" s="192"/>
    </row>
    <row r="105" spans="1:47" collapsed="1">
      <c r="A105" s="12"/>
      <c r="B105" s="12"/>
      <c r="C105" s="12"/>
      <c r="D105" s="12"/>
      <c r="E105" s="12"/>
      <c r="F105" s="40" t="s">
        <v>22</v>
      </c>
      <c r="G105" s="247">
        <f t="shared" ref="G105:Q105" si="4">SUM(G75:G104)</f>
        <v>8.3740094368301072</v>
      </c>
      <c r="H105" s="247">
        <f t="shared" si="4"/>
        <v>0</v>
      </c>
      <c r="I105" s="247">
        <f t="shared" si="4"/>
        <v>0</v>
      </c>
      <c r="J105" s="247">
        <f t="shared" si="4"/>
        <v>0</v>
      </c>
      <c r="K105" s="247">
        <f t="shared" si="4"/>
        <v>0</v>
      </c>
      <c r="L105" s="247">
        <f t="shared" si="4"/>
        <v>0</v>
      </c>
      <c r="M105" s="247">
        <f t="shared" si="4"/>
        <v>0</v>
      </c>
      <c r="N105" s="247">
        <f t="shared" si="4"/>
        <v>0</v>
      </c>
      <c r="O105" s="247">
        <f t="shared" si="4"/>
        <v>0</v>
      </c>
      <c r="P105" s="247">
        <f t="shared" si="4"/>
        <v>0</v>
      </c>
      <c r="Q105" s="247">
        <f t="shared" si="4"/>
        <v>0</v>
      </c>
      <c r="R105" s="38"/>
      <c r="S105" s="38"/>
      <c r="T105" s="38"/>
      <c r="U105" s="38"/>
      <c r="V105" s="38"/>
      <c r="W105" s="38"/>
      <c r="X105" s="48"/>
      <c r="Y105" s="8"/>
      <c r="Z105" s="8"/>
      <c r="AA105" s="44"/>
      <c r="AB105" s="9"/>
      <c r="AC105" s="9"/>
      <c r="AD105" s="9"/>
      <c r="AE105" s="192"/>
      <c r="AF105" s="192"/>
      <c r="AG105" s="192"/>
      <c r="AH105" s="192"/>
      <c r="AI105" s="192"/>
      <c r="AJ105" s="192"/>
      <c r="AK105" s="192"/>
      <c r="AL105" s="192"/>
      <c r="AM105" s="192"/>
      <c r="AN105" s="192"/>
      <c r="AO105" s="192"/>
      <c r="AP105" s="192"/>
      <c r="AQ105" s="192"/>
      <c r="AR105" s="192"/>
      <c r="AS105" s="192"/>
      <c r="AT105" s="192"/>
      <c r="AU105" s="192"/>
    </row>
    <row r="106" spans="1:47" ht="20.25" customHeight="1">
      <c r="A106" s="12"/>
      <c r="B106" s="12"/>
      <c r="C106" s="12"/>
      <c r="D106" s="12"/>
      <c r="F106" s="9"/>
      <c r="G106" s="9"/>
      <c r="H106" s="18"/>
      <c r="I106" s="20"/>
      <c r="J106" s="9"/>
      <c r="K106" s="9"/>
      <c r="L106" s="9"/>
      <c r="M106" s="9"/>
      <c r="N106" s="9"/>
      <c r="O106" s="9"/>
      <c r="P106" s="9"/>
      <c r="Q106" s="9"/>
      <c r="R106" s="246">
        <f>SUM(G105:Q105)</f>
        <v>8.3740094368301072</v>
      </c>
      <c r="S106" s="9"/>
      <c r="T106" s="9"/>
      <c r="U106" s="9"/>
      <c r="V106" s="9"/>
      <c r="W106" s="9"/>
      <c r="X106" s="9"/>
      <c r="Y106" s="9"/>
      <c r="Z106" s="9"/>
      <c r="AA106" s="19"/>
      <c r="AB106" s="9"/>
      <c r="AC106" s="9"/>
      <c r="AD106" s="9"/>
      <c r="AE106" s="192"/>
      <c r="AF106" s="192"/>
      <c r="AG106" s="192"/>
      <c r="AH106" s="192"/>
      <c r="AI106" s="192"/>
      <c r="AJ106" s="192"/>
      <c r="AK106" s="192"/>
      <c r="AL106" s="192"/>
      <c r="AM106" s="192"/>
      <c r="AN106" s="192"/>
      <c r="AO106" s="192"/>
      <c r="AP106" s="192"/>
      <c r="AQ106" s="192"/>
      <c r="AR106" s="192"/>
      <c r="AS106" s="192"/>
      <c r="AT106" s="192"/>
      <c r="AU106" s="192"/>
    </row>
    <row r="107" spans="1:47" ht="13.5" customHeight="1">
      <c r="A107" s="75"/>
      <c r="B107" s="75"/>
      <c r="C107" s="75"/>
      <c r="D107" s="75"/>
      <c r="E107" s="75"/>
      <c r="F107" s="163" t="s">
        <v>93</v>
      </c>
      <c r="G107" s="163"/>
      <c r="H107" s="163"/>
      <c r="I107" s="163"/>
      <c r="J107" s="163"/>
      <c r="K107" s="78"/>
      <c r="L107" s="78"/>
      <c r="M107" s="76"/>
      <c r="N107" s="76"/>
      <c r="O107" s="76"/>
      <c r="P107" s="76"/>
      <c r="Q107" s="76"/>
      <c r="R107" s="76"/>
      <c r="S107" s="76"/>
      <c r="T107" s="76"/>
      <c r="U107" s="76"/>
      <c r="V107" s="76"/>
      <c r="W107" s="76"/>
      <c r="X107" s="8"/>
      <c r="Y107" s="8"/>
      <c r="Z107" s="8"/>
      <c r="AA107" s="8"/>
      <c r="AB107" s="44"/>
      <c r="AC107" s="9"/>
      <c r="AD107" s="9"/>
      <c r="AE107" s="192"/>
      <c r="AF107" s="192"/>
      <c r="AG107" s="192"/>
      <c r="AH107" s="192"/>
      <c r="AI107" s="192"/>
      <c r="AJ107" s="192"/>
      <c r="AK107" s="192"/>
      <c r="AL107" s="192"/>
      <c r="AM107" s="192"/>
      <c r="AN107" s="192"/>
      <c r="AO107" s="192"/>
      <c r="AP107" s="192"/>
      <c r="AQ107" s="192"/>
      <c r="AR107" s="192"/>
      <c r="AS107" s="192"/>
      <c r="AT107" s="192"/>
      <c r="AU107" s="192"/>
    </row>
    <row r="108" spans="1:47">
      <c r="A108" s="12"/>
      <c r="B108" s="12"/>
      <c r="C108" s="12"/>
      <c r="D108" s="12"/>
      <c r="E108" s="12"/>
      <c r="F108" s="39" t="s">
        <v>5</v>
      </c>
      <c r="G108" s="245" t="str">
        <f>G74</f>
        <v>2008-09</v>
      </c>
      <c r="H108" s="245" t="str">
        <f t="shared" ref="H108:Q108" si="5">H74</f>
        <v>2009-10</v>
      </c>
      <c r="I108" s="245" t="str">
        <f t="shared" si="5"/>
        <v>2010-11</v>
      </c>
      <c r="J108" s="245" t="str">
        <f t="shared" si="5"/>
        <v>2011-12</v>
      </c>
      <c r="K108" s="245" t="str">
        <f t="shared" si="5"/>
        <v>2012-13</v>
      </c>
      <c r="L108" s="245" t="str">
        <f t="shared" si="5"/>
        <v>2013-14</v>
      </c>
      <c r="M108" s="245" t="str">
        <f t="shared" si="5"/>
        <v>2014-15</v>
      </c>
      <c r="N108" s="245" t="str">
        <f t="shared" si="5"/>
        <v>2015-16</v>
      </c>
      <c r="O108" s="245" t="str">
        <f t="shared" si="5"/>
        <v>2016-17</v>
      </c>
      <c r="P108" s="245" t="str">
        <f t="shared" si="5"/>
        <v>2017-18</v>
      </c>
      <c r="Q108" s="245" t="str">
        <f t="shared" si="5"/>
        <v>2018-19</v>
      </c>
      <c r="R108" s="8"/>
      <c r="S108" s="8"/>
      <c r="T108" s="8"/>
      <c r="U108" s="8"/>
      <c r="V108" s="8"/>
      <c r="W108" s="44"/>
      <c r="X108" s="9"/>
      <c r="Y108" s="9"/>
      <c r="Z108" s="9"/>
      <c r="AA108" s="9"/>
      <c r="AB108" s="9"/>
      <c r="AC108" s="9"/>
      <c r="AD108" s="9"/>
      <c r="AE108" s="192"/>
      <c r="AF108" s="192"/>
      <c r="AG108" s="192"/>
      <c r="AH108" s="192"/>
      <c r="AI108" s="192"/>
      <c r="AJ108" s="192"/>
      <c r="AK108" s="192"/>
      <c r="AL108" s="192"/>
      <c r="AM108" s="192"/>
      <c r="AN108" s="192"/>
      <c r="AO108" s="192"/>
      <c r="AP108" s="192"/>
      <c r="AQ108" s="192"/>
      <c r="AR108" s="192"/>
      <c r="AS108" s="192"/>
      <c r="AT108" s="192"/>
      <c r="AU108" s="192"/>
    </row>
    <row r="109" spans="1:47" outlineLevel="1">
      <c r="A109" s="12"/>
      <c r="B109" s="12"/>
      <c r="C109" s="12"/>
      <c r="D109" s="12"/>
      <c r="E109" s="12"/>
      <c r="F109" s="40" t="str">
        <f>Asset1</f>
        <v>Opening Distribution Assets</v>
      </c>
      <c r="G109" s="170">
        <v>8.3629391099999975</v>
      </c>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2"/>
      <c r="AF109" s="192"/>
      <c r="AG109" s="192"/>
      <c r="AH109" s="192"/>
      <c r="AI109" s="192"/>
      <c r="AJ109" s="192"/>
      <c r="AK109" s="192"/>
      <c r="AL109" s="192"/>
      <c r="AM109" s="192"/>
      <c r="AN109" s="192"/>
      <c r="AO109" s="192"/>
      <c r="AP109" s="192"/>
      <c r="AQ109" s="192"/>
      <c r="AR109" s="192"/>
      <c r="AS109" s="192"/>
      <c r="AT109" s="192"/>
      <c r="AU109" s="192"/>
    </row>
    <row r="110" spans="1:47" outlineLevel="1">
      <c r="A110" s="12"/>
      <c r="B110" s="12"/>
      <c r="C110" s="12"/>
      <c r="D110" s="12"/>
      <c r="E110" s="12"/>
      <c r="F110" s="40" t="str">
        <f>Asset2</f>
        <v>Sub-transmission Overhead</v>
      </c>
      <c r="G110" s="171"/>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2"/>
      <c r="AF110" s="192"/>
      <c r="AG110" s="192"/>
      <c r="AH110" s="192"/>
      <c r="AI110" s="192"/>
      <c r="AJ110" s="192"/>
      <c r="AK110" s="192"/>
      <c r="AL110" s="192"/>
      <c r="AM110" s="192"/>
      <c r="AN110" s="192"/>
      <c r="AO110" s="192"/>
      <c r="AP110" s="192"/>
      <c r="AQ110" s="192"/>
      <c r="AR110" s="192"/>
      <c r="AS110" s="192"/>
      <c r="AT110" s="192"/>
      <c r="AU110" s="192"/>
    </row>
    <row r="111" spans="1:47" outlineLevel="1">
      <c r="A111" s="12"/>
      <c r="B111" s="12"/>
      <c r="C111" s="12"/>
      <c r="D111" s="12"/>
      <c r="E111" s="12"/>
      <c r="F111" s="40" t="str">
        <f>Asset3</f>
        <v>Sub-transmission Underground</v>
      </c>
      <c r="G111" s="171"/>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2"/>
      <c r="AF111" s="192"/>
      <c r="AG111" s="192"/>
      <c r="AH111" s="192"/>
      <c r="AI111" s="192"/>
      <c r="AJ111" s="192"/>
      <c r="AK111" s="192"/>
      <c r="AL111" s="192"/>
      <c r="AM111" s="192"/>
      <c r="AN111" s="192"/>
      <c r="AO111" s="192"/>
      <c r="AP111" s="192"/>
      <c r="AQ111" s="192"/>
      <c r="AR111" s="192"/>
      <c r="AS111" s="192"/>
      <c r="AT111" s="192"/>
      <c r="AU111" s="192"/>
    </row>
    <row r="112" spans="1:47" outlineLevel="1">
      <c r="A112" s="12"/>
      <c r="B112" s="12"/>
      <c r="C112" s="12"/>
      <c r="D112" s="12"/>
      <c r="E112" s="12"/>
      <c r="F112" s="40" t="str">
        <f>Asset4</f>
        <v>Zone Substation</v>
      </c>
      <c r="G112" s="171"/>
      <c r="H112" s="63">
        <v>0</v>
      </c>
      <c r="I112" s="63">
        <v>0</v>
      </c>
      <c r="J112" s="63">
        <v>0</v>
      </c>
      <c r="K112" s="63">
        <v>0.13630053808917972</v>
      </c>
      <c r="L112" s="63">
        <v>3.3703811932934417E-2</v>
      </c>
      <c r="M112" s="63"/>
      <c r="N112" s="63"/>
      <c r="O112" s="63"/>
      <c r="P112" s="63"/>
      <c r="Q112" s="63"/>
      <c r="R112" s="8"/>
      <c r="S112" s="8"/>
      <c r="T112" s="8"/>
      <c r="U112" s="8"/>
      <c r="V112" s="8"/>
      <c r="W112" s="44"/>
      <c r="X112" s="9"/>
      <c r="Y112" s="9"/>
      <c r="Z112" s="9"/>
      <c r="AA112" s="9"/>
      <c r="AB112" s="9"/>
      <c r="AC112" s="9"/>
      <c r="AD112" s="9"/>
      <c r="AE112" s="192"/>
      <c r="AF112" s="192"/>
      <c r="AG112" s="192"/>
      <c r="AH112" s="192"/>
      <c r="AI112" s="192"/>
      <c r="AJ112" s="192"/>
      <c r="AK112" s="192"/>
      <c r="AL112" s="192"/>
      <c r="AM112" s="192"/>
      <c r="AN112" s="192"/>
      <c r="AO112" s="192"/>
      <c r="AP112" s="192"/>
      <c r="AQ112" s="192"/>
      <c r="AR112" s="192"/>
      <c r="AS112" s="192"/>
      <c r="AT112" s="192"/>
      <c r="AU112" s="192"/>
    </row>
    <row r="113" spans="1:47" outlineLevel="1">
      <c r="A113" s="12"/>
      <c r="B113" s="12"/>
      <c r="C113" s="12"/>
      <c r="D113" s="12"/>
      <c r="E113" s="12"/>
      <c r="F113" s="40" t="str">
        <f>Asset5</f>
        <v>Distribution Substations</v>
      </c>
      <c r="G113" s="171"/>
      <c r="H113" s="63">
        <v>2.3338817976799189</v>
      </c>
      <c r="I113" s="63">
        <v>4.7933069047760135</v>
      </c>
      <c r="J113" s="63">
        <v>3.6655732051756753</v>
      </c>
      <c r="K113" s="63">
        <v>5.4854974708950408</v>
      </c>
      <c r="L113" s="63">
        <v>3.7063574286924315</v>
      </c>
      <c r="M113" s="63"/>
      <c r="N113" s="63"/>
      <c r="O113" s="63"/>
      <c r="P113" s="63"/>
      <c r="Q113" s="63"/>
      <c r="R113" s="8"/>
      <c r="S113" s="8"/>
      <c r="T113" s="8"/>
      <c r="U113" s="8"/>
      <c r="V113" s="8"/>
      <c r="W113" s="44"/>
      <c r="X113" s="9"/>
      <c r="Y113" s="9"/>
      <c r="Z113" s="9"/>
      <c r="AA113" s="9"/>
      <c r="AB113" s="9"/>
      <c r="AC113" s="9"/>
      <c r="AD113" s="9"/>
      <c r="AE113" s="192"/>
      <c r="AF113" s="192"/>
      <c r="AG113" s="192"/>
      <c r="AH113" s="192"/>
      <c r="AI113" s="192"/>
      <c r="AJ113" s="192"/>
      <c r="AK113" s="192"/>
      <c r="AL113" s="192"/>
      <c r="AM113" s="192"/>
      <c r="AN113" s="192"/>
      <c r="AO113" s="192"/>
      <c r="AP113" s="192"/>
      <c r="AQ113" s="192"/>
      <c r="AR113" s="192"/>
      <c r="AS113" s="192"/>
      <c r="AT113" s="192"/>
      <c r="AU113" s="192"/>
    </row>
    <row r="114" spans="1:47" outlineLevel="1">
      <c r="A114" s="12"/>
      <c r="B114" s="12"/>
      <c r="C114" s="12"/>
      <c r="D114" s="12"/>
      <c r="E114" s="12"/>
      <c r="F114" s="40" t="str">
        <f>Asset6</f>
        <v>Distribution Overhead Lines</v>
      </c>
      <c r="G114" s="171"/>
      <c r="H114" s="63">
        <v>0</v>
      </c>
      <c r="I114" s="63">
        <v>0</v>
      </c>
      <c r="J114" s="63">
        <v>0</v>
      </c>
      <c r="K114" s="63">
        <v>0</v>
      </c>
      <c r="L114" s="63">
        <v>0</v>
      </c>
      <c r="M114" s="63"/>
      <c r="N114" s="63"/>
      <c r="O114" s="63"/>
      <c r="P114" s="63"/>
      <c r="Q114" s="63"/>
      <c r="R114" s="8"/>
      <c r="S114" s="8"/>
      <c r="T114" s="8"/>
      <c r="U114" s="8"/>
      <c r="V114" s="8"/>
      <c r="W114" s="44"/>
      <c r="X114" s="9"/>
      <c r="Y114" s="9"/>
      <c r="Z114" s="9"/>
      <c r="AA114" s="9"/>
      <c r="AB114" s="9"/>
      <c r="AC114" s="9"/>
      <c r="AD114" s="9"/>
      <c r="AE114" s="192"/>
      <c r="AF114" s="192"/>
      <c r="AG114" s="192"/>
      <c r="AH114" s="192"/>
      <c r="AI114" s="192"/>
      <c r="AJ114" s="192"/>
      <c r="AK114" s="192"/>
      <c r="AL114" s="192"/>
      <c r="AM114" s="192"/>
      <c r="AN114" s="192"/>
      <c r="AO114" s="192"/>
      <c r="AP114" s="192"/>
      <c r="AQ114" s="192"/>
      <c r="AR114" s="192"/>
      <c r="AS114" s="192"/>
      <c r="AT114" s="192"/>
      <c r="AU114" s="192"/>
    </row>
    <row r="115" spans="1:47" outlineLevel="1">
      <c r="A115" s="12"/>
      <c r="B115" s="12"/>
      <c r="C115" s="12"/>
      <c r="D115" s="12"/>
      <c r="E115" s="12"/>
      <c r="F115" s="40" t="str">
        <f>Asset7</f>
        <v>Distribution Underground Lines</v>
      </c>
      <c r="G115" s="171"/>
      <c r="H115" s="63">
        <v>4.1853884423200807</v>
      </c>
      <c r="I115" s="63">
        <v>6.1662055052239841</v>
      </c>
      <c r="J115" s="63">
        <v>4.6087309648243222</v>
      </c>
      <c r="K115" s="63">
        <v>5.2522463991049619</v>
      </c>
      <c r="L115" s="63">
        <v>5.1702105457424761</v>
      </c>
      <c r="M115" s="63"/>
      <c r="N115" s="63"/>
      <c r="O115" s="63"/>
      <c r="P115" s="63"/>
      <c r="Q115" s="63"/>
      <c r="R115" s="8"/>
      <c r="S115" s="8"/>
      <c r="T115" s="8"/>
      <c r="U115" s="8"/>
      <c r="V115" s="8"/>
      <c r="W115" s="44"/>
      <c r="X115" s="9"/>
      <c r="Y115" s="9"/>
      <c r="Z115" s="9"/>
      <c r="AA115" s="9"/>
      <c r="AB115" s="9"/>
      <c r="AC115" s="9"/>
      <c r="AD115" s="9"/>
      <c r="AE115" s="192"/>
      <c r="AF115" s="192"/>
      <c r="AG115" s="192"/>
      <c r="AH115" s="192"/>
      <c r="AI115" s="192"/>
      <c r="AJ115" s="192"/>
      <c r="AK115" s="192"/>
      <c r="AL115" s="192"/>
      <c r="AM115" s="192"/>
      <c r="AN115" s="192"/>
      <c r="AO115" s="192"/>
      <c r="AP115" s="192"/>
      <c r="AQ115" s="192"/>
      <c r="AR115" s="192"/>
      <c r="AS115" s="192"/>
      <c r="AT115" s="192"/>
      <c r="AU115" s="192"/>
    </row>
    <row r="116" spans="1:47" outlineLevel="1">
      <c r="A116" s="12"/>
      <c r="B116" s="12"/>
      <c r="C116" s="12"/>
      <c r="D116" s="12"/>
      <c r="E116" s="12"/>
      <c r="F116" s="40" t="str">
        <f>Asset8</f>
        <v>IT &amp; Communication Systems (Networks)</v>
      </c>
      <c r="G116" s="171"/>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2"/>
      <c r="AF116" s="192"/>
      <c r="AG116" s="192"/>
      <c r="AH116" s="192"/>
      <c r="AI116" s="192"/>
      <c r="AJ116" s="192"/>
      <c r="AK116" s="192"/>
      <c r="AL116" s="192"/>
      <c r="AM116" s="192"/>
      <c r="AN116" s="192"/>
      <c r="AO116" s="192"/>
      <c r="AP116" s="192"/>
      <c r="AQ116" s="192"/>
      <c r="AR116" s="192"/>
      <c r="AS116" s="192"/>
      <c r="AT116" s="192"/>
      <c r="AU116" s="192"/>
    </row>
    <row r="117" spans="1:47" outlineLevel="1">
      <c r="A117" s="12"/>
      <c r="B117" s="12"/>
      <c r="C117" s="12"/>
      <c r="D117" s="12"/>
      <c r="E117" s="12"/>
      <c r="F117" s="40" t="str">
        <f>Asset9</f>
        <v>Motor Vehicles</v>
      </c>
      <c r="G117" s="171"/>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2"/>
      <c r="AF117" s="192"/>
      <c r="AG117" s="192"/>
      <c r="AH117" s="192"/>
      <c r="AI117" s="192"/>
      <c r="AJ117" s="192"/>
      <c r="AK117" s="192"/>
      <c r="AL117" s="192"/>
      <c r="AM117" s="192"/>
      <c r="AN117" s="192"/>
      <c r="AO117" s="192"/>
      <c r="AP117" s="192"/>
      <c r="AQ117" s="192"/>
      <c r="AR117" s="192"/>
      <c r="AS117" s="192"/>
      <c r="AT117" s="192"/>
      <c r="AU117" s="192"/>
    </row>
    <row r="118" spans="1:47" outlineLevel="1">
      <c r="A118" s="12"/>
      <c r="B118" s="12"/>
      <c r="C118" s="12"/>
      <c r="D118" s="12"/>
      <c r="E118" s="12"/>
      <c r="F118" s="40" t="str">
        <f>Asset10</f>
        <v>Other Non-System Assets (Networks)</v>
      </c>
      <c r="G118" s="171"/>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2"/>
      <c r="AF118" s="192"/>
      <c r="AG118" s="192"/>
      <c r="AH118" s="192"/>
      <c r="AI118" s="192"/>
      <c r="AJ118" s="192"/>
      <c r="AK118" s="192"/>
      <c r="AL118" s="192"/>
      <c r="AM118" s="192"/>
      <c r="AN118" s="192"/>
      <c r="AO118" s="192"/>
      <c r="AP118" s="192"/>
      <c r="AQ118" s="192"/>
      <c r="AR118" s="192"/>
      <c r="AS118" s="192"/>
      <c r="AT118" s="192"/>
      <c r="AU118" s="192"/>
    </row>
    <row r="119" spans="1:47" outlineLevel="1">
      <c r="A119" s="12"/>
      <c r="B119" s="12"/>
      <c r="C119" s="12"/>
      <c r="D119" s="12"/>
      <c r="E119" s="12"/>
      <c r="F119" s="40" t="str">
        <f>Asset11</f>
        <v>IT Systems (Corporate)</v>
      </c>
      <c r="G119" s="171"/>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2"/>
      <c r="AF119" s="192"/>
      <c r="AG119" s="192"/>
      <c r="AH119" s="192"/>
      <c r="AI119" s="192"/>
      <c r="AJ119" s="192"/>
      <c r="AK119" s="192"/>
      <c r="AL119" s="192"/>
      <c r="AM119" s="192"/>
      <c r="AN119" s="192"/>
      <c r="AO119" s="192"/>
      <c r="AP119" s="192"/>
      <c r="AQ119" s="192"/>
      <c r="AR119" s="192"/>
      <c r="AS119" s="192"/>
      <c r="AT119" s="192"/>
      <c r="AU119" s="192"/>
    </row>
    <row r="120" spans="1:47" outlineLevel="1">
      <c r="A120" s="12"/>
      <c r="B120" s="12"/>
      <c r="C120" s="12"/>
      <c r="D120" s="12"/>
      <c r="E120" s="12"/>
      <c r="F120" s="40" t="str">
        <f>Asset12</f>
        <v>Telecommunications (Corporate)</v>
      </c>
      <c r="G120" s="171"/>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2"/>
      <c r="AF120" s="192"/>
      <c r="AG120" s="192"/>
      <c r="AH120" s="192"/>
      <c r="AI120" s="192"/>
      <c r="AJ120" s="192"/>
      <c r="AK120" s="192"/>
      <c r="AL120" s="192"/>
      <c r="AM120" s="192"/>
      <c r="AN120" s="192"/>
      <c r="AO120" s="192"/>
      <c r="AP120" s="192"/>
      <c r="AQ120" s="192"/>
      <c r="AR120" s="192"/>
      <c r="AS120" s="192"/>
      <c r="AT120" s="192"/>
      <c r="AU120" s="192"/>
    </row>
    <row r="121" spans="1:47" outlineLevel="1">
      <c r="A121" s="12"/>
      <c r="B121" s="12"/>
      <c r="C121" s="12"/>
      <c r="D121" s="12"/>
      <c r="E121" s="12"/>
      <c r="F121" s="40" t="str">
        <f>Asset13</f>
        <v>Other Non-System Assets (Corporate)</v>
      </c>
      <c r="G121" s="171"/>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2"/>
      <c r="AF121" s="192"/>
      <c r="AG121" s="192"/>
      <c r="AH121" s="192"/>
      <c r="AI121" s="192"/>
      <c r="AJ121" s="192"/>
      <c r="AK121" s="192"/>
      <c r="AL121" s="192"/>
      <c r="AM121" s="192"/>
      <c r="AN121" s="192"/>
      <c r="AO121" s="192"/>
      <c r="AP121" s="192"/>
      <c r="AQ121" s="192"/>
      <c r="AR121" s="192"/>
      <c r="AS121" s="192"/>
      <c r="AT121" s="192"/>
      <c r="AU121" s="192"/>
    </row>
    <row r="122" spans="1:47" outlineLevel="1">
      <c r="A122" s="12"/>
      <c r="B122" s="12"/>
      <c r="C122" s="12"/>
      <c r="D122" s="12"/>
      <c r="E122" s="12"/>
      <c r="F122" s="40" t="str">
        <f>Asset14</f>
        <v>Land</v>
      </c>
      <c r="G122" s="171"/>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2"/>
      <c r="AF122" s="192"/>
      <c r="AG122" s="192"/>
      <c r="AH122" s="192"/>
      <c r="AI122" s="192"/>
      <c r="AJ122" s="192"/>
      <c r="AK122" s="192"/>
      <c r="AL122" s="192"/>
      <c r="AM122" s="192"/>
      <c r="AN122" s="192"/>
      <c r="AO122" s="192"/>
      <c r="AP122" s="192"/>
      <c r="AQ122" s="192"/>
      <c r="AR122" s="192"/>
      <c r="AS122" s="192"/>
      <c r="AT122" s="192"/>
      <c r="AU122" s="192"/>
    </row>
    <row r="123" spans="1:47" outlineLevel="1">
      <c r="A123" s="12"/>
      <c r="B123" s="12"/>
      <c r="C123" s="12"/>
      <c r="D123" s="12"/>
      <c r="E123" s="12"/>
      <c r="F123" s="40" t="str">
        <f>Asset15</f>
        <v>Buildings</v>
      </c>
      <c r="G123" s="171"/>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2"/>
      <c r="AF123" s="192"/>
      <c r="AG123" s="192"/>
      <c r="AH123" s="192"/>
      <c r="AI123" s="192"/>
      <c r="AJ123" s="192"/>
      <c r="AK123" s="192"/>
      <c r="AL123" s="192"/>
      <c r="AM123" s="192"/>
      <c r="AN123" s="192"/>
      <c r="AO123" s="192"/>
      <c r="AP123" s="192"/>
      <c r="AQ123" s="192"/>
      <c r="AR123" s="192"/>
      <c r="AS123" s="192"/>
      <c r="AT123" s="192"/>
      <c r="AU123" s="192"/>
    </row>
    <row r="124" spans="1:47" outlineLevel="1">
      <c r="A124" s="12"/>
      <c r="B124" s="12"/>
      <c r="C124" s="12"/>
      <c r="D124" s="12"/>
      <c r="E124" s="12"/>
      <c r="F124" s="40" t="str">
        <f>Asset16</f>
        <v>Equity raising costs</v>
      </c>
      <c r="G124" s="171"/>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2"/>
      <c r="AF124" s="192"/>
      <c r="AG124" s="192"/>
      <c r="AH124" s="192"/>
      <c r="AI124" s="192"/>
      <c r="AJ124" s="192"/>
      <c r="AK124" s="192"/>
      <c r="AL124" s="192"/>
      <c r="AM124" s="192"/>
      <c r="AN124" s="192"/>
      <c r="AO124" s="192"/>
      <c r="AP124" s="192"/>
      <c r="AQ124" s="192"/>
      <c r="AR124" s="192"/>
      <c r="AS124" s="192"/>
      <c r="AT124" s="192"/>
      <c r="AU124" s="192"/>
    </row>
    <row r="125" spans="1:47" outlineLevel="1">
      <c r="A125" s="12"/>
      <c r="B125" s="12"/>
      <c r="C125" s="12"/>
      <c r="D125" s="12"/>
      <c r="E125" s="12"/>
      <c r="F125" s="40">
        <f>Asset17</f>
        <v>0</v>
      </c>
      <c r="G125" s="171"/>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2"/>
      <c r="AF125" s="192"/>
      <c r="AG125" s="192"/>
      <c r="AH125" s="192"/>
      <c r="AI125" s="192"/>
      <c r="AJ125" s="192"/>
      <c r="AK125" s="192"/>
      <c r="AL125" s="192"/>
      <c r="AM125" s="192"/>
      <c r="AN125" s="192"/>
      <c r="AO125" s="192"/>
      <c r="AP125" s="192"/>
      <c r="AQ125" s="192"/>
      <c r="AR125" s="192"/>
      <c r="AS125" s="192"/>
      <c r="AT125" s="192"/>
      <c r="AU125" s="192"/>
    </row>
    <row r="126" spans="1:47" outlineLevel="1">
      <c r="A126" s="12"/>
      <c r="B126" s="12"/>
      <c r="C126" s="12"/>
      <c r="D126" s="12"/>
      <c r="E126" s="12"/>
      <c r="F126" s="40">
        <f>Asset18</f>
        <v>0</v>
      </c>
      <c r="G126" s="171"/>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2"/>
      <c r="AF126" s="192"/>
      <c r="AG126" s="192"/>
      <c r="AH126" s="192"/>
      <c r="AI126" s="192"/>
      <c r="AJ126" s="192"/>
      <c r="AK126" s="192"/>
      <c r="AL126" s="192"/>
      <c r="AM126" s="192"/>
      <c r="AN126" s="192"/>
      <c r="AO126" s="192"/>
      <c r="AP126" s="192"/>
      <c r="AQ126" s="192"/>
      <c r="AR126" s="192"/>
      <c r="AS126" s="192"/>
      <c r="AT126" s="192"/>
      <c r="AU126" s="192"/>
    </row>
    <row r="127" spans="1:47" outlineLevel="1">
      <c r="A127" s="12"/>
      <c r="B127" s="12"/>
      <c r="C127" s="12"/>
      <c r="D127" s="12"/>
      <c r="E127" s="12"/>
      <c r="F127" s="40">
        <f>Asset19</f>
        <v>0</v>
      </c>
      <c r="G127" s="171"/>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2"/>
      <c r="AF127" s="192"/>
      <c r="AG127" s="192"/>
      <c r="AH127" s="192"/>
      <c r="AI127" s="192"/>
      <c r="AJ127" s="192"/>
      <c r="AK127" s="192"/>
      <c r="AL127" s="192"/>
      <c r="AM127" s="192"/>
      <c r="AN127" s="192"/>
      <c r="AO127" s="192"/>
      <c r="AP127" s="192"/>
      <c r="AQ127" s="192"/>
      <c r="AR127" s="192"/>
      <c r="AS127" s="192"/>
      <c r="AT127" s="192"/>
      <c r="AU127" s="192"/>
    </row>
    <row r="128" spans="1:47" outlineLevel="1">
      <c r="A128" s="12"/>
      <c r="B128" s="12"/>
      <c r="C128" s="12"/>
      <c r="D128" s="12"/>
      <c r="E128" s="12"/>
      <c r="F128" s="40">
        <f>Asset20</f>
        <v>0</v>
      </c>
      <c r="G128" s="171"/>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2"/>
      <c r="AF128" s="192"/>
      <c r="AG128" s="192"/>
      <c r="AH128" s="192"/>
      <c r="AI128" s="192"/>
      <c r="AJ128" s="192"/>
      <c r="AK128" s="192"/>
      <c r="AL128" s="192"/>
      <c r="AM128" s="192"/>
      <c r="AN128" s="192"/>
      <c r="AO128" s="192"/>
      <c r="AP128" s="192"/>
      <c r="AQ128" s="192"/>
      <c r="AR128" s="192"/>
      <c r="AS128" s="192"/>
      <c r="AT128" s="192"/>
      <c r="AU128" s="192"/>
    </row>
    <row r="129" spans="1:47" outlineLevel="1">
      <c r="A129" s="12"/>
      <c r="B129" s="12"/>
      <c r="C129" s="12"/>
      <c r="D129" s="12"/>
      <c r="E129" s="12"/>
      <c r="F129" s="40">
        <f>Asset21</f>
        <v>0</v>
      </c>
      <c r="G129" s="171"/>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2"/>
      <c r="AF129" s="192"/>
      <c r="AG129" s="192"/>
      <c r="AH129" s="192"/>
      <c r="AI129" s="192"/>
      <c r="AJ129" s="192"/>
      <c r="AK129" s="192"/>
      <c r="AL129" s="192"/>
      <c r="AM129" s="192"/>
      <c r="AN129" s="192"/>
      <c r="AO129" s="192"/>
      <c r="AP129" s="192"/>
      <c r="AQ129" s="192"/>
      <c r="AR129" s="192"/>
      <c r="AS129" s="192"/>
      <c r="AT129" s="192"/>
      <c r="AU129" s="192"/>
    </row>
    <row r="130" spans="1:47" outlineLevel="1">
      <c r="A130" s="12"/>
      <c r="B130" s="12"/>
      <c r="C130" s="12"/>
      <c r="D130" s="12"/>
      <c r="E130" s="12"/>
      <c r="F130" s="40">
        <f>Asset22</f>
        <v>0</v>
      </c>
      <c r="G130" s="171"/>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2"/>
      <c r="AF130" s="192"/>
      <c r="AG130" s="192"/>
      <c r="AH130" s="192"/>
      <c r="AI130" s="192"/>
      <c r="AJ130" s="192"/>
      <c r="AK130" s="192"/>
      <c r="AL130" s="192"/>
      <c r="AM130" s="192"/>
      <c r="AN130" s="192"/>
      <c r="AO130" s="192"/>
      <c r="AP130" s="192"/>
      <c r="AQ130" s="192"/>
      <c r="AR130" s="192"/>
      <c r="AS130" s="192"/>
      <c r="AT130" s="192"/>
      <c r="AU130" s="192"/>
    </row>
    <row r="131" spans="1:47" outlineLevel="1">
      <c r="A131" s="12"/>
      <c r="B131" s="12"/>
      <c r="C131" s="12"/>
      <c r="D131" s="12"/>
      <c r="E131" s="12"/>
      <c r="F131" s="40">
        <f>Asset23</f>
        <v>0</v>
      </c>
      <c r="G131" s="171"/>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2"/>
      <c r="AF131" s="192"/>
      <c r="AG131" s="192"/>
      <c r="AH131" s="192"/>
      <c r="AI131" s="192"/>
      <c r="AJ131" s="192"/>
      <c r="AK131" s="192"/>
      <c r="AL131" s="192"/>
      <c r="AM131" s="192"/>
      <c r="AN131" s="192"/>
      <c r="AO131" s="192"/>
      <c r="AP131" s="192"/>
      <c r="AQ131" s="192"/>
      <c r="AR131" s="192"/>
      <c r="AS131" s="192"/>
      <c r="AT131" s="192"/>
      <c r="AU131" s="192"/>
    </row>
    <row r="132" spans="1:47" outlineLevel="1">
      <c r="A132" s="12"/>
      <c r="B132" s="12"/>
      <c r="C132" s="12"/>
      <c r="D132" s="12"/>
      <c r="E132" s="12"/>
      <c r="F132" s="40">
        <f>Asset24</f>
        <v>0</v>
      </c>
      <c r="G132" s="171"/>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2"/>
      <c r="AF132" s="192"/>
      <c r="AG132" s="192"/>
      <c r="AH132" s="192"/>
      <c r="AI132" s="192"/>
      <c r="AJ132" s="192"/>
      <c r="AK132" s="192"/>
      <c r="AL132" s="192"/>
      <c r="AM132" s="192"/>
      <c r="AN132" s="192"/>
      <c r="AO132" s="192"/>
      <c r="AP132" s="192"/>
      <c r="AQ132" s="192"/>
      <c r="AR132" s="192"/>
      <c r="AS132" s="192"/>
      <c r="AT132" s="192"/>
      <c r="AU132" s="192"/>
    </row>
    <row r="133" spans="1:47" outlineLevel="1">
      <c r="A133" s="12"/>
      <c r="B133" s="12"/>
      <c r="C133" s="12"/>
      <c r="D133" s="12"/>
      <c r="E133" s="12"/>
      <c r="F133" s="40">
        <f>Asset25</f>
        <v>0</v>
      </c>
      <c r="G133" s="171"/>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2"/>
      <c r="AF133" s="192"/>
      <c r="AG133" s="192"/>
      <c r="AH133" s="192"/>
      <c r="AI133" s="192"/>
      <c r="AJ133" s="192"/>
      <c r="AK133" s="192"/>
      <c r="AL133" s="192"/>
      <c r="AM133" s="192"/>
      <c r="AN133" s="192"/>
      <c r="AO133" s="192"/>
      <c r="AP133" s="192"/>
      <c r="AQ133" s="192"/>
      <c r="AR133" s="192"/>
      <c r="AS133" s="192"/>
      <c r="AT133" s="192"/>
      <c r="AU133" s="192"/>
    </row>
    <row r="134" spans="1:47" outlineLevel="1">
      <c r="A134" s="12"/>
      <c r="B134" s="12"/>
      <c r="C134" s="12"/>
      <c r="D134" s="12"/>
      <c r="E134" s="12"/>
      <c r="F134" s="40">
        <f>Asset26</f>
        <v>0</v>
      </c>
      <c r="G134" s="171"/>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2"/>
      <c r="AF134" s="192"/>
      <c r="AG134" s="192"/>
      <c r="AH134" s="192"/>
      <c r="AI134" s="192"/>
      <c r="AJ134" s="192"/>
      <c r="AK134" s="192"/>
      <c r="AL134" s="192"/>
      <c r="AM134" s="192"/>
      <c r="AN134" s="192"/>
      <c r="AO134" s="192"/>
      <c r="AP134" s="192"/>
      <c r="AQ134" s="192"/>
      <c r="AR134" s="192"/>
      <c r="AS134" s="192"/>
      <c r="AT134" s="192"/>
      <c r="AU134" s="192"/>
    </row>
    <row r="135" spans="1:47" outlineLevel="1">
      <c r="A135" s="12"/>
      <c r="B135" s="12"/>
      <c r="C135" s="12"/>
      <c r="D135" s="12"/>
      <c r="E135" s="12"/>
      <c r="F135" s="40">
        <f>Asset27</f>
        <v>0</v>
      </c>
      <c r="G135" s="171"/>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2"/>
      <c r="AF135" s="192"/>
      <c r="AG135" s="192"/>
      <c r="AH135" s="192"/>
      <c r="AI135" s="192"/>
      <c r="AJ135" s="192"/>
      <c r="AK135" s="192"/>
      <c r="AL135" s="192"/>
      <c r="AM135" s="192"/>
      <c r="AN135" s="192"/>
      <c r="AO135" s="192"/>
      <c r="AP135" s="192"/>
      <c r="AQ135" s="192"/>
      <c r="AR135" s="192"/>
      <c r="AS135" s="192"/>
      <c r="AT135" s="192"/>
      <c r="AU135" s="192"/>
    </row>
    <row r="136" spans="1:47" outlineLevel="1">
      <c r="A136" s="12"/>
      <c r="B136" s="12"/>
      <c r="C136" s="12"/>
      <c r="D136" s="12"/>
      <c r="E136" s="12"/>
      <c r="F136" s="40">
        <f>Asset28</f>
        <v>0</v>
      </c>
      <c r="G136" s="171"/>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2"/>
      <c r="AF136" s="192"/>
      <c r="AG136" s="192"/>
      <c r="AH136" s="192"/>
      <c r="AI136" s="192"/>
      <c r="AJ136" s="192"/>
      <c r="AK136" s="192"/>
      <c r="AL136" s="192"/>
      <c r="AM136" s="192"/>
      <c r="AN136" s="192"/>
      <c r="AO136" s="192"/>
      <c r="AP136" s="192"/>
      <c r="AQ136" s="192"/>
      <c r="AR136" s="192"/>
      <c r="AS136" s="192"/>
      <c r="AT136" s="192"/>
      <c r="AU136" s="192"/>
    </row>
    <row r="137" spans="1:47" outlineLevel="1">
      <c r="A137" s="12"/>
      <c r="B137" s="12"/>
      <c r="C137" s="12"/>
      <c r="D137" s="12"/>
      <c r="E137" s="12"/>
      <c r="F137" s="40">
        <f>Asset29</f>
        <v>0</v>
      </c>
      <c r="G137" s="171"/>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2"/>
      <c r="AF137" s="192"/>
      <c r="AG137" s="192"/>
      <c r="AH137" s="192"/>
      <c r="AI137" s="192"/>
      <c r="AJ137" s="192"/>
      <c r="AK137" s="192"/>
      <c r="AL137" s="192"/>
      <c r="AM137" s="192"/>
      <c r="AN137" s="192"/>
      <c r="AO137" s="192"/>
      <c r="AP137" s="192"/>
      <c r="AQ137" s="192"/>
      <c r="AR137" s="192"/>
      <c r="AS137" s="192"/>
      <c r="AT137" s="192"/>
      <c r="AU137" s="192"/>
    </row>
    <row r="138" spans="1:47" outlineLevel="1">
      <c r="A138" s="12"/>
      <c r="B138" s="12"/>
      <c r="C138" s="12"/>
      <c r="D138" s="12"/>
      <c r="E138" s="12"/>
      <c r="F138" s="40">
        <f>Asset30</f>
        <v>0</v>
      </c>
      <c r="G138" s="171"/>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2"/>
      <c r="AF138" s="192"/>
      <c r="AG138" s="192"/>
      <c r="AH138" s="192"/>
      <c r="AI138" s="192"/>
      <c r="AJ138" s="192"/>
      <c r="AK138" s="192"/>
      <c r="AL138" s="192"/>
      <c r="AM138" s="192"/>
      <c r="AN138" s="192"/>
      <c r="AO138" s="192"/>
      <c r="AP138" s="192"/>
      <c r="AQ138" s="192"/>
      <c r="AR138" s="192"/>
      <c r="AS138" s="192"/>
      <c r="AT138" s="192"/>
      <c r="AU138" s="192"/>
    </row>
    <row r="139" spans="1:47">
      <c r="A139" s="12"/>
      <c r="B139" s="12"/>
      <c r="C139" s="12"/>
      <c r="D139" s="12"/>
      <c r="E139" s="12"/>
      <c r="F139" s="40" t="s">
        <v>22</v>
      </c>
      <c r="G139" s="269">
        <f t="shared" ref="G139:Q139" si="6">SUM(G109:G138)</f>
        <v>8.3629391099999975</v>
      </c>
      <c r="H139" s="269">
        <f t="shared" si="6"/>
        <v>6.5192702399999991</v>
      </c>
      <c r="I139" s="269">
        <f t="shared" si="6"/>
        <v>10.959512409999999</v>
      </c>
      <c r="J139" s="269">
        <f t="shared" si="6"/>
        <v>8.2743041699999971</v>
      </c>
      <c r="K139" s="269">
        <f t="shared" si="6"/>
        <v>10.874044408089183</v>
      </c>
      <c r="L139" s="269">
        <f t="shared" si="6"/>
        <v>8.9102717863678418</v>
      </c>
      <c r="M139" s="247">
        <f t="shared" si="6"/>
        <v>0</v>
      </c>
      <c r="N139" s="247">
        <f t="shared" si="6"/>
        <v>0</v>
      </c>
      <c r="O139" s="247">
        <f t="shared" si="6"/>
        <v>0</v>
      </c>
      <c r="P139" s="247">
        <f t="shared" si="6"/>
        <v>0</v>
      </c>
      <c r="Q139" s="247">
        <f t="shared" si="6"/>
        <v>0</v>
      </c>
      <c r="R139" s="38"/>
      <c r="S139" s="38"/>
      <c r="T139" s="38"/>
      <c r="U139" s="38"/>
      <c r="V139" s="38"/>
      <c r="W139" s="38"/>
      <c r="X139" s="48"/>
      <c r="Y139" s="8"/>
      <c r="Z139" s="8"/>
      <c r="AA139" s="44"/>
      <c r="AB139" s="9"/>
      <c r="AC139" s="9"/>
      <c r="AD139" s="9"/>
      <c r="AE139" s="192"/>
      <c r="AF139" s="192"/>
      <c r="AG139" s="192"/>
      <c r="AH139" s="192"/>
      <c r="AI139" s="192"/>
      <c r="AJ139" s="192"/>
      <c r="AK139" s="192"/>
      <c r="AL139" s="192"/>
      <c r="AM139" s="192"/>
      <c r="AN139" s="192"/>
      <c r="AO139" s="192"/>
      <c r="AP139" s="192"/>
      <c r="AQ139" s="192"/>
      <c r="AR139" s="192"/>
      <c r="AS139" s="192"/>
      <c r="AT139" s="192"/>
      <c r="AU139" s="192"/>
    </row>
    <row r="140" spans="1:47" ht="20.25" customHeight="1">
      <c r="A140" s="12"/>
      <c r="B140" s="12"/>
      <c r="C140" s="12"/>
      <c r="D140" s="12"/>
      <c r="F140" s="9"/>
      <c r="G140" s="9"/>
      <c r="H140" s="311"/>
      <c r="I140" s="311"/>
      <c r="J140" s="311"/>
      <c r="K140" s="311"/>
      <c r="L140" s="311"/>
      <c r="M140" s="9"/>
      <c r="N140" s="9"/>
      <c r="O140" s="9"/>
      <c r="P140" s="9"/>
      <c r="Q140" s="9"/>
      <c r="R140" s="246">
        <f>SUM(G139:Q139)</f>
        <v>53.900342124457019</v>
      </c>
      <c r="S140" s="9"/>
      <c r="T140" s="9"/>
      <c r="U140" s="9"/>
      <c r="V140" s="9"/>
      <c r="W140" s="9"/>
      <c r="X140" s="9"/>
      <c r="Y140" s="9"/>
      <c r="Z140" s="9"/>
      <c r="AA140" s="19"/>
      <c r="AB140" s="9"/>
      <c r="AC140" s="9"/>
      <c r="AD140" s="9"/>
      <c r="AE140" s="192"/>
      <c r="AF140" s="192"/>
      <c r="AG140" s="192"/>
      <c r="AH140" s="192"/>
      <c r="AI140" s="192"/>
      <c r="AJ140" s="192"/>
      <c r="AK140" s="192"/>
      <c r="AL140" s="192"/>
      <c r="AM140" s="192"/>
      <c r="AN140" s="192"/>
      <c r="AO140" s="192"/>
      <c r="AP140" s="192"/>
      <c r="AQ140" s="192"/>
      <c r="AR140" s="192"/>
      <c r="AS140" s="192"/>
      <c r="AT140" s="192"/>
      <c r="AU140" s="192"/>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2008-09)</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2"/>
      <c r="AF141" s="192"/>
      <c r="AG141" s="192"/>
      <c r="AH141" s="192"/>
      <c r="AI141" s="192"/>
      <c r="AJ141" s="192"/>
      <c r="AK141" s="192"/>
      <c r="AL141" s="192"/>
      <c r="AM141" s="192"/>
      <c r="AN141" s="192"/>
      <c r="AO141" s="192"/>
      <c r="AP141" s="192"/>
      <c r="AQ141" s="192"/>
      <c r="AR141" s="192"/>
      <c r="AS141" s="192"/>
      <c r="AT141" s="192"/>
      <c r="AU141" s="192"/>
    </row>
    <row r="142" spans="1:47">
      <c r="A142" s="12"/>
      <c r="B142" s="12"/>
      <c r="C142" s="12"/>
      <c r="D142" s="12"/>
      <c r="E142" s="12"/>
      <c r="F142" s="39" t="s">
        <v>5</v>
      </c>
      <c r="G142" s="245" t="str">
        <f>G40</f>
        <v>2008-09</v>
      </c>
      <c r="H142" s="245" t="str">
        <f t="shared" ref="H142:Q142" si="7">H40</f>
        <v>2009-10</v>
      </c>
      <c r="I142" s="245" t="str">
        <f t="shared" si="7"/>
        <v>2010-11</v>
      </c>
      <c r="J142" s="245" t="str">
        <f t="shared" si="7"/>
        <v>2011-12</v>
      </c>
      <c r="K142" s="245" t="str">
        <f t="shared" si="7"/>
        <v>2012-13</v>
      </c>
      <c r="L142" s="245" t="str">
        <f t="shared" si="7"/>
        <v>2013-14</v>
      </c>
      <c r="M142" s="245" t="str">
        <f t="shared" si="7"/>
        <v>2014-15</v>
      </c>
      <c r="N142" s="245" t="str">
        <f t="shared" si="7"/>
        <v>2015-16</v>
      </c>
      <c r="O142" s="245" t="str">
        <f t="shared" si="7"/>
        <v>2016-17</v>
      </c>
      <c r="P142" s="245" t="str">
        <f t="shared" si="7"/>
        <v>2017-18</v>
      </c>
      <c r="Q142" s="245" t="str">
        <f t="shared" si="7"/>
        <v>2018-19</v>
      </c>
      <c r="R142" s="8"/>
      <c r="S142" s="8"/>
      <c r="T142" s="8"/>
      <c r="U142" s="8"/>
      <c r="V142" s="8"/>
      <c r="W142" s="44"/>
      <c r="X142" s="9"/>
      <c r="Y142" s="9"/>
      <c r="Z142" s="9"/>
      <c r="AA142" s="9"/>
      <c r="AB142" s="9"/>
      <c r="AC142" s="9"/>
      <c r="AD142" s="9"/>
      <c r="AE142" s="192"/>
      <c r="AF142" s="192"/>
      <c r="AG142" s="192"/>
      <c r="AH142" s="192"/>
      <c r="AI142" s="192"/>
      <c r="AJ142" s="192"/>
      <c r="AK142" s="192"/>
      <c r="AL142" s="192"/>
      <c r="AM142" s="192"/>
      <c r="AN142" s="192"/>
      <c r="AO142" s="192"/>
      <c r="AP142" s="192"/>
      <c r="AQ142" s="192"/>
      <c r="AR142" s="192"/>
      <c r="AS142" s="192"/>
      <c r="AT142" s="192"/>
      <c r="AU142" s="192"/>
    </row>
    <row r="143" spans="1:47" outlineLevel="1">
      <c r="A143" s="12"/>
      <c r="B143" s="12"/>
      <c r="C143" s="12"/>
      <c r="D143" s="12"/>
      <c r="E143" s="12"/>
      <c r="F143" s="40" t="str">
        <f>Asset1</f>
        <v>Opening Distribution Assets</v>
      </c>
      <c r="G143" s="273">
        <f>(G41-G75-G109)/G$178</f>
        <v>21.414318843161546</v>
      </c>
      <c r="H143" s="179">
        <f t="shared" ref="H143:Q143" si="8">(H41-H75-H109)/H$178</f>
        <v>0</v>
      </c>
      <c r="I143" s="179">
        <f t="shared" si="8"/>
        <v>0</v>
      </c>
      <c r="J143" s="179">
        <f t="shared" si="8"/>
        <v>0</v>
      </c>
      <c r="K143" s="179">
        <f t="shared" si="8"/>
        <v>0</v>
      </c>
      <c r="L143" s="179">
        <f t="shared" si="8"/>
        <v>0</v>
      </c>
      <c r="M143" s="179">
        <f t="shared" si="8"/>
        <v>0</v>
      </c>
      <c r="N143" s="179">
        <f t="shared" si="8"/>
        <v>0</v>
      </c>
      <c r="O143" s="179">
        <f t="shared" si="8"/>
        <v>0</v>
      </c>
      <c r="P143" s="179">
        <f t="shared" si="8"/>
        <v>0</v>
      </c>
      <c r="Q143" s="179">
        <f t="shared" si="8"/>
        <v>0</v>
      </c>
      <c r="R143" s="8"/>
      <c r="S143" s="8"/>
      <c r="T143" s="8"/>
      <c r="U143" s="8"/>
      <c r="V143" s="8"/>
      <c r="W143" s="44"/>
      <c r="X143" s="9"/>
      <c r="Y143" s="9"/>
      <c r="Z143" s="9"/>
      <c r="AA143" s="9"/>
      <c r="AB143" s="9"/>
      <c r="AC143" s="9"/>
      <c r="AD143" s="9"/>
      <c r="AE143" s="192"/>
      <c r="AF143" s="192"/>
      <c r="AG143" s="192"/>
      <c r="AH143" s="192"/>
      <c r="AI143" s="192"/>
      <c r="AJ143" s="192"/>
      <c r="AK143" s="192"/>
      <c r="AL143" s="192"/>
      <c r="AM143" s="192"/>
      <c r="AN143" s="192"/>
      <c r="AO143" s="192"/>
      <c r="AP143" s="192"/>
      <c r="AQ143" s="192"/>
      <c r="AR143" s="192"/>
      <c r="AS143" s="192"/>
      <c r="AT143" s="192"/>
      <c r="AU143" s="192"/>
    </row>
    <row r="144" spans="1:47" outlineLevel="1">
      <c r="A144" s="12"/>
      <c r="B144" s="12"/>
      <c r="C144" s="12"/>
      <c r="D144" s="12"/>
      <c r="E144" s="12"/>
      <c r="F144" s="40" t="str">
        <f>Asset2</f>
        <v>Sub-transmission Overhead</v>
      </c>
      <c r="G144" s="180">
        <f t="shared" ref="G144:Q144" si="9">(G42-G76-G110)/G$178</f>
        <v>0</v>
      </c>
      <c r="H144" s="93">
        <f>(H42-H76-H110)/H$178</f>
        <v>0</v>
      </c>
      <c r="I144" s="93">
        <f t="shared" si="9"/>
        <v>0</v>
      </c>
      <c r="J144" s="93">
        <f t="shared" si="9"/>
        <v>0</v>
      </c>
      <c r="K144" s="93">
        <f t="shared" si="9"/>
        <v>0</v>
      </c>
      <c r="L144" s="93">
        <f>(L42-L76-L110)/L$178</f>
        <v>0</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2"/>
      <c r="AF144" s="192"/>
      <c r="AG144" s="192"/>
      <c r="AH144" s="192"/>
      <c r="AI144" s="192"/>
      <c r="AJ144" s="192"/>
      <c r="AK144" s="192"/>
      <c r="AL144" s="192"/>
      <c r="AM144" s="192"/>
      <c r="AN144" s="192"/>
      <c r="AO144" s="192"/>
      <c r="AP144" s="192"/>
      <c r="AQ144" s="192"/>
      <c r="AR144" s="192"/>
      <c r="AS144" s="192"/>
      <c r="AT144" s="192"/>
      <c r="AU144" s="192"/>
    </row>
    <row r="145" spans="1:47" outlineLevel="1">
      <c r="A145" s="12"/>
      <c r="B145" s="12"/>
      <c r="C145" s="12"/>
      <c r="D145" s="12"/>
      <c r="E145" s="12"/>
      <c r="F145" s="40" t="str">
        <f>Asset3</f>
        <v>Sub-transmission Underground</v>
      </c>
      <c r="G145" s="180">
        <f t="shared" ref="G145:Q145" si="10">(G43-G77-G111)/G$178</f>
        <v>0</v>
      </c>
      <c r="H145" s="93">
        <f t="shared" si="10"/>
        <v>0</v>
      </c>
      <c r="I145" s="93">
        <f t="shared" si="10"/>
        <v>0</v>
      </c>
      <c r="J145" s="93">
        <f t="shared" si="10"/>
        <v>0</v>
      </c>
      <c r="K145" s="93">
        <f t="shared" si="10"/>
        <v>0</v>
      </c>
      <c r="L145" s="93">
        <f>(L43-L77-L111)/L$178</f>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2"/>
      <c r="AF145" s="192"/>
      <c r="AG145" s="192"/>
      <c r="AH145" s="192"/>
      <c r="AI145" s="192"/>
      <c r="AJ145" s="192"/>
      <c r="AK145" s="192"/>
      <c r="AL145" s="192"/>
      <c r="AM145" s="192"/>
      <c r="AN145" s="192"/>
      <c r="AO145" s="192"/>
      <c r="AP145" s="192"/>
      <c r="AQ145" s="192"/>
      <c r="AR145" s="192"/>
      <c r="AS145" s="192"/>
      <c r="AT145" s="192"/>
      <c r="AU145" s="192"/>
    </row>
    <row r="146" spans="1:47" outlineLevel="1">
      <c r="A146" s="12"/>
      <c r="B146" s="12"/>
      <c r="C146" s="12"/>
      <c r="D146" s="12"/>
      <c r="E146" s="12"/>
      <c r="F146" s="139" t="str">
        <f>Asset4</f>
        <v>Zone Substation</v>
      </c>
      <c r="G146" s="180">
        <f t="shared" ref="G146:Q146" si="11">(G44-G78-G112)/G$178</f>
        <v>0</v>
      </c>
      <c r="H146" s="93">
        <f t="shared" si="11"/>
        <v>0.75993751153831512</v>
      </c>
      <c r="I146" s="93">
        <f t="shared" si="11"/>
        <v>7.6158249450717207E-3</v>
      </c>
      <c r="J146" s="93">
        <f t="shared" si="11"/>
        <v>0</v>
      </c>
      <c r="K146" s="93">
        <f t="shared" si="11"/>
        <v>0.67620743984518783</v>
      </c>
      <c r="L146" s="93">
        <f t="shared" si="11"/>
        <v>0.13981270239687979</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2"/>
      <c r="AF146" s="192"/>
      <c r="AG146" s="192"/>
      <c r="AH146" s="192"/>
      <c r="AI146" s="192"/>
      <c r="AJ146" s="192"/>
      <c r="AK146" s="192"/>
      <c r="AL146" s="192"/>
      <c r="AM146" s="192"/>
      <c r="AN146" s="192"/>
      <c r="AO146" s="192"/>
      <c r="AP146" s="192"/>
      <c r="AQ146" s="192"/>
      <c r="AR146" s="192"/>
      <c r="AS146" s="192"/>
      <c r="AT146" s="192"/>
      <c r="AU146" s="192"/>
    </row>
    <row r="147" spans="1:47" outlineLevel="1">
      <c r="A147" s="12"/>
      <c r="B147" s="12"/>
      <c r="C147" s="12"/>
      <c r="D147" s="12"/>
      <c r="E147" s="12"/>
      <c r="F147" s="139" t="str">
        <f>Asset5</f>
        <v>Distribution Substations</v>
      </c>
      <c r="G147" s="180">
        <f t="shared" ref="G147:Q147" si="12">(G45-G79-G113)/G$178</f>
        <v>0</v>
      </c>
      <c r="H147" s="93">
        <f t="shared" si="12"/>
        <v>9.5444998220060899</v>
      </c>
      <c r="I147" s="93">
        <f t="shared" si="12"/>
        <v>11.030792967476836</v>
      </c>
      <c r="J147" s="93">
        <f t="shared" si="12"/>
        <v>9.4668151811384167</v>
      </c>
      <c r="K147" s="93">
        <f t="shared" si="12"/>
        <v>6.5178555104499836</v>
      </c>
      <c r="L147" s="93">
        <f t="shared" si="12"/>
        <v>8.5174304120402073</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2"/>
      <c r="AF147" s="192"/>
      <c r="AG147" s="192"/>
      <c r="AH147" s="192"/>
      <c r="AI147" s="192"/>
      <c r="AJ147" s="192"/>
      <c r="AK147" s="192"/>
      <c r="AL147" s="192"/>
      <c r="AM147" s="192"/>
      <c r="AN147" s="192"/>
      <c r="AO147" s="192"/>
      <c r="AP147" s="192"/>
      <c r="AQ147" s="192"/>
      <c r="AR147" s="192"/>
      <c r="AS147" s="192"/>
      <c r="AT147" s="192"/>
      <c r="AU147" s="192"/>
    </row>
    <row r="148" spans="1:47" outlineLevel="1">
      <c r="A148" s="12"/>
      <c r="B148" s="12"/>
      <c r="C148" s="12"/>
      <c r="D148" s="12"/>
      <c r="E148" s="12"/>
      <c r="F148" s="139" t="str">
        <f>Asset6</f>
        <v>Distribution Overhead Lines</v>
      </c>
      <c r="G148" s="180">
        <f t="shared" ref="G148:Q148" si="13">(G46-G80-G114)/G$178</f>
        <v>0</v>
      </c>
      <c r="H148" s="93">
        <f t="shared" si="13"/>
        <v>10.373025813007736</v>
      </c>
      <c r="I148" s="93">
        <f t="shared" si="13"/>
        <v>11.71232227268286</v>
      </c>
      <c r="J148" s="93">
        <f t="shared" si="13"/>
        <v>12.52743897918598</v>
      </c>
      <c r="K148" s="93">
        <f t="shared" si="13"/>
        <v>9.6709078640627641</v>
      </c>
      <c r="L148" s="93">
        <f t="shared" si="13"/>
        <v>8.4287472138797277</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2"/>
      <c r="AF148" s="192"/>
      <c r="AG148" s="192"/>
      <c r="AH148" s="192"/>
      <c r="AI148" s="192"/>
      <c r="AJ148" s="192"/>
      <c r="AK148" s="192"/>
      <c r="AL148" s="192"/>
      <c r="AM148" s="192"/>
      <c r="AN148" s="192"/>
      <c r="AO148" s="192"/>
      <c r="AP148" s="192"/>
      <c r="AQ148" s="192"/>
      <c r="AR148" s="192"/>
      <c r="AS148" s="192"/>
      <c r="AT148" s="192"/>
      <c r="AU148" s="192"/>
    </row>
    <row r="149" spans="1:47" outlineLevel="1">
      <c r="A149" s="12"/>
      <c r="B149" s="12"/>
      <c r="C149" s="12"/>
      <c r="D149" s="12"/>
      <c r="E149" s="12"/>
      <c r="F149" s="139" t="str">
        <f>Asset7</f>
        <v>Distribution Underground Lines</v>
      </c>
      <c r="G149" s="180">
        <f t="shared" ref="G149:Q149" si="14">(G47-G81-G115)/G$178</f>
        <v>0</v>
      </c>
      <c r="H149" s="93">
        <f t="shared" si="14"/>
        <v>14.175231515042299</v>
      </c>
      <c r="I149" s="93">
        <f t="shared" si="14"/>
        <v>15.300359799521535</v>
      </c>
      <c r="J149" s="93">
        <f t="shared" si="14"/>
        <v>15.397273755121722</v>
      </c>
      <c r="K149" s="93">
        <f t="shared" si="14"/>
        <v>7.7431642545037809</v>
      </c>
      <c r="L149" s="93">
        <f t="shared" si="14"/>
        <v>11.335199098590136</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2"/>
      <c r="AF149" s="192"/>
      <c r="AG149" s="192"/>
      <c r="AH149" s="192"/>
      <c r="AI149" s="192"/>
      <c r="AJ149" s="192"/>
      <c r="AK149" s="192"/>
      <c r="AL149" s="192"/>
      <c r="AM149" s="192"/>
      <c r="AN149" s="192"/>
      <c r="AO149" s="192"/>
      <c r="AP149" s="192"/>
      <c r="AQ149" s="192"/>
      <c r="AR149" s="192"/>
      <c r="AS149" s="192"/>
      <c r="AT149" s="192"/>
      <c r="AU149" s="192"/>
    </row>
    <row r="150" spans="1:47" outlineLevel="1">
      <c r="A150" s="12"/>
      <c r="B150" s="12"/>
      <c r="C150" s="12"/>
      <c r="D150" s="12"/>
      <c r="E150" s="12"/>
      <c r="F150" s="139" t="str">
        <f>Asset8</f>
        <v>IT &amp; Communication Systems (Networks)</v>
      </c>
      <c r="G150" s="180">
        <f t="shared" ref="G150:Q150" si="15">(G48-G82-G116)/G$178</f>
        <v>0</v>
      </c>
      <c r="H150" s="93">
        <f t="shared" si="15"/>
        <v>1.1546810542499646</v>
      </c>
      <c r="I150" s="93">
        <f t="shared" si="15"/>
        <v>0.79722185876660445</v>
      </c>
      <c r="J150" s="93">
        <f t="shared" si="15"/>
        <v>2.1783416228951187</v>
      </c>
      <c r="K150" s="93">
        <f t="shared" si="15"/>
        <v>5.5956376808535122</v>
      </c>
      <c r="L150" s="93">
        <f t="shared" si="15"/>
        <v>16.908638862272475</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2"/>
      <c r="AF150" s="192"/>
      <c r="AG150" s="192"/>
      <c r="AH150" s="192"/>
      <c r="AI150" s="192"/>
      <c r="AJ150" s="192"/>
      <c r="AK150" s="192"/>
      <c r="AL150" s="192"/>
      <c r="AM150" s="192"/>
      <c r="AN150" s="192"/>
      <c r="AO150" s="192"/>
      <c r="AP150" s="192"/>
      <c r="AQ150" s="192"/>
      <c r="AR150" s="192"/>
      <c r="AS150" s="192"/>
      <c r="AT150" s="192"/>
      <c r="AU150" s="192"/>
    </row>
    <row r="151" spans="1:47" outlineLevel="1">
      <c r="A151" s="12"/>
      <c r="B151" s="12"/>
      <c r="C151" s="12"/>
      <c r="D151" s="12"/>
      <c r="E151" s="12"/>
      <c r="F151" s="139" t="str">
        <f>Asset9</f>
        <v>Motor Vehicles</v>
      </c>
      <c r="G151" s="180">
        <f t="shared" ref="G151:Q151" si="16">(G49-G83-G117)/G$178</f>
        <v>0</v>
      </c>
      <c r="H151" s="93">
        <f t="shared" si="16"/>
        <v>0</v>
      </c>
      <c r="I151" s="93">
        <f t="shared" si="16"/>
        <v>0</v>
      </c>
      <c r="J151" s="93">
        <f t="shared" si="16"/>
        <v>0.51640348544294867</v>
      </c>
      <c r="K151" s="93">
        <f t="shared" si="16"/>
        <v>3.5415205199838762</v>
      </c>
      <c r="L151" s="93">
        <f t="shared" si="16"/>
        <v>1.4197601615465603</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2"/>
      <c r="AF151" s="192"/>
      <c r="AG151" s="192"/>
      <c r="AH151" s="192"/>
      <c r="AI151" s="192"/>
      <c r="AJ151" s="192"/>
      <c r="AK151" s="192"/>
      <c r="AL151" s="192"/>
      <c r="AM151" s="192"/>
      <c r="AN151" s="192"/>
      <c r="AO151" s="192"/>
      <c r="AP151" s="192"/>
      <c r="AQ151" s="192"/>
      <c r="AR151" s="192"/>
      <c r="AS151" s="192"/>
      <c r="AT151" s="192"/>
      <c r="AU151" s="192"/>
    </row>
    <row r="152" spans="1:47" outlineLevel="1">
      <c r="A152" s="12"/>
      <c r="B152" s="12"/>
      <c r="C152" s="12"/>
      <c r="D152" s="12"/>
      <c r="E152" s="12"/>
      <c r="F152" s="139" t="str">
        <f>Asset10</f>
        <v>Other Non-System Assets (Networks)</v>
      </c>
      <c r="G152" s="180">
        <f t="shared" ref="G152:Q152" si="17">(G50-G84-G118)/G$178</f>
        <v>0</v>
      </c>
      <c r="H152" s="93">
        <f t="shared" si="17"/>
        <v>0.90180649449128225</v>
      </c>
      <c r="I152" s="93">
        <f t="shared" si="17"/>
        <v>0.4492673818602918</v>
      </c>
      <c r="J152" s="93">
        <f t="shared" si="17"/>
        <v>0.34862190647683106</v>
      </c>
      <c r="K152" s="93">
        <f t="shared" si="17"/>
        <v>0.51276190788656817</v>
      </c>
      <c r="L152" s="93">
        <f t="shared" si="17"/>
        <v>0.5359481375843328</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2"/>
      <c r="AF152" s="192"/>
      <c r="AG152" s="192"/>
      <c r="AH152" s="192"/>
      <c r="AI152" s="192"/>
      <c r="AJ152" s="192"/>
      <c r="AK152" s="192"/>
      <c r="AL152" s="192"/>
      <c r="AM152" s="192"/>
      <c r="AN152" s="192"/>
      <c r="AO152" s="192"/>
      <c r="AP152" s="192"/>
      <c r="AQ152" s="192"/>
      <c r="AR152" s="192"/>
      <c r="AS152" s="192"/>
      <c r="AT152" s="192"/>
      <c r="AU152" s="192"/>
    </row>
    <row r="153" spans="1:47" outlineLevel="1">
      <c r="A153" s="12"/>
      <c r="B153" s="12"/>
      <c r="C153" s="12"/>
      <c r="D153" s="12"/>
      <c r="E153" s="12"/>
      <c r="F153" s="139" t="str">
        <f>Asset11</f>
        <v>IT Systems (Corporate)</v>
      </c>
      <c r="G153" s="180">
        <f t="shared" ref="G153:Q153" si="18">(G51-G85-G119)/G$178</f>
        <v>0</v>
      </c>
      <c r="H153" s="93">
        <f t="shared" si="18"/>
        <v>0.85345770510059582</v>
      </c>
      <c r="I153" s="93">
        <f t="shared" si="18"/>
        <v>0.25428385271484139</v>
      </c>
      <c r="J153" s="93">
        <f t="shared" si="18"/>
        <v>1.2737494431645544</v>
      </c>
      <c r="K153" s="93">
        <f t="shared" si="18"/>
        <v>2.4690808335926584</v>
      </c>
      <c r="L153" s="93">
        <f t="shared" si="18"/>
        <v>5.759953712623183</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2"/>
      <c r="AF153" s="192"/>
      <c r="AG153" s="192"/>
      <c r="AH153" s="192"/>
      <c r="AI153" s="192"/>
      <c r="AJ153" s="192"/>
      <c r="AK153" s="192"/>
      <c r="AL153" s="192"/>
      <c r="AM153" s="192"/>
      <c r="AN153" s="192"/>
      <c r="AO153" s="192"/>
      <c r="AP153" s="192"/>
      <c r="AQ153" s="192"/>
      <c r="AR153" s="192"/>
      <c r="AS153" s="192"/>
      <c r="AT153" s="192"/>
      <c r="AU153" s="192"/>
    </row>
    <row r="154" spans="1:47" outlineLevel="1">
      <c r="A154" s="12"/>
      <c r="B154" s="12"/>
      <c r="C154" s="12"/>
      <c r="D154" s="12"/>
      <c r="E154" s="12"/>
      <c r="F154" s="139" t="str">
        <f>Asset12</f>
        <v>Telecommunications (Corporate)</v>
      </c>
      <c r="G154" s="180">
        <f t="shared" ref="G154:Q154" si="19">(G52-G86-G120)/G$178</f>
        <v>0</v>
      </c>
      <c r="H154" s="93">
        <f t="shared" si="19"/>
        <v>0.23542267474737189</v>
      </c>
      <c r="I154" s="93">
        <f t="shared" si="19"/>
        <v>7.737663568723642E-2</v>
      </c>
      <c r="J154" s="93">
        <f t="shared" si="19"/>
        <v>3.583556681539541E-2</v>
      </c>
      <c r="K154" s="93">
        <f t="shared" si="19"/>
        <v>4.5621688498731411E-2</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2"/>
      <c r="AF154" s="192"/>
      <c r="AG154" s="192"/>
      <c r="AH154" s="192"/>
      <c r="AI154" s="192"/>
      <c r="AJ154" s="192"/>
      <c r="AK154" s="192"/>
      <c r="AL154" s="192"/>
      <c r="AM154" s="192"/>
      <c r="AN154" s="192"/>
      <c r="AO154" s="192"/>
      <c r="AP154" s="192"/>
      <c r="AQ154" s="192"/>
      <c r="AR154" s="192"/>
      <c r="AS154" s="192"/>
      <c r="AT154" s="192"/>
      <c r="AU154" s="192"/>
    </row>
    <row r="155" spans="1:47" outlineLevel="1">
      <c r="A155" s="12"/>
      <c r="B155" s="12"/>
      <c r="C155" s="12"/>
      <c r="D155" s="12"/>
      <c r="E155" s="12"/>
      <c r="F155" s="139" t="str">
        <f>Asset13</f>
        <v>Other Non-System Assets (Corporate)</v>
      </c>
      <c r="G155" s="180">
        <f t="shared" ref="G155:Q155" si="20">(G53-G87-G121)/G$178</f>
        <v>0</v>
      </c>
      <c r="H155" s="93">
        <f t="shared" si="20"/>
        <v>3.1173401161770538</v>
      </c>
      <c r="I155" s="93">
        <f t="shared" si="20"/>
        <v>3.6642221491950981</v>
      </c>
      <c r="J155" s="93">
        <f t="shared" si="20"/>
        <v>0.53955990356743189</v>
      </c>
      <c r="K155" s="93">
        <f t="shared" si="20"/>
        <v>0.58367512422145884</v>
      </c>
      <c r="L155" s="93">
        <f t="shared" si="20"/>
        <v>1.0012620001595656</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2"/>
      <c r="AF155" s="192"/>
      <c r="AG155" s="192"/>
      <c r="AH155" s="192"/>
      <c r="AI155" s="192"/>
      <c r="AJ155" s="192"/>
      <c r="AK155" s="192"/>
      <c r="AL155" s="192"/>
      <c r="AM155" s="192"/>
      <c r="AN155" s="192"/>
      <c r="AO155" s="192"/>
      <c r="AP155" s="192"/>
      <c r="AQ155" s="192"/>
      <c r="AR155" s="192"/>
      <c r="AS155" s="192"/>
      <c r="AT155" s="192"/>
      <c r="AU155" s="192"/>
    </row>
    <row r="156" spans="1:47" outlineLevel="1">
      <c r="A156" s="12"/>
      <c r="B156" s="12"/>
      <c r="C156" s="12"/>
      <c r="D156" s="12"/>
      <c r="E156" s="12"/>
      <c r="F156" s="139" t="str">
        <f>Asset14</f>
        <v>Land</v>
      </c>
      <c r="G156" s="180">
        <f t="shared" ref="G156:Q156" si="21">(G54-G88-G122)/G$178</f>
        <v>0</v>
      </c>
      <c r="H156" s="93">
        <f t="shared" si="21"/>
        <v>2.2370809914854672</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2"/>
      <c r="AF156" s="192"/>
      <c r="AG156" s="192"/>
      <c r="AH156" s="192"/>
      <c r="AI156" s="192"/>
      <c r="AJ156" s="192"/>
      <c r="AK156" s="192"/>
      <c r="AL156" s="192"/>
      <c r="AM156" s="192"/>
      <c r="AN156" s="192"/>
      <c r="AO156" s="192"/>
      <c r="AP156" s="192"/>
      <c r="AQ156" s="192"/>
      <c r="AR156" s="192"/>
      <c r="AS156" s="192"/>
      <c r="AT156" s="192"/>
      <c r="AU156" s="192"/>
    </row>
    <row r="157" spans="1:47" outlineLevel="1">
      <c r="A157" s="12"/>
      <c r="B157" s="12"/>
      <c r="C157" s="12"/>
      <c r="D157" s="12"/>
      <c r="E157" s="12"/>
      <c r="F157" s="139" t="str">
        <f>Asset15</f>
        <v>Buildings</v>
      </c>
      <c r="G157" s="180">
        <f t="shared" ref="G157:Q157" si="22">(G55-G89-G123)/G$178</f>
        <v>0</v>
      </c>
      <c r="H157" s="93">
        <f t="shared" si="22"/>
        <v>5.7415600338778985</v>
      </c>
      <c r="I157" s="93">
        <f t="shared" si="22"/>
        <v>8.4778395805152389</v>
      </c>
      <c r="J157" s="93">
        <f t="shared" si="22"/>
        <v>0.66810361107343375</v>
      </c>
      <c r="K157" s="93">
        <f t="shared" si="22"/>
        <v>0.99665386928983812</v>
      </c>
      <c r="L157" s="93">
        <f t="shared" si="22"/>
        <v>1.4765793587090095</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2"/>
      <c r="AF157" s="192"/>
      <c r="AG157" s="192"/>
      <c r="AH157" s="192"/>
      <c r="AI157" s="192"/>
      <c r="AJ157" s="192"/>
      <c r="AK157" s="192"/>
      <c r="AL157" s="192"/>
      <c r="AM157" s="192"/>
      <c r="AN157" s="192"/>
      <c r="AO157" s="192"/>
      <c r="AP157" s="192"/>
      <c r="AQ157" s="192"/>
      <c r="AR157" s="192"/>
      <c r="AS157" s="192"/>
      <c r="AT157" s="192"/>
      <c r="AU157" s="192"/>
    </row>
    <row r="158" spans="1:47" outlineLevel="1">
      <c r="A158" s="12"/>
      <c r="B158" s="12"/>
      <c r="C158" s="12"/>
      <c r="D158" s="12"/>
      <c r="E158" s="12"/>
      <c r="F158" s="139" t="str">
        <f>Asset16</f>
        <v>Equity raising costs</v>
      </c>
      <c r="G158" s="180">
        <f t="shared" ref="G158:Q158" si="23">(G56-G90-G124)/G$178</f>
        <v>0</v>
      </c>
      <c r="H158" s="93">
        <f t="shared" si="23"/>
        <v>0.22171500659890236</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2"/>
      <c r="AF158" s="192"/>
      <c r="AG158" s="192"/>
      <c r="AH158" s="192"/>
      <c r="AI158" s="192"/>
      <c r="AJ158" s="192"/>
      <c r="AK158" s="192"/>
      <c r="AL158" s="192"/>
      <c r="AM158" s="192"/>
      <c r="AN158" s="192"/>
      <c r="AO158" s="192"/>
      <c r="AP158" s="192"/>
      <c r="AQ158" s="192"/>
      <c r="AR158" s="192"/>
      <c r="AS158" s="192"/>
      <c r="AT158" s="192"/>
      <c r="AU158" s="192"/>
    </row>
    <row r="159" spans="1:47" outlineLevel="1">
      <c r="A159" s="12"/>
      <c r="B159" s="12"/>
      <c r="C159" s="12"/>
      <c r="D159" s="12"/>
      <c r="E159" s="12"/>
      <c r="F159" s="139">
        <f>Asset17</f>
        <v>0</v>
      </c>
      <c r="G159" s="180">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2"/>
      <c r="AF159" s="192"/>
      <c r="AG159" s="192"/>
      <c r="AH159" s="192"/>
      <c r="AI159" s="192"/>
      <c r="AJ159" s="192"/>
      <c r="AK159" s="192"/>
      <c r="AL159" s="192"/>
      <c r="AM159" s="192"/>
      <c r="AN159" s="192"/>
      <c r="AO159" s="192"/>
      <c r="AP159" s="192"/>
      <c r="AQ159" s="192"/>
      <c r="AR159" s="192"/>
      <c r="AS159" s="192"/>
      <c r="AT159" s="192"/>
      <c r="AU159" s="192"/>
    </row>
    <row r="160" spans="1:47" outlineLevel="1">
      <c r="A160" s="12"/>
      <c r="B160" s="12"/>
      <c r="C160" s="12"/>
      <c r="D160" s="12"/>
      <c r="E160" s="12"/>
      <c r="F160" s="139">
        <f>Asset18</f>
        <v>0</v>
      </c>
      <c r="G160" s="180">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2"/>
      <c r="AF160" s="192"/>
      <c r="AG160" s="192"/>
      <c r="AH160" s="192"/>
      <c r="AI160" s="192"/>
      <c r="AJ160" s="192"/>
      <c r="AK160" s="192"/>
      <c r="AL160" s="192"/>
      <c r="AM160" s="192"/>
      <c r="AN160" s="192"/>
      <c r="AO160" s="192"/>
      <c r="AP160" s="192"/>
      <c r="AQ160" s="192"/>
      <c r="AR160" s="192"/>
      <c r="AS160" s="192"/>
      <c r="AT160" s="192"/>
      <c r="AU160" s="192"/>
    </row>
    <row r="161" spans="1:47" outlineLevel="1">
      <c r="A161" s="12"/>
      <c r="B161" s="12"/>
      <c r="C161" s="12"/>
      <c r="D161" s="12"/>
      <c r="E161" s="12"/>
      <c r="F161" s="139">
        <f>Asset19</f>
        <v>0</v>
      </c>
      <c r="G161" s="180">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2"/>
      <c r="AF161" s="192"/>
      <c r="AG161" s="192"/>
      <c r="AH161" s="192"/>
      <c r="AI161" s="192"/>
      <c r="AJ161" s="192"/>
      <c r="AK161" s="192"/>
      <c r="AL161" s="192"/>
      <c r="AM161" s="192"/>
      <c r="AN161" s="192"/>
      <c r="AO161" s="192"/>
      <c r="AP161" s="192"/>
      <c r="AQ161" s="192"/>
      <c r="AR161" s="192"/>
      <c r="AS161" s="192"/>
      <c r="AT161" s="192"/>
      <c r="AU161" s="192"/>
    </row>
    <row r="162" spans="1:47" outlineLevel="1">
      <c r="A162" s="12"/>
      <c r="B162" s="12"/>
      <c r="C162" s="12"/>
      <c r="D162" s="12"/>
      <c r="E162" s="12"/>
      <c r="F162" s="139">
        <f>Asset20</f>
        <v>0</v>
      </c>
      <c r="G162" s="180">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2"/>
      <c r="AF162" s="192"/>
      <c r="AG162" s="192"/>
      <c r="AH162" s="192"/>
      <c r="AI162" s="192"/>
      <c r="AJ162" s="192"/>
      <c r="AK162" s="192"/>
      <c r="AL162" s="192"/>
      <c r="AM162" s="192"/>
      <c r="AN162" s="192"/>
      <c r="AO162" s="192"/>
      <c r="AP162" s="192"/>
      <c r="AQ162" s="192"/>
      <c r="AR162" s="192"/>
      <c r="AS162" s="192"/>
      <c r="AT162" s="192"/>
      <c r="AU162" s="192"/>
    </row>
    <row r="163" spans="1:47" outlineLevel="1">
      <c r="A163" s="12"/>
      <c r="B163" s="12"/>
      <c r="C163" s="12"/>
      <c r="D163" s="12"/>
      <c r="E163" s="12"/>
      <c r="F163" s="40">
        <f>Asset21</f>
        <v>0</v>
      </c>
      <c r="G163" s="180">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2"/>
      <c r="AF163" s="192"/>
      <c r="AG163" s="192"/>
      <c r="AH163" s="192"/>
      <c r="AI163" s="192"/>
      <c r="AJ163" s="192"/>
      <c r="AK163" s="192"/>
      <c r="AL163" s="192"/>
      <c r="AM163" s="192"/>
      <c r="AN163" s="192"/>
      <c r="AO163" s="192"/>
      <c r="AP163" s="192"/>
      <c r="AQ163" s="192"/>
      <c r="AR163" s="192"/>
      <c r="AS163" s="192"/>
      <c r="AT163" s="192"/>
      <c r="AU163" s="192"/>
    </row>
    <row r="164" spans="1:47" outlineLevel="1">
      <c r="A164" s="12"/>
      <c r="B164" s="12"/>
      <c r="C164" s="12"/>
      <c r="D164" s="12"/>
      <c r="E164" s="12"/>
      <c r="F164" s="40">
        <f>Asset22</f>
        <v>0</v>
      </c>
      <c r="G164" s="180">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2"/>
      <c r="AF164" s="192"/>
      <c r="AG164" s="192"/>
      <c r="AH164" s="192"/>
      <c r="AI164" s="192"/>
      <c r="AJ164" s="192"/>
      <c r="AK164" s="192"/>
      <c r="AL164" s="192"/>
      <c r="AM164" s="192"/>
      <c r="AN164" s="192"/>
      <c r="AO164" s="192"/>
      <c r="AP164" s="192"/>
      <c r="AQ164" s="192"/>
      <c r="AR164" s="192"/>
      <c r="AS164" s="192"/>
      <c r="AT164" s="192"/>
      <c r="AU164" s="192"/>
    </row>
    <row r="165" spans="1:47" outlineLevel="1">
      <c r="A165" s="12"/>
      <c r="B165" s="12"/>
      <c r="C165" s="12"/>
      <c r="D165" s="12"/>
      <c r="E165" s="12"/>
      <c r="F165" s="40">
        <f>Asset23</f>
        <v>0</v>
      </c>
      <c r="G165" s="180">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2"/>
      <c r="AF165" s="192"/>
      <c r="AG165" s="192"/>
      <c r="AH165" s="192"/>
      <c r="AI165" s="192"/>
      <c r="AJ165" s="192"/>
      <c r="AK165" s="192"/>
      <c r="AL165" s="192"/>
      <c r="AM165" s="192"/>
      <c r="AN165" s="192"/>
      <c r="AO165" s="192"/>
      <c r="AP165" s="192"/>
      <c r="AQ165" s="192"/>
      <c r="AR165" s="192"/>
      <c r="AS165" s="192"/>
      <c r="AT165" s="192"/>
      <c r="AU165" s="192"/>
    </row>
    <row r="166" spans="1:47" outlineLevel="1">
      <c r="A166" s="12"/>
      <c r="B166" s="12"/>
      <c r="C166" s="12"/>
      <c r="D166" s="12"/>
      <c r="E166" s="12"/>
      <c r="F166" s="40">
        <f>Asset24</f>
        <v>0</v>
      </c>
      <c r="G166" s="180">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2"/>
      <c r="AF166" s="192"/>
      <c r="AG166" s="192"/>
      <c r="AH166" s="192"/>
      <c r="AI166" s="192"/>
      <c r="AJ166" s="192"/>
      <c r="AK166" s="192"/>
      <c r="AL166" s="192"/>
      <c r="AM166" s="192"/>
      <c r="AN166" s="192"/>
      <c r="AO166" s="192"/>
      <c r="AP166" s="192"/>
      <c r="AQ166" s="192"/>
      <c r="AR166" s="192"/>
      <c r="AS166" s="192"/>
      <c r="AT166" s="192"/>
      <c r="AU166" s="192"/>
    </row>
    <row r="167" spans="1:47" outlineLevel="1">
      <c r="A167" s="12"/>
      <c r="B167" s="12"/>
      <c r="C167" s="12"/>
      <c r="D167" s="12"/>
      <c r="E167" s="12"/>
      <c r="F167" s="40">
        <f>Asset25</f>
        <v>0</v>
      </c>
      <c r="G167" s="180">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2"/>
      <c r="AF167" s="192"/>
      <c r="AG167" s="192"/>
      <c r="AH167" s="192"/>
      <c r="AI167" s="192"/>
      <c r="AJ167" s="192"/>
      <c r="AK167" s="192"/>
      <c r="AL167" s="192"/>
      <c r="AM167" s="192"/>
      <c r="AN167" s="192"/>
      <c r="AO167" s="192"/>
      <c r="AP167" s="192"/>
      <c r="AQ167" s="192"/>
      <c r="AR167" s="192"/>
      <c r="AS167" s="192"/>
      <c r="AT167" s="192"/>
      <c r="AU167" s="192"/>
    </row>
    <row r="168" spans="1:47" outlineLevel="1">
      <c r="A168" s="12"/>
      <c r="B168" s="12"/>
      <c r="C168" s="12"/>
      <c r="D168" s="12"/>
      <c r="E168" s="12"/>
      <c r="F168" s="40">
        <f>Asset26</f>
        <v>0</v>
      </c>
      <c r="G168" s="180">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2"/>
      <c r="AF168" s="192"/>
      <c r="AG168" s="192"/>
      <c r="AH168" s="192"/>
      <c r="AI168" s="192"/>
      <c r="AJ168" s="192"/>
      <c r="AK168" s="192"/>
      <c r="AL168" s="192"/>
      <c r="AM168" s="192"/>
      <c r="AN168" s="192"/>
      <c r="AO168" s="192"/>
      <c r="AP168" s="192"/>
      <c r="AQ168" s="192"/>
      <c r="AR168" s="192"/>
      <c r="AS168" s="192"/>
      <c r="AT168" s="192"/>
      <c r="AU168" s="192"/>
    </row>
    <row r="169" spans="1:47" outlineLevel="1">
      <c r="A169" s="12"/>
      <c r="B169" s="12"/>
      <c r="C169" s="12"/>
      <c r="D169" s="12"/>
      <c r="E169" s="12"/>
      <c r="F169" s="40">
        <f>Asset27</f>
        <v>0</v>
      </c>
      <c r="G169" s="180">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2"/>
      <c r="AF169" s="192"/>
      <c r="AG169" s="192"/>
      <c r="AH169" s="192"/>
      <c r="AI169" s="192"/>
      <c r="AJ169" s="192"/>
      <c r="AK169" s="192"/>
      <c r="AL169" s="192"/>
      <c r="AM169" s="192"/>
      <c r="AN169" s="192"/>
      <c r="AO169" s="192"/>
      <c r="AP169" s="192"/>
      <c r="AQ169" s="192"/>
      <c r="AR169" s="192"/>
      <c r="AS169" s="192"/>
      <c r="AT169" s="192"/>
      <c r="AU169" s="192"/>
    </row>
    <row r="170" spans="1:47" outlineLevel="1">
      <c r="A170" s="12"/>
      <c r="B170" s="12"/>
      <c r="C170" s="12"/>
      <c r="D170" s="12"/>
      <c r="E170" s="12"/>
      <c r="F170" s="40">
        <f>Asset28</f>
        <v>0</v>
      </c>
      <c r="G170" s="180">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2"/>
      <c r="AF170" s="192"/>
      <c r="AG170" s="192"/>
      <c r="AH170" s="192"/>
      <c r="AI170" s="192"/>
      <c r="AJ170" s="192"/>
      <c r="AK170" s="192"/>
      <c r="AL170" s="192"/>
      <c r="AM170" s="192"/>
      <c r="AN170" s="192"/>
      <c r="AO170" s="192"/>
      <c r="AP170" s="192"/>
      <c r="AQ170" s="192"/>
      <c r="AR170" s="192"/>
      <c r="AS170" s="192"/>
      <c r="AT170" s="192"/>
      <c r="AU170" s="192"/>
    </row>
    <row r="171" spans="1:47" outlineLevel="1">
      <c r="A171" s="12"/>
      <c r="B171" s="12"/>
      <c r="C171" s="12"/>
      <c r="D171" s="12"/>
      <c r="E171" s="12"/>
      <c r="F171" s="40">
        <f>Asset29</f>
        <v>0</v>
      </c>
      <c r="G171" s="180">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2"/>
      <c r="AF171" s="192"/>
      <c r="AG171" s="192"/>
      <c r="AH171" s="192"/>
      <c r="AI171" s="192"/>
      <c r="AJ171" s="192"/>
      <c r="AK171" s="192"/>
      <c r="AL171" s="192"/>
      <c r="AM171" s="192"/>
      <c r="AN171" s="192"/>
      <c r="AO171" s="192"/>
      <c r="AP171" s="192"/>
      <c r="AQ171" s="192"/>
      <c r="AR171" s="192"/>
      <c r="AS171" s="192"/>
      <c r="AT171" s="192"/>
      <c r="AU171" s="192"/>
    </row>
    <row r="172" spans="1:47" outlineLevel="1">
      <c r="A172" s="12"/>
      <c r="B172" s="12"/>
      <c r="C172" s="12"/>
      <c r="D172" s="12"/>
      <c r="E172" s="12"/>
      <c r="F172" s="40">
        <f>Asset30</f>
        <v>0</v>
      </c>
      <c r="G172" s="180">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2"/>
      <c r="AF172" s="192"/>
      <c r="AG172" s="192"/>
      <c r="AH172" s="192"/>
      <c r="AI172" s="192"/>
      <c r="AJ172" s="192"/>
      <c r="AK172" s="192"/>
      <c r="AL172" s="192"/>
      <c r="AM172" s="192"/>
      <c r="AN172" s="192"/>
      <c r="AO172" s="192"/>
      <c r="AP172" s="192"/>
      <c r="AQ172" s="192"/>
      <c r="AR172" s="192"/>
      <c r="AS172" s="192"/>
      <c r="AT172" s="192"/>
      <c r="AU172" s="192"/>
    </row>
    <row r="173" spans="1:47">
      <c r="A173" s="12"/>
      <c r="B173" s="12"/>
      <c r="C173" s="12"/>
      <c r="D173" s="12"/>
      <c r="E173" s="12"/>
      <c r="F173" s="40" t="s">
        <v>22</v>
      </c>
      <c r="G173" s="247">
        <f t="shared" ref="G173:Q173" si="38">SUM(G143:G172)</f>
        <v>21.414318843161546</v>
      </c>
      <c r="H173" s="247">
        <f>SUM(H143:H172)</f>
        <v>49.31575873832297</v>
      </c>
      <c r="I173" s="247">
        <f t="shared" si="38"/>
        <v>51.771302323365617</v>
      </c>
      <c r="J173" s="247">
        <f t="shared" si="38"/>
        <v>42.952143454881828</v>
      </c>
      <c r="K173" s="247">
        <f t="shared" si="38"/>
        <v>38.353086693188359</v>
      </c>
      <c r="L173" s="247">
        <f t="shared" si="38"/>
        <v>55.523331659802082</v>
      </c>
      <c r="M173" s="247">
        <f t="shared" si="38"/>
        <v>0</v>
      </c>
      <c r="N173" s="247">
        <f t="shared" si="38"/>
        <v>0</v>
      </c>
      <c r="O173" s="247">
        <f t="shared" si="38"/>
        <v>0</v>
      </c>
      <c r="P173" s="247">
        <f t="shared" si="38"/>
        <v>0</v>
      </c>
      <c r="Q173" s="247">
        <f t="shared" si="38"/>
        <v>0</v>
      </c>
      <c r="R173" s="38"/>
      <c r="S173" s="38"/>
      <c r="T173" s="38"/>
      <c r="U173" s="38"/>
      <c r="V173" s="38"/>
      <c r="W173" s="38"/>
      <c r="X173" s="90"/>
      <c r="Y173" s="8"/>
      <c r="Z173" s="8"/>
      <c r="AA173" s="44"/>
      <c r="AB173" s="9"/>
      <c r="AC173" s="9"/>
      <c r="AD173" s="9"/>
      <c r="AE173" s="192"/>
      <c r="AF173" s="192"/>
      <c r="AG173" s="192"/>
      <c r="AH173" s="192"/>
      <c r="AI173" s="192"/>
      <c r="AJ173" s="192"/>
      <c r="AK173" s="192"/>
      <c r="AL173" s="192"/>
      <c r="AM173" s="192"/>
      <c r="AN173" s="192"/>
      <c r="AO173" s="192"/>
      <c r="AP173" s="192"/>
      <c r="AQ173" s="192"/>
      <c r="AR173" s="192"/>
      <c r="AS173" s="192"/>
      <c r="AT173" s="192"/>
      <c r="AU173" s="192"/>
    </row>
    <row r="174" spans="1:47" ht="21" customHeight="1">
      <c r="A174" s="12"/>
      <c r="B174" s="12"/>
      <c r="C174" s="12"/>
      <c r="D174" s="12"/>
      <c r="E174" s="12"/>
      <c r="F174" s="40"/>
      <c r="G174" s="267"/>
      <c r="H174" s="61"/>
      <c r="I174" s="61"/>
      <c r="J174" s="61"/>
      <c r="K174" s="61"/>
      <c r="L174" s="61"/>
      <c r="M174" s="61"/>
      <c r="N174" s="38"/>
      <c r="O174" s="38"/>
      <c r="P174" s="38"/>
      <c r="Q174" s="38"/>
      <c r="R174" s="246">
        <f>SUM(G173:Q173)</f>
        <v>259.32994171272242</v>
      </c>
      <c r="S174" s="38"/>
      <c r="T174" s="38"/>
      <c r="U174" s="38"/>
      <c r="V174" s="38"/>
      <c r="W174" s="38"/>
      <c r="X174" s="38"/>
      <c r="Y174" s="8"/>
      <c r="Z174" s="8"/>
      <c r="AA174" s="44"/>
      <c r="AB174" s="9"/>
      <c r="AC174" s="9"/>
      <c r="AD174" s="9"/>
      <c r="AE174" s="192"/>
      <c r="AF174" s="192"/>
      <c r="AG174" s="192"/>
      <c r="AH174" s="192"/>
      <c r="AI174" s="192"/>
      <c r="AJ174" s="192"/>
      <c r="AK174" s="192"/>
      <c r="AL174" s="192"/>
      <c r="AM174" s="192"/>
      <c r="AN174" s="192"/>
      <c r="AO174" s="192"/>
      <c r="AP174" s="192"/>
      <c r="AQ174" s="192"/>
      <c r="AR174" s="192"/>
      <c r="AS174" s="192"/>
      <c r="AT174" s="192"/>
      <c r="AU174" s="192"/>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2"/>
      <c r="AF175" s="192"/>
      <c r="AG175" s="192"/>
      <c r="AH175" s="192"/>
      <c r="AI175" s="192"/>
      <c r="AJ175" s="192"/>
      <c r="AK175" s="192"/>
      <c r="AL175" s="192"/>
      <c r="AM175" s="192"/>
      <c r="AN175" s="192"/>
      <c r="AO175" s="192"/>
      <c r="AP175" s="192"/>
      <c r="AQ175" s="192"/>
      <c r="AR175" s="192"/>
      <c r="AS175" s="192"/>
      <c r="AT175" s="192"/>
      <c r="AU175" s="192"/>
    </row>
    <row r="176" spans="1:47" ht="14.25" customHeight="1">
      <c r="A176" s="12"/>
      <c r="B176" s="12"/>
      <c r="C176" s="12"/>
      <c r="D176" s="12"/>
      <c r="E176" s="12"/>
      <c r="F176" s="15"/>
      <c r="G176" s="147" t="str">
        <f>G40</f>
        <v>2008-09</v>
      </c>
      <c r="H176" s="147" t="str">
        <f t="shared" ref="H176:Q176" si="39">H40</f>
        <v>2009-10</v>
      </c>
      <c r="I176" s="147" t="str">
        <f t="shared" si="39"/>
        <v>2010-11</v>
      </c>
      <c r="J176" s="147" t="str">
        <f t="shared" si="39"/>
        <v>2011-12</v>
      </c>
      <c r="K176" s="147" t="str">
        <f t="shared" si="39"/>
        <v>2012-13</v>
      </c>
      <c r="L176" s="147" t="str">
        <f t="shared" si="39"/>
        <v>2013-14</v>
      </c>
      <c r="M176" s="147" t="str">
        <f t="shared" si="39"/>
        <v>2014-15</v>
      </c>
      <c r="N176" s="147" t="str">
        <f t="shared" si="39"/>
        <v>2015-16</v>
      </c>
      <c r="O176" s="147" t="str">
        <f t="shared" si="39"/>
        <v>2016-17</v>
      </c>
      <c r="P176" s="147" t="str">
        <f t="shared" si="39"/>
        <v>2017-18</v>
      </c>
      <c r="Q176" s="147" t="str">
        <f t="shared" si="39"/>
        <v>2018-19</v>
      </c>
      <c r="R176" s="13"/>
      <c r="S176" s="13"/>
      <c r="T176" s="13"/>
      <c r="U176" s="13"/>
      <c r="V176" s="13"/>
      <c r="W176" s="13"/>
      <c r="X176" s="9"/>
      <c r="Y176" s="9"/>
      <c r="Z176" s="9"/>
      <c r="AA176" s="9"/>
      <c r="AB176" s="9"/>
      <c r="AC176" s="9"/>
      <c r="AD176" s="9"/>
      <c r="AE176" s="192"/>
      <c r="AF176" s="192"/>
      <c r="AG176" s="192"/>
      <c r="AH176" s="192"/>
      <c r="AI176" s="192"/>
      <c r="AJ176" s="192"/>
      <c r="AK176" s="192"/>
      <c r="AL176" s="192"/>
      <c r="AM176" s="192"/>
      <c r="AN176" s="192"/>
      <c r="AO176" s="192"/>
      <c r="AP176" s="192"/>
      <c r="AQ176" s="192"/>
      <c r="AR176" s="192"/>
      <c r="AS176" s="192"/>
      <c r="AT176" s="192"/>
      <c r="AU176" s="192"/>
    </row>
    <row r="177" spans="1:47" ht="12.75" customHeight="1">
      <c r="A177" s="12"/>
      <c r="B177" s="12"/>
      <c r="C177" s="12"/>
      <c r="D177" s="12"/>
      <c r="E177" s="12"/>
      <c r="F177" s="97" t="s">
        <v>37</v>
      </c>
      <c r="G177" s="173">
        <v>4.3526432415321059E-2</v>
      </c>
      <c r="H177" s="109">
        <v>1.8201122402548231E-2</v>
      </c>
      <c r="I177" s="109">
        <v>2.845225681513508E-2</v>
      </c>
      <c r="J177" s="314">
        <v>3.3893395133255844E-2</v>
      </c>
      <c r="K177" s="109">
        <v>1.76278015613196E-2</v>
      </c>
      <c r="L177" s="109">
        <v>2.4498886414253906E-2</v>
      </c>
      <c r="M177" s="109"/>
      <c r="N177" s="109"/>
      <c r="O177" s="109"/>
      <c r="P177" s="109"/>
      <c r="Q177" s="109"/>
      <c r="R177" s="14"/>
      <c r="S177" s="14"/>
      <c r="T177" s="14"/>
      <c r="U177" s="14"/>
      <c r="V177" s="14"/>
      <c r="W177" s="14"/>
      <c r="X177" s="14"/>
      <c r="Y177" s="14"/>
      <c r="Z177" s="8"/>
      <c r="AA177" s="9"/>
      <c r="AB177" s="9"/>
      <c r="AC177" s="9"/>
      <c r="AD177" s="9"/>
      <c r="AE177" s="192"/>
      <c r="AF177" s="192"/>
      <c r="AG177" s="192"/>
      <c r="AH177" s="192"/>
      <c r="AI177" s="192"/>
      <c r="AJ177" s="192"/>
      <c r="AK177" s="192"/>
      <c r="AL177" s="192"/>
      <c r="AM177" s="192"/>
      <c r="AN177" s="192"/>
      <c r="AO177" s="192"/>
      <c r="AP177" s="192"/>
      <c r="AQ177" s="192"/>
      <c r="AR177" s="192"/>
      <c r="AS177" s="192"/>
      <c r="AT177" s="192"/>
      <c r="AU177" s="192"/>
    </row>
    <row r="178" spans="1:47" ht="13.5" customHeight="1">
      <c r="A178" s="12"/>
      <c r="B178" s="12"/>
      <c r="C178" s="12"/>
      <c r="D178" s="12"/>
      <c r="E178" s="12"/>
      <c r="F178" s="97" t="s">
        <v>77</v>
      </c>
      <c r="G178" s="244">
        <v>1</v>
      </c>
      <c r="H178" s="94">
        <f>G178*(1+G177)</f>
        <v>1.0435264324153211</v>
      </c>
      <c r="I178" s="94">
        <f t="shared" ref="I178:Q178" si="40">H178*(1+H177)</f>
        <v>1.0625197847420067</v>
      </c>
      <c r="J178" s="94">
        <f t="shared" si="40"/>
        <v>1.0927508705286484</v>
      </c>
      <c r="K178" s="94">
        <f t="shared" si="40"/>
        <v>1.1297879075656851</v>
      </c>
      <c r="L178" s="94">
        <f t="shared" si="40"/>
        <v>1.1497035846066315</v>
      </c>
      <c r="M178" s="94">
        <f t="shared" si="40"/>
        <v>1.1778700421359698</v>
      </c>
      <c r="N178" s="94">
        <f t="shared" si="40"/>
        <v>1.1778700421359698</v>
      </c>
      <c r="O178" s="94">
        <f t="shared" si="40"/>
        <v>1.1778700421359698</v>
      </c>
      <c r="P178" s="94">
        <f t="shared" si="40"/>
        <v>1.1778700421359698</v>
      </c>
      <c r="Q178" s="94">
        <f t="shared" si="40"/>
        <v>1.1778700421359698</v>
      </c>
      <c r="R178" s="14"/>
      <c r="S178" s="14"/>
      <c r="T178" s="14"/>
      <c r="U178" s="14"/>
      <c r="V178" s="14"/>
      <c r="W178" s="14"/>
      <c r="X178" s="14"/>
      <c r="Y178" s="14"/>
      <c r="Z178" s="8"/>
      <c r="AA178" s="9"/>
      <c r="AB178" s="9"/>
      <c r="AC178" s="9"/>
      <c r="AD178" s="9"/>
      <c r="AE178" s="192"/>
      <c r="AF178" s="192"/>
      <c r="AG178" s="192"/>
      <c r="AH178" s="192"/>
      <c r="AI178" s="192"/>
      <c r="AJ178" s="192"/>
      <c r="AK178" s="192"/>
      <c r="AL178" s="192"/>
      <c r="AM178" s="192"/>
      <c r="AN178" s="192"/>
      <c r="AO178" s="192"/>
      <c r="AP178" s="192"/>
      <c r="AQ178" s="192"/>
      <c r="AR178" s="192"/>
      <c r="AS178" s="192"/>
      <c r="AT178" s="192"/>
      <c r="AU178" s="192"/>
    </row>
    <row r="179" spans="1:47" ht="13.5" customHeight="1">
      <c r="A179" s="12"/>
      <c r="B179" s="12"/>
      <c r="C179" s="12"/>
      <c r="D179" s="12"/>
      <c r="E179" s="12"/>
      <c r="F179" s="97" t="s">
        <v>40</v>
      </c>
      <c r="G179" s="174">
        <v>2.1700000000000001E-2</v>
      </c>
      <c r="H179" s="172">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2"/>
      <c r="AF179" s="192"/>
      <c r="AG179" s="192"/>
      <c r="AH179" s="192"/>
      <c r="AI179" s="192"/>
      <c r="AJ179" s="192"/>
      <c r="AK179" s="192"/>
      <c r="AL179" s="192"/>
      <c r="AM179" s="192"/>
      <c r="AN179" s="192"/>
      <c r="AO179" s="192"/>
      <c r="AP179" s="192"/>
      <c r="AQ179" s="192"/>
      <c r="AR179" s="192"/>
      <c r="AS179" s="192"/>
      <c r="AT179" s="192"/>
      <c r="AU179" s="192"/>
    </row>
    <row r="180" spans="1:47" ht="12.75" customHeight="1">
      <c r="A180" s="12"/>
      <c r="B180" s="12"/>
      <c r="C180" s="12"/>
      <c r="D180" s="12"/>
      <c r="E180" s="12"/>
      <c r="F180" s="97" t="s">
        <v>39</v>
      </c>
      <c r="G180" s="244">
        <v>1</v>
      </c>
      <c r="H180" s="94">
        <f>G180*(1+H179)</f>
        <v>1.0247485029832002</v>
      </c>
      <c r="I180" s="94">
        <f t="shared" ref="I180:Q180" si="42">H180*(1+I179)</f>
        <v>1.0501094943663098</v>
      </c>
      <c r="J180" s="94">
        <f t="shared" si="42"/>
        <v>1.0760981323203214</v>
      </c>
      <c r="K180" s="94">
        <f t="shared" si="42"/>
        <v>1.102729950158267</v>
      </c>
      <c r="L180" s="94">
        <f t="shared" si="42"/>
        <v>1.1300208656194231</v>
      </c>
      <c r="M180" s="94">
        <f t="shared" si="42"/>
        <v>1.1579871903832839</v>
      </c>
      <c r="N180" s="94">
        <f t="shared" si="42"/>
        <v>1.1866456398189922</v>
      </c>
      <c r="O180" s="94">
        <f t="shared" si="42"/>
        <v>1.216013342976054</v>
      </c>
      <c r="P180" s="94">
        <f t="shared" si="42"/>
        <v>1.2461078528223082</v>
      </c>
      <c r="Q180" s="94">
        <f t="shared" si="42"/>
        <v>1.2769471567352704</v>
      </c>
      <c r="R180" s="14"/>
      <c r="S180" s="14"/>
      <c r="T180" s="14"/>
      <c r="U180" s="14"/>
      <c r="V180" s="14"/>
      <c r="W180" s="14"/>
      <c r="X180" s="14"/>
      <c r="Y180" s="14"/>
      <c r="Z180" s="8"/>
      <c r="AA180" s="9"/>
      <c r="AB180" s="9"/>
      <c r="AC180" s="9"/>
      <c r="AD180" s="9"/>
      <c r="AE180" s="192"/>
      <c r="AF180" s="192"/>
      <c r="AG180" s="192"/>
      <c r="AH180" s="192"/>
      <c r="AI180" s="192"/>
      <c r="AJ180" s="192"/>
      <c r="AK180" s="192"/>
      <c r="AL180" s="192"/>
      <c r="AM180" s="192"/>
      <c r="AN180" s="192"/>
      <c r="AO180" s="192"/>
      <c r="AP180" s="192"/>
      <c r="AQ180" s="192"/>
      <c r="AR180" s="192"/>
      <c r="AS180" s="192"/>
      <c r="AT180" s="192"/>
      <c r="AU180" s="192"/>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2"/>
      <c r="AF181" s="192"/>
      <c r="AG181" s="192"/>
      <c r="AH181" s="192"/>
      <c r="AI181" s="192"/>
      <c r="AJ181" s="192"/>
      <c r="AK181" s="192"/>
      <c r="AL181" s="192"/>
      <c r="AM181" s="192"/>
      <c r="AN181" s="192"/>
      <c r="AO181" s="192"/>
      <c r="AP181" s="192"/>
      <c r="AQ181" s="192"/>
      <c r="AR181" s="192"/>
      <c r="AS181" s="192"/>
      <c r="AT181" s="192"/>
      <c r="AU181" s="192"/>
    </row>
    <row r="182" spans="1:47" ht="14.25" customHeight="1">
      <c r="A182" s="12"/>
      <c r="B182" s="12"/>
      <c r="C182" s="12"/>
      <c r="D182" s="12"/>
      <c r="E182" s="12"/>
      <c r="F182" s="98" t="s">
        <v>90</v>
      </c>
      <c r="G182" s="173">
        <v>9.3100000000000002E-2</v>
      </c>
      <c r="H182" s="109">
        <v>8.7860438299059401E-2</v>
      </c>
      <c r="I182" s="96">
        <f>H182</f>
        <v>8.7860438299059401E-2</v>
      </c>
      <c r="J182" s="96">
        <f t="shared" ref="J182:Q182" si="43">I182</f>
        <v>8.7860438299059401E-2</v>
      </c>
      <c r="K182" s="96">
        <f t="shared" si="43"/>
        <v>8.7860438299059401E-2</v>
      </c>
      <c r="L182" s="96">
        <f t="shared" si="43"/>
        <v>8.7860438299059401E-2</v>
      </c>
      <c r="M182" s="96">
        <f t="shared" si="43"/>
        <v>8.7860438299059401E-2</v>
      </c>
      <c r="N182" s="96">
        <f t="shared" si="43"/>
        <v>8.7860438299059401E-2</v>
      </c>
      <c r="O182" s="96">
        <f t="shared" si="43"/>
        <v>8.7860438299059401E-2</v>
      </c>
      <c r="P182" s="96">
        <f t="shared" si="43"/>
        <v>8.7860438299059401E-2</v>
      </c>
      <c r="Q182" s="96">
        <f t="shared" si="43"/>
        <v>8.7860438299059401E-2</v>
      </c>
      <c r="R182" s="14"/>
      <c r="S182" s="14"/>
      <c r="T182" s="14"/>
      <c r="U182" s="14"/>
      <c r="V182" s="14"/>
      <c r="W182" s="14"/>
      <c r="X182" s="14"/>
      <c r="Y182" s="14"/>
      <c r="Z182" s="8"/>
      <c r="AA182" s="9"/>
      <c r="AB182" s="9"/>
      <c r="AC182" s="9"/>
      <c r="AD182" s="9"/>
      <c r="AE182" s="192"/>
      <c r="AF182" s="192"/>
      <c r="AG182" s="192"/>
      <c r="AH182" s="192"/>
      <c r="AI182" s="192"/>
      <c r="AJ182" s="192"/>
      <c r="AK182" s="192"/>
      <c r="AL182" s="192"/>
      <c r="AM182" s="192"/>
      <c r="AN182" s="192"/>
      <c r="AO182" s="192"/>
      <c r="AP182" s="192"/>
      <c r="AQ182" s="192"/>
      <c r="AR182" s="192"/>
      <c r="AS182" s="192"/>
      <c r="AT182" s="192"/>
      <c r="AU182" s="192"/>
    </row>
    <row r="183" spans="1:47">
      <c r="A183" s="12"/>
      <c r="B183" s="12"/>
      <c r="C183" s="12"/>
      <c r="D183" s="12"/>
      <c r="E183" s="12"/>
      <c r="F183" s="97" t="s">
        <v>91</v>
      </c>
      <c r="G183" s="196">
        <f>(1+G182)/(1+G179)-1</f>
        <v>6.9883527454242866E-2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2"/>
      <c r="AF183" s="192"/>
      <c r="AG183" s="192"/>
      <c r="AH183" s="192"/>
      <c r="AI183" s="192"/>
      <c r="AJ183" s="192"/>
      <c r="AK183" s="192"/>
      <c r="AL183" s="192"/>
      <c r="AM183" s="192"/>
      <c r="AN183" s="192"/>
      <c r="AO183" s="192"/>
      <c r="AP183" s="192"/>
      <c r="AQ183" s="192"/>
      <c r="AR183" s="192"/>
      <c r="AS183" s="192"/>
      <c r="AT183" s="192"/>
      <c r="AU183" s="192"/>
    </row>
    <row r="184" spans="1:47" ht="24" customHeight="1">
      <c r="A184" s="12"/>
      <c r="B184" s="12"/>
      <c r="C184" s="12"/>
      <c r="D184" s="12"/>
      <c r="E184" s="12"/>
      <c r="F184" s="162" t="s">
        <v>92</v>
      </c>
      <c r="G184" s="196">
        <f>(1+G183)*(1+G177)-1</f>
        <v>0.11645174050424534</v>
      </c>
      <c r="H184" s="41">
        <f t="shared" ref="H184:L184" si="45">(1+H183)*(1+H177)-1</f>
        <v>8.0909819403355954E-2</v>
      </c>
      <c r="I184" s="41">
        <f t="shared" si="45"/>
        <v>9.1792297926305499E-2</v>
      </c>
      <c r="J184" s="41">
        <f t="shared" si="45"/>
        <v>9.7568543608406832E-2</v>
      </c>
      <c r="K184" s="41">
        <f t="shared" si="45"/>
        <v>8.0301189032285114E-2</v>
      </c>
      <c r="L184" s="41">
        <f t="shared" si="45"/>
        <v>8.7595448411969867E-2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2"/>
      <c r="AF184" s="192"/>
      <c r="AG184" s="192"/>
      <c r="AH184" s="192"/>
      <c r="AI184" s="192"/>
      <c r="AJ184" s="192"/>
      <c r="AK184" s="192"/>
      <c r="AL184" s="192"/>
      <c r="AM184" s="192"/>
      <c r="AN184" s="192"/>
      <c r="AO184" s="192"/>
      <c r="AP184" s="192"/>
      <c r="AQ184" s="192"/>
      <c r="AR184" s="192"/>
      <c r="AS184" s="192"/>
      <c r="AT184" s="192"/>
      <c r="AU184" s="192"/>
    </row>
    <row r="185" spans="1:47">
      <c r="A185" s="12"/>
      <c r="B185" s="12"/>
      <c r="C185" s="12"/>
      <c r="D185" s="12"/>
      <c r="E185" s="12"/>
      <c r="F185" s="97"/>
      <c r="G185" s="97"/>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2"/>
      <c r="AF185" s="192"/>
      <c r="AG185" s="192"/>
      <c r="AH185" s="192"/>
      <c r="AI185" s="192"/>
      <c r="AJ185" s="192"/>
      <c r="AK185" s="192"/>
      <c r="AL185" s="192"/>
      <c r="AM185" s="192"/>
      <c r="AN185" s="192"/>
      <c r="AO185" s="192"/>
      <c r="AP185" s="192"/>
      <c r="AQ185" s="192"/>
      <c r="AR185" s="192"/>
      <c r="AS185" s="192"/>
      <c r="AT185" s="192"/>
      <c r="AU185" s="192"/>
    </row>
    <row r="186" spans="1:47" s="9" customFormat="1" ht="22.5" customHeight="1">
      <c r="A186" s="12"/>
      <c r="B186" s="12"/>
      <c r="C186" s="12"/>
      <c r="D186" s="12"/>
      <c r="E186" s="12"/>
      <c r="H186" s="18"/>
      <c r="I186" s="20"/>
      <c r="AA186" s="19"/>
      <c r="AE186" s="192"/>
      <c r="AF186" s="192"/>
      <c r="AG186" s="192"/>
      <c r="AH186" s="192"/>
      <c r="AI186" s="192"/>
      <c r="AJ186" s="192"/>
      <c r="AK186" s="192"/>
      <c r="AL186" s="192"/>
      <c r="AM186" s="192"/>
      <c r="AN186" s="192"/>
      <c r="AO186" s="192"/>
      <c r="AP186" s="192"/>
      <c r="AQ186" s="192"/>
      <c r="AR186" s="192"/>
      <c r="AS186" s="192"/>
      <c r="AT186" s="192"/>
      <c r="AU186" s="192"/>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2"/>
      <c r="AF187" s="192"/>
      <c r="AG187" s="192"/>
      <c r="AH187" s="192"/>
      <c r="AI187" s="192"/>
      <c r="AJ187" s="192"/>
      <c r="AK187" s="192"/>
      <c r="AL187" s="192"/>
      <c r="AM187" s="192"/>
      <c r="AN187" s="192"/>
      <c r="AO187" s="192"/>
      <c r="AP187" s="192"/>
      <c r="AQ187" s="192"/>
      <c r="AR187" s="192"/>
      <c r="AS187" s="192"/>
      <c r="AT187" s="192"/>
      <c r="AU187" s="192"/>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2"/>
      <c r="AF188" s="192"/>
      <c r="AG188" s="192"/>
      <c r="AH188" s="192"/>
      <c r="AI188" s="192"/>
      <c r="AJ188" s="192"/>
      <c r="AK188" s="192"/>
      <c r="AL188" s="192"/>
      <c r="AM188" s="192"/>
      <c r="AN188" s="192"/>
      <c r="AO188" s="192"/>
      <c r="AP188" s="192"/>
      <c r="AQ188" s="192"/>
      <c r="AR188" s="192"/>
      <c r="AS188" s="192"/>
      <c r="AT188" s="192"/>
      <c r="AU188" s="192"/>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2"/>
      <c r="AF189" s="192"/>
      <c r="AG189" s="192"/>
      <c r="AH189" s="192"/>
      <c r="AI189" s="192"/>
      <c r="AJ189" s="192"/>
      <c r="AK189" s="192"/>
      <c r="AL189" s="192"/>
      <c r="AM189" s="192"/>
      <c r="AN189" s="192"/>
      <c r="AO189" s="192"/>
      <c r="AP189" s="192"/>
      <c r="AQ189" s="192"/>
      <c r="AR189" s="192"/>
      <c r="AS189" s="192"/>
      <c r="AT189" s="192"/>
      <c r="AU189" s="192"/>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2"/>
      <c r="AF190" s="192"/>
      <c r="AG190" s="192"/>
      <c r="AH190" s="192"/>
      <c r="AI190" s="192"/>
      <c r="AJ190" s="192"/>
      <c r="AK190" s="192"/>
      <c r="AL190" s="192"/>
      <c r="AM190" s="192"/>
      <c r="AN190" s="192"/>
      <c r="AO190" s="192"/>
      <c r="AP190" s="192"/>
      <c r="AQ190" s="192"/>
      <c r="AR190" s="192"/>
      <c r="AS190" s="192"/>
      <c r="AT190" s="192"/>
      <c r="AU190" s="192"/>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2"/>
      <c r="AF191" s="192"/>
      <c r="AG191" s="192"/>
      <c r="AH191" s="192"/>
      <c r="AI191" s="192"/>
      <c r="AJ191" s="192"/>
      <c r="AK191" s="192"/>
      <c r="AL191" s="192"/>
      <c r="AM191" s="192"/>
      <c r="AN191" s="192"/>
      <c r="AO191" s="192"/>
      <c r="AP191" s="192"/>
      <c r="AQ191" s="192"/>
      <c r="AR191" s="192"/>
      <c r="AS191" s="192"/>
      <c r="AT191" s="192"/>
      <c r="AU191" s="192"/>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2"/>
      <c r="AF192" s="192"/>
      <c r="AG192" s="192"/>
      <c r="AH192" s="192"/>
      <c r="AI192" s="192"/>
      <c r="AJ192" s="192"/>
      <c r="AK192" s="192"/>
      <c r="AL192" s="192"/>
      <c r="AM192" s="192"/>
      <c r="AN192" s="192"/>
      <c r="AO192" s="192"/>
      <c r="AP192" s="192"/>
      <c r="AQ192" s="192"/>
      <c r="AR192" s="192"/>
      <c r="AS192" s="192"/>
      <c r="AT192" s="192"/>
      <c r="AU192" s="192"/>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2"/>
      <c r="AF193" s="192"/>
      <c r="AG193" s="192"/>
      <c r="AH193" s="192"/>
      <c r="AI193" s="192"/>
      <c r="AJ193" s="192"/>
      <c r="AK193" s="192"/>
      <c r="AL193" s="192"/>
      <c r="AM193" s="192"/>
      <c r="AN193" s="192"/>
      <c r="AO193" s="192"/>
      <c r="AP193" s="192"/>
      <c r="AQ193" s="192"/>
      <c r="AR193" s="192"/>
      <c r="AS193" s="192"/>
      <c r="AT193" s="192"/>
      <c r="AU193" s="192"/>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2"/>
      <c r="AF194" s="192"/>
      <c r="AG194" s="192"/>
      <c r="AH194" s="192"/>
      <c r="AI194" s="192"/>
      <c r="AJ194" s="192"/>
      <c r="AK194" s="192"/>
      <c r="AL194" s="192"/>
      <c r="AM194" s="192"/>
      <c r="AN194" s="192"/>
      <c r="AO194" s="192"/>
      <c r="AP194" s="192"/>
      <c r="AQ194" s="192"/>
      <c r="AR194" s="192"/>
      <c r="AS194" s="192"/>
      <c r="AT194" s="192"/>
      <c r="AU194" s="192"/>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2"/>
      <c r="AF195" s="192"/>
      <c r="AG195" s="192"/>
      <c r="AH195" s="192"/>
      <c r="AI195" s="192"/>
      <c r="AJ195" s="192"/>
      <c r="AK195" s="192"/>
      <c r="AL195" s="192"/>
      <c r="AM195" s="192"/>
      <c r="AN195" s="192"/>
      <c r="AO195" s="192"/>
      <c r="AP195" s="192"/>
      <c r="AQ195" s="192"/>
      <c r="AR195" s="192"/>
      <c r="AS195" s="192"/>
      <c r="AT195" s="192"/>
      <c r="AU195" s="192"/>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2"/>
      <c r="AF196" s="192"/>
      <c r="AG196" s="192"/>
      <c r="AH196" s="192"/>
      <c r="AI196" s="192"/>
      <c r="AJ196" s="192"/>
      <c r="AK196" s="192"/>
      <c r="AL196" s="192"/>
      <c r="AM196" s="192"/>
      <c r="AN196" s="192"/>
      <c r="AO196" s="192"/>
      <c r="AP196" s="192"/>
      <c r="AQ196" s="192"/>
      <c r="AR196" s="192"/>
      <c r="AS196" s="192"/>
      <c r="AT196" s="192"/>
      <c r="AU196" s="192"/>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2"/>
      <c r="AF197" s="192"/>
      <c r="AG197" s="192"/>
      <c r="AH197" s="192"/>
      <c r="AI197" s="192"/>
      <c r="AJ197" s="192"/>
      <c r="AK197" s="192"/>
      <c r="AL197" s="192"/>
      <c r="AM197" s="192"/>
      <c r="AN197" s="192"/>
      <c r="AO197" s="192"/>
      <c r="AP197" s="192"/>
      <c r="AQ197" s="192"/>
      <c r="AR197" s="192"/>
      <c r="AS197" s="192"/>
      <c r="AT197" s="192"/>
      <c r="AU197" s="192"/>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2"/>
      <c r="AF198" s="192"/>
      <c r="AG198" s="192"/>
      <c r="AH198" s="192"/>
      <c r="AI198" s="192"/>
      <c r="AJ198" s="192"/>
      <c r="AK198" s="192"/>
      <c r="AL198" s="192"/>
      <c r="AM198" s="192"/>
      <c r="AN198" s="192"/>
      <c r="AO198" s="192"/>
      <c r="AP198" s="192"/>
      <c r="AQ198" s="192"/>
      <c r="AR198" s="192"/>
      <c r="AS198" s="192"/>
      <c r="AT198" s="192"/>
      <c r="AU198" s="192"/>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2"/>
      <c r="AF199" s="192"/>
      <c r="AG199" s="192"/>
      <c r="AH199" s="192"/>
      <c r="AI199" s="192"/>
      <c r="AJ199" s="192"/>
      <c r="AK199" s="192"/>
      <c r="AL199" s="192"/>
      <c r="AM199" s="192"/>
      <c r="AN199" s="192"/>
      <c r="AO199" s="192"/>
      <c r="AP199" s="192"/>
      <c r="AQ199" s="192"/>
      <c r="AR199" s="192"/>
      <c r="AS199" s="192"/>
      <c r="AT199" s="192"/>
      <c r="AU199" s="192"/>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2"/>
      <c r="AF200" s="192"/>
      <c r="AG200" s="192"/>
      <c r="AH200" s="192"/>
      <c r="AI200" s="192"/>
      <c r="AJ200" s="192"/>
      <c r="AK200" s="192"/>
      <c r="AL200" s="192"/>
      <c r="AM200" s="192"/>
      <c r="AN200" s="192"/>
      <c r="AO200" s="192"/>
      <c r="AP200" s="192"/>
      <c r="AQ200" s="192"/>
      <c r="AR200" s="192"/>
      <c r="AS200" s="192"/>
      <c r="AT200" s="192"/>
      <c r="AU200" s="192"/>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2"/>
      <c r="AF201" s="192"/>
      <c r="AG201" s="192"/>
      <c r="AH201" s="192"/>
      <c r="AI201" s="192"/>
      <c r="AJ201" s="192"/>
      <c r="AK201" s="192"/>
      <c r="AL201" s="192"/>
      <c r="AM201" s="192"/>
      <c r="AN201" s="192"/>
      <c r="AO201" s="192"/>
      <c r="AP201" s="192"/>
      <c r="AQ201" s="192"/>
      <c r="AR201" s="192"/>
      <c r="AS201" s="192"/>
      <c r="AT201" s="192"/>
      <c r="AU201" s="192"/>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2"/>
      <c r="AF202" s="192"/>
      <c r="AG202" s="192"/>
      <c r="AH202" s="192"/>
      <c r="AI202" s="192"/>
      <c r="AJ202" s="192"/>
      <c r="AK202" s="192"/>
      <c r="AL202" s="192"/>
      <c r="AM202" s="192"/>
      <c r="AN202" s="192"/>
      <c r="AO202" s="192"/>
      <c r="AP202" s="192"/>
      <c r="AQ202" s="192"/>
      <c r="AR202" s="192"/>
      <c r="AS202" s="192"/>
      <c r="AT202" s="192"/>
      <c r="AU202" s="192"/>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2"/>
      <c r="AF203" s="192"/>
      <c r="AG203" s="192"/>
      <c r="AH203" s="192"/>
      <c r="AI203" s="192"/>
      <c r="AJ203" s="192"/>
      <c r="AK203" s="192"/>
      <c r="AL203" s="192"/>
      <c r="AM203" s="192"/>
      <c r="AN203" s="192"/>
      <c r="AO203" s="192"/>
      <c r="AP203" s="192"/>
      <c r="AQ203" s="192"/>
      <c r="AR203" s="192"/>
      <c r="AS203" s="192"/>
      <c r="AT203" s="192"/>
      <c r="AU203" s="192"/>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2"/>
      <c r="AF204" s="192"/>
      <c r="AG204" s="192"/>
      <c r="AH204" s="192"/>
      <c r="AI204" s="192"/>
      <c r="AJ204" s="192"/>
      <c r="AK204" s="192"/>
      <c r="AL204" s="192"/>
      <c r="AM204" s="192"/>
      <c r="AN204" s="192"/>
      <c r="AO204" s="192"/>
      <c r="AP204" s="192"/>
      <c r="AQ204" s="192"/>
      <c r="AR204" s="192"/>
      <c r="AS204" s="192"/>
      <c r="AT204" s="192"/>
      <c r="AU204" s="192"/>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1:I11"/>
    <mergeCell ref="G7:I7"/>
    <mergeCell ref="G8:I8"/>
    <mergeCell ref="G9:I9"/>
    <mergeCell ref="G10:I10"/>
    <mergeCell ref="G27:I27"/>
    <mergeCell ref="G18:I18"/>
    <mergeCell ref="G19:I19"/>
    <mergeCell ref="G20:I20"/>
    <mergeCell ref="G13:I13"/>
    <mergeCell ref="G14:I14"/>
    <mergeCell ref="G15:I15"/>
    <mergeCell ref="G16:I16"/>
    <mergeCell ref="G28:I28"/>
    <mergeCell ref="G29:I29"/>
    <mergeCell ref="G30:I30"/>
    <mergeCell ref="G35:I35"/>
    <mergeCell ref="G36:I36"/>
    <mergeCell ref="G31:I31"/>
    <mergeCell ref="G32:I32"/>
    <mergeCell ref="G33:I33"/>
    <mergeCell ref="G34:I34"/>
  </mergeCells>
  <phoneticPr fontId="0" type="noConversion"/>
  <dataValidations count="2">
    <dataValidation type="custom" showInputMessage="1" showErrorMessage="1" error="Invalid input, please try again." sqref="K7:L25 T23:T25 T7:U7 U8:U25">
      <formula1>AND(K7&lt;&gt;"",OR(K7="n/a",AND(K7&gt;=0,K7&lt;=100)))</formula1>
    </dataValidation>
    <dataValidation type="custom" showInputMessage="1" showErrorMessage="1" error="Invalid input, please try again." sqref="T8:T22">
      <formula1>AND(T8&lt;&gt;"",OR(T8="n/a",AND(T8&gt;=0,T8&lt;=100)))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25"/>
      <c r="BK1" s="225"/>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52"/>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25"/>
      <c r="BK4" s="225"/>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25"/>
      <c r="BK5" s="22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9">
        <v>2.3300000000000098E-2</v>
      </c>
      <c r="G6" s="196">
        <f>Input!G177</f>
        <v>4.3526432415321059E-2</v>
      </c>
      <c r="H6" s="20"/>
      <c r="I6" s="20"/>
      <c r="J6" s="20"/>
      <c r="K6" s="20"/>
      <c r="L6" s="20"/>
      <c r="M6" s="20"/>
      <c r="N6" s="20"/>
      <c r="O6" s="20"/>
      <c r="P6" s="20"/>
      <c r="Q6" s="20"/>
      <c r="R6" s="41"/>
      <c r="S6" s="52"/>
      <c r="T6" s="41"/>
      <c r="U6" s="41"/>
      <c r="V6" s="41"/>
      <c r="W6" s="41"/>
      <c r="X6" s="41"/>
      <c r="Y6" s="41"/>
      <c r="Z6" s="41"/>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5"/>
      <c r="BK6" s="225"/>
    </row>
    <row r="7" spans="1:256">
      <c r="A7" s="9"/>
      <c r="B7" s="97" t="s">
        <v>86</v>
      </c>
      <c r="C7" s="9"/>
      <c r="D7" s="9"/>
      <c r="E7" s="9"/>
      <c r="F7" s="9"/>
      <c r="G7" s="196"/>
      <c r="H7" s="240">
        <f>vanilla1</f>
        <v>8.0909819403355954E-2</v>
      </c>
      <c r="I7" s="96">
        <f>vanilla2</f>
        <v>9.1792297926305499E-2</v>
      </c>
      <c r="J7" s="96">
        <f>vanilla3</f>
        <v>9.7568543608406832E-2</v>
      </c>
      <c r="K7" s="96">
        <f>vanilla4</f>
        <v>8.0301189032285114E-2</v>
      </c>
      <c r="L7" s="96">
        <f>vanilla5</f>
        <v>8.7595448411969867E-2</v>
      </c>
      <c r="M7" s="96">
        <f>vanilla6</f>
        <v>0</v>
      </c>
      <c r="N7" s="96">
        <f>vanilla7</f>
        <v>0</v>
      </c>
      <c r="O7" s="96">
        <f>vanilla8</f>
        <v>0</v>
      </c>
      <c r="P7" s="96">
        <f>vanilla9</f>
        <v>0</v>
      </c>
      <c r="Q7" s="96">
        <f>vanilla10</f>
        <v>0</v>
      </c>
      <c r="R7" s="96"/>
      <c r="S7" s="52"/>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5"/>
      <c r="BK7" s="225"/>
    </row>
    <row r="8" spans="1:256">
      <c r="A8" s="9"/>
      <c r="B8" s="97"/>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5"/>
      <c r="BK8" s="225"/>
    </row>
    <row r="9" spans="1:256">
      <c r="A9" s="82"/>
      <c r="B9" s="82" t="s">
        <v>42</v>
      </c>
      <c r="C9" s="111"/>
      <c r="D9" s="111"/>
      <c r="E9" s="111"/>
      <c r="F9" s="111"/>
      <c r="G9" s="111"/>
      <c r="H9" s="75"/>
      <c r="I9" s="75"/>
      <c r="J9" s="75"/>
      <c r="K9" s="75"/>
      <c r="L9" s="75"/>
      <c r="M9" s="75"/>
      <c r="N9" s="75"/>
      <c r="O9" s="75"/>
      <c r="P9" s="75"/>
      <c r="Q9" s="75"/>
      <c r="R9" s="75"/>
      <c r="S9" s="52"/>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5"/>
      <c r="BK9" s="225"/>
    </row>
    <row r="10" spans="1:256">
      <c r="A10" s="17"/>
      <c r="B10" s="17"/>
      <c r="C10" s="125"/>
      <c r="D10" s="125"/>
      <c r="E10" s="125"/>
      <c r="F10" s="125"/>
      <c r="G10" s="125"/>
      <c r="H10" s="12"/>
      <c r="I10" s="12"/>
      <c r="J10" s="12"/>
      <c r="K10" s="12"/>
      <c r="L10" s="12"/>
      <c r="M10" s="12"/>
      <c r="N10" s="12"/>
      <c r="O10" s="12"/>
      <c r="P10" s="12"/>
      <c r="Q10" s="12"/>
      <c r="R10" s="141"/>
      <c r="S10" s="52"/>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5"/>
      <c r="BK10" s="225"/>
    </row>
    <row r="11" spans="1:256">
      <c r="A11" s="9"/>
      <c r="B11" s="46" t="s">
        <v>82</v>
      </c>
      <c r="C11" s="9"/>
      <c r="D11" s="9"/>
      <c r="E11" s="9"/>
      <c r="F11" s="9"/>
      <c r="G11" s="197">
        <f>SUM(G12:G41)</f>
        <v>29.159874678113024</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5"/>
      <c r="BK11" s="225"/>
    </row>
    <row r="12" spans="1:256" ht="12.75" hidden="1" customHeight="1" outlineLevel="1">
      <c r="A12" s="9"/>
      <c r="B12" s="9"/>
      <c r="C12" s="132" t="str">
        <f>Asset1</f>
        <v>Opening Distribution Assets</v>
      </c>
      <c r="D12" s="9"/>
      <c r="E12" s="9"/>
      <c r="F12" s="9"/>
      <c r="G12" s="198">
        <f>Input!M7</f>
        <v>29.159874678113024</v>
      </c>
      <c r="H12" s="146"/>
      <c r="I12" s="146"/>
      <c r="J12" s="146"/>
      <c r="K12" s="146"/>
      <c r="L12" s="146"/>
      <c r="M12" s="140"/>
      <c r="N12" s="140"/>
      <c r="O12" s="140"/>
      <c r="P12" s="140"/>
      <c r="Q12" s="140"/>
      <c r="R12" s="141"/>
      <c r="S12" s="52"/>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5"/>
      <c r="BK12" s="225"/>
    </row>
    <row r="13" spans="1:256" ht="12.75" hidden="1" customHeight="1" outlineLevel="1">
      <c r="A13" s="9"/>
      <c r="B13" s="46"/>
      <c r="C13" s="132" t="str">
        <f>Asset2</f>
        <v>Sub-transmission Overhead</v>
      </c>
      <c r="D13" s="9"/>
      <c r="E13" s="9"/>
      <c r="F13" s="143"/>
      <c r="G13" s="198">
        <f>Input!M8</f>
        <v>0</v>
      </c>
      <c r="H13" s="146"/>
      <c r="I13" s="146"/>
      <c r="J13" s="146"/>
      <c r="K13" s="146"/>
      <c r="L13" s="146"/>
      <c r="M13" s="140"/>
      <c r="N13" s="140"/>
      <c r="O13" s="140"/>
      <c r="P13" s="140"/>
      <c r="Q13" s="140"/>
      <c r="R13" s="141"/>
      <c r="S13" s="52"/>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5"/>
      <c r="BK13" s="225"/>
    </row>
    <row r="14" spans="1:256" ht="12.75" hidden="1" customHeight="1" outlineLevel="1">
      <c r="A14" s="9"/>
      <c r="B14" s="46"/>
      <c r="C14" s="132" t="str">
        <f>Asset3</f>
        <v>Sub-transmission Underground</v>
      </c>
      <c r="D14" s="9"/>
      <c r="E14" s="9"/>
      <c r="F14" s="143"/>
      <c r="G14" s="198">
        <f>Input!M9</f>
        <v>0</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5"/>
      <c r="BK14" s="225"/>
    </row>
    <row r="15" spans="1:256" ht="12.75" hidden="1" customHeight="1" outlineLevel="1">
      <c r="A15" s="9"/>
      <c r="B15" s="46"/>
      <c r="C15" s="132" t="str">
        <f>Asset4</f>
        <v>Zone Substation</v>
      </c>
      <c r="D15" s="9"/>
      <c r="E15" s="9"/>
      <c r="F15" s="143"/>
      <c r="G15" s="198">
        <f>Input!M10</f>
        <v>0</v>
      </c>
      <c r="H15" s="146"/>
      <c r="I15" s="146"/>
      <c r="J15" s="146"/>
      <c r="K15" s="146"/>
      <c r="L15" s="146"/>
      <c r="M15" s="140"/>
      <c r="N15" s="140"/>
      <c r="O15" s="140"/>
      <c r="P15" s="140"/>
      <c r="Q15" s="140"/>
      <c r="R15" s="141"/>
      <c r="S15" s="52"/>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5"/>
      <c r="BK15" s="225"/>
    </row>
    <row r="16" spans="1:256" ht="12.75" hidden="1" customHeight="1" outlineLevel="1">
      <c r="A16" s="9"/>
      <c r="B16" s="46"/>
      <c r="C16" s="132" t="str">
        <f>Asset5</f>
        <v>Distribution Substations</v>
      </c>
      <c r="D16" s="9"/>
      <c r="E16" s="9"/>
      <c r="F16" s="176"/>
      <c r="G16" s="198">
        <f>Input!M11</f>
        <v>0</v>
      </c>
      <c r="H16" s="146"/>
      <c r="I16" s="146"/>
      <c r="J16" s="146"/>
      <c r="K16" s="146"/>
      <c r="L16" s="146"/>
      <c r="M16" s="140"/>
      <c r="N16" s="140"/>
      <c r="O16" s="140"/>
      <c r="P16" s="140"/>
      <c r="Q16" s="140"/>
      <c r="R16" s="141"/>
      <c r="S16" s="52"/>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5"/>
      <c r="BK16" s="225"/>
    </row>
    <row r="17" spans="1:63" ht="12.75" hidden="1" customHeight="1" outlineLevel="1">
      <c r="A17" s="9"/>
      <c r="B17" s="46"/>
      <c r="C17" s="132" t="str">
        <f>Asset6</f>
        <v>Distribution Overhead Lines</v>
      </c>
      <c r="D17" s="9"/>
      <c r="E17" s="9"/>
      <c r="F17" s="143"/>
      <c r="G17" s="198">
        <f>Input!M12</f>
        <v>0</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5"/>
      <c r="BK17" s="225"/>
    </row>
    <row r="18" spans="1:63" ht="12.75" hidden="1" customHeight="1" outlineLevel="1">
      <c r="A18" s="9"/>
      <c r="B18" s="46"/>
      <c r="C18" s="132" t="str">
        <f>Asset7</f>
        <v>Distribution Underground Lines</v>
      </c>
      <c r="D18" s="9"/>
      <c r="E18" s="9"/>
      <c r="F18" s="143"/>
      <c r="G18" s="198">
        <f>Input!M13</f>
        <v>0</v>
      </c>
      <c r="H18" s="146"/>
      <c r="I18" s="146"/>
      <c r="J18" s="146"/>
      <c r="K18" s="146"/>
      <c r="L18" s="146"/>
      <c r="M18" s="140"/>
      <c r="N18" s="140"/>
      <c r="O18" s="140"/>
      <c r="P18" s="140"/>
      <c r="Q18" s="140"/>
      <c r="R18" s="141"/>
      <c r="S18" s="52"/>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5"/>
      <c r="BK18" s="225"/>
    </row>
    <row r="19" spans="1:63" ht="12.75" hidden="1" customHeight="1" outlineLevel="1">
      <c r="A19" s="9"/>
      <c r="B19" s="46"/>
      <c r="C19" s="132" t="str">
        <f>Asset8</f>
        <v>IT &amp; Communication Systems (Networks)</v>
      </c>
      <c r="D19" s="9"/>
      <c r="E19" s="9"/>
      <c r="F19" s="143"/>
      <c r="G19" s="198">
        <f>Input!M14</f>
        <v>0</v>
      </c>
      <c r="H19" s="146"/>
      <c r="I19" s="146"/>
      <c r="J19" s="146"/>
      <c r="K19" s="146"/>
      <c r="L19" s="146"/>
      <c r="M19" s="140"/>
      <c r="N19" s="140"/>
      <c r="O19" s="140"/>
      <c r="P19" s="140"/>
      <c r="Q19" s="140"/>
      <c r="R19" s="141"/>
      <c r="S19" s="52"/>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5"/>
      <c r="BK19" s="225"/>
    </row>
    <row r="20" spans="1:63" ht="12.75" hidden="1" customHeight="1" outlineLevel="1">
      <c r="A20" s="9"/>
      <c r="B20" s="46"/>
      <c r="C20" s="132" t="str">
        <f>Asset9</f>
        <v>Motor Vehicles</v>
      </c>
      <c r="D20" s="9"/>
      <c r="E20" s="9"/>
      <c r="F20" s="143"/>
      <c r="G20" s="198">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5"/>
      <c r="BK20" s="225"/>
    </row>
    <row r="21" spans="1:63" ht="12.75" hidden="1" customHeight="1" outlineLevel="1">
      <c r="A21" s="9"/>
      <c r="B21" s="46"/>
      <c r="C21" s="132" t="str">
        <f>Asset10</f>
        <v>Other Non-System Assets (Networks)</v>
      </c>
      <c r="D21" s="9"/>
      <c r="E21" s="9"/>
      <c r="F21" s="143"/>
      <c r="G21" s="198">
        <f>Input!M16</f>
        <v>0</v>
      </c>
      <c r="H21" s="146"/>
      <c r="I21" s="146"/>
      <c r="J21" s="146"/>
      <c r="K21" s="146"/>
      <c r="L21" s="146"/>
      <c r="M21" s="140"/>
      <c r="N21" s="140"/>
      <c r="O21" s="140"/>
      <c r="P21" s="140"/>
      <c r="Q21" s="140"/>
      <c r="R21" s="141"/>
      <c r="S21" s="52"/>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5"/>
      <c r="BK21" s="225"/>
    </row>
    <row r="22" spans="1:63" ht="12.75" hidden="1" customHeight="1" outlineLevel="1">
      <c r="A22" s="9"/>
      <c r="B22" s="46"/>
      <c r="C22" s="132" t="str">
        <f>Asset11</f>
        <v>IT Systems (Corporate)</v>
      </c>
      <c r="D22" s="9"/>
      <c r="E22" s="9"/>
      <c r="F22" s="143"/>
      <c r="G22" s="198">
        <f>Input!M17</f>
        <v>0</v>
      </c>
      <c r="H22" s="146"/>
      <c r="I22" s="146"/>
      <c r="J22" s="146"/>
      <c r="K22" s="146"/>
      <c r="L22" s="146"/>
      <c r="M22" s="140"/>
      <c r="N22" s="140"/>
      <c r="O22" s="140"/>
      <c r="P22" s="140"/>
      <c r="Q22" s="140"/>
      <c r="R22" s="141"/>
      <c r="S22" s="52"/>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5"/>
      <c r="BK22" s="225"/>
    </row>
    <row r="23" spans="1:63" ht="12.75" hidden="1" customHeight="1" outlineLevel="1">
      <c r="A23" s="9"/>
      <c r="B23" s="46"/>
      <c r="C23" s="132" t="str">
        <f>Asset12</f>
        <v>Telecommunications (Corporate)</v>
      </c>
      <c r="D23" s="9"/>
      <c r="E23" s="9"/>
      <c r="F23" s="143"/>
      <c r="G23" s="198">
        <f>Input!M18</f>
        <v>0</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5"/>
      <c r="BK23" s="225"/>
    </row>
    <row r="24" spans="1:63" ht="12.75" hidden="1" customHeight="1" outlineLevel="1">
      <c r="A24" s="9"/>
      <c r="B24" s="46"/>
      <c r="C24" s="132" t="str">
        <f>Asset13</f>
        <v>Other Non-System Assets (Corporate)</v>
      </c>
      <c r="D24" s="9"/>
      <c r="E24" s="9"/>
      <c r="F24" s="143"/>
      <c r="G24" s="198">
        <f>Input!M19</f>
        <v>0</v>
      </c>
      <c r="H24" s="146"/>
      <c r="I24" s="146"/>
      <c r="J24" s="146"/>
      <c r="K24" s="146"/>
      <c r="L24" s="146"/>
      <c r="M24" s="140"/>
      <c r="N24" s="140"/>
      <c r="O24" s="140"/>
      <c r="P24" s="140"/>
      <c r="Q24" s="140"/>
      <c r="R24" s="141"/>
      <c r="S24" s="52"/>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5"/>
      <c r="BK24" s="225"/>
    </row>
    <row r="25" spans="1:63" ht="12.75" hidden="1" customHeight="1" outlineLevel="1">
      <c r="A25" s="9"/>
      <c r="B25" s="46"/>
      <c r="C25" s="132" t="str">
        <f>Asset14</f>
        <v>Land</v>
      </c>
      <c r="D25" s="9"/>
      <c r="E25" s="9"/>
      <c r="F25" s="143"/>
      <c r="G25" s="198">
        <f>Input!M20</f>
        <v>0</v>
      </c>
      <c r="H25" s="146"/>
      <c r="I25" s="146"/>
      <c r="J25" s="146"/>
      <c r="K25" s="146"/>
      <c r="L25" s="146"/>
      <c r="M25" s="140"/>
      <c r="N25" s="140"/>
      <c r="O25" s="140"/>
      <c r="P25" s="140"/>
      <c r="Q25" s="140"/>
      <c r="R25" s="141"/>
      <c r="S25" s="52"/>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5"/>
      <c r="BK25" s="225"/>
    </row>
    <row r="26" spans="1:63" ht="12.75" hidden="1" customHeight="1" outlineLevel="1">
      <c r="A26" s="9"/>
      <c r="B26" s="46"/>
      <c r="C26" s="132" t="str">
        <f>Asset15</f>
        <v>Buildings</v>
      </c>
      <c r="D26" s="9"/>
      <c r="E26" s="9"/>
      <c r="F26" s="143"/>
      <c r="G26" s="198">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5"/>
      <c r="BK26" s="225"/>
    </row>
    <row r="27" spans="1:63" ht="12.75" hidden="1" customHeight="1" outlineLevel="1">
      <c r="A27" s="9"/>
      <c r="B27" s="46"/>
      <c r="C27" s="132" t="str">
        <f>Asset16</f>
        <v>Equity raising costs</v>
      </c>
      <c r="D27" s="9"/>
      <c r="E27" s="9"/>
      <c r="F27" s="143"/>
      <c r="G27" s="198">
        <f>Input!M22</f>
        <v>0</v>
      </c>
      <c r="H27" s="146"/>
      <c r="I27" s="146"/>
      <c r="J27" s="146"/>
      <c r="K27" s="146"/>
      <c r="L27" s="146"/>
      <c r="M27" s="140"/>
      <c r="N27" s="140"/>
      <c r="O27" s="140"/>
      <c r="P27" s="140"/>
      <c r="Q27" s="140"/>
      <c r="R27" s="141"/>
      <c r="S27" s="52"/>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5"/>
      <c r="BK27" s="225"/>
    </row>
    <row r="28" spans="1:63" ht="12.75" hidden="1" customHeight="1" outlineLevel="1">
      <c r="A28" s="9"/>
      <c r="B28" s="46"/>
      <c r="C28" s="132">
        <f>Asset17</f>
        <v>0</v>
      </c>
      <c r="D28" s="9"/>
      <c r="E28" s="9"/>
      <c r="F28" s="143"/>
      <c r="G28" s="198">
        <f>Input!M23</f>
        <v>0</v>
      </c>
      <c r="H28" s="146"/>
      <c r="I28" s="146"/>
      <c r="J28" s="146"/>
      <c r="K28" s="146"/>
      <c r="L28" s="146"/>
      <c r="M28" s="140"/>
      <c r="N28" s="140"/>
      <c r="O28" s="140"/>
      <c r="P28" s="140"/>
      <c r="Q28" s="140"/>
      <c r="R28" s="141"/>
      <c r="S28" s="52"/>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5"/>
      <c r="BK28" s="225"/>
    </row>
    <row r="29" spans="1:63" ht="12.75" hidden="1" customHeight="1" outlineLevel="1">
      <c r="A29" s="9"/>
      <c r="B29" s="46"/>
      <c r="C29" s="132">
        <f>Asset18</f>
        <v>0</v>
      </c>
      <c r="D29" s="9"/>
      <c r="E29" s="9"/>
      <c r="F29" s="143"/>
      <c r="G29" s="198">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5"/>
      <c r="BK29" s="225"/>
    </row>
    <row r="30" spans="1:63" ht="12.75" hidden="1" customHeight="1" outlineLevel="1">
      <c r="A30" s="9"/>
      <c r="B30" s="46"/>
      <c r="C30" s="132">
        <f>Asset19</f>
        <v>0</v>
      </c>
      <c r="D30" s="9"/>
      <c r="E30" s="9"/>
      <c r="F30" s="143"/>
      <c r="G30" s="198">
        <f>Input!M25</f>
        <v>0</v>
      </c>
      <c r="H30" s="146"/>
      <c r="I30" s="146"/>
      <c r="J30" s="146"/>
      <c r="K30" s="146"/>
      <c r="L30" s="146"/>
      <c r="M30" s="140"/>
      <c r="N30" s="140"/>
      <c r="O30" s="140"/>
      <c r="P30" s="140"/>
      <c r="Q30" s="140"/>
      <c r="R30" s="141"/>
      <c r="S30" s="52"/>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5"/>
      <c r="BK30" s="225"/>
    </row>
    <row r="31" spans="1:63" ht="12.75" hidden="1" customHeight="1" outlineLevel="1">
      <c r="A31" s="9"/>
      <c r="B31" s="46"/>
      <c r="C31" s="132">
        <f>Asset20</f>
        <v>0</v>
      </c>
      <c r="D31" s="9"/>
      <c r="E31" s="9"/>
      <c r="F31" s="143"/>
      <c r="G31" s="198">
        <f>Input!M26</f>
        <v>0</v>
      </c>
      <c r="H31" s="146"/>
      <c r="I31" s="146"/>
      <c r="J31" s="146"/>
      <c r="K31" s="146"/>
      <c r="L31" s="146"/>
      <c r="M31" s="140"/>
      <c r="N31" s="140"/>
      <c r="O31" s="140"/>
      <c r="P31" s="140"/>
      <c r="Q31" s="140"/>
      <c r="R31" s="141"/>
      <c r="S31" s="52"/>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5"/>
      <c r="BK31" s="225"/>
    </row>
    <row r="32" spans="1:63" ht="12.75" hidden="1" customHeight="1" outlineLevel="1">
      <c r="A32" s="9"/>
      <c r="B32" s="46"/>
      <c r="C32" s="132">
        <f>Asset21</f>
        <v>0</v>
      </c>
      <c r="D32" s="9"/>
      <c r="E32" s="9"/>
      <c r="F32" s="143"/>
      <c r="G32" s="198">
        <f>Input!M27</f>
        <v>0</v>
      </c>
      <c r="H32" s="146"/>
      <c r="I32" s="146"/>
      <c r="J32" s="146"/>
      <c r="K32" s="146"/>
      <c r="L32" s="146"/>
      <c r="M32" s="140"/>
      <c r="N32" s="140"/>
      <c r="O32" s="140"/>
      <c r="P32" s="140"/>
      <c r="Q32" s="140"/>
      <c r="R32" s="141"/>
      <c r="S32" s="52"/>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5"/>
      <c r="BK32" s="225"/>
    </row>
    <row r="33" spans="1:63" ht="12.75" hidden="1" customHeight="1" outlineLevel="1">
      <c r="A33" s="9"/>
      <c r="B33" s="46"/>
      <c r="C33" s="132">
        <f>Asset22</f>
        <v>0</v>
      </c>
      <c r="D33" s="9"/>
      <c r="E33" s="9"/>
      <c r="F33" s="143"/>
      <c r="G33" s="198">
        <f>Input!M28</f>
        <v>0</v>
      </c>
      <c r="H33" s="146"/>
      <c r="I33" s="146"/>
      <c r="J33" s="146"/>
      <c r="K33" s="146"/>
      <c r="L33" s="146"/>
      <c r="M33" s="140"/>
      <c r="N33" s="140"/>
      <c r="O33" s="140"/>
      <c r="P33" s="140"/>
      <c r="Q33" s="140"/>
      <c r="R33" s="141"/>
      <c r="S33" s="52"/>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5"/>
      <c r="BK33" s="225"/>
    </row>
    <row r="34" spans="1:63" ht="12.75" hidden="1" customHeight="1" outlineLevel="1">
      <c r="A34" s="9"/>
      <c r="B34" s="46"/>
      <c r="C34" s="132">
        <f>Asset23</f>
        <v>0</v>
      </c>
      <c r="D34" s="9"/>
      <c r="E34" s="9"/>
      <c r="F34" s="143"/>
      <c r="G34" s="198">
        <f>Input!M29</f>
        <v>0</v>
      </c>
      <c r="H34" s="146"/>
      <c r="I34" s="146"/>
      <c r="J34" s="146"/>
      <c r="K34" s="146"/>
      <c r="L34" s="146"/>
      <c r="M34" s="140"/>
      <c r="N34" s="140"/>
      <c r="O34" s="140"/>
      <c r="P34" s="140"/>
      <c r="Q34" s="140"/>
      <c r="R34" s="141"/>
      <c r="S34" s="52"/>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5"/>
      <c r="BK34" s="225"/>
    </row>
    <row r="35" spans="1:63" ht="12.75" hidden="1" customHeight="1" outlineLevel="1">
      <c r="A35" s="9"/>
      <c r="B35" s="46"/>
      <c r="C35" s="132">
        <f>Asset24</f>
        <v>0</v>
      </c>
      <c r="D35" s="9"/>
      <c r="E35" s="9"/>
      <c r="F35" s="143"/>
      <c r="G35" s="198">
        <f>Input!M30</f>
        <v>0</v>
      </c>
      <c r="H35" s="146"/>
      <c r="I35" s="146"/>
      <c r="J35" s="146"/>
      <c r="K35" s="146"/>
      <c r="L35" s="146"/>
      <c r="M35" s="140"/>
      <c r="N35" s="140"/>
      <c r="O35" s="140"/>
      <c r="P35" s="140"/>
      <c r="Q35" s="140"/>
      <c r="R35" s="141"/>
      <c r="S35" s="52"/>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5"/>
      <c r="BK35" s="225"/>
    </row>
    <row r="36" spans="1:63" ht="12.75" hidden="1" customHeight="1" outlineLevel="1">
      <c r="A36" s="9"/>
      <c r="B36" s="46"/>
      <c r="C36" s="132">
        <f>Asset25</f>
        <v>0</v>
      </c>
      <c r="D36" s="9"/>
      <c r="E36" s="9"/>
      <c r="F36" s="143"/>
      <c r="G36" s="198">
        <f>Input!M31</f>
        <v>0</v>
      </c>
      <c r="H36" s="146"/>
      <c r="I36" s="146"/>
      <c r="J36" s="146"/>
      <c r="K36" s="146"/>
      <c r="L36" s="146"/>
      <c r="M36" s="140"/>
      <c r="N36" s="140"/>
      <c r="O36" s="140"/>
      <c r="P36" s="140"/>
      <c r="Q36" s="140"/>
      <c r="R36" s="141"/>
      <c r="S36" s="52"/>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5"/>
      <c r="BK36" s="225"/>
    </row>
    <row r="37" spans="1:63" ht="12.75" hidden="1" customHeight="1" outlineLevel="1">
      <c r="A37" s="9"/>
      <c r="B37" s="46"/>
      <c r="C37" s="132">
        <f>Asset26</f>
        <v>0</v>
      </c>
      <c r="D37" s="9"/>
      <c r="E37" s="9"/>
      <c r="F37" s="143"/>
      <c r="G37" s="198">
        <f>Input!M32</f>
        <v>0</v>
      </c>
      <c r="H37" s="146"/>
      <c r="I37" s="146"/>
      <c r="J37" s="146"/>
      <c r="K37" s="146"/>
      <c r="L37" s="146"/>
      <c r="M37" s="140"/>
      <c r="N37" s="140"/>
      <c r="O37" s="140"/>
      <c r="P37" s="140"/>
      <c r="Q37" s="140"/>
      <c r="R37" s="141"/>
      <c r="S37" s="52"/>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5"/>
      <c r="BK37" s="225"/>
    </row>
    <row r="38" spans="1:63" ht="12.75" hidden="1" customHeight="1" outlineLevel="1">
      <c r="A38" s="9"/>
      <c r="B38" s="46"/>
      <c r="C38" s="132">
        <f>Asset27</f>
        <v>0</v>
      </c>
      <c r="D38" s="9"/>
      <c r="E38" s="9"/>
      <c r="F38" s="143"/>
      <c r="G38" s="198">
        <f>Input!M33</f>
        <v>0</v>
      </c>
      <c r="H38" s="146"/>
      <c r="I38" s="146"/>
      <c r="J38" s="146"/>
      <c r="K38" s="146"/>
      <c r="L38" s="146"/>
      <c r="M38" s="140"/>
      <c r="N38" s="140"/>
      <c r="O38" s="140"/>
      <c r="P38" s="140"/>
      <c r="Q38" s="140"/>
      <c r="R38" s="141"/>
      <c r="S38" s="52"/>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5"/>
      <c r="BK38" s="225"/>
    </row>
    <row r="39" spans="1:63" ht="12.75" hidden="1" customHeight="1" outlineLevel="1">
      <c r="A39" s="9"/>
      <c r="B39" s="46"/>
      <c r="C39" s="132">
        <f>Asset28</f>
        <v>0</v>
      </c>
      <c r="D39" s="9"/>
      <c r="E39" s="9"/>
      <c r="F39" s="143"/>
      <c r="G39" s="198">
        <f>Input!M34</f>
        <v>0</v>
      </c>
      <c r="H39" s="146"/>
      <c r="I39" s="146"/>
      <c r="J39" s="146"/>
      <c r="K39" s="146"/>
      <c r="L39" s="146"/>
      <c r="M39" s="140"/>
      <c r="N39" s="140"/>
      <c r="O39" s="140"/>
      <c r="P39" s="140"/>
      <c r="Q39" s="140"/>
      <c r="R39" s="141"/>
      <c r="S39" s="52"/>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5"/>
      <c r="BK39" s="225"/>
    </row>
    <row r="40" spans="1:63" ht="12.75" hidden="1" customHeight="1" outlineLevel="1">
      <c r="A40" s="9"/>
      <c r="B40" s="46"/>
      <c r="C40" s="132">
        <f>Asset29</f>
        <v>0</v>
      </c>
      <c r="D40" s="9"/>
      <c r="E40" s="9"/>
      <c r="F40" s="143"/>
      <c r="G40" s="198">
        <f>Input!M35</f>
        <v>0</v>
      </c>
      <c r="H40" s="146"/>
      <c r="I40" s="146"/>
      <c r="J40" s="146"/>
      <c r="K40" s="146"/>
      <c r="L40" s="146"/>
      <c r="M40" s="140"/>
      <c r="N40" s="140"/>
      <c r="O40" s="140"/>
      <c r="P40" s="140"/>
      <c r="Q40" s="140"/>
      <c r="R40" s="141"/>
      <c r="S40" s="52"/>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5"/>
      <c r="BK40" s="225"/>
    </row>
    <row r="41" spans="1:63" ht="12.75" hidden="1" customHeight="1" outlineLevel="1">
      <c r="A41" s="9"/>
      <c r="B41" s="46"/>
      <c r="C41" s="132">
        <f>Asset30</f>
        <v>0</v>
      </c>
      <c r="D41" s="9"/>
      <c r="E41" s="9"/>
      <c r="F41" s="143"/>
      <c r="G41" s="198">
        <f>Input!M36</f>
        <v>0</v>
      </c>
      <c r="H41" s="146"/>
      <c r="I41" s="146"/>
      <c r="J41" s="146"/>
      <c r="K41" s="146"/>
      <c r="L41" s="146"/>
      <c r="M41" s="140"/>
      <c r="N41" s="140"/>
      <c r="O41" s="140"/>
      <c r="P41" s="140"/>
      <c r="Q41" s="140"/>
      <c r="R41" s="141"/>
      <c r="S41" s="52"/>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5"/>
      <c r="BK41" s="225"/>
    </row>
    <row r="42" spans="1:63" collapsed="1">
      <c r="A42" s="9"/>
      <c r="B42" s="46"/>
      <c r="C42" s="132"/>
      <c r="D42" s="9"/>
      <c r="E42" s="9"/>
      <c r="F42" s="143"/>
      <c r="G42" s="198"/>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5"/>
      <c r="BK42" s="225"/>
    </row>
    <row r="43" spans="1:63">
      <c r="A43" s="9"/>
      <c r="B43" s="46" t="s">
        <v>36</v>
      </c>
      <c r="C43" s="9"/>
      <c r="D43" s="9"/>
      <c r="E43" s="9"/>
      <c r="F43" s="9"/>
      <c r="G43" s="197">
        <f>SUM(G44:G73)</f>
        <v>22.626857526268044</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5"/>
      <c r="BK43" s="225"/>
    </row>
    <row r="44" spans="1:63" hidden="1" outlineLevel="1">
      <c r="A44" s="9"/>
      <c r="B44" s="9"/>
      <c r="C44" s="132" t="str">
        <f>Asset1</f>
        <v>Opening Distribution Assets</v>
      </c>
      <c r="D44" s="9"/>
      <c r="E44" s="9"/>
      <c r="F44" s="9"/>
      <c r="G44" s="198">
        <f>Input!G143*(1+previous_vanilla)^0.5</f>
        <v>22.626857526268044</v>
      </c>
      <c r="H44" s="113"/>
      <c r="I44" s="113"/>
      <c r="J44" s="113"/>
      <c r="K44" s="113"/>
      <c r="L44" s="113"/>
      <c r="M44" s="113"/>
      <c r="N44" s="9"/>
      <c r="O44" s="9"/>
      <c r="P44" s="9"/>
      <c r="Q44" s="9"/>
      <c r="R44" s="9"/>
      <c r="S44" s="9"/>
      <c r="T44" s="9"/>
      <c r="U44" s="9"/>
      <c r="V44" s="9"/>
      <c r="W44" s="9"/>
      <c r="X44" s="9"/>
      <c r="Y44" s="9"/>
      <c r="Z44" s="9"/>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row>
    <row r="45" spans="1:63" hidden="1" outlineLevel="1">
      <c r="A45" s="9"/>
      <c r="B45" s="46"/>
      <c r="C45" s="132" t="str">
        <f>Asset2</f>
        <v>Sub-transmission Overhead</v>
      </c>
      <c r="D45" s="9"/>
      <c r="E45" s="9"/>
      <c r="F45" s="143"/>
      <c r="G45" s="198">
        <f>Input!G144*(1+previous_vanilla)^0.5</f>
        <v>0</v>
      </c>
      <c r="H45" s="113"/>
      <c r="I45" s="113"/>
      <c r="J45" s="113"/>
      <c r="K45" s="113"/>
      <c r="L45" s="113"/>
      <c r="M45" s="113"/>
      <c r="N45" s="29"/>
      <c r="O45" s="29"/>
      <c r="P45" s="29"/>
      <c r="Q45" s="29"/>
      <c r="R45" s="102"/>
      <c r="S45" s="102"/>
      <c r="T45" s="102"/>
      <c r="U45" s="102"/>
      <c r="V45" s="102"/>
      <c r="W45" s="102"/>
      <c r="X45" s="102"/>
      <c r="Y45" s="102"/>
      <c r="Z45" s="102"/>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5"/>
      <c r="BK45" s="225"/>
    </row>
    <row r="46" spans="1:63" hidden="1" outlineLevel="1">
      <c r="A46" s="9"/>
      <c r="B46" s="46"/>
      <c r="C46" s="132" t="str">
        <f>Asset3</f>
        <v>Sub-transmission Underground</v>
      </c>
      <c r="D46" s="9"/>
      <c r="E46" s="9"/>
      <c r="F46" s="143"/>
      <c r="G46" s="198">
        <f>Input!G145*(1+previous_vanilla)^0.5</f>
        <v>0</v>
      </c>
      <c r="H46" s="113"/>
      <c r="I46" s="113"/>
      <c r="J46" s="113"/>
      <c r="K46" s="113"/>
      <c r="L46" s="113"/>
      <c r="M46" s="113"/>
      <c r="N46" s="29"/>
      <c r="O46" s="29"/>
      <c r="P46" s="29"/>
      <c r="Q46" s="29"/>
      <c r="R46" s="102"/>
      <c r="S46" s="102"/>
      <c r="T46" s="102"/>
      <c r="U46" s="102"/>
      <c r="V46" s="102"/>
      <c r="W46" s="102"/>
      <c r="X46" s="102"/>
      <c r="Y46" s="102"/>
      <c r="Z46" s="102"/>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5"/>
      <c r="BK46" s="225"/>
    </row>
    <row r="47" spans="1:63" hidden="1" outlineLevel="1">
      <c r="A47" s="9"/>
      <c r="B47" s="46"/>
      <c r="C47" s="132" t="str">
        <f>Asset4</f>
        <v>Zone Substation</v>
      </c>
      <c r="D47" s="9"/>
      <c r="E47" s="9"/>
      <c r="F47" s="143"/>
      <c r="G47" s="198">
        <f>Input!G146*(1+previous_vanilla)^0.5</f>
        <v>0</v>
      </c>
      <c r="H47" s="113"/>
      <c r="I47" s="113"/>
      <c r="J47" s="113"/>
      <c r="K47" s="113"/>
      <c r="L47" s="113"/>
      <c r="M47" s="113"/>
      <c r="N47" s="29"/>
      <c r="O47" s="29"/>
      <c r="P47" s="29"/>
      <c r="Q47" s="29"/>
      <c r="R47" s="102"/>
      <c r="S47" s="102"/>
      <c r="T47" s="102"/>
      <c r="U47" s="102"/>
      <c r="V47" s="102"/>
      <c r="W47" s="102"/>
      <c r="X47" s="102"/>
      <c r="Y47" s="102"/>
      <c r="Z47" s="102"/>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5"/>
      <c r="BK47" s="225"/>
    </row>
    <row r="48" spans="1:63" hidden="1" outlineLevel="1">
      <c r="A48" s="9"/>
      <c r="B48" s="46"/>
      <c r="C48" s="132" t="str">
        <f>Asset5</f>
        <v>Distribution Substations</v>
      </c>
      <c r="D48" s="9"/>
      <c r="E48" s="9"/>
      <c r="F48" s="143"/>
      <c r="G48" s="198">
        <f>Input!G147*(1+previous_vanilla)^0.5</f>
        <v>0</v>
      </c>
      <c r="H48" s="113"/>
      <c r="I48" s="113"/>
      <c r="J48" s="113"/>
      <c r="K48" s="113"/>
      <c r="L48" s="113"/>
      <c r="M48" s="113"/>
      <c r="N48" s="29"/>
      <c r="O48" s="29"/>
      <c r="P48" s="29"/>
      <c r="Q48" s="29"/>
      <c r="R48" s="102"/>
      <c r="S48" s="102"/>
      <c r="T48" s="102"/>
      <c r="U48" s="102"/>
      <c r="V48" s="102"/>
      <c r="W48" s="102"/>
      <c r="X48" s="102"/>
      <c r="Y48" s="102"/>
      <c r="Z48" s="102"/>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5"/>
      <c r="BK48" s="225"/>
    </row>
    <row r="49" spans="1:63" hidden="1" outlineLevel="1">
      <c r="A49" s="9"/>
      <c r="B49" s="46"/>
      <c r="C49" s="132" t="str">
        <f>Asset6</f>
        <v>Distribution Overhead Lines</v>
      </c>
      <c r="D49" s="9"/>
      <c r="E49" s="9"/>
      <c r="F49" s="143"/>
      <c r="G49" s="198">
        <f>Input!G148*(1+previous_vanilla)^0.5</f>
        <v>0</v>
      </c>
      <c r="H49" s="113"/>
      <c r="I49" s="113"/>
      <c r="J49" s="113"/>
      <c r="K49" s="113"/>
      <c r="L49" s="113"/>
      <c r="M49" s="113"/>
      <c r="N49" s="29"/>
      <c r="O49" s="29"/>
      <c r="P49" s="29"/>
      <c r="Q49" s="29"/>
      <c r="R49" s="102"/>
      <c r="S49" s="102"/>
      <c r="T49" s="102"/>
      <c r="U49" s="102"/>
      <c r="V49" s="102"/>
      <c r="W49" s="102"/>
      <c r="X49" s="102"/>
      <c r="Y49" s="102"/>
      <c r="Z49" s="102"/>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5"/>
      <c r="BK49" s="225"/>
    </row>
    <row r="50" spans="1:63" hidden="1" outlineLevel="1">
      <c r="A50" s="9"/>
      <c r="B50" s="46"/>
      <c r="C50" s="132" t="str">
        <f>Asset7</f>
        <v>Distribution Underground Lines</v>
      </c>
      <c r="D50" s="9"/>
      <c r="E50" s="9"/>
      <c r="F50" s="143"/>
      <c r="G50" s="198">
        <f>Input!G149*(1+previous_vanilla)^0.5</f>
        <v>0</v>
      </c>
      <c r="H50" s="113"/>
      <c r="I50" s="113"/>
      <c r="J50" s="113"/>
      <c r="K50" s="113"/>
      <c r="L50" s="113"/>
      <c r="M50" s="113"/>
      <c r="N50" s="29"/>
      <c r="O50" s="29"/>
      <c r="P50" s="29"/>
      <c r="Q50" s="29"/>
      <c r="R50" s="102"/>
      <c r="S50" s="102"/>
      <c r="T50" s="102"/>
      <c r="U50" s="102"/>
      <c r="V50" s="102"/>
      <c r="W50" s="102"/>
      <c r="X50" s="102"/>
      <c r="Y50" s="102"/>
      <c r="Z50" s="102"/>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5"/>
      <c r="BK50" s="225"/>
    </row>
    <row r="51" spans="1:63" hidden="1" outlineLevel="1">
      <c r="A51" s="9"/>
      <c r="B51" s="46"/>
      <c r="C51" s="132" t="str">
        <f>Asset8</f>
        <v>IT &amp; Communication Systems (Networks)</v>
      </c>
      <c r="D51" s="9"/>
      <c r="E51" s="9"/>
      <c r="F51" s="143"/>
      <c r="G51" s="198">
        <f>Input!G150*(1+previous_vanilla)^0.5</f>
        <v>0</v>
      </c>
      <c r="H51" s="113"/>
      <c r="I51" s="113"/>
      <c r="J51" s="113"/>
      <c r="K51" s="113"/>
      <c r="L51" s="113"/>
      <c r="M51" s="113"/>
      <c r="N51" s="29"/>
      <c r="O51" s="29"/>
      <c r="P51" s="29"/>
      <c r="Q51" s="29"/>
      <c r="R51" s="102"/>
      <c r="S51" s="102"/>
      <c r="T51" s="102"/>
      <c r="U51" s="102"/>
      <c r="V51" s="102"/>
      <c r="W51" s="102"/>
      <c r="X51" s="102"/>
      <c r="Y51" s="102"/>
      <c r="Z51" s="102"/>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5"/>
      <c r="BK51" s="225"/>
    </row>
    <row r="52" spans="1:63" hidden="1" outlineLevel="1">
      <c r="A52" s="9"/>
      <c r="B52" s="46"/>
      <c r="C52" s="132" t="str">
        <f>Asset9</f>
        <v>Motor Vehicles</v>
      </c>
      <c r="D52" s="9"/>
      <c r="E52" s="9"/>
      <c r="F52" s="143"/>
      <c r="G52" s="198">
        <f>Input!G151*(1+previous_vanilla)^0.5</f>
        <v>0</v>
      </c>
      <c r="H52" s="113"/>
      <c r="I52" s="113"/>
      <c r="J52" s="113"/>
      <c r="K52" s="113"/>
      <c r="L52" s="113"/>
      <c r="M52" s="113"/>
      <c r="N52" s="29"/>
      <c r="O52" s="29"/>
      <c r="P52" s="29"/>
      <c r="Q52" s="29"/>
      <c r="R52" s="102"/>
      <c r="S52" s="102"/>
      <c r="T52" s="102"/>
      <c r="U52" s="102"/>
      <c r="V52" s="102"/>
      <c r="W52" s="102"/>
      <c r="X52" s="102"/>
      <c r="Y52" s="102"/>
      <c r="Z52" s="102"/>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5"/>
      <c r="BK52" s="225"/>
    </row>
    <row r="53" spans="1:63" hidden="1" outlineLevel="1">
      <c r="A53" s="9"/>
      <c r="B53" s="46"/>
      <c r="C53" s="132" t="str">
        <f>Asset10</f>
        <v>Other Non-System Assets (Networks)</v>
      </c>
      <c r="D53" s="9"/>
      <c r="E53" s="9"/>
      <c r="F53" s="143"/>
      <c r="G53" s="198">
        <f>Input!G152*(1+previous_vanilla)^0.5</f>
        <v>0</v>
      </c>
      <c r="H53" s="113"/>
      <c r="I53" s="113"/>
      <c r="J53" s="113"/>
      <c r="K53" s="113"/>
      <c r="L53" s="113"/>
      <c r="M53" s="113"/>
      <c r="N53" s="29"/>
      <c r="O53" s="29"/>
      <c r="P53" s="29"/>
      <c r="Q53" s="29"/>
      <c r="R53" s="102"/>
      <c r="S53" s="102"/>
      <c r="T53" s="102"/>
      <c r="U53" s="102"/>
      <c r="V53" s="102"/>
      <c r="W53" s="102"/>
      <c r="X53" s="102"/>
      <c r="Y53" s="102"/>
      <c r="Z53" s="102"/>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5"/>
      <c r="BK53" s="225"/>
    </row>
    <row r="54" spans="1:63" hidden="1" outlineLevel="1">
      <c r="A54" s="9"/>
      <c r="B54" s="46"/>
      <c r="C54" s="132" t="str">
        <f>Asset11</f>
        <v>IT Systems (Corporate)</v>
      </c>
      <c r="D54" s="9"/>
      <c r="E54" s="9"/>
      <c r="F54" s="143"/>
      <c r="G54" s="198">
        <f>Input!G153*(1+previous_vanilla)^0.5</f>
        <v>0</v>
      </c>
      <c r="H54" s="113"/>
      <c r="I54" s="113"/>
      <c r="J54" s="113"/>
      <c r="K54" s="113"/>
      <c r="L54" s="113"/>
      <c r="M54" s="113"/>
      <c r="N54" s="29"/>
      <c r="O54" s="29"/>
      <c r="P54" s="29"/>
      <c r="Q54" s="29"/>
      <c r="R54" s="102"/>
      <c r="S54" s="102"/>
      <c r="T54" s="102"/>
      <c r="U54" s="102"/>
      <c r="V54" s="102"/>
      <c r="W54" s="102"/>
      <c r="X54" s="102"/>
      <c r="Y54" s="102"/>
      <c r="Z54" s="102"/>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5"/>
      <c r="BK54" s="225"/>
    </row>
    <row r="55" spans="1:63" hidden="1" outlineLevel="1">
      <c r="A55" s="9"/>
      <c r="B55" s="46"/>
      <c r="C55" s="132" t="str">
        <f>Asset12</f>
        <v>Telecommunications (Corporate)</v>
      </c>
      <c r="D55" s="9"/>
      <c r="E55" s="9"/>
      <c r="F55" s="143"/>
      <c r="G55" s="198">
        <f>Input!G154*(1+previous_vanilla)^0.5</f>
        <v>0</v>
      </c>
      <c r="H55" s="113"/>
      <c r="I55" s="113"/>
      <c r="J55" s="113"/>
      <c r="K55" s="113"/>
      <c r="L55" s="113"/>
      <c r="M55" s="113"/>
      <c r="N55" s="29"/>
      <c r="O55" s="29"/>
      <c r="P55" s="29"/>
      <c r="Q55" s="29"/>
      <c r="R55" s="102"/>
      <c r="S55" s="102"/>
      <c r="T55" s="102"/>
      <c r="U55" s="102"/>
      <c r="V55" s="102"/>
      <c r="W55" s="102"/>
      <c r="X55" s="102"/>
      <c r="Y55" s="102"/>
      <c r="Z55" s="102"/>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5"/>
      <c r="BK55" s="225"/>
    </row>
    <row r="56" spans="1:63" hidden="1" outlineLevel="1">
      <c r="A56" s="9"/>
      <c r="B56" s="46"/>
      <c r="C56" s="132" t="str">
        <f>Asset13</f>
        <v>Other Non-System Assets (Corporate)</v>
      </c>
      <c r="D56" s="9"/>
      <c r="E56" s="9"/>
      <c r="F56" s="143"/>
      <c r="G56" s="198">
        <f>Input!G155*(1+previous_vanilla)^0.5</f>
        <v>0</v>
      </c>
      <c r="H56" s="113"/>
      <c r="I56" s="113"/>
      <c r="J56" s="113"/>
      <c r="K56" s="113"/>
      <c r="L56" s="113"/>
      <c r="M56" s="113"/>
      <c r="N56" s="29"/>
      <c r="O56" s="29"/>
      <c r="P56" s="29"/>
      <c r="Q56" s="29"/>
      <c r="R56" s="102"/>
      <c r="S56" s="102"/>
      <c r="T56" s="102"/>
      <c r="U56" s="102"/>
      <c r="V56" s="102"/>
      <c r="W56" s="102"/>
      <c r="X56" s="102"/>
      <c r="Y56" s="102"/>
      <c r="Z56" s="102"/>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5"/>
      <c r="BK56" s="225"/>
    </row>
    <row r="57" spans="1:63" hidden="1" outlineLevel="1">
      <c r="A57" s="9"/>
      <c r="B57" s="46"/>
      <c r="C57" s="132" t="str">
        <f>Asset14</f>
        <v>Land</v>
      </c>
      <c r="D57" s="9"/>
      <c r="E57" s="9"/>
      <c r="F57" s="143"/>
      <c r="G57" s="198">
        <f>Input!G156*(1+previous_vanilla)^0.5</f>
        <v>0</v>
      </c>
      <c r="H57" s="113"/>
      <c r="I57" s="113"/>
      <c r="J57" s="113"/>
      <c r="K57" s="113"/>
      <c r="L57" s="113"/>
      <c r="M57" s="113"/>
      <c r="N57" s="29"/>
      <c r="O57" s="29"/>
      <c r="P57" s="29"/>
      <c r="Q57" s="29"/>
      <c r="R57" s="102"/>
      <c r="S57" s="102"/>
      <c r="T57" s="102"/>
      <c r="U57" s="102"/>
      <c r="V57" s="102"/>
      <c r="W57" s="102"/>
      <c r="X57" s="102"/>
      <c r="Y57" s="102"/>
      <c r="Z57" s="102"/>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5"/>
      <c r="BK57" s="225"/>
    </row>
    <row r="58" spans="1:63" hidden="1" outlineLevel="1">
      <c r="A58" s="9"/>
      <c r="B58" s="46"/>
      <c r="C58" s="132" t="str">
        <f>Asset15</f>
        <v>Buildings</v>
      </c>
      <c r="D58" s="9"/>
      <c r="E58" s="9"/>
      <c r="F58" s="143"/>
      <c r="G58" s="198">
        <f>Input!G157*(1+previous_vanilla)^0.5</f>
        <v>0</v>
      </c>
      <c r="H58" s="113"/>
      <c r="I58" s="113"/>
      <c r="J58" s="113"/>
      <c r="K58" s="113"/>
      <c r="L58" s="113"/>
      <c r="M58" s="113"/>
      <c r="N58" s="29"/>
      <c r="O58" s="29"/>
      <c r="P58" s="29"/>
      <c r="Q58" s="29"/>
      <c r="R58" s="102"/>
      <c r="S58" s="102"/>
      <c r="T58" s="102"/>
      <c r="U58" s="102"/>
      <c r="V58" s="102"/>
      <c r="W58" s="102"/>
      <c r="X58" s="102"/>
      <c r="Y58" s="102"/>
      <c r="Z58" s="102"/>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5"/>
      <c r="BK58" s="225"/>
    </row>
    <row r="59" spans="1:63" hidden="1" outlineLevel="1">
      <c r="A59" s="9"/>
      <c r="B59" s="46"/>
      <c r="C59" s="132" t="str">
        <f>Asset16</f>
        <v>Equity raising costs</v>
      </c>
      <c r="D59" s="9"/>
      <c r="E59" s="9"/>
      <c r="F59" s="143"/>
      <c r="G59" s="198">
        <f>Input!G158*(1+previous_vanilla)^0.5</f>
        <v>0</v>
      </c>
      <c r="H59" s="113"/>
      <c r="I59" s="113"/>
      <c r="J59" s="113"/>
      <c r="K59" s="113"/>
      <c r="L59" s="113"/>
      <c r="M59" s="113"/>
      <c r="N59" s="29"/>
      <c r="O59" s="29"/>
      <c r="P59" s="29"/>
      <c r="Q59" s="29"/>
      <c r="R59" s="102"/>
      <c r="S59" s="102"/>
      <c r="T59" s="102"/>
      <c r="U59" s="102"/>
      <c r="V59" s="102"/>
      <c r="W59" s="102"/>
      <c r="X59" s="102"/>
      <c r="Y59" s="102"/>
      <c r="Z59" s="102"/>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5"/>
      <c r="BK59" s="225"/>
    </row>
    <row r="60" spans="1:63" hidden="1" outlineLevel="1">
      <c r="A60" s="9"/>
      <c r="B60" s="46"/>
      <c r="C60" s="132">
        <f>Asset17</f>
        <v>0</v>
      </c>
      <c r="D60" s="9"/>
      <c r="E60" s="9"/>
      <c r="F60" s="143"/>
      <c r="G60" s="198">
        <f>Input!G159*(1+previous_vanilla)^0.5</f>
        <v>0</v>
      </c>
      <c r="H60" s="113"/>
      <c r="I60" s="113"/>
      <c r="J60" s="113"/>
      <c r="K60" s="113"/>
      <c r="L60" s="113"/>
      <c r="M60" s="113"/>
      <c r="N60" s="29"/>
      <c r="O60" s="29"/>
      <c r="P60" s="29"/>
      <c r="Q60" s="29"/>
      <c r="R60" s="102"/>
      <c r="S60" s="102"/>
      <c r="T60" s="102"/>
      <c r="U60" s="102"/>
      <c r="V60" s="102"/>
      <c r="W60" s="102"/>
      <c r="X60" s="102"/>
      <c r="Y60" s="102"/>
      <c r="Z60" s="102"/>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5"/>
      <c r="BK60" s="225"/>
    </row>
    <row r="61" spans="1:63" hidden="1" outlineLevel="1">
      <c r="A61" s="9"/>
      <c r="B61" s="46"/>
      <c r="C61" s="132">
        <f>Asset18</f>
        <v>0</v>
      </c>
      <c r="D61" s="9"/>
      <c r="E61" s="9"/>
      <c r="F61" s="143"/>
      <c r="G61" s="198">
        <f>Input!G160*(1+previous_vanilla)^0.5</f>
        <v>0</v>
      </c>
      <c r="H61" s="113"/>
      <c r="I61" s="113"/>
      <c r="J61" s="113"/>
      <c r="K61" s="113"/>
      <c r="L61" s="113"/>
      <c r="M61" s="113"/>
      <c r="N61" s="29"/>
      <c r="O61" s="29"/>
      <c r="P61" s="29"/>
      <c r="Q61" s="29"/>
      <c r="R61" s="102"/>
      <c r="S61" s="102"/>
      <c r="T61" s="102"/>
      <c r="U61" s="102"/>
      <c r="V61" s="102"/>
      <c r="W61" s="102"/>
      <c r="X61" s="102"/>
      <c r="Y61" s="102"/>
      <c r="Z61" s="102"/>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5"/>
      <c r="BK61" s="225"/>
    </row>
    <row r="62" spans="1:63" hidden="1" outlineLevel="1">
      <c r="A62" s="9"/>
      <c r="B62" s="46"/>
      <c r="C62" s="132">
        <f>Asset19</f>
        <v>0</v>
      </c>
      <c r="D62" s="9"/>
      <c r="E62" s="9"/>
      <c r="F62" s="143"/>
      <c r="G62" s="198">
        <f>Input!G161*(1+previous_vanilla)^0.5</f>
        <v>0</v>
      </c>
      <c r="H62" s="113"/>
      <c r="I62" s="113"/>
      <c r="J62" s="113"/>
      <c r="K62" s="113"/>
      <c r="L62" s="113"/>
      <c r="M62" s="113"/>
      <c r="N62" s="29"/>
      <c r="O62" s="29"/>
      <c r="P62" s="29"/>
      <c r="Q62" s="29"/>
      <c r="R62" s="102"/>
      <c r="S62" s="102"/>
      <c r="T62" s="102"/>
      <c r="U62" s="102"/>
      <c r="V62" s="102"/>
      <c r="W62" s="102"/>
      <c r="X62" s="102"/>
      <c r="Y62" s="102"/>
      <c r="Z62" s="102"/>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5"/>
      <c r="BK62" s="225"/>
    </row>
    <row r="63" spans="1:63" hidden="1" outlineLevel="1">
      <c r="A63" s="9"/>
      <c r="B63" s="46"/>
      <c r="C63" s="132">
        <f>Asset20</f>
        <v>0</v>
      </c>
      <c r="D63" s="9"/>
      <c r="E63" s="9"/>
      <c r="F63" s="143"/>
      <c r="G63" s="198">
        <f>Input!G162*(1+previous_vanilla)^0.5</f>
        <v>0</v>
      </c>
      <c r="H63" s="113"/>
      <c r="I63" s="113"/>
      <c r="J63" s="113"/>
      <c r="K63" s="113"/>
      <c r="L63" s="113"/>
      <c r="M63" s="113"/>
      <c r="N63" s="29"/>
      <c r="O63" s="29"/>
      <c r="P63" s="29"/>
      <c r="Q63" s="29"/>
      <c r="R63" s="102"/>
      <c r="S63" s="102"/>
      <c r="T63" s="102"/>
      <c r="U63" s="102"/>
      <c r="V63" s="102"/>
      <c r="W63" s="102"/>
      <c r="X63" s="102"/>
      <c r="Y63" s="102"/>
      <c r="Z63" s="102"/>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5"/>
      <c r="BK63" s="225"/>
    </row>
    <row r="64" spans="1:63" hidden="1" outlineLevel="1">
      <c r="A64" s="9"/>
      <c r="B64" s="46"/>
      <c r="C64" s="132">
        <f>Asset21</f>
        <v>0</v>
      </c>
      <c r="D64" s="9"/>
      <c r="E64" s="9"/>
      <c r="F64" s="143"/>
      <c r="G64" s="198">
        <f>Input!G163*(1+previous_vanilla)^0.5</f>
        <v>0</v>
      </c>
      <c r="H64" s="113"/>
      <c r="I64" s="113"/>
      <c r="J64" s="113"/>
      <c r="K64" s="113"/>
      <c r="L64" s="113"/>
      <c r="M64" s="113"/>
      <c r="N64" s="29"/>
      <c r="O64" s="29"/>
      <c r="P64" s="29"/>
      <c r="Q64" s="29"/>
      <c r="R64" s="102"/>
      <c r="S64" s="102"/>
      <c r="T64" s="102"/>
      <c r="U64" s="102"/>
      <c r="V64" s="102"/>
      <c r="W64" s="102"/>
      <c r="X64" s="102"/>
      <c r="Y64" s="102"/>
      <c r="Z64" s="102"/>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5"/>
      <c r="BK64" s="225"/>
    </row>
    <row r="65" spans="1:63" hidden="1" outlineLevel="1">
      <c r="A65" s="9"/>
      <c r="B65" s="46"/>
      <c r="C65" s="132">
        <f>Asset22</f>
        <v>0</v>
      </c>
      <c r="D65" s="9"/>
      <c r="E65" s="9"/>
      <c r="F65" s="143"/>
      <c r="G65" s="198">
        <f>Input!G164*(1+previous_vanilla)^0.5</f>
        <v>0</v>
      </c>
      <c r="H65" s="113"/>
      <c r="I65" s="113"/>
      <c r="J65" s="113"/>
      <c r="K65" s="113"/>
      <c r="L65" s="113"/>
      <c r="M65" s="113"/>
      <c r="N65" s="29"/>
      <c r="O65" s="29"/>
      <c r="P65" s="29"/>
      <c r="Q65" s="29"/>
      <c r="R65" s="102"/>
      <c r="S65" s="102"/>
      <c r="T65" s="102"/>
      <c r="U65" s="102"/>
      <c r="V65" s="102"/>
      <c r="W65" s="102"/>
      <c r="X65" s="102"/>
      <c r="Y65" s="102"/>
      <c r="Z65" s="102"/>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5"/>
      <c r="BK65" s="225"/>
    </row>
    <row r="66" spans="1:63" hidden="1" outlineLevel="1">
      <c r="A66" s="9"/>
      <c r="B66" s="46"/>
      <c r="C66" s="132">
        <f>Asset23</f>
        <v>0</v>
      </c>
      <c r="D66" s="9"/>
      <c r="E66" s="9"/>
      <c r="F66" s="143"/>
      <c r="G66" s="198">
        <f>Input!G165*(1+previous_vanilla)^0.5</f>
        <v>0</v>
      </c>
      <c r="H66" s="113"/>
      <c r="I66" s="113"/>
      <c r="J66" s="113"/>
      <c r="K66" s="113"/>
      <c r="L66" s="113"/>
      <c r="M66" s="113"/>
      <c r="N66" s="29"/>
      <c r="O66" s="29"/>
      <c r="P66" s="29"/>
      <c r="Q66" s="29"/>
      <c r="R66" s="102"/>
      <c r="S66" s="102"/>
      <c r="T66" s="102"/>
      <c r="U66" s="102"/>
      <c r="V66" s="102"/>
      <c r="W66" s="102"/>
      <c r="X66" s="102"/>
      <c r="Y66" s="102"/>
      <c r="Z66" s="102"/>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5"/>
      <c r="BK66" s="225"/>
    </row>
    <row r="67" spans="1:63" hidden="1" outlineLevel="1">
      <c r="A67" s="9"/>
      <c r="B67" s="46"/>
      <c r="C67" s="132">
        <f>Asset24</f>
        <v>0</v>
      </c>
      <c r="D67" s="9"/>
      <c r="E67" s="9"/>
      <c r="F67" s="143"/>
      <c r="G67" s="198">
        <f>Input!G166*(1+previous_vanilla)^0.5</f>
        <v>0</v>
      </c>
      <c r="H67" s="113"/>
      <c r="I67" s="113"/>
      <c r="J67" s="113"/>
      <c r="K67" s="113"/>
      <c r="L67" s="113"/>
      <c r="M67" s="113"/>
      <c r="N67" s="29"/>
      <c r="O67" s="29"/>
      <c r="P67" s="29"/>
      <c r="Q67" s="29"/>
      <c r="R67" s="102"/>
      <c r="S67" s="102"/>
      <c r="T67" s="102"/>
      <c r="U67" s="102"/>
      <c r="V67" s="102"/>
      <c r="W67" s="102"/>
      <c r="X67" s="102"/>
      <c r="Y67" s="102"/>
      <c r="Z67" s="102"/>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5"/>
      <c r="BK67" s="225"/>
    </row>
    <row r="68" spans="1:63" hidden="1" outlineLevel="1">
      <c r="A68" s="9"/>
      <c r="B68" s="46"/>
      <c r="C68" s="132">
        <f>Asset25</f>
        <v>0</v>
      </c>
      <c r="D68" s="9"/>
      <c r="E68" s="9"/>
      <c r="F68" s="143"/>
      <c r="G68" s="198">
        <f>Input!G167*(1+previous_vanilla)^0.5</f>
        <v>0</v>
      </c>
      <c r="H68" s="113"/>
      <c r="I68" s="113"/>
      <c r="J68" s="113"/>
      <c r="K68" s="113"/>
      <c r="L68" s="113"/>
      <c r="M68" s="113"/>
      <c r="N68" s="29"/>
      <c r="O68" s="29"/>
      <c r="P68" s="29"/>
      <c r="Q68" s="29"/>
      <c r="R68" s="102"/>
      <c r="S68" s="102"/>
      <c r="T68" s="102"/>
      <c r="U68" s="102"/>
      <c r="V68" s="102"/>
      <c r="W68" s="102"/>
      <c r="X68" s="102"/>
      <c r="Y68" s="102"/>
      <c r="Z68" s="102"/>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5"/>
      <c r="BK68" s="225"/>
    </row>
    <row r="69" spans="1:63" hidden="1" outlineLevel="1">
      <c r="A69" s="9"/>
      <c r="B69" s="46"/>
      <c r="C69" s="132">
        <f>Asset26</f>
        <v>0</v>
      </c>
      <c r="D69" s="9"/>
      <c r="E69" s="9"/>
      <c r="F69" s="143"/>
      <c r="G69" s="198">
        <f>Input!G168*(1+previous_vanilla)^0.5</f>
        <v>0</v>
      </c>
      <c r="H69" s="113"/>
      <c r="I69" s="113"/>
      <c r="J69" s="113"/>
      <c r="K69" s="113"/>
      <c r="L69" s="113"/>
      <c r="M69" s="113"/>
      <c r="N69" s="29"/>
      <c r="O69" s="29"/>
      <c r="P69" s="29"/>
      <c r="Q69" s="29"/>
      <c r="R69" s="102"/>
      <c r="S69" s="102"/>
      <c r="T69" s="102"/>
      <c r="U69" s="102"/>
      <c r="V69" s="102"/>
      <c r="W69" s="102"/>
      <c r="X69" s="102"/>
      <c r="Y69" s="102"/>
      <c r="Z69" s="102"/>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5"/>
      <c r="BK69" s="225"/>
    </row>
    <row r="70" spans="1:63" hidden="1" outlineLevel="1">
      <c r="A70" s="9"/>
      <c r="B70" s="46"/>
      <c r="C70" s="132">
        <f>Asset27</f>
        <v>0</v>
      </c>
      <c r="D70" s="9"/>
      <c r="E70" s="9"/>
      <c r="F70" s="143"/>
      <c r="G70" s="198">
        <f>Input!G169*(1+previous_vanilla)^0.5</f>
        <v>0</v>
      </c>
      <c r="H70" s="113"/>
      <c r="I70" s="113"/>
      <c r="J70" s="113"/>
      <c r="K70" s="113"/>
      <c r="L70" s="113"/>
      <c r="M70" s="113"/>
      <c r="N70" s="29"/>
      <c r="O70" s="29"/>
      <c r="P70" s="29"/>
      <c r="Q70" s="29"/>
      <c r="R70" s="102"/>
      <c r="S70" s="102"/>
      <c r="T70" s="102"/>
      <c r="U70" s="102"/>
      <c r="V70" s="102"/>
      <c r="W70" s="102"/>
      <c r="X70" s="102"/>
      <c r="Y70" s="102"/>
      <c r="Z70" s="102"/>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5"/>
      <c r="BK70" s="225"/>
    </row>
    <row r="71" spans="1:63" hidden="1" outlineLevel="1">
      <c r="A71" s="9"/>
      <c r="B71" s="46"/>
      <c r="C71" s="132">
        <f>Asset28</f>
        <v>0</v>
      </c>
      <c r="D71" s="9"/>
      <c r="E71" s="9"/>
      <c r="F71" s="143"/>
      <c r="G71" s="198">
        <f>Input!G170*(1+previous_vanilla)^0.5</f>
        <v>0</v>
      </c>
      <c r="H71" s="113"/>
      <c r="I71" s="113"/>
      <c r="J71" s="113"/>
      <c r="K71" s="113"/>
      <c r="L71" s="113"/>
      <c r="M71" s="113"/>
      <c r="N71" s="29"/>
      <c r="O71" s="29"/>
      <c r="P71" s="29"/>
      <c r="Q71" s="29"/>
      <c r="R71" s="102"/>
      <c r="S71" s="102"/>
      <c r="T71" s="102"/>
      <c r="U71" s="102"/>
      <c r="V71" s="102"/>
      <c r="W71" s="102"/>
      <c r="X71" s="102"/>
      <c r="Y71" s="102"/>
      <c r="Z71" s="102"/>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5"/>
      <c r="BK71" s="225"/>
    </row>
    <row r="72" spans="1:63" hidden="1" outlineLevel="1">
      <c r="A72" s="9"/>
      <c r="B72" s="46"/>
      <c r="C72" s="132">
        <f>Asset29</f>
        <v>0</v>
      </c>
      <c r="D72" s="9"/>
      <c r="E72" s="9"/>
      <c r="F72" s="143"/>
      <c r="G72" s="198">
        <f>Input!G171*(1+previous_vanilla)^0.5</f>
        <v>0</v>
      </c>
      <c r="H72" s="113"/>
      <c r="I72" s="113"/>
      <c r="J72" s="113"/>
      <c r="K72" s="113"/>
      <c r="L72" s="113"/>
      <c r="M72" s="113"/>
      <c r="N72" s="29"/>
      <c r="O72" s="29"/>
      <c r="P72" s="29"/>
      <c r="Q72" s="29"/>
      <c r="R72" s="102"/>
      <c r="S72" s="102"/>
      <c r="T72" s="102"/>
      <c r="U72" s="102"/>
      <c r="V72" s="102"/>
      <c r="W72" s="102"/>
      <c r="X72" s="102"/>
      <c r="Y72" s="102"/>
      <c r="Z72" s="102"/>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5"/>
      <c r="BK72" s="225"/>
    </row>
    <row r="73" spans="1:63" hidden="1" outlineLevel="1">
      <c r="A73" s="9"/>
      <c r="B73" s="46"/>
      <c r="C73" s="132">
        <f>Asset30</f>
        <v>0</v>
      </c>
      <c r="D73" s="9"/>
      <c r="E73" s="9"/>
      <c r="F73" s="143"/>
      <c r="G73" s="198">
        <f>Input!G172*(1+previous_vanilla)^0.5</f>
        <v>0</v>
      </c>
      <c r="H73" s="113"/>
      <c r="I73" s="113"/>
      <c r="J73" s="113"/>
      <c r="K73" s="113"/>
      <c r="L73" s="113"/>
      <c r="M73" s="113"/>
      <c r="N73" s="29"/>
      <c r="O73" s="29"/>
      <c r="P73" s="29"/>
      <c r="Q73" s="29"/>
      <c r="R73" s="102"/>
      <c r="S73" s="102"/>
      <c r="T73" s="102"/>
      <c r="U73" s="102"/>
      <c r="V73" s="102"/>
      <c r="W73" s="102"/>
      <c r="X73" s="102"/>
      <c r="Y73" s="102"/>
      <c r="Z73" s="102"/>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5"/>
      <c r="BK73" s="225"/>
    </row>
    <row r="74" spans="1:63" collapsed="1">
      <c r="A74" s="9"/>
      <c r="B74" s="46"/>
      <c r="C74" s="116"/>
      <c r="D74" s="9"/>
      <c r="E74" s="9"/>
      <c r="F74" s="143"/>
      <c r="G74" s="199"/>
      <c r="H74" s="37"/>
      <c r="I74" s="37"/>
      <c r="J74" s="37"/>
      <c r="K74" s="37"/>
      <c r="L74" s="37"/>
      <c r="M74" s="37"/>
      <c r="N74" s="29"/>
      <c r="O74" s="29"/>
      <c r="P74" s="29"/>
      <c r="Q74" s="29"/>
      <c r="R74" s="102"/>
      <c r="S74" s="102"/>
      <c r="T74" s="102"/>
      <c r="U74" s="102"/>
      <c r="V74" s="102"/>
      <c r="W74" s="102"/>
      <c r="X74" s="102"/>
      <c r="Y74" s="102"/>
      <c r="Z74" s="102"/>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5"/>
      <c r="BK74" s="225"/>
    </row>
    <row r="75" spans="1:63">
      <c r="A75" s="9"/>
      <c r="B75" s="46" t="s">
        <v>43</v>
      </c>
      <c r="C75" s="9"/>
      <c r="D75" s="9"/>
      <c r="E75" s="9"/>
      <c r="F75" s="143"/>
      <c r="G75" s="199">
        <f>SUM(G76:G105)</f>
        <v>-6.9715883181420004</v>
      </c>
      <c r="H75" s="37"/>
      <c r="I75" s="37"/>
      <c r="J75" s="37"/>
      <c r="K75" s="37"/>
      <c r="L75" s="37"/>
      <c r="M75" s="112"/>
      <c r="N75" s="29"/>
      <c r="O75" s="29"/>
      <c r="P75" s="29"/>
      <c r="Q75" s="29"/>
      <c r="R75" s="102"/>
      <c r="S75" s="102"/>
      <c r="T75" s="102"/>
      <c r="U75" s="102"/>
      <c r="V75" s="102"/>
      <c r="W75" s="102"/>
      <c r="X75" s="102"/>
      <c r="Y75" s="102"/>
      <c r="Z75" s="102"/>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5"/>
      <c r="BK75" s="225"/>
    </row>
    <row r="76" spans="1:63" hidden="1" outlineLevel="1">
      <c r="A76" s="9"/>
      <c r="B76" s="46"/>
      <c r="C76" s="132" t="str">
        <f>Asset1</f>
        <v>Opening Distribution Assets</v>
      </c>
      <c r="D76" s="9"/>
      <c r="E76" s="9"/>
      <c r="F76" s="143"/>
      <c r="G76" s="198">
        <f t="shared" ref="G76:G95" si="0">G44*(1+$F$6)/(1+$G$6)-G12</f>
        <v>-6.9715883181420004</v>
      </c>
      <c r="H76" s="119"/>
      <c r="I76" s="119"/>
      <c r="J76" s="119"/>
      <c r="K76" s="119"/>
      <c r="L76" s="119"/>
      <c r="M76" s="153"/>
      <c r="N76" s="154"/>
      <c r="O76" s="154"/>
      <c r="P76" s="154"/>
      <c r="Q76" s="154"/>
      <c r="R76" s="102"/>
      <c r="S76" s="102"/>
      <c r="T76" s="102"/>
      <c r="U76" s="102"/>
      <c r="V76" s="102"/>
      <c r="W76" s="102"/>
      <c r="X76" s="102"/>
      <c r="Y76" s="102"/>
      <c r="Z76" s="102"/>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5"/>
      <c r="BK76" s="225"/>
    </row>
    <row r="77" spans="1:63" hidden="1" outlineLevel="1">
      <c r="A77" s="9"/>
      <c r="B77" s="46"/>
      <c r="C77" s="132" t="str">
        <f>Asset2</f>
        <v>Sub-transmission Overhead</v>
      </c>
      <c r="D77" s="9"/>
      <c r="E77" s="9"/>
      <c r="F77" s="143"/>
      <c r="G77" s="198">
        <f t="shared" si="0"/>
        <v>0</v>
      </c>
      <c r="H77" s="119"/>
      <c r="I77" s="119"/>
      <c r="J77" s="119"/>
      <c r="K77" s="119"/>
      <c r="L77" s="119"/>
      <c r="M77" s="153"/>
      <c r="N77" s="154"/>
      <c r="O77" s="154"/>
      <c r="P77" s="154"/>
      <c r="Q77" s="154"/>
      <c r="R77" s="102"/>
      <c r="S77" s="102"/>
      <c r="T77" s="102"/>
      <c r="U77" s="102"/>
      <c r="V77" s="102"/>
      <c r="W77" s="102"/>
      <c r="X77" s="102"/>
      <c r="Y77" s="102"/>
      <c r="Z77" s="102"/>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5"/>
      <c r="BK77" s="225"/>
    </row>
    <row r="78" spans="1:63" hidden="1" outlineLevel="1">
      <c r="A78" s="9"/>
      <c r="B78" s="46"/>
      <c r="C78" s="132" t="str">
        <f>Asset3</f>
        <v>Sub-transmission Underground</v>
      </c>
      <c r="D78" s="9"/>
      <c r="E78" s="9"/>
      <c r="F78" s="143"/>
      <c r="G78" s="198">
        <f t="shared" si="0"/>
        <v>0</v>
      </c>
      <c r="H78" s="119"/>
      <c r="I78" s="119"/>
      <c r="J78" s="119"/>
      <c r="K78" s="119"/>
      <c r="L78" s="119"/>
      <c r="M78" s="153"/>
      <c r="N78" s="154"/>
      <c r="O78" s="154"/>
      <c r="P78" s="154"/>
      <c r="Q78" s="154"/>
      <c r="R78" s="102"/>
      <c r="S78" s="102"/>
      <c r="T78" s="102"/>
      <c r="U78" s="102"/>
      <c r="V78" s="102"/>
      <c r="W78" s="102"/>
      <c r="X78" s="102"/>
      <c r="Y78" s="102"/>
      <c r="Z78" s="102"/>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5"/>
      <c r="BK78" s="225"/>
    </row>
    <row r="79" spans="1:63" hidden="1" outlineLevel="1">
      <c r="A79" s="9"/>
      <c r="B79" s="46"/>
      <c r="C79" s="132" t="str">
        <f>Asset4</f>
        <v>Zone Substation</v>
      </c>
      <c r="D79" s="9"/>
      <c r="E79" s="9"/>
      <c r="F79" s="143"/>
      <c r="G79" s="198">
        <f t="shared" si="0"/>
        <v>0</v>
      </c>
      <c r="H79" s="119"/>
      <c r="I79" s="119"/>
      <c r="J79" s="119"/>
      <c r="K79" s="119"/>
      <c r="L79" s="119"/>
      <c r="M79" s="153"/>
      <c r="N79" s="154"/>
      <c r="O79" s="154"/>
      <c r="P79" s="154"/>
      <c r="Q79" s="154"/>
      <c r="R79" s="102"/>
      <c r="S79" s="102"/>
      <c r="T79" s="102"/>
      <c r="U79" s="102"/>
      <c r="V79" s="102"/>
      <c r="W79" s="102"/>
      <c r="X79" s="102"/>
      <c r="Y79" s="102"/>
      <c r="Z79" s="102"/>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5"/>
      <c r="BK79" s="225"/>
    </row>
    <row r="80" spans="1:63" hidden="1" outlineLevel="1">
      <c r="A80" s="9"/>
      <c r="B80" s="46"/>
      <c r="C80" s="132" t="str">
        <f>Asset5</f>
        <v>Distribution Substations</v>
      </c>
      <c r="D80" s="9"/>
      <c r="E80" s="9"/>
      <c r="F80" s="143"/>
      <c r="G80" s="198">
        <f t="shared" si="0"/>
        <v>0</v>
      </c>
      <c r="H80" s="119"/>
      <c r="I80" s="119"/>
      <c r="J80" s="119"/>
      <c r="K80" s="119"/>
      <c r="L80" s="119"/>
      <c r="M80" s="153"/>
      <c r="N80" s="154"/>
      <c r="O80" s="154"/>
      <c r="P80" s="154"/>
      <c r="Q80" s="154"/>
      <c r="R80" s="102"/>
      <c r="S80" s="102"/>
      <c r="T80" s="102"/>
      <c r="U80" s="102"/>
      <c r="V80" s="102"/>
      <c r="W80" s="102"/>
      <c r="X80" s="102"/>
      <c r="Y80" s="102"/>
      <c r="Z80" s="102"/>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5"/>
      <c r="BK80" s="225"/>
    </row>
    <row r="81" spans="1:63" hidden="1" outlineLevel="1">
      <c r="A81" s="9"/>
      <c r="B81" s="46"/>
      <c r="C81" s="132" t="str">
        <f>Asset6</f>
        <v>Distribution Overhead Lines</v>
      </c>
      <c r="D81" s="9"/>
      <c r="E81" s="9"/>
      <c r="F81" s="143"/>
      <c r="G81" s="198">
        <f t="shared" si="0"/>
        <v>0</v>
      </c>
      <c r="H81" s="119"/>
      <c r="I81" s="119"/>
      <c r="J81" s="119"/>
      <c r="K81" s="119"/>
      <c r="L81" s="119"/>
      <c r="M81" s="153"/>
      <c r="N81" s="154"/>
      <c r="O81" s="154"/>
      <c r="P81" s="154"/>
      <c r="Q81" s="154"/>
      <c r="R81" s="102"/>
      <c r="S81" s="102"/>
      <c r="T81" s="102"/>
      <c r="U81" s="102"/>
      <c r="V81" s="102"/>
      <c r="W81" s="102"/>
      <c r="X81" s="102"/>
      <c r="Y81" s="102"/>
      <c r="Z81" s="102"/>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5"/>
      <c r="BK81" s="225"/>
    </row>
    <row r="82" spans="1:63" hidden="1" outlineLevel="1">
      <c r="A82" s="9"/>
      <c r="B82" s="46"/>
      <c r="C82" s="132" t="str">
        <f>Asset7</f>
        <v>Distribution Underground Lines</v>
      </c>
      <c r="D82" s="9"/>
      <c r="E82" s="9"/>
      <c r="F82" s="143"/>
      <c r="G82" s="198">
        <f t="shared" si="0"/>
        <v>0</v>
      </c>
      <c r="H82" s="119"/>
      <c r="I82" s="119"/>
      <c r="J82" s="119"/>
      <c r="K82" s="119"/>
      <c r="L82" s="119"/>
      <c r="M82" s="153"/>
      <c r="N82" s="154"/>
      <c r="O82" s="154"/>
      <c r="P82" s="154"/>
      <c r="Q82" s="154"/>
      <c r="R82" s="102"/>
      <c r="S82" s="102"/>
      <c r="T82" s="102"/>
      <c r="U82" s="102"/>
      <c r="V82" s="102"/>
      <c r="W82" s="102"/>
      <c r="X82" s="102"/>
      <c r="Y82" s="102"/>
      <c r="Z82" s="102"/>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5"/>
      <c r="BK82" s="225"/>
    </row>
    <row r="83" spans="1:63" hidden="1" outlineLevel="1">
      <c r="A83" s="9"/>
      <c r="B83" s="46"/>
      <c r="C83" s="132" t="str">
        <f>Asset8</f>
        <v>IT &amp; Communication Systems (Networks)</v>
      </c>
      <c r="D83" s="9"/>
      <c r="E83" s="9"/>
      <c r="F83" s="143"/>
      <c r="G83" s="198">
        <f t="shared" si="0"/>
        <v>0</v>
      </c>
      <c r="H83" s="119"/>
      <c r="I83" s="119"/>
      <c r="J83" s="119"/>
      <c r="K83" s="119"/>
      <c r="L83" s="119"/>
      <c r="M83" s="153"/>
      <c r="N83" s="154"/>
      <c r="O83" s="154"/>
      <c r="P83" s="154"/>
      <c r="Q83" s="154"/>
      <c r="R83" s="102"/>
      <c r="S83" s="102"/>
      <c r="T83" s="102"/>
      <c r="U83" s="102"/>
      <c r="V83" s="102"/>
      <c r="W83" s="102"/>
      <c r="X83" s="102"/>
      <c r="Y83" s="102"/>
      <c r="Z83" s="102"/>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5"/>
      <c r="BK83" s="225"/>
    </row>
    <row r="84" spans="1:63" hidden="1" outlineLevel="1">
      <c r="A84" s="9"/>
      <c r="B84" s="46"/>
      <c r="C84" s="132" t="str">
        <f>Asset9</f>
        <v>Motor Vehicles</v>
      </c>
      <c r="D84" s="9"/>
      <c r="E84" s="9"/>
      <c r="F84" s="143"/>
      <c r="G84" s="198">
        <f t="shared" si="0"/>
        <v>0</v>
      </c>
      <c r="H84" s="119"/>
      <c r="I84" s="119"/>
      <c r="J84" s="119"/>
      <c r="K84" s="119"/>
      <c r="L84" s="119"/>
      <c r="M84" s="153"/>
      <c r="N84" s="154"/>
      <c r="O84" s="154"/>
      <c r="P84" s="154"/>
      <c r="Q84" s="154"/>
      <c r="R84" s="102"/>
      <c r="S84" s="102"/>
      <c r="T84" s="102"/>
      <c r="U84" s="102"/>
      <c r="V84" s="102"/>
      <c r="W84" s="102"/>
      <c r="X84" s="102"/>
      <c r="Y84" s="102"/>
      <c r="Z84" s="102"/>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5"/>
      <c r="BK84" s="225"/>
    </row>
    <row r="85" spans="1:63" hidden="1" outlineLevel="1">
      <c r="A85" s="9"/>
      <c r="B85" s="46"/>
      <c r="C85" s="132" t="str">
        <f>Asset10</f>
        <v>Other Non-System Assets (Networks)</v>
      </c>
      <c r="D85" s="9"/>
      <c r="E85" s="9"/>
      <c r="F85" s="143"/>
      <c r="G85" s="198">
        <f t="shared" si="0"/>
        <v>0</v>
      </c>
      <c r="H85" s="119"/>
      <c r="I85" s="119"/>
      <c r="J85" s="119"/>
      <c r="K85" s="119"/>
      <c r="L85" s="119"/>
      <c r="M85" s="153"/>
      <c r="N85" s="154"/>
      <c r="O85" s="154"/>
      <c r="P85" s="154"/>
      <c r="Q85" s="154"/>
      <c r="R85" s="102"/>
      <c r="S85" s="102"/>
      <c r="T85" s="102"/>
      <c r="U85" s="102"/>
      <c r="V85" s="102"/>
      <c r="W85" s="102"/>
      <c r="X85" s="102"/>
      <c r="Y85" s="102"/>
      <c r="Z85" s="102"/>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5"/>
      <c r="BK85" s="225"/>
    </row>
    <row r="86" spans="1:63" hidden="1" outlineLevel="1">
      <c r="A86" s="9"/>
      <c r="B86" s="46"/>
      <c r="C86" s="132" t="str">
        <f>Asset11</f>
        <v>IT Systems (Corporate)</v>
      </c>
      <c r="D86" s="9"/>
      <c r="E86" s="9"/>
      <c r="F86" s="143"/>
      <c r="G86" s="198">
        <f t="shared" si="0"/>
        <v>0</v>
      </c>
      <c r="H86" s="119"/>
      <c r="I86" s="119"/>
      <c r="J86" s="119"/>
      <c r="K86" s="119"/>
      <c r="L86" s="119"/>
      <c r="M86" s="153"/>
      <c r="N86" s="154"/>
      <c r="O86" s="154"/>
      <c r="P86" s="154"/>
      <c r="Q86" s="154"/>
      <c r="R86" s="102"/>
      <c r="S86" s="102"/>
      <c r="T86" s="102"/>
      <c r="U86" s="102"/>
      <c r="V86" s="102"/>
      <c r="W86" s="102"/>
      <c r="X86" s="102"/>
      <c r="Y86" s="102"/>
      <c r="Z86" s="102"/>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5"/>
      <c r="BK86" s="225"/>
    </row>
    <row r="87" spans="1:63" hidden="1" outlineLevel="1">
      <c r="A87" s="9"/>
      <c r="B87" s="46"/>
      <c r="C87" s="132" t="str">
        <f>Asset12</f>
        <v>Telecommunications (Corporate)</v>
      </c>
      <c r="D87" s="9"/>
      <c r="E87" s="9"/>
      <c r="F87" s="143"/>
      <c r="G87" s="198">
        <f t="shared" si="0"/>
        <v>0</v>
      </c>
      <c r="H87" s="119"/>
      <c r="I87" s="119"/>
      <c r="J87" s="119"/>
      <c r="K87" s="119"/>
      <c r="L87" s="119"/>
      <c r="M87" s="153"/>
      <c r="N87" s="154"/>
      <c r="O87" s="154"/>
      <c r="P87" s="154"/>
      <c r="Q87" s="154"/>
      <c r="R87" s="102"/>
      <c r="S87" s="102"/>
      <c r="T87" s="102"/>
      <c r="U87" s="102"/>
      <c r="V87" s="102"/>
      <c r="W87" s="102"/>
      <c r="X87" s="102"/>
      <c r="Y87" s="102"/>
      <c r="Z87" s="102"/>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5"/>
      <c r="BK87" s="225"/>
    </row>
    <row r="88" spans="1:63" hidden="1" outlineLevel="1">
      <c r="A88" s="9"/>
      <c r="B88" s="46"/>
      <c r="C88" s="132" t="str">
        <f>Asset13</f>
        <v>Other Non-System Assets (Corporate)</v>
      </c>
      <c r="D88" s="9"/>
      <c r="E88" s="9"/>
      <c r="F88" s="143"/>
      <c r="G88" s="198">
        <f t="shared" si="0"/>
        <v>0</v>
      </c>
      <c r="H88" s="119"/>
      <c r="I88" s="119"/>
      <c r="J88" s="119"/>
      <c r="K88" s="119"/>
      <c r="L88" s="119"/>
      <c r="M88" s="153"/>
      <c r="N88" s="154"/>
      <c r="O88" s="154"/>
      <c r="P88" s="154"/>
      <c r="Q88" s="154"/>
      <c r="R88" s="102"/>
      <c r="S88" s="102"/>
      <c r="T88" s="102"/>
      <c r="U88" s="102"/>
      <c r="V88" s="102"/>
      <c r="W88" s="102"/>
      <c r="X88" s="102"/>
      <c r="Y88" s="102"/>
      <c r="Z88" s="102"/>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5"/>
      <c r="BK88" s="225"/>
    </row>
    <row r="89" spans="1:63" hidden="1" outlineLevel="1">
      <c r="A89" s="9"/>
      <c r="B89" s="46"/>
      <c r="C89" s="132" t="str">
        <f>Asset14</f>
        <v>Land</v>
      </c>
      <c r="D89" s="9"/>
      <c r="E89" s="9"/>
      <c r="F89" s="143"/>
      <c r="G89" s="198">
        <f t="shared" si="0"/>
        <v>0</v>
      </c>
      <c r="H89" s="119"/>
      <c r="I89" s="119"/>
      <c r="J89" s="119"/>
      <c r="K89" s="119"/>
      <c r="L89" s="119"/>
      <c r="M89" s="153"/>
      <c r="N89" s="154"/>
      <c r="O89" s="154"/>
      <c r="P89" s="154"/>
      <c r="Q89" s="154"/>
      <c r="R89" s="102"/>
      <c r="S89" s="102"/>
      <c r="T89" s="102"/>
      <c r="U89" s="102"/>
      <c r="V89" s="102"/>
      <c r="W89" s="102"/>
      <c r="X89" s="102"/>
      <c r="Y89" s="102"/>
      <c r="Z89" s="102"/>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5"/>
      <c r="BK89" s="225"/>
    </row>
    <row r="90" spans="1:63" hidden="1" outlineLevel="1">
      <c r="A90" s="9"/>
      <c r="B90" s="46"/>
      <c r="C90" s="132" t="str">
        <f>Asset15</f>
        <v>Buildings</v>
      </c>
      <c r="D90" s="9"/>
      <c r="E90" s="9"/>
      <c r="F90" s="143"/>
      <c r="G90" s="198">
        <f t="shared" si="0"/>
        <v>0</v>
      </c>
      <c r="H90" s="119"/>
      <c r="I90" s="119"/>
      <c r="J90" s="119"/>
      <c r="K90" s="119"/>
      <c r="L90" s="119"/>
      <c r="M90" s="153"/>
      <c r="N90" s="154"/>
      <c r="O90" s="154"/>
      <c r="P90" s="154"/>
      <c r="Q90" s="154"/>
      <c r="R90" s="102"/>
      <c r="S90" s="102"/>
      <c r="T90" s="102"/>
      <c r="U90" s="102"/>
      <c r="V90" s="102"/>
      <c r="W90" s="102"/>
      <c r="X90" s="102"/>
      <c r="Y90" s="102"/>
      <c r="Z90" s="102"/>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5"/>
      <c r="BK90" s="225"/>
    </row>
    <row r="91" spans="1:63" hidden="1" outlineLevel="1">
      <c r="A91" s="9"/>
      <c r="B91" s="46"/>
      <c r="C91" s="132" t="str">
        <f>Asset16</f>
        <v>Equity raising costs</v>
      </c>
      <c r="D91" s="9"/>
      <c r="E91" s="9"/>
      <c r="F91" s="143"/>
      <c r="G91" s="198">
        <f t="shared" si="0"/>
        <v>0</v>
      </c>
      <c r="H91" s="119"/>
      <c r="I91" s="119"/>
      <c r="J91" s="119"/>
      <c r="K91" s="119"/>
      <c r="L91" s="119"/>
      <c r="M91" s="153"/>
      <c r="N91" s="154"/>
      <c r="O91" s="154"/>
      <c r="P91" s="154"/>
      <c r="Q91" s="154"/>
      <c r="R91" s="102"/>
      <c r="S91" s="102"/>
      <c r="T91" s="102"/>
      <c r="U91" s="102"/>
      <c r="V91" s="102"/>
      <c r="W91" s="102"/>
      <c r="X91" s="102"/>
      <c r="Y91" s="102"/>
      <c r="Z91" s="102"/>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5"/>
      <c r="BK91" s="225"/>
    </row>
    <row r="92" spans="1:63" hidden="1" outlineLevel="1">
      <c r="A92" s="9"/>
      <c r="B92" s="46"/>
      <c r="C92" s="132">
        <f>Asset17</f>
        <v>0</v>
      </c>
      <c r="D92" s="9"/>
      <c r="E92" s="9"/>
      <c r="F92" s="143"/>
      <c r="G92" s="198">
        <f t="shared" si="0"/>
        <v>0</v>
      </c>
      <c r="H92" s="119"/>
      <c r="I92" s="119"/>
      <c r="J92" s="119"/>
      <c r="K92" s="119"/>
      <c r="L92" s="119"/>
      <c r="M92" s="153"/>
      <c r="N92" s="154"/>
      <c r="O92" s="154"/>
      <c r="P92" s="154"/>
      <c r="Q92" s="154"/>
      <c r="R92" s="102"/>
      <c r="S92" s="102"/>
      <c r="T92" s="102"/>
      <c r="U92" s="102"/>
      <c r="V92" s="102"/>
      <c r="W92" s="102"/>
      <c r="X92" s="102"/>
      <c r="Y92" s="102"/>
      <c r="Z92" s="102"/>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5"/>
      <c r="BK92" s="225"/>
    </row>
    <row r="93" spans="1:63" hidden="1" outlineLevel="1">
      <c r="A93" s="9"/>
      <c r="B93" s="46"/>
      <c r="C93" s="132">
        <f>Asset18</f>
        <v>0</v>
      </c>
      <c r="D93" s="9"/>
      <c r="E93" s="9"/>
      <c r="F93" s="143"/>
      <c r="G93" s="198">
        <f t="shared" si="0"/>
        <v>0</v>
      </c>
      <c r="H93" s="119"/>
      <c r="I93" s="119"/>
      <c r="J93" s="119"/>
      <c r="K93" s="119"/>
      <c r="L93" s="119"/>
      <c r="M93" s="153"/>
      <c r="N93" s="154"/>
      <c r="O93" s="154"/>
      <c r="P93" s="154"/>
      <c r="Q93" s="154"/>
      <c r="R93" s="102"/>
      <c r="S93" s="102"/>
      <c r="T93" s="102"/>
      <c r="U93" s="102"/>
      <c r="V93" s="102"/>
      <c r="W93" s="102"/>
      <c r="X93" s="102"/>
      <c r="Y93" s="102"/>
      <c r="Z93" s="102"/>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5"/>
      <c r="BK93" s="225"/>
    </row>
    <row r="94" spans="1:63" hidden="1" outlineLevel="1">
      <c r="A94" s="9"/>
      <c r="B94" s="46"/>
      <c r="C94" s="132">
        <f>Asset19</f>
        <v>0</v>
      </c>
      <c r="D94" s="9"/>
      <c r="E94" s="9"/>
      <c r="F94" s="143"/>
      <c r="G94" s="198">
        <f t="shared" si="0"/>
        <v>0</v>
      </c>
      <c r="H94" s="119"/>
      <c r="I94" s="119"/>
      <c r="J94" s="119"/>
      <c r="K94" s="119"/>
      <c r="L94" s="119"/>
      <c r="M94" s="153"/>
      <c r="N94" s="154"/>
      <c r="O94" s="154"/>
      <c r="P94" s="154"/>
      <c r="Q94" s="154"/>
      <c r="R94" s="102"/>
      <c r="S94" s="102"/>
      <c r="T94" s="102"/>
      <c r="U94" s="102"/>
      <c r="V94" s="102"/>
      <c r="W94" s="102"/>
      <c r="X94" s="102"/>
      <c r="Y94" s="102"/>
      <c r="Z94" s="102"/>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5"/>
      <c r="BK94" s="225"/>
    </row>
    <row r="95" spans="1:63" hidden="1" outlineLevel="1">
      <c r="A95" s="9"/>
      <c r="B95" s="46"/>
      <c r="C95" s="132">
        <f>Asset20</f>
        <v>0</v>
      </c>
      <c r="D95" s="9"/>
      <c r="E95" s="9"/>
      <c r="F95" s="143"/>
      <c r="G95" s="198">
        <f t="shared" si="0"/>
        <v>0</v>
      </c>
      <c r="H95" s="119"/>
      <c r="I95" s="119"/>
      <c r="J95" s="119"/>
      <c r="K95" s="119"/>
      <c r="L95" s="119"/>
      <c r="M95" s="153"/>
      <c r="N95" s="154"/>
      <c r="O95" s="154"/>
      <c r="P95" s="154"/>
      <c r="Q95" s="154"/>
      <c r="R95" s="102"/>
      <c r="S95" s="102"/>
      <c r="T95" s="102"/>
      <c r="U95" s="102"/>
      <c r="V95" s="102"/>
      <c r="W95" s="102"/>
      <c r="X95" s="102"/>
      <c r="Y95" s="102"/>
      <c r="Z95" s="102"/>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5"/>
      <c r="BK95" s="225"/>
    </row>
    <row r="96" spans="1:63" hidden="1" outlineLevel="1">
      <c r="A96" s="9"/>
      <c r="B96" s="46"/>
      <c r="C96" s="132">
        <f>Asset21</f>
        <v>0</v>
      </c>
      <c r="D96" s="9"/>
      <c r="E96" s="9"/>
      <c r="F96" s="143"/>
      <c r="G96" s="198">
        <f t="shared" ref="G96:G105" si="1">G64*(1+$F$6)/(1+$G$6)-G32</f>
        <v>0</v>
      </c>
      <c r="H96" s="119"/>
      <c r="I96" s="119"/>
      <c r="J96" s="119"/>
      <c r="K96" s="119"/>
      <c r="L96" s="119"/>
      <c r="M96" s="153"/>
      <c r="N96" s="154"/>
      <c r="O96" s="154"/>
      <c r="P96" s="154"/>
      <c r="Q96" s="154"/>
      <c r="R96" s="102"/>
      <c r="S96" s="102"/>
      <c r="T96" s="102"/>
      <c r="U96" s="102"/>
      <c r="V96" s="102"/>
      <c r="W96" s="102"/>
      <c r="X96" s="102"/>
      <c r="Y96" s="102"/>
      <c r="Z96" s="102"/>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5"/>
      <c r="BK96" s="225"/>
    </row>
    <row r="97" spans="1:63" hidden="1" outlineLevel="1">
      <c r="A97" s="9"/>
      <c r="B97" s="46"/>
      <c r="C97" s="132">
        <f>Asset22</f>
        <v>0</v>
      </c>
      <c r="D97" s="9"/>
      <c r="E97" s="9"/>
      <c r="F97" s="143"/>
      <c r="G97" s="198">
        <f t="shared" si="1"/>
        <v>0</v>
      </c>
      <c r="H97" s="119"/>
      <c r="I97" s="119"/>
      <c r="J97" s="119"/>
      <c r="K97" s="119"/>
      <c r="L97" s="119"/>
      <c r="M97" s="153"/>
      <c r="N97" s="154"/>
      <c r="O97" s="154"/>
      <c r="P97" s="154"/>
      <c r="Q97" s="154"/>
      <c r="R97" s="102"/>
      <c r="S97" s="102"/>
      <c r="T97" s="102"/>
      <c r="U97" s="102"/>
      <c r="V97" s="102"/>
      <c r="W97" s="102"/>
      <c r="X97" s="102"/>
      <c r="Y97" s="102"/>
      <c r="Z97" s="102"/>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5"/>
      <c r="BK97" s="225"/>
    </row>
    <row r="98" spans="1:63" hidden="1" outlineLevel="1">
      <c r="A98" s="9"/>
      <c r="B98" s="46"/>
      <c r="C98" s="132">
        <f>Asset23</f>
        <v>0</v>
      </c>
      <c r="D98" s="9"/>
      <c r="E98" s="9"/>
      <c r="F98" s="143"/>
      <c r="G98" s="198">
        <f t="shared" si="1"/>
        <v>0</v>
      </c>
      <c r="H98" s="119"/>
      <c r="I98" s="119"/>
      <c r="J98" s="119"/>
      <c r="K98" s="119"/>
      <c r="L98" s="119"/>
      <c r="M98" s="153"/>
      <c r="N98" s="154"/>
      <c r="O98" s="154"/>
      <c r="P98" s="154"/>
      <c r="Q98" s="154"/>
      <c r="R98" s="102"/>
      <c r="S98" s="102"/>
      <c r="T98" s="102"/>
      <c r="U98" s="102"/>
      <c r="V98" s="102"/>
      <c r="W98" s="102"/>
      <c r="X98" s="102"/>
      <c r="Y98" s="102"/>
      <c r="Z98" s="102"/>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5"/>
      <c r="BK98" s="225"/>
    </row>
    <row r="99" spans="1:63" hidden="1" outlineLevel="1">
      <c r="A99" s="9"/>
      <c r="B99" s="46"/>
      <c r="C99" s="132">
        <f>Asset24</f>
        <v>0</v>
      </c>
      <c r="D99" s="9"/>
      <c r="E99" s="9"/>
      <c r="F99" s="143"/>
      <c r="G99" s="198">
        <f t="shared" si="1"/>
        <v>0</v>
      </c>
      <c r="H99" s="119"/>
      <c r="I99" s="119"/>
      <c r="J99" s="119"/>
      <c r="K99" s="119"/>
      <c r="L99" s="119"/>
      <c r="M99" s="153"/>
      <c r="N99" s="154"/>
      <c r="O99" s="154"/>
      <c r="P99" s="154"/>
      <c r="Q99" s="154"/>
      <c r="R99" s="102"/>
      <c r="S99" s="102"/>
      <c r="T99" s="102"/>
      <c r="U99" s="102"/>
      <c r="V99" s="102"/>
      <c r="W99" s="102"/>
      <c r="X99" s="102"/>
      <c r="Y99" s="102"/>
      <c r="Z99" s="102"/>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5"/>
      <c r="BK99" s="225"/>
    </row>
    <row r="100" spans="1:63" hidden="1" outlineLevel="1">
      <c r="A100" s="9"/>
      <c r="B100" s="46"/>
      <c r="C100" s="132">
        <f>Asset25</f>
        <v>0</v>
      </c>
      <c r="D100" s="9"/>
      <c r="E100" s="9"/>
      <c r="F100" s="143"/>
      <c r="G100" s="198">
        <f t="shared" si="1"/>
        <v>0</v>
      </c>
      <c r="H100" s="119"/>
      <c r="I100" s="119"/>
      <c r="J100" s="119"/>
      <c r="K100" s="119"/>
      <c r="L100" s="119"/>
      <c r="M100" s="153"/>
      <c r="N100" s="154"/>
      <c r="O100" s="154"/>
      <c r="P100" s="154"/>
      <c r="Q100" s="154"/>
      <c r="R100" s="102"/>
      <c r="S100" s="102"/>
      <c r="T100" s="102"/>
      <c r="U100" s="102"/>
      <c r="V100" s="102"/>
      <c r="W100" s="102"/>
      <c r="X100" s="102"/>
      <c r="Y100" s="102"/>
      <c r="Z100" s="102"/>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5"/>
      <c r="BK100" s="225"/>
    </row>
    <row r="101" spans="1:63" hidden="1" outlineLevel="1">
      <c r="A101" s="9"/>
      <c r="B101" s="46"/>
      <c r="C101" s="132">
        <f>Asset26</f>
        <v>0</v>
      </c>
      <c r="D101" s="9"/>
      <c r="E101" s="9"/>
      <c r="F101" s="143"/>
      <c r="G101" s="198">
        <f t="shared" si="1"/>
        <v>0</v>
      </c>
      <c r="H101" s="119"/>
      <c r="I101" s="119"/>
      <c r="J101" s="119"/>
      <c r="K101" s="119"/>
      <c r="L101" s="119"/>
      <c r="M101" s="153"/>
      <c r="N101" s="154"/>
      <c r="O101" s="154"/>
      <c r="P101" s="154"/>
      <c r="Q101" s="154"/>
      <c r="R101" s="102"/>
      <c r="S101" s="102"/>
      <c r="T101" s="102"/>
      <c r="U101" s="102"/>
      <c r="V101" s="102"/>
      <c r="W101" s="102"/>
      <c r="X101" s="102"/>
      <c r="Y101" s="102"/>
      <c r="Z101" s="102"/>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5"/>
      <c r="BK101" s="225"/>
    </row>
    <row r="102" spans="1:63" hidden="1" outlineLevel="1">
      <c r="A102" s="9"/>
      <c r="B102" s="46"/>
      <c r="C102" s="132">
        <f>Asset27</f>
        <v>0</v>
      </c>
      <c r="D102" s="9"/>
      <c r="E102" s="9"/>
      <c r="F102" s="143"/>
      <c r="G102" s="198">
        <f t="shared" si="1"/>
        <v>0</v>
      </c>
      <c r="H102" s="119"/>
      <c r="I102" s="119"/>
      <c r="J102" s="119"/>
      <c r="K102" s="119"/>
      <c r="L102" s="119"/>
      <c r="M102" s="153"/>
      <c r="N102" s="154"/>
      <c r="O102" s="154"/>
      <c r="P102" s="154"/>
      <c r="Q102" s="154"/>
      <c r="R102" s="102"/>
      <c r="S102" s="102"/>
      <c r="T102" s="102"/>
      <c r="U102" s="102"/>
      <c r="V102" s="102"/>
      <c r="W102" s="102"/>
      <c r="X102" s="102"/>
      <c r="Y102" s="102"/>
      <c r="Z102" s="102"/>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5"/>
      <c r="BK102" s="225"/>
    </row>
    <row r="103" spans="1:63" hidden="1" outlineLevel="1">
      <c r="A103" s="9"/>
      <c r="B103" s="46"/>
      <c r="C103" s="132">
        <f>Asset28</f>
        <v>0</v>
      </c>
      <c r="D103" s="9"/>
      <c r="E103" s="9"/>
      <c r="F103" s="143"/>
      <c r="G103" s="198">
        <f t="shared" si="1"/>
        <v>0</v>
      </c>
      <c r="H103" s="119"/>
      <c r="I103" s="119"/>
      <c r="J103" s="119"/>
      <c r="K103" s="119"/>
      <c r="L103" s="119"/>
      <c r="M103" s="153"/>
      <c r="N103" s="154"/>
      <c r="O103" s="154"/>
      <c r="P103" s="154"/>
      <c r="Q103" s="154"/>
      <c r="R103" s="102"/>
      <c r="S103" s="102"/>
      <c r="T103" s="102"/>
      <c r="U103" s="102"/>
      <c r="V103" s="102"/>
      <c r="W103" s="102"/>
      <c r="X103" s="102"/>
      <c r="Y103" s="102"/>
      <c r="Z103" s="102"/>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5"/>
      <c r="BK103" s="225"/>
    </row>
    <row r="104" spans="1:63" hidden="1" outlineLevel="1">
      <c r="A104" s="9"/>
      <c r="B104" s="46"/>
      <c r="C104" s="132">
        <f>Asset29</f>
        <v>0</v>
      </c>
      <c r="D104" s="9"/>
      <c r="E104" s="9"/>
      <c r="F104" s="143"/>
      <c r="G104" s="198">
        <f t="shared" si="1"/>
        <v>0</v>
      </c>
      <c r="H104" s="119"/>
      <c r="I104" s="119"/>
      <c r="J104" s="119"/>
      <c r="K104" s="119"/>
      <c r="L104" s="119"/>
      <c r="M104" s="153"/>
      <c r="N104" s="154"/>
      <c r="O104" s="154"/>
      <c r="P104" s="154"/>
      <c r="Q104" s="154"/>
      <c r="R104" s="102"/>
      <c r="S104" s="102"/>
      <c r="T104" s="102"/>
      <c r="U104" s="102"/>
      <c r="V104" s="102"/>
      <c r="W104" s="102"/>
      <c r="X104" s="102"/>
      <c r="Y104" s="102"/>
      <c r="Z104" s="102"/>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5"/>
      <c r="BK104" s="225"/>
    </row>
    <row r="105" spans="1:63" hidden="1" outlineLevel="1">
      <c r="A105" s="9"/>
      <c r="B105" s="46"/>
      <c r="C105" s="132">
        <f>Asset30</f>
        <v>0</v>
      </c>
      <c r="D105" s="9"/>
      <c r="E105" s="9"/>
      <c r="F105" s="143"/>
      <c r="G105" s="198">
        <f t="shared" si="1"/>
        <v>0</v>
      </c>
      <c r="H105" s="119"/>
      <c r="I105" s="119"/>
      <c r="J105" s="119"/>
      <c r="K105" s="119"/>
      <c r="L105" s="119"/>
      <c r="M105" s="153"/>
      <c r="N105" s="154"/>
      <c r="O105" s="154"/>
      <c r="P105" s="154"/>
      <c r="Q105" s="154"/>
      <c r="R105" s="102"/>
      <c r="S105" s="102"/>
      <c r="T105" s="102"/>
      <c r="U105" s="102"/>
      <c r="V105" s="102"/>
      <c r="W105" s="102"/>
      <c r="X105" s="102"/>
      <c r="Y105" s="102"/>
      <c r="Z105" s="102"/>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5"/>
      <c r="BK105" s="225"/>
    </row>
    <row r="106" spans="1:63" collapsed="1">
      <c r="A106" s="9"/>
      <c r="B106" s="46"/>
      <c r="C106" s="132"/>
      <c r="D106" s="9"/>
      <c r="E106" s="9"/>
      <c r="F106" s="143"/>
      <c r="G106" s="198"/>
      <c r="H106" s="119"/>
      <c r="I106" s="119"/>
      <c r="J106" s="119"/>
      <c r="K106" s="119"/>
      <c r="L106" s="119"/>
      <c r="M106" s="153"/>
      <c r="N106" s="154"/>
      <c r="O106" s="154"/>
      <c r="P106" s="154"/>
      <c r="Q106" s="154"/>
      <c r="R106" s="102"/>
      <c r="S106" s="102"/>
      <c r="T106" s="102"/>
      <c r="U106" s="102"/>
      <c r="V106" s="102"/>
      <c r="W106" s="102"/>
      <c r="X106" s="102"/>
      <c r="Y106" s="102"/>
      <c r="Z106" s="102"/>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5"/>
      <c r="BK106" s="225"/>
    </row>
    <row r="107" spans="1:63">
      <c r="A107" s="9"/>
      <c r="B107" s="46" t="s">
        <v>61</v>
      </c>
      <c r="C107" s="9"/>
      <c r="D107" s="9"/>
      <c r="E107" s="9"/>
      <c r="F107" s="143"/>
      <c r="G107" s="199"/>
      <c r="H107" s="37">
        <f>SUM(H108,H110,H112,H114,H116,H118,H120,H122,H124,H126,H128,H130,H132,H134,H136,H138,H140,H142,H144,H146,H148,H150,H152,H154,H156,H158,H160,H162,H164,H166)</f>
        <v>-0.5640699517754153</v>
      </c>
      <c r="I107" s="37">
        <f t="shared" ref="I107:Q107" si="2">SUM(I108,I110,I112,I114,I116,I118,I120,I122,I124,I126,I128,I130,I132,I134,I136,I138,I140,I142,I144,I146,I148,I150,I152,I154,I156,I158,I160,I162,I164,I166)</f>
        <v>-0.69171538898308738</v>
      </c>
      <c r="J107" s="37">
        <f t="shared" si="2"/>
        <v>-0.80273286562109147</v>
      </c>
      <c r="K107" s="37">
        <f t="shared" si="2"/>
        <v>-0.72512829100727971</v>
      </c>
      <c r="L107" s="37">
        <f>SUM(L108,L110,L112,L114,L116,L118,L120,L122,L124,L126,L128,L130,L132,L134,L136,L138,L140,L142,L144,L146,L148,L150,L152,L154,L156,L158,L160,L162,L164,L166)</f>
        <v>-0.85451416803031188</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5"/>
      <c r="BK107" s="225"/>
    </row>
    <row r="108" spans="1:63" hidden="1" outlineLevel="1">
      <c r="A108" s="9"/>
      <c r="B108" s="46"/>
      <c r="C108" s="132" t="str">
        <f>Asset1</f>
        <v>Opening Distribution Assets</v>
      </c>
      <c r="D108" s="9"/>
      <c r="E108" s="9"/>
      <c r="F108" s="143"/>
      <c r="G108" s="198"/>
      <c r="H108" s="113">
        <f>($G76+(SUM($G108:G108)))*H$7</f>
        <v>-0.5640699517754153</v>
      </c>
      <c r="I108" s="113">
        <f>($G76+(SUM($G108:H108)))*I$7</f>
        <v>-0.69171538898308738</v>
      </c>
      <c r="J108" s="113">
        <f>($G76+(SUM($G108:I108)))*J$7</f>
        <v>-0.80273286562109147</v>
      </c>
      <c r="K108" s="113">
        <f>($G76+(SUM($G108:J108)))*K$7</f>
        <v>-0.72512829100727971</v>
      </c>
      <c r="L108" s="113">
        <f>($G76+(SUM($G108:K108)))*L$7</f>
        <v>-0.85451416803031188</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5"/>
      <c r="BK108" s="225"/>
    </row>
    <row r="109" spans="1:63" hidden="1" outlineLevel="1">
      <c r="A109" s="9"/>
      <c r="B109" s="46"/>
      <c r="C109" s="156" t="s">
        <v>29</v>
      </c>
      <c r="D109" s="9"/>
      <c r="E109" s="9"/>
      <c r="F109" s="143"/>
      <c r="G109" s="198"/>
      <c r="H109" s="113"/>
      <c r="I109" s="113"/>
      <c r="J109" s="113"/>
      <c r="K109" s="113"/>
      <c r="L109" s="113">
        <f>IF(M108=0, SUM($G108:L108), 0)</f>
        <v>-3.6381606654171859</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5"/>
      <c r="BK109" s="225"/>
    </row>
    <row r="110" spans="1:63" hidden="1" outlineLevel="1">
      <c r="A110" s="9"/>
      <c r="B110" s="46"/>
      <c r="C110" s="132" t="str">
        <f>Asset2</f>
        <v>Sub-transmission Overhead</v>
      </c>
      <c r="D110" s="9"/>
      <c r="E110" s="9"/>
      <c r="F110" s="143"/>
      <c r="G110" s="198"/>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5"/>
      <c r="BK110" s="225"/>
    </row>
    <row r="111" spans="1:63" hidden="1" outlineLevel="1">
      <c r="A111" s="9"/>
      <c r="B111" s="46"/>
      <c r="C111" s="156" t="s">
        <v>29</v>
      </c>
      <c r="D111" s="9"/>
      <c r="E111" s="9"/>
      <c r="F111" s="143"/>
      <c r="G111" s="198"/>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5"/>
      <c r="BK111" s="225"/>
    </row>
    <row r="112" spans="1:63" hidden="1" outlineLevel="1">
      <c r="A112" s="9"/>
      <c r="B112" s="46"/>
      <c r="C112" s="132" t="str">
        <f>Asset3</f>
        <v>Sub-transmission Underground</v>
      </c>
      <c r="D112" s="9"/>
      <c r="E112" s="9"/>
      <c r="F112" s="143"/>
      <c r="G112" s="198"/>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5"/>
      <c r="BK112" s="225"/>
    </row>
    <row r="113" spans="1:63" hidden="1" outlineLevel="1">
      <c r="A113" s="9"/>
      <c r="B113" s="46"/>
      <c r="C113" s="156" t="s">
        <v>29</v>
      </c>
      <c r="D113" s="9"/>
      <c r="E113" s="9"/>
      <c r="F113" s="143"/>
      <c r="G113" s="198"/>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5"/>
      <c r="BK113" s="225"/>
    </row>
    <row r="114" spans="1:63" hidden="1" outlineLevel="1">
      <c r="A114" s="9"/>
      <c r="B114" s="46"/>
      <c r="C114" s="132" t="str">
        <f>Asset4</f>
        <v>Zone Substation</v>
      </c>
      <c r="D114" s="9"/>
      <c r="E114" s="9"/>
      <c r="F114" s="143"/>
      <c r="G114" s="198"/>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5"/>
      <c r="BK114" s="225"/>
    </row>
    <row r="115" spans="1:63" hidden="1" outlineLevel="1">
      <c r="A115" s="9"/>
      <c r="B115" s="46"/>
      <c r="C115" s="156" t="s">
        <v>29</v>
      </c>
      <c r="D115" s="9"/>
      <c r="E115" s="9"/>
      <c r="F115" s="143"/>
      <c r="G115" s="198"/>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5"/>
      <c r="BK115" s="225"/>
    </row>
    <row r="116" spans="1:63" hidden="1" outlineLevel="1">
      <c r="A116" s="9"/>
      <c r="B116" s="46"/>
      <c r="C116" s="132" t="str">
        <f>Asset5</f>
        <v>Distribution Substations</v>
      </c>
      <c r="D116" s="9"/>
      <c r="E116" s="9"/>
      <c r="F116" s="143"/>
      <c r="G116" s="198"/>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5"/>
      <c r="BK116" s="225"/>
    </row>
    <row r="117" spans="1:63" hidden="1" outlineLevel="1">
      <c r="A117" s="9"/>
      <c r="B117" s="46"/>
      <c r="C117" s="156" t="s">
        <v>29</v>
      </c>
      <c r="D117" s="9"/>
      <c r="E117" s="9"/>
      <c r="F117" s="143"/>
      <c r="G117" s="198"/>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5"/>
      <c r="BK117" s="225"/>
    </row>
    <row r="118" spans="1:63" hidden="1" outlineLevel="1">
      <c r="A118" s="9"/>
      <c r="B118" s="46"/>
      <c r="C118" s="132" t="str">
        <f>Asset6</f>
        <v>Distribution Overhead Lines</v>
      </c>
      <c r="D118" s="9"/>
      <c r="E118" s="9"/>
      <c r="F118" s="143"/>
      <c r="G118" s="198"/>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5"/>
      <c r="BK118" s="225"/>
    </row>
    <row r="119" spans="1:63" hidden="1" outlineLevel="1">
      <c r="A119" s="9"/>
      <c r="B119" s="46"/>
      <c r="C119" s="156" t="s">
        <v>29</v>
      </c>
      <c r="D119" s="9"/>
      <c r="E119" s="9"/>
      <c r="F119" s="143"/>
      <c r="G119" s="198"/>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5"/>
      <c r="BK119" s="225"/>
    </row>
    <row r="120" spans="1:63" hidden="1" outlineLevel="1">
      <c r="A120" s="9"/>
      <c r="B120" s="46"/>
      <c r="C120" s="132" t="str">
        <f>Asset7</f>
        <v>Distribution Underground Lines</v>
      </c>
      <c r="D120" s="9"/>
      <c r="E120" s="9"/>
      <c r="F120" s="143"/>
      <c r="G120" s="198"/>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5"/>
      <c r="BK120" s="225"/>
    </row>
    <row r="121" spans="1:63" hidden="1" outlineLevel="1">
      <c r="A121" s="9"/>
      <c r="B121" s="46"/>
      <c r="C121" s="156" t="s">
        <v>29</v>
      </c>
      <c r="D121" s="9"/>
      <c r="E121" s="9"/>
      <c r="F121" s="143"/>
      <c r="G121" s="198"/>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5"/>
      <c r="BK121" s="225"/>
    </row>
    <row r="122" spans="1:63" hidden="1" outlineLevel="1">
      <c r="A122" s="9"/>
      <c r="B122" s="46"/>
      <c r="C122" s="132" t="str">
        <f>Asset8</f>
        <v>IT &amp; Communication Systems (Networks)</v>
      </c>
      <c r="D122" s="9"/>
      <c r="E122" s="9"/>
      <c r="F122" s="143"/>
      <c r="G122" s="198"/>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5"/>
      <c r="BK122" s="225"/>
    </row>
    <row r="123" spans="1:63" hidden="1" outlineLevel="1">
      <c r="A123" s="9"/>
      <c r="B123" s="46"/>
      <c r="C123" s="156" t="s">
        <v>29</v>
      </c>
      <c r="D123" s="9"/>
      <c r="E123" s="9"/>
      <c r="F123" s="143"/>
      <c r="G123" s="198"/>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5"/>
      <c r="BK123" s="225"/>
    </row>
    <row r="124" spans="1:63" hidden="1" outlineLevel="1">
      <c r="A124" s="9"/>
      <c r="B124" s="46"/>
      <c r="C124" s="132" t="str">
        <f>Asset9</f>
        <v>Motor Vehicles</v>
      </c>
      <c r="D124" s="9"/>
      <c r="E124" s="9"/>
      <c r="F124" s="143"/>
      <c r="G124" s="198"/>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5"/>
      <c r="BK124" s="225"/>
    </row>
    <row r="125" spans="1:63" hidden="1" outlineLevel="1">
      <c r="A125" s="9"/>
      <c r="B125" s="46"/>
      <c r="C125" s="156" t="s">
        <v>29</v>
      </c>
      <c r="D125" s="9"/>
      <c r="E125" s="9"/>
      <c r="F125" s="143"/>
      <c r="G125" s="198"/>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5"/>
      <c r="BK125" s="225"/>
    </row>
    <row r="126" spans="1:63" hidden="1" outlineLevel="1">
      <c r="A126" s="9"/>
      <c r="B126" s="46"/>
      <c r="C126" s="132" t="str">
        <f>Asset10</f>
        <v>Other Non-System Assets (Networks)</v>
      </c>
      <c r="D126" s="9"/>
      <c r="E126" s="9"/>
      <c r="F126" s="143"/>
      <c r="G126" s="198"/>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5"/>
      <c r="BK126" s="225"/>
    </row>
    <row r="127" spans="1:63" hidden="1" outlineLevel="1">
      <c r="A127" s="9"/>
      <c r="B127" s="46"/>
      <c r="C127" s="156" t="s">
        <v>29</v>
      </c>
      <c r="D127" s="9"/>
      <c r="E127" s="9"/>
      <c r="F127" s="143"/>
      <c r="G127" s="198"/>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5"/>
      <c r="BK127" s="225"/>
    </row>
    <row r="128" spans="1:63" hidden="1" outlineLevel="1">
      <c r="A128" s="9"/>
      <c r="B128" s="46"/>
      <c r="C128" s="132" t="str">
        <f>Asset11</f>
        <v>IT Systems (Corporate)</v>
      </c>
      <c r="D128" s="9"/>
      <c r="E128" s="9"/>
      <c r="F128" s="143"/>
      <c r="G128" s="198"/>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5"/>
      <c r="BK128" s="225"/>
    </row>
    <row r="129" spans="1:63" hidden="1" outlineLevel="1">
      <c r="A129" s="9"/>
      <c r="B129" s="46"/>
      <c r="C129" s="156" t="s">
        <v>29</v>
      </c>
      <c r="D129" s="9"/>
      <c r="E129" s="9"/>
      <c r="F129" s="143"/>
      <c r="G129" s="198"/>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5"/>
      <c r="BK129" s="225"/>
    </row>
    <row r="130" spans="1:63" hidden="1" outlineLevel="1">
      <c r="A130" s="9"/>
      <c r="B130" s="46"/>
      <c r="C130" s="132" t="str">
        <f>Asset12</f>
        <v>Telecommunications (Corporate)</v>
      </c>
      <c r="D130" s="9"/>
      <c r="E130" s="9"/>
      <c r="F130" s="143"/>
      <c r="G130" s="198"/>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5"/>
      <c r="BK130" s="225"/>
    </row>
    <row r="131" spans="1:63" hidden="1" outlineLevel="1">
      <c r="A131" s="9"/>
      <c r="B131" s="46"/>
      <c r="C131" s="156" t="s">
        <v>29</v>
      </c>
      <c r="D131" s="9"/>
      <c r="E131" s="9"/>
      <c r="F131" s="143"/>
      <c r="G131" s="198"/>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5"/>
      <c r="BK131" s="225"/>
    </row>
    <row r="132" spans="1:63" hidden="1" outlineLevel="1">
      <c r="A132" s="9"/>
      <c r="B132" s="46"/>
      <c r="C132" s="132" t="str">
        <f>Asset13</f>
        <v>Other Non-System Assets (Corporate)</v>
      </c>
      <c r="D132" s="9"/>
      <c r="E132" s="9"/>
      <c r="F132" s="143"/>
      <c r="G132" s="198"/>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5"/>
      <c r="BK132" s="225"/>
    </row>
    <row r="133" spans="1:63" hidden="1" outlineLevel="1">
      <c r="A133" s="9"/>
      <c r="B133" s="46"/>
      <c r="C133" s="156" t="s">
        <v>29</v>
      </c>
      <c r="D133" s="9"/>
      <c r="E133" s="9"/>
      <c r="F133" s="143"/>
      <c r="G133" s="198"/>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5"/>
      <c r="BK133" s="225"/>
    </row>
    <row r="134" spans="1:63" hidden="1" outlineLevel="1">
      <c r="A134" s="9"/>
      <c r="B134" s="46"/>
      <c r="C134" s="132" t="str">
        <f>Asset14</f>
        <v>Land</v>
      </c>
      <c r="D134" s="9"/>
      <c r="E134" s="9"/>
      <c r="F134" s="143"/>
      <c r="G134" s="198"/>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5"/>
      <c r="BK134" s="225"/>
    </row>
    <row r="135" spans="1:63" hidden="1" outlineLevel="1">
      <c r="A135" s="9"/>
      <c r="B135" s="46"/>
      <c r="C135" s="156" t="s">
        <v>29</v>
      </c>
      <c r="D135" s="9"/>
      <c r="E135" s="9"/>
      <c r="F135" s="143"/>
      <c r="G135" s="198"/>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5"/>
      <c r="BK135" s="225"/>
    </row>
    <row r="136" spans="1:63" hidden="1" outlineLevel="1">
      <c r="A136" s="9"/>
      <c r="B136" s="46"/>
      <c r="C136" s="132" t="str">
        <f>Asset15</f>
        <v>Buildings</v>
      </c>
      <c r="D136" s="9"/>
      <c r="E136" s="9"/>
      <c r="F136" s="143"/>
      <c r="G136" s="198"/>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5"/>
      <c r="BK136" s="225"/>
    </row>
    <row r="137" spans="1:63" hidden="1" outlineLevel="1">
      <c r="A137" s="9"/>
      <c r="B137" s="46"/>
      <c r="C137" s="156" t="s">
        <v>29</v>
      </c>
      <c r="D137" s="9"/>
      <c r="E137" s="9"/>
      <c r="F137" s="143"/>
      <c r="G137" s="198"/>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5"/>
      <c r="BK137" s="225"/>
    </row>
    <row r="138" spans="1:63" hidden="1" outlineLevel="1">
      <c r="A138" s="9"/>
      <c r="B138" s="46"/>
      <c r="C138" s="132" t="str">
        <f>Asset16</f>
        <v>Equity raising costs</v>
      </c>
      <c r="D138" s="9"/>
      <c r="E138" s="9"/>
      <c r="F138" s="143"/>
      <c r="G138" s="198"/>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5"/>
      <c r="BK138" s="225"/>
    </row>
    <row r="139" spans="1:63" hidden="1" outlineLevel="1">
      <c r="A139" s="9"/>
      <c r="B139" s="46"/>
      <c r="C139" s="156" t="s">
        <v>29</v>
      </c>
      <c r="D139" s="9"/>
      <c r="E139" s="9"/>
      <c r="F139" s="143"/>
      <c r="G139" s="198"/>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5"/>
      <c r="BK139" s="225"/>
    </row>
    <row r="140" spans="1:63" hidden="1" outlineLevel="1">
      <c r="A140" s="9"/>
      <c r="B140" s="46"/>
      <c r="C140" s="132">
        <f>Asset17</f>
        <v>0</v>
      </c>
      <c r="D140" s="9"/>
      <c r="E140" s="9"/>
      <c r="F140" s="143"/>
      <c r="G140" s="198"/>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5"/>
      <c r="BK140" s="225"/>
    </row>
    <row r="141" spans="1:63" hidden="1" outlineLevel="1">
      <c r="A141" s="9"/>
      <c r="B141" s="46"/>
      <c r="C141" s="156" t="s">
        <v>29</v>
      </c>
      <c r="D141" s="9"/>
      <c r="E141" s="9"/>
      <c r="F141" s="143"/>
      <c r="G141" s="198"/>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5"/>
      <c r="BK141" s="225"/>
    </row>
    <row r="142" spans="1:63" hidden="1" outlineLevel="1">
      <c r="A142" s="9"/>
      <c r="B142" s="46"/>
      <c r="C142" s="132">
        <f>Asset18</f>
        <v>0</v>
      </c>
      <c r="D142" s="9"/>
      <c r="E142" s="9"/>
      <c r="F142" s="143"/>
      <c r="G142" s="198"/>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5"/>
      <c r="BK142" s="225"/>
    </row>
    <row r="143" spans="1:63" hidden="1" outlineLevel="1">
      <c r="A143" s="9"/>
      <c r="B143" s="46"/>
      <c r="C143" s="156" t="s">
        <v>29</v>
      </c>
      <c r="D143" s="9"/>
      <c r="E143" s="9"/>
      <c r="F143" s="143"/>
      <c r="G143" s="198"/>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5"/>
      <c r="BK143" s="225"/>
    </row>
    <row r="144" spans="1:63" hidden="1" outlineLevel="1">
      <c r="A144" s="9"/>
      <c r="B144" s="46"/>
      <c r="C144" s="132">
        <f>Asset19</f>
        <v>0</v>
      </c>
      <c r="D144" s="9"/>
      <c r="E144" s="9"/>
      <c r="F144" s="143"/>
      <c r="G144" s="198"/>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5"/>
      <c r="BK144" s="225"/>
    </row>
    <row r="145" spans="1:63" hidden="1" outlineLevel="1">
      <c r="A145" s="9"/>
      <c r="B145" s="46"/>
      <c r="C145" s="156" t="s">
        <v>29</v>
      </c>
      <c r="D145" s="9"/>
      <c r="E145" s="9"/>
      <c r="F145" s="143"/>
      <c r="G145" s="198"/>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5"/>
      <c r="BK145" s="225"/>
    </row>
    <row r="146" spans="1:63" hidden="1" outlineLevel="1">
      <c r="A146" s="9"/>
      <c r="B146" s="46"/>
      <c r="C146" s="132">
        <f>Asset20</f>
        <v>0</v>
      </c>
      <c r="D146" s="9"/>
      <c r="E146" s="9"/>
      <c r="F146" s="143"/>
      <c r="G146" s="198"/>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5"/>
      <c r="BK146" s="225"/>
    </row>
    <row r="147" spans="1:63" hidden="1" outlineLevel="1">
      <c r="A147" s="9"/>
      <c r="B147" s="46"/>
      <c r="C147" s="156" t="s">
        <v>29</v>
      </c>
      <c r="D147" s="9"/>
      <c r="E147" s="9"/>
      <c r="F147" s="143"/>
      <c r="G147" s="198"/>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5"/>
      <c r="BK147" s="225"/>
    </row>
    <row r="148" spans="1:63" hidden="1" outlineLevel="1">
      <c r="A148" s="9"/>
      <c r="B148" s="46"/>
      <c r="C148" s="132">
        <f>Asset21</f>
        <v>0</v>
      </c>
      <c r="D148" s="9"/>
      <c r="E148" s="9"/>
      <c r="F148" s="143"/>
      <c r="G148" s="198"/>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5"/>
      <c r="BK148" s="225"/>
    </row>
    <row r="149" spans="1:63" hidden="1" outlineLevel="1">
      <c r="A149" s="9"/>
      <c r="B149" s="46"/>
      <c r="C149" s="156" t="s">
        <v>29</v>
      </c>
      <c r="D149" s="9"/>
      <c r="E149" s="9"/>
      <c r="F149" s="143"/>
      <c r="G149" s="198"/>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5"/>
      <c r="BK149" s="225"/>
    </row>
    <row r="150" spans="1:63" hidden="1" outlineLevel="1">
      <c r="A150" s="9"/>
      <c r="B150" s="46"/>
      <c r="C150" s="132">
        <f>Asset22</f>
        <v>0</v>
      </c>
      <c r="D150" s="9"/>
      <c r="E150" s="9"/>
      <c r="F150" s="143"/>
      <c r="G150" s="198"/>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5"/>
      <c r="BK150" s="225"/>
    </row>
    <row r="151" spans="1:63" hidden="1" outlineLevel="1">
      <c r="A151" s="9"/>
      <c r="B151" s="46"/>
      <c r="C151" s="156" t="s">
        <v>29</v>
      </c>
      <c r="D151" s="9"/>
      <c r="E151" s="9"/>
      <c r="F151" s="143"/>
      <c r="G151" s="198"/>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5"/>
      <c r="BK151" s="225"/>
    </row>
    <row r="152" spans="1:63" hidden="1" outlineLevel="1">
      <c r="A152" s="9"/>
      <c r="B152" s="46"/>
      <c r="C152" s="132">
        <f>Asset23</f>
        <v>0</v>
      </c>
      <c r="D152" s="9"/>
      <c r="E152" s="9"/>
      <c r="F152" s="143"/>
      <c r="G152" s="198"/>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5"/>
      <c r="BK152" s="225"/>
    </row>
    <row r="153" spans="1:63" hidden="1" outlineLevel="1">
      <c r="A153" s="9"/>
      <c r="B153" s="46"/>
      <c r="C153" s="156" t="s">
        <v>29</v>
      </c>
      <c r="D153" s="9"/>
      <c r="E153" s="9"/>
      <c r="F153" s="143"/>
      <c r="G153" s="198"/>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5"/>
      <c r="BK153" s="225"/>
    </row>
    <row r="154" spans="1:63" hidden="1" outlineLevel="1">
      <c r="A154" s="9"/>
      <c r="B154" s="46"/>
      <c r="C154" s="132">
        <f>Asset24</f>
        <v>0</v>
      </c>
      <c r="D154" s="9"/>
      <c r="E154" s="9"/>
      <c r="F154" s="143"/>
      <c r="G154" s="198"/>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5"/>
      <c r="BK154" s="225"/>
    </row>
    <row r="155" spans="1:63" hidden="1" outlineLevel="1">
      <c r="A155" s="9"/>
      <c r="B155" s="46"/>
      <c r="C155" s="156" t="s">
        <v>29</v>
      </c>
      <c r="D155" s="9"/>
      <c r="E155" s="9"/>
      <c r="F155" s="143"/>
      <c r="G155" s="198"/>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5"/>
      <c r="BK155" s="225"/>
    </row>
    <row r="156" spans="1:63" hidden="1" outlineLevel="1">
      <c r="A156" s="9"/>
      <c r="B156" s="46"/>
      <c r="C156" s="132">
        <f>Asset25</f>
        <v>0</v>
      </c>
      <c r="D156" s="9"/>
      <c r="E156" s="9"/>
      <c r="F156" s="143"/>
      <c r="G156" s="198"/>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5"/>
      <c r="BK156" s="225"/>
    </row>
    <row r="157" spans="1:63" hidden="1" outlineLevel="1">
      <c r="A157" s="9"/>
      <c r="B157" s="46"/>
      <c r="C157" s="156" t="s">
        <v>29</v>
      </c>
      <c r="D157" s="9"/>
      <c r="E157" s="9"/>
      <c r="F157" s="143"/>
      <c r="G157" s="198"/>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5"/>
      <c r="BK157" s="225"/>
    </row>
    <row r="158" spans="1:63" hidden="1" outlineLevel="1">
      <c r="A158" s="9"/>
      <c r="B158" s="46"/>
      <c r="C158" s="132">
        <f>Asset26</f>
        <v>0</v>
      </c>
      <c r="D158" s="9"/>
      <c r="E158" s="9"/>
      <c r="F158" s="143"/>
      <c r="G158" s="198"/>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5"/>
      <c r="BK158" s="225"/>
    </row>
    <row r="159" spans="1:63" hidden="1" outlineLevel="1">
      <c r="A159" s="9"/>
      <c r="B159" s="46"/>
      <c r="C159" s="156" t="s">
        <v>29</v>
      </c>
      <c r="D159" s="9"/>
      <c r="E159" s="9"/>
      <c r="F159" s="143"/>
      <c r="G159" s="198"/>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5"/>
      <c r="BK159" s="225"/>
    </row>
    <row r="160" spans="1:63" hidden="1" outlineLevel="1">
      <c r="A160" s="9"/>
      <c r="B160" s="46"/>
      <c r="C160" s="132">
        <f>Asset27</f>
        <v>0</v>
      </c>
      <c r="D160" s="9"/>
      <c r="E160" s="9"/>
      <c r="F160" s="143"/>
      <c r="G160" s="198"/>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5"/>
      <c r="BK160" s="225"/>
    </row>
    <row r="161" spans="1:63" hidden="1" outlineLevel="1">
      <c r="A161" s="9"/>
      <c r="B161" s="46"/>
      <c r="C161" s="156" t="s">
        <v>29</v>
      </c>
      <c r="D161" s="9"/>
      <c r="E161" s="9"/>
      <c r="F161" s="143"/>
      <c r="G161" s="198"/>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5"/>
      <c r="BK161" s="225"/>
    </row>
    <row r="162" spans="1:63" hidden="1" outlineLevel="1">
      <c r="A162" s="9"/>
      <c r="B162" s="46"/>
      <c r="C162" s="132">
        <f>Asset28</f>
        <v>0</v>
      </c>
      <c r="D162" s="9"/>
      <c r="E162" s="9"/>
      <c r="F162" s="143"/>
      <c r="G162" s="198"/>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5"/>
      <c r="BK162" s="225"/>
    </row>
    <row r="163" spans="1:63" hidden="1" outlineLevel="1">
      <c r="A163" s="9"/>
      <c r="B163" s="46"/>
      <c r="C163" s="156" t="s">
        <v>29</v>
      </c>
      <c r="D163" s="9"/>
      <c r="E163" s="9"/>
      <c r="F163" s="143"/>
      <c r="G163" s="198"/>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5"/>
      <c r="BK163" s="225"/>
    </row>
    <row r="164" spans="1:63" hidden="1" outlineLevel="1">
      <c r="A164" s="9"/>
      <c r="B164" s="46"/>
      <c r="C164" s="132">
        <f>Asset29</f>
        <v>0</v>
      </c>
      <c r="D164" s="9"/>
      <c r="E164" s="9"/>
      <c r="F164" s="143"/>
      <c r="G164" s="198"/>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5"/>
      <c r="BK164" s="225"/>
    </row>
    <row r="165" spans="1:63" hidden="1" outlineLevel="1">
      <c r="A165" s="9"/>
      <c r="B165" s="46"/>
      <c r="C165" s="156" t="s">
        <v>29</v>
      </c>
      <c r="D165" s="9"/>
      <c r="E165" s="9"/>
      <c r="F165" s="143"/>
      <c r="G165" s="198"/>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5"/>
      <c r="BK165" s="225"/>
    </row>
    <row r="166" spans="1:63" hidden="1" outlineLevel="1">
      <c r="A166" s="9"/>
      <c r="B166" s="46"/>
      <c r="C166" s="132">
        <f>Asset30</f>
        <v>0</v>
      </c>
      <c r="D166" s="9"/>
      <c r="E166" s="9"/>
      <c r="F166" s="143"/>
      <c r="G166" s="198"/>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5"/>
      <c r="BK166" s="225"/>
    </row>
    <row r="167" spans="1:63" hidden="1" outlineLevel="1">
      <c r="A167" s="9"/>
      <c r="B167" s="46"/>
      <c r="C167" s="156" t="s">
        <v>29</v>
      </c>
      <c r="D167" s="9"/>
      <c r="E167" s="9"/>
      <c r="F167" s="143"/>
      <c r="G167" s="198"/>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5"/>
      <c r="BK167" s="225"/>
    </row>
    <row r="168" spans="1:63" collapsed="1">
      <c r="A168" s="9"/>
      <c r="B168" s="189" t="s">
        <v>44</v>
      </c>
      <c r="D168" s="9"/>
      <c r="E168" s="9"/>
      <c r="F168" s="143"/>
      <c r="G168" s="200"/>
      <c r="H168" s="119"/>
      <c r="I168" s="119"/>
      <c r="J168" s="119"/>
      <c r="K168" s="119"/>
      <c r="L168" s="119">
        <f>IF(M107=0, SUM($G107:L107), 0)</f>
        <v>-3.6381606654171859</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5"/>
      <c r="BK168" s="225"/>
    </row>
    <row r="169" spans="1:63">
      <c r="A169" s="9"/>
      <c r="B169" s="155"/>
      <c r="C169" s="26"/>
      <c r="D169" s="9"/>
      <c r="E169" s="9"/>
      <c r="F169" s="143"/>
      <c r="G169" s="119"/>
      <c r="H169" s="119"/>
      <c r="I169" s="119"/>
      <c r="J169" s="119"/>
      <c r="K169" s="119"/>
      <c r="L169" s="119"/>
      <c r="M169" s="9"/>
      <c r="N169" s="113"/>
      <c r="O169" s="154"/>
      <c r="P169" s="154"/>
      <c r="Q169" s="154"/>
      <c r="R169" s="102"/>
      <c r="S169" s="102"/>
      <c r="T169" s="102"/>
      <c r="U169" s="102"/>
      <c r="V169" s="102"/>
      <c r="W169" s="102"/>
      <c r="X169" s="102"/>
      <c r="Y169" s="102"/>
      <c r="Z169" s="102"/>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5"/>
      <c r="BK169" s="225"/>
    </row>
    <row r="170" spans="1:63">
      <c r="A170" s="75"/>
      <c r="B170" s="183" t="s">
        <v>54</v>
      </c>
      <c r="C170" s="184"/>
      <c r="D170" s="75"/>
      <c r="E170" s="75"/>
      <c r="F170" s="185"/>
      <c r="G170" s="186"/>
      <c r="H170" s="186"/>
      <c r="I170" s="186"/>
      <c r="J170" s="186"/>
      <c r="K170" s="186"/>
      <c r="L170" s="186"/>
      <c r="M170" s="75"/>
      <c r="N170" s="187"/>
      <c r="O170" s="188"/>
      <c r="P170" s="188"/>
      <c r="Q170" s="188"/>
      <c r="R170" s="188"/>
      <c r="S170" s="102"/>
      <c r="T170" s="102"/>
      <c r="U170" s="102"/>
      <c r="V170" s="102"/>
      <c r="W170" s="102"/>
      <c r="X170" s="102"/>
      <c r="Y170" s="102"/>
      <c r="Z170" s="102"/>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5"/>
      <c r="BK170" s="225"/>
    </row>
    <row r="171" spans="1:63">
      <c r="A171" s="9"/>
      <c r="B171" s="155"/>
      <c r="C171" s="26"/>
      <c r="D171" s="9"/>
      <c r="E171" s="9"/>
      <c r="F171" s="143"/>
      <c r="G171" s="119"/>
      <c r="H171" s="119"/>
      <c r="I171" s="119"/>
      <c r="J171" s="119"/>
      <c r="K171" s="119"/>
      <c r="L171" s="119"/>
      <c r="M171" s="9"/>
      <c r="N171" s="113"/>
      <c r="O171" s="154"/>
      <c r="P171" s="154"/>
      <c r="Q171" s="154"/>
      <c r="R171" s="102"/>
      <c r="S171" s="102"/>
      <c r="T171" s="102"/>
      <c r="U171" s="102"/>
      <c r="V171" s="102"/>
      <c r="W171" s="102"/>
      <c r="X171" s="102"/>
      <c r="Y171" s="102"/>
      <c r="Z171" s="102"/>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5"/>
      <c r="BK171" s="225"/>
    </row>
    <row r="172" spans="1:63">
      <c r="A172" s="9"/>
      <c r="B172" s="46" t="s">
        <v>55</v>
      </c>
      <c r="C172" s="9"/>
      <c r="D172" s="9"/>
      <c r="E172" s="9"/>
      <c r="F172" s="143"/>
      <c r="G172" s="200">
        <f>SUM(G173:G202)</f>
        <v>0</v>
      </c>
      <c r="H172" s="119"/>
      <c r="I172" s="119"/>
      <c r="J172" s="119"/>
      <c r="K172" s="119"/>
      <c r="L172" s="119"/>
      <c r="M172" s="9"/>
      <c r="N172" s="113"/>
      <c r="O172" s="154"/>
      <c r="P172" s="154"/>
      <c r="Q172" s="154"/>
      <c r="R172" s="102"/>
      <c r="S172" s="102"/>
      <c r="T172" s="102"/>
      <c r="U172" s="102"/>
      <c r="V172" s="102"/>
      <c r="W172" s="102"/>
      <c r="X172" s="102"/>
      <c r="Y172" s="102"/>
      <c r="Z172" s="102"/>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5"/>
      <c r="BK172" s="225"/>
    </row>
    <row r="173" spans="1:63" hidden="1" outlineLevel="1">
      <c r="A173" s="9"/>
      <c r="B173" s="9"/>
      <c r="C173" s="132" t="str">
        <f>Asset1</f>
        <v>Opening Distribution Assets</v>
      </c>
      <c r="D173" s="9"/>
      <c r="E173" s="9"/>
      <c r="F173" s="143"/>
      <c r="G173" s="198">
        <f>Input!Q7</f>
        <v>0</v>
      </c>
      <c r="H173" s="119"/>
      <c r="I173" s="119"/>
      <c r="J173" s="119"/>
      <c r="K173" s="119"/>
      <c r="L173" s="119"/>
      <c r="M173" s="9"/>
      <c r="N173" s="113"/>
      <c r="O173" s="154"/>
      <c r="P173" s="154"/>
      <c r="Q173" s="154"/>
      <c r="R173" s="102"/>
      <c r="S173" s="102"/>
      <c r="T173" s="102"/>
      <c r="U173" s="102"/>
      <c r="V173" s="102"/>
      <c r="W173" s="102"/>
      <c r="X173" s="102"/>
      <c r="Y173" s="102"/>
      <c r="Z173" s="102"/>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5"/>
      <c r="BK173" s="225"/>
    </row>
    <row r="174" spans="1:63" hidden="1" outlineLevel="1">
      <c r="A174" s="9"/>
      <c r="B174" s="46"/>
      <c r="C174" s="132" t="str">
        <f>Asset2</f>
        <v>Sub-transmission Overhead</v>
      </c>
      <c r="D174" s="9"/>
      <c r="E174" s="9"/>
      <c r="F174" s="143"/>
      <c r="G174" s="198">
        <f>Input!Q8</f>
        <v>0</v>
      </c>
      <c r="H174" s="119"/>
      <c r="I174" s="119"/>
      <c r="J174" s="119"/>
      <c r="K174" s="119"/>
      <c r="L174" s="119"/>
      <c r="M174" s="9"/>
      <c r="N174" s="113"/>
      <c r="O174" s="154"/>
      <c r="P174" s="154"/>
      <c r="Q174" s="154"/>
      <c r="R174" s="102"/>
      <c r="S174" s="102"/>
      <c r="T174" s="102"/>
      <c r="U174" s="102"/>
      <c r="V174" s="102"/>
      <c r="W174" s="102"/>
      <c r="X174" s="102"/>
      <c r="Y174" s="102"/>
      <c r="Z174" s="102"/>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5"/>
      <c r="BK174" s="225"/>
    </row>
    <row r="175" spans="1:63" hidden="1" outlineLevel="1">
      <c r="A175" s="9"/>
      <c r="B175" s="46"/>
      <c r="C175" s="132" t="str">
        <f>Asset3</f>
        <v>Sub-transmission Underground</v>
      </c>
      <c r="D175" s="9"/>
      <c r="E175" s="9"/>
      <c r="F175" s="143"/>
      <c r="G175" s="198">
        <f>Input!Q9</f>
        <v>0</v>
      </c>
      <c r="H175" s="119"/>
      <c r="I175" s="119"/>
      <c r="J175" s="119"/>
      <c r="K175" s="119"/>
      <c r="L175" s="119"/>
      <c r="M175" s="9"/>
      <c r="N175" s="113"/>
      <c r="O175" s="154"/>
      <c r="P175" s="154"/>
      <c r="Q175" s="154"/>
      <c r="R175" s="102"/>
      <c r="S175" s="102"/>
      <c r="T175" s="102"/>
      <c r="U175" s="102"/>
      <c r="V175" s="102"/>
      <c r="W175" s="102"/>
      <c r="X175" s="102"/>
      <c r="Y175" s="102"/>
      <c r="Z175" s="102"/>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5"/>
      <c r="BK175" s="225"/>
    </row>
    <row r="176" spans="1:63" hidden="1" outlineLevel="1">
      <c r="A176" s="9"/>
      <c r="B176" s="46"/>
      <c r="C176" s="132" t="str">
        <f>Asset4</f>
        <v>Zone Substation</v>
      </c>
      <c r="D176" s="9"/>
      <c r="E176" s="9"/>
      <c r="F176" s="143"/>
      <c r="G176" s="198">
        <f>Input!Q10</f>
        <v>0</v>
      </c>
      <c r="H176" s="119"/>
      <c r="I176" s="119"/>
      <c r="J176" s="119"/>
      <c r="K176" s="119"/>
      <c r="L176" s="119"/>
      <c r="M176" s="9"/>
      <c r="N176" s="113"/>
      <c r="O176" s="154"/>
      <c r="P176" s="154"/>
      <c r="Q176" s="154"/>
      <c r="R176" s="102"/>
      <c r="S176" s="102"/>
      <c r="T176" s="102"/>
      <c r="U176" s="102"/>
      <c r="V176" s="102"/>
      <c r="W176" s="102"/>
      <c r="X176" s="102"/>
      <c r="Y176" s="102"/>
      <c r="Z176" s="102"/>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5"/>
      <c r="BK176" s="225"/>
    </row>
    <row r="177" spans="1:63" hidden="1" outlineLevel="1">
      <c r="A177" s="9"/>
      <c r="B177" s="46"/>
      <c r="C177" s="132" t="str">
        <f>Asset5</f>
        <v>Distribution Substations</v>
      </c>
      <c r="D177" s="9"/>
      <c r="E177" s="9"/>
      <c r="F177" s="143"/>
      <c r="G177" s="198">
        <f>Input!Q11</f>
        <v>0</v>
      </c>
      <c r="H177" s="119"/>
      <c r="I177" s="119"/>
      <c r="J177" s="119"/>
      <c r="K177" s="119"/>
      <c r="L177" s="119"/>
      <c r="M177" s="9"/>
      <c r="N177" s="113"/>
      <c r="O177" s="154"/>
      <c r="P177" s="154"/>
      <c r="Q177" s="154"/>
      <c r="R177" s="102"/>
      <c r="S177" s="102"/>
      <c r="T177" s="102"/>
      <c r="U177" s="102"/>
      <c r="V177" s="102"/>
      <c r="W177" s="102"/>
      <c r="X177" s="102"/>
      <c r="Y177" s="102"/>
      <c r="Z177" s="102"/>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5"/>
      <c r="BK177" s="225"/>
    </row>
    <row r="178" spans="1:63" hidden="1" outlineLevel="1">
      <c r="A178" s="9"/>
      <c r="B178" s="46"/>
      <c r="C178" s="132" t="str">
        <f>Asset6</f>
        <v>Distribution Overhead Lines</v>
      </c>
      <c r="D178" s="9"/>
      <c r="E178" s="9"/>
      <c r="F178" s="143"/>
      <c r="G178" s="198">
        <f>Input!Q12</f>
        <v>0</v>
      </c>
      <c r="H178" s="119"/>
      <c r="I178" s="119"/>
      <c r="J178" s="119"/>
      <c r="K178" s="119"/>
      <c r="L178" s="119"/>
      <c r="M178" s="9"/>
      <c r="N178" s="113"/>
      <c r="O178" s="154"/>
      <c r="P178" s="154"/>
      <c r="Q178" s="154"/>
      <c r="R178" s="102"/>
      <c r="S178" s="102"/>
      <c r="T178" s="102"/>
      <c r="U178" s="102"/>
      <c r="V178" s="102"/>
      <c r="W178" s="102"/>
      <c r="X178" s="102"/>
      <c r="Y178" s="102"/>
      <c r="Z178" s="102"/>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5"/>
      <c r="BK178" s="225"/>
    </row>
    <row r="179" spans="1:63" hidden="1" outlineLevel="1">
      <c r="A179" s="9"/>
      <c r="B179" s="46"/>
      <c r="C179" s="132" t="str">
        <f>Asset7</f>
        <v>Distribution Underground Lines</v>
      </c>
      <c r="D179" s="9"/>
      <c r="E179" s="9"/>
      <c r="F179" s="143"/>
      <c r="G179" s="198">
        <f>Input!Q13</f>
        <v>0</v>
      </c>
      <c r="H179" s="119"/>
      <c r="I179" s="119"/>
      <c r="J179" s="119"/>
      <c r="K179" s="119"/>
      <c r="L179" s="119"/>
      <c r="M179" s="9"/>
      <c r="N179" s="113"/>
      <c r="O179" s="154"/>
      <c r="P179" s="154"/>
      <c r="Q179" s="154"/>
      <c r="R179" s="102"/>
      <c r="S179" s="102"/>
      <c r="T179" s="102"/>
      <c r="U179" s="102"/>
      <c r="V179" s="102"/>
      <c r="W179" s="102"/>
      <c r="X179" s="102"/>
      <c r="Y179" s="102"/>
      <c r="Z179" s="102"/>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5"/>
      <c r="BK179" s="225"/>
    </row>
    <row r="180" spans="1:63" hidden="1" outlineLevel="1">
      <c r="A180" s="9"/>
      <c r="B180" s="46"/>
      <c r="C180" s="132" t="str">
        <f>Asset8</f>
        <v>IT &amp; Communication Systems (Networks)</v>
      </c>
      <c r="D180" s="9"/>
      <c r="E180" s="9"/>
      <c r="F180" s="143"/>
      <c r="G180" s="198">
        <f>Input!Q14</f>
        <v>0</v>
      </c>
      <c r="H180" s="119"/>
      <c r="I180" s="119"/>
      <c r="J180" s="119"/>
      <c r="K180" s="119"/>
      <c r="L180" s="119"/>
      <c r="M180" s="9"/>
      <c r="N180" s="113"/>
      <c r="O180" s="154"/>
      <c r="P180" s="154"/>
      <c r="Q180" s="154"/>
      <c r="R180" s="102"/>
      <c r="S180" s="102"/>
      <c r="T180" s="102"/>
      <c r="U180" s="102"/>
      <c r="V180" s="102"/>
      <c r="W180" s="102"/>
      <c r="X180" s="102"/>
      <c r="Y180" s="102"/>
      <c r="Z180" s="102"/>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5"/>
      <c r="BK180" s="225"/>
    </row>
    <row r="181" spans="1:63" hidden="1" outlineLevel="1">
      <c r="A181" s="9"/>
      <c r="B181" s="46"/>
      <c r="C181" s="132" t="str">
        <f>Asset9</f>
        <v>Motor Vehicles</v>
      </c>
      <c r="D181" s="9"/>
      <c r="E181" s="9"/>
      <c r="F181" s="143"/>
      <c r="G181" s="198">
        <f>Input!Q15</f>
        <v>0</v>
      </c>
      <c r="H181" s="119"/>
      <c r="I181" s="119"/>
      <c r="J181" s="119"/>
      <c r="K181" s="119"/>
      <c r="L181" s="119"/>
      <c r="M181" s="9"/>
      <c r="N181" s="113"/>
      <c r="O181" s="154"/>
      <c r="P181" s="154"/>
      <c r="Q181" s="154"/>
      <c r="R181" s="102"/>
      <c r="S181" s="102"/>
      <c r="T181" s="102"/>
      <c r="U181" s="102"/>
      <c r="V181" s="102"/>
      <c r="W181" s="102"/>
      <c r="X181" s="102"/>
      <c r="Y181" s="102"/>
      <c r="Z181" s="102"/>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5"/>
      <c r="BK181" s="225"/>
    </row>
    <row r="182" spans="1:63" hidden="1" outlineLevel="1">
      <c r="A182" s="9"/>
      <c r="B182" s="46"/>
      <c r="C182" s="132" t="str">
        <f>Asset10</f>
        <v>Other Non-System Assets (Networks)</v>
      </c>
      <c r="D182" s="9"/>
      <c r="E182" s="9"/>
      <c r="F182" s="143"/>
      <c r="G182" s="198">
        <f>Input!Q16</f>
        <v>0</v>
      </c>
      <c r="H182" s="119"/>
      <c r="I182" s="119"/>
      <c r="J182" s="119"/>
      <c r="K182" s="119"/>
      <c r="L182" s="119"/>
      <c r="M182" s="9"/>
      <c r="N182" s="113"/>
      <c r="O182" s="154"/>
      <c r="P182" s="154"/>
      <c r="Q182" s="154"/>
      <c r="R182" s="102"/>
      <c r="S182" s="102"/>
      <c r="T182" s="102"/>
      <c r="U182" s="102"/>
      <c r="V182" s="102"/>
      <c r="W182" s="102"/>
      <c r="X182" s="102"/>
      <c r="Y182" s="102"/>
      <c r="Z182" s="102"/>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5"/>
      <c r="BK182" s="225"/>
    </row>
    <row r="183" spans="1:63" hidden="1" outlineLevel="1">
      <c r="A183" s="9"/>
      <c r="B183" s="46"/>
      <c r="C183" s="132" t="str">
        <f>Asset11</f>
        <v>IT Systems (Corporate)</v>
      </c>
      <c r="D183" s="9"/>
      <c r="E183" s="9"/>
      <c r="F183" s="143"/>
      <c r="G183" s="198">
        <f>Input!Q17</f>
        <v>0</v>
      </c>
      <c r="H183" s="119"/>
      <c r="I183" s="119"/>
      <c r="J183" s="119"/>
      <c r="K183" s="119"/>
      <c r="L183" s="119"/>
      <c r="M183" s="9"/>
      <c r="N183" s="113"/>
      <c r="O183" s="154"/>
      <c r="P183" s="154"/>
      <c r="Q183" s="154"/>
      <c r="R183" s="102"/>
      <c r="S183" s="102"/>
      <c r="T183" s="102"/>
      <c r="U183" s="102"/>
      <c r="V183" s="102"/>
      <c r="W183" s="102"/>
      <c r="X183" s="102"/>
      <c r="Y183" s="102"/>
      <c r="Z183" s="102"/>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5"/>
      <c r="BK183" s="225"/>
    </row>
    <row r="184" spans="1:63" hidden="1" outlineLevel="1">
      <c r="A184" s="9"/>
      <c r="B184" s="46"/>
      <c r="C184" s="132" t="str">
        <f>Asset12</f>
        <v>Telecommunications (Corporate)</v>
      </c>
      <c r="D184" s="9"/>
      <c r="E184" s="9"/>
      <c r="F184" s="143"/>
      <c r="G184" s="198">
        <f>Input!Q18</f>
        <v>0</v>
      </c>
      <c r="H184" s="119"/>
      <c r="I184" s="119"/>
      <c r="J184" s="119"/>
      <c r="K184" s="119"/>
      <c r="L184" s="119"/>
      <c r="M184" s="9"/>
      <c r="N184" s="113"/>
      <c r="O184" s="154"/>
      <c r="P184" s="154"/>
      <c r="Q184" s="154"/>
      <c r="R184" s="102"/>
      <c r="S184" s="102"/>
      <c r="T184" s="102"/>
      <c r="U184" s="102"/>
      <c r="V184" s="102"/>
      <c r="W184" s="102"/>
      <c r="X184" s="102"/>
      <c r="Y184" s="102"/>
      <c r="Z184" s="102"/>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5"/>
      <c r="BK184" s="225"/>
    </row>
    <row r="185" spans="1:63" hidden="1" outlineLevel="1">
      <c r="A185" s="9"/>
      <c r="B185" s="46"/>
      <c r="C185" s="132" t="str">
        <f>Asset13</f>
        <v>Other Non-System Assets (Corporate)</v>
      </c>
      <c r="D185" s="9"/>
      <c r="E185" s="9"/>
      <c r="F185" s="143"/>
      <c r="G185" s="198">
        <f>Input!Q19</f>
        <v>0</v>
      </c>
      <c r="H185" s="119"/>
      <c r="I185" s="119"/>
      <c r="J185" s="119"/>
      <c r="K185" s="119"/>
      <c r="L185" s="119"/>
      <c r="M185" s="9"/>
      <c r="N185" s="113"/>
      <c r="O185" s="154"/>
      <c r="P185" s="154"/>
      <c r="Q185" s="154"/>
      <c r="R185" s="102"/>
      <c r="S185" s="102"/>
      <c r="T185" s="102"/>
      <c r="U185" s="102"/>
      <c r="V185" s="102"/>
      <c r="W185" s="102"/>
      <c r="X185" s="102"/>
      <c r="Y185" s="102"/>
      <c r="Z185" s="102"/>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5"/>
      <c r="BK185" s="225"/>
    </row>
    <row r="186" spans="1:63" hidden="1" outlineLevel="1">
      <c r="A186" s="9"/>
      <c r="B186" s="46"/>
      <c r="C186" s="132" t="str">
        <f>Asset14</f>
        <v>Land</v>
      </c>
      <c r="D186" s="9"/>
      <c r="E186" s="9"/>
      <c r="F186" s="143"/>
      <c r="G186" s="198">
        <f>Input!Q20</f>
        <v>0</v>
      </c>
      <c r="H186" s="119"/>
      <c r="I186" s="119"/>
      <c r="J186" s="119"/>
      <c r="K186" s="119"/>
      <c r="L186" s="119"/>
      <c r="M186" s="9"/>
      <c r="N186" s="113"/>
      <c r="O186" s="154"/>
      <c r="P186" s="154"/>
      <c r="Q186" s="154"/>
      <c r="R186" s="102"/>
      <c r="S186" s="102"/>
      <c r="T186" s="102"/>
      <c r="U186" s="102"/>
      <c r="V186" s="102"/>
      <c r="W186" s="102"/>
      <c r="X186" s="102"/>
      <c r="Y186" s="102"/>
      <c r="Z186" s="102"/>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5"/>
      <c r="BK186" s="225"/>
    </row>
    <row r="187" spans="1:63" hidden="1" outlineLevel="1">
      <c r="A187" s="9"/>
      <c r="B187" s="46"/>
      <c r="C187" s="132" t="str">
        <f>Asset15</f>
        <v>Buildings</v>
      </c>
      <c r="D187" s="9"/>
      <c r="E187" s="9"/>
      <c r="F187" s="143"/>
      <c r="G187" s="198">
        <f>Input!Q21</f>
        <v>0</v>
      </c>
      <c r="H187" s="119"/>
      <c r="I187" s="119"/>
      <c r="J187" s="119"/>
      <c r="K187" s="119"/>
      <c r="L187" s="119"/>
      <c r="M187" s="9"/>
      <c r="N187" s="113"/>
      <c r="O187" s="154"/>
      <c r="P187" s="154"/>
      <c r="Q187" s="154"/>
      <c r="R187" s="102"/>
      <c r="S187" s="102"/>
      <c r="T187" s="102"/>
      <c r="U187" s="102"/>
      <c r="V187" s="102"/>
      <c r="W187" s="102"/>
      <c r="X187" s="102"/>
      <c r="Y187" s="102"/>
      <c r="Z187" s="102"/>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5"/>
      <c r="BK187" s="225"/>
    </row>
    <row r="188" spans="1:63" hidden="1" outlineLevel="1">
      <c r="A188" s="9"/>
      <c r="B188" s="46"/>
      <c r="C188" s="132" t="str">
        <f>Asset16</f>
        <v>Equity raising costs</v>
      </c>
      <c r="D188" s="9"/>
      <c r="E188" s="9"/>
      <c r="F188" s="143"/>
      <c r="G188" s="198">
        <f>Input!Q22</f>
        <v>0</v>
      </c>
      <c r="H188" s="119"/>
      <c r="I188" s="119"/>
      <c r="J188" s="119"/>
      <c r="K188" s="119"/>
      <c r="L188" s="119"/>
      <c r="M188" s="9"/>
      <c r="N188" s="113"/>
      <c r="O188" s="154"/>
      <c r="P188" s="154"/>
      <c r="Q188" s="154"/>
      <c r="R188" s="102"/>
      <c r="S188" s="102"/>
      <c r="T188" s="102"/>
      <c r="U188" s="102"/>
      <c r="V188" s="102"/>
      <c r="W188" s="102"/>
      <c r="X188" s="102"/>
      <c r="Y188" s="102"/>
      <c r="Z188" s="102"/>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5"/>
      <c r="BK188" s="225"/>
    </row>
    <row r="189" spans="1:63" hidden="1" outlineLevel="1">
      <c r="A189" s="9"/>
      <c r="B189" s="46"/>
      <c r="C189" s="132">
        <f>Asset17</f>
        <v>0</v>
      </c>
      <c r="D189" s="9"/>
      <c r="E189" s="9"/>
      <c r="F189" s="143"/>
      <c r="G189" s="198">
        <f>Input!Q23</f>
        <v>0</v>
      </c>
      <c r="H189" s="119"/>
      <c r="I189" s="119"/>
      <c r="J189" s="119"/>
      <c r="K189" s="119"/>
      <c r="L189" s="119"/>
      <c r="M189" s="9"/>
      <c r="N189" s="113"/>
      <c r="O189" s="154"/>
      <c r="P189" s="154"/>
      <c r="Q189" s="154"/>
      <c r="R189" s="102"/>
      <c r="S189" s="102"/>
      <c r="T189" s="102"/>
      <c r="U189" s="102"/>
      <c r="V189" s="102"/>
      <c r="W189" s="102"/>
      <c r="X189" s="102"/>
      <c r="Y189" s="102"/>
      <c r="Z189" s="102"/>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5"/>
      <c r="BK189" s="225"/>
    </row>
    <row r="190" spans="1:63" hidden="1" outlineLevel="1">
      <c r="A190" s="9"/>
      <c r="B190" s="46"/>
      <c r="C190" s="132">
        <f>Asset18</f>
        <v>0</v>
      </c>
      <c r="D190" s="9"/>
      <c r="E190" s="9"/>
      <c r="F190" s="143"/>
      <c r="G190" s="198">
        <f>Input!Q24</f>
        <v>0</v>
      </c>
      <c r="H190" s="119"/>
      <c r="I190" s="119"/>
      <c r="J190" s="119"/>
      <c r="K190" s="119"/>
      <c r="L190" s="119"/>
      <c r="M190" s="9"/>
      <c r="N190" s="113"/>
      <c r="O190" s="154"/>
      <c r="P190" s="154"/>
      <c r="Q190" s="154"/>
      <c r="R190" s="102"/>
      <c r="S190" s="102"/>
      <c r="T190" s="102"/>
      <c r="U190" s="102"/>
      <c r="V190" s="102"/>
      <c r="W190" s="102"/>
      <c r="X190" s="102"/>
      <c r="Y190" s="102"/>
      <c r="Z190" s="102"/>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5"/>
      <c r="BK190" s="225"/>
    </row>
    <row r="191" spans="1:63" hidden="1" outlineLevel="1">
      <c r="A191" s="9"/>
      <c r="B191" s="46"/>
      <c r="C191" s="132">
        <f>Asset19</f>
        <v>0</v>
      </c>
      <c r="D191" s="9"/>
      <c r="E191" s="9"/>
      <c r="F191" s="143"/>
      <c r="G191" s="198">
        <f>Input!Q25</f>
        <v>0</v>
      </c>
      <c r="H191" s="119"/>
      <c r="I191" s="119"/>
      <c r="J191" s="119"/>
      <c r="K191" s="119"/>
      <c r="L191" s="119"/>
      <c r="M191" s="9"/>
      <c r="N191" s="113"/>
      <c r="O191" s="154"/>
      <c r="P191" s="154"/>
      <c r="Q191" s="154"/>
      <c r="R191" s="102"/>
      <c r="S191" s="102"/>
      <c r="T191" s="102"/>
      <c r="U191" s="102"/>
      <c r="V191" s="102"/>
      <c r="W191" s="102"/>
      <c r="X191" s="102"/>
      <c r="Y191" s="102"/>
      <c r="Z191" s="102"/>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5"/>
      <c r="BK191" s="225"/>
    </row>
    <row r="192" spans="1:63" hidden="1" outlineLevel="1">
      <c r="A192" s="9"/>
      <c r="B192" s="46"/>
      <c r="C192" s="132">
        <f>Asset20</f>
        <v>0</v>
      </c>
      <c r="D192" s="9"/>
      <c r="E192" s="9"/>
      <c r="F192" s="143"/>
      <c r="G192" s="198">
        <f>Input!Q26</f>
        <v>0</v>
      </c>
      <c r="H192" s="119"/>
      <c r="I192" s="119"/>
      <c r="J192" s="119"/>
      <c r="K192" s="119"/>
      <c r="L192" s="119"/>
      <c r="M192" s="9"/>
      <c r="N192" s="113"/>
      <c r="O192" s="154"/>
      <c r="P192" s="154"/>
      <c r="Q192" s="154"/>
      <c r="R192" s="102"/>
      <c r="S192" s="102"/>
      <c r="T192" s="102"/>
      <c r="U192" s="102"/>
      <c r="V192" s="102"/>
      <c r="W192" s="102"/>
      <c r="X192" s="102"/>
      <c r="Y192" s="102"/>
      <c r="Z192" s="102"/>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5"/>
      <c r="BK192" s="225"/>
    </row>
    <row r="193" spans="1:63" hidden="1" outlineLevel="1">
      <c r="A193" s="9"/>
      <c r="B193" s="46"/>
      <c r="C193" s="132">
        <f>Asset21</f>
        <v>0</v>
      </c>
      <c r="D193" s="9"/>
      <c r="E193" s="9"/>
      <c r="F193" s="143"/>
      <c r="G193" s="198">
        <f>Input!Q27</f>
        <v>0</v>
      </c>
      <c r="H193" s="119"/>
      <c r="I193" s="119"/>
      <c r="J193" s="119"/>
      <c r="K193" s="119"/>
      <c r="L193" s="119"/>
      <c r="M193" s="9"/>
      <c r="N193" s="113"/>
      <c r="O193" s="154"/>
      <c r="P193" s="154"/>
      <c r="Q193" s="154"/>
      <c r="R193" s="102"/>
      <c r="S193" s="102"/>
      <c r="T193" s="102"/>
      <c r="U193" s="102"/>
      <c r="V193" s="102"/>
      <c r="W193" s="102"/>
      <c r="X193" s="102"/>
      <c r="Y193" s="102"/>
      <c r="Z193" s="102"/>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5"/>
      <c r="BK193" s="225"/>
    </row>
    <row r="194" spans="1:63" hidden="1" outlineLevel="1">
      <c r="A194" s="9"/>
      <c r="B194" s="46"/>
      <c r="C194" s="132">
        <f>Asset22</f>
        <v>0</v>
      </c>
      <c r="D194" s="9"/>
      <c r="E194" s="9"/>
      <c r="F194" s="143"/>
      <c r="G194" s="198">
        <f>Input!Q28</f>
        <v>0</v>
      </c>
      <c r="H194" s="119"/>
      <c r="I194" s="119"/>
      <c r="J194" s="119"/>
      <c r="K194" s="119"/>
      <c r="L194" s="119"/>
      <c r="M194" s="9"/>
      <c r="N194" s="113"/>
      <c r="O194" s="154"/>
      <c r="P194" s="154"/>
      <c r="Q194" s="154"/>
      <c r="R194" s="102"/>
      <c r="S194" s="102"/>
      <c r="T194" s="102"/>
      <c r="U194" s="102"/>
      <c r="V194" s="102"/>
      <c r="W194" s="102"/>
      <c r="X194" s="102"/>
      <c r="Y194" s="102"/>
      <c r="Z194" s="102"/>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5"/>
      <c r="BK194" s="225"/>
    </row>
    <row r="195" spans="1:63" hidden="1" outlineLevel="1">
      <c r="A195" s="9"/>
      <c r="B195" s="46"/>
      <c r="C195" s="132">
        <f>Asset23</f>
        <v>0</v>
      </c>
      <c r="D195" s="9"/>
      <c r="E195" s="9"/>
      <c r="F195" s="143"/>
      <c r="G195" s="198">
        <f>Input!Q29</f>
        <v>0</v>
      </c>
      <c r="H195" s="119"/>
      <c r="I195" s="119"/>
      <c r="J195" s="119"/>
      <c r="K195" s="119"/>
      <c r="L195" s="119"/>
      <c r="M195" s="9"/>
      <c r="N195" s="113"/>
      <c r="O195" s="154"/>
      <c r="P195" s="154"/>
      <c r="Q195" s="154"/>
      <c r="R195" s="102"/>
      <c r="S195" s="102"/>
      <c r="T195" s="102"/>
      <c r="U195" s="102"/>
      <c r="V195" s="102"/>
      <c r="W195" s="102"/>
      <c r="X195" s="102"/>
      <c r="Y195" s="102"/>
      <c r="Z195" s="102"/>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5"/>
      <c r="BK195" s="225"/>
    </row>
    <row r="196" spans="1:63" hidden="1" outlineLevel="1">
      <c r="A196" s="9"/>
      <c r="B196" s="46"/>
      <c r="C196" s="132">
        <f>Asset24</f>
        <v>0</v>
      </c>
      <c r="D196" s="9"/>
      <c r="E196" s="9"/>
      <c r="F196" s="143"/>
      <c r="G196" s="198">
        <f>Input!Q30</f>
        <v>0</v>
      </c>
      <c r="H196" s="119"/>
      <c r="I196" s="119"/>
      <c r="J196" s="119"/>
      <c r="K196" s="119"/>
      <c r="L196" s="119"/>
      <c r="M196" s="9"/>
      <c r="N196" s="113"/>
      <c r="O196" s="154"/>
      <c r="P196" s="154"/>
      <c r="Q196" s="154"/>
      <c r="R196" s="102"/>
      <c r="S196" s="102"/>
      <c r="T196" s="102"/>
      <c r="U196" s="102"/>
      <c r="V196" s="102"/>
      <c r="W196" s="102"/>
      <c r="X196" s="102"/>
      <c r="Y196" s="102"/>
      <c r="Z196" s="102"/>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5"/>
      <c r="BK196" s="225"/>
    </row>
    <row r="197" spans="1:63" hidden="1" outlineLevel="1">
      <c r="A197" s="9"/>
      <c r="B197" s="46"/>
      <c r="C197" s="132">
        <f>Asset25</f>
        <v>0</v>
      </c>
      <c r="D197" s="9"/>
      <c r="E197" s="9"/>
      <c r="F197" s="143"/>
      <c r="G197" s="198">
        <f>Input!Q31</f>
        <v>0</v>
      </c>
      <c r="H197" s="119"/>
      <c r="I197" s="119"/>
      <c r="J197" s="119"/>
      <c r="K197" s="119"/>
      <c r="L197" s="119"/>
      <c r="M197" s="9"/>
      <c r="N197" s="113"/>
      <c r="O197" s="154"/>
      <c r="P197" s="154"/>
      <c r="Q197" s="154"/>
      <c r="R197" s="102"/>
      <c r="S197" s="102"/>
      <c r="T197" s="102"/>
      <c r="U197" s="102"/>
      <c r="V197" s="102"/>
      <c r="W197" s="102"/>
      <c r="X197" s="102"/>
      <c r="Y197" s="102"/>
      <c r="Z197" s="102"/>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5"/>
      <c r="BK197" s="225"/>
    </row>
    <row r="198" spans="1:63" hidden="1" outlineLevel="1">
      <c r="A198" s="9"/>
      <c r="B198" s="46"/>
      <c r="C198" s="132">
        <f>Asset26</f>
        <v>0</v>
      </c>
      <c r="D198" s="9"/>
      <c r="E198" s="9"/>
      <c r="F198" s="143"/>
      <c r="G198" s="198">
        <f>Input!Q32</f>
        <v>0</v>
      </c>
      <c r="H198" s="119"/>
      <c r="I198" s="119"/>
      <c r="J198" s="119"/>
      <c r="K198" s="119"/>
      <c r="L198" s="119"/>
      <c r="M198" s="9"/>
      <c r="N198" s="113"/>
      <c r="O198" s="154"/>
      <c r="P198" s="154"/>
      <c r="Q198" s="154"/>
      <c r="R198" s="102"/>
      <c r="S198" s="102"/>
      <c r="T198" s="102"/>
      <c r="U198" s="102"/>
      <c r="V198" s="102"/>
      <c r="W198" s="102"/>
      <c r="X198" s="102"/>
      <c r="Y198" s="102"/>
      <c r="Z198" s="102"/>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5"/>
      <c r="BK198" s="225"/>
    </row>
    <row r="199" spans="1:63" hidden="1" outlineLevel="1">
      <c r="A199" s="9"/>
      <c r="B199" s="46"/>
      <c r="C199" s="132">
        <f>Asset27</f>
        <v>0</v>
      </c>
      <c r="D199" s="9"/>
      <c r="E199" s="9"/>
      <c r="F199" s="143"/>
      <c r="G199" s="198">
        <f>Input!Q33</f>
        <v>0</v>
      </c>
      <c r="H199" s="119"/>
      <c r="I199" s="119"/>
      <c r="J199" s="119"/>
      <c r="K199" s="119"/>
      <c r="L199" s="119"/>
      <c r="M199" s="9"/>
      <c r="N199" s="113"/>
      <c r="O199" s="154"/>
      <c r="P199" s="154"/>
      <c r="Q199" s="154"/>
      <c r="R199" s="102"/>
      <c r="S199" s="102"/>
      <c r="T199" s="102"/>
      <c r="U199" s="102"/>
      <c r="V199" s="102"/>
      <c r="W199" s="102"/>
      <c r="X199" s="102"/>
      <c r="Y199" s="102"/>
      <c r="Z199" s="102"/>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5"/>
      <c r="BK199" s="225"/>
    </row>
    <row r="200" spans="1:63" hidden="1" outlineLevel="1">
      <c r="A200" s="9"/>
      <c r="B200" s="46"/>
      <c r="C200" s="132">
        <f>Asset28</f>
        <v>0</v>
      </c>
      <c r="D200" s="9"/>
      <c r="E200" s="9"/>
      <c r="F200" s="143"/>
      <c r="G200" s="198">
        <f>Input!Q34</f>
        <v>0</v>
      </c>
      <c r="H200" s="119"/>
      <c r="I200" s="119"/>
      <c r="J200" s="119"/>
      <c r="K200" s="119"/>
      <c r="L200" s="119"/>
      <c r="M200" s="9"/>
      <c r="N200" s="113"/>
      <c r="O200" s="154"/>
      <c r="P200" s="154"/>
      <c r="Q200" s="154"/>
      <c r="R200" s="102"/>
      <c r="S200" s="102"/>
      <c r="T200" s="102"/>
      <c r="U200" s="102"/>
      <c r="V200" s="102"/>
      <c r="W200" s="102"/>
      <c r="X200" s="102"/>
      <c r="Y200" s="102"/>
      <c r="Z200" s="102"/>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5"/>
      <c r="BK200" s="225"/>
    </row>
    <row r="201" spans="1:63" hidden="1" outlineLevel="1">
      <c r="A201" s="9"/>
      <c r="B201" s="46"/>
      <c r="C201" s="132">
        <f>Asset29</f>
        <v>0</v>
      </c>
      <c r="D201" s="9"/>
      <c r="E201" s="9"/>
      <c r="F201" s="143"/>
      <c r="G201" s="198">
        <f>Input!Q35</f>
        <v>0</v>
      </c>
      <c r="H201" s="119"/>
      <c r="I201" s="119"/>
      <c r="J201" s="119"/>
      <c r="K201" s="119"/>
      <c r="L201" s="119"/>
      <c r="M201" s="9"/>
      <c r="N201" s="113"/>
      <c r="O201" s="154"/>
      <c r="P201" s="154"/>
      <c r="Q201" s="154"/>
      <c r="R201" s="102"/>
      <c r="S201" s="102"/>
      <c r="T201" s="102"/>
      <c r="U201" s="102"/>
      <c r="V201" s="102"/>
      <c r="W201" s="102"/>
      <c r="X201" s="102"/>
      <c r="Y201" s="102"/>
      <c r="Z201" s="102"/>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5"/>
      <c r="BK201" s="225"/>
    </row>
    <row r="202" spans="1:63" hidden="1" outlineLevel="1">
      <c r="A202" s="9"/>
      <c r="B202" s="46"/>
      <c r="C202" s="132">
        <f>Asset30</f>
        <v>0</v>
      </c>
      <c r="D202" s="9"/>
      <c r="E202" s="9"/>
      <c r="F202" s="143"/>
      <c r="G202" s="198">
        <f>Input!Q36</f>
        <v>0</v>
      </c>
      <c r="H202" s="119"/>
      <c r="I202" s="119"/>
      <c r="J202" s="119"/>
      <c r="K202" s="119"/>
      <c r="L202" s="119"/>
      <c r="M202" s="9"/>
      <c r="N202" s="113"/>
      <c r="O202" s="154"/>
      <c r="P202" s="154"/>
      <c r="Q202" s="154"/>
      <c r="R202" s="102"/>
      <c r="S202" s="102"/>
      <c r="T202" s="102"/>
      <c r="U202" s="102"/>
      <c r="V202" s="102"/>
      <c r="W202" s="102"/>
      <c r="X202" s="102"/>
      <c r="Y202" s="102"/>
      <c r="Z202" s="102"/>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5"/>
      <c r="BK202" s="225"/>
    </row>
    <row r="203" spans="1:63" collapsed="1">
      <c r="A203" s="9"/>
      <c r="B203" s="155"/>
      <c r="C203" s="26"/>
      <c r="D203" s="9"/>
      <c r="E203" s="9"/>
      <c r="F203" s="143"/>
      <c r="G203" s="200"/>
      <c r="H203" s="119"/>
      <c r="I203" s="119"/>
      <c r="J203" s="119"/>
      <c r="K203" s="119"/>
      <c r="L203" s="119"/>
      <c r="M203" s="9"/>
      <c r="N203" s="113"/>
      <c r="O203" s="154"/>
      <c r="P203" s="154"/>
      <c r="Q203" s="154"/>
      <c r="R203" s="102"/>
      <c r="S203" s="102"/>
      <c r="T203" s="102"/>
      <c r="U203" s="102"/>
      <c r="V203" s="102"/>
      <c r="W203" s="102"/>
      <c r="X203" s="102"/>
      <c r="Y203" s="102"/>
      <c r="Z203" s="102"/>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5"/>
      <c r="BK203" s="225"/>
    </row>
    <row r="204" spans="1:63">
      <c r="A204" s="9"/>
      <c r="B204" s="155" t="s">
        <v>56</v>
      </c>
      <c r="C204" s="26"/>
      <c r="D204" s="9"/>
      <c r="E204" s="9"/>
      <c r="F204" s="143"/>
      <c r="G204" s="200">
        <f>SUM(G205:G234)</f>
        <v>0</v>
      </c>
      <c r="H204" s="119"/>
      <c r="I204" s="119"/>
      <c r="J204" s="119"/>
      <c r="K204" s="119"/>
      <c r="L204" s="119"/>
      <c r="M204" s="9"/>
      <c r="N204" s="113"/>
      <c r="O204" s="154"/>
      <c r="P204" s="154"/>
      <c r="Q204" s="154"/>
      <c r="R204" s="102"/>
      <c r="S204" s="102"/>
      <c r="T204" s="102"/>
      <c r="U204" s="102"/>
      <c r="V204" s="102"/>
      <c r="W204" s="102"/>
      <c r="X204" s="102"/>
      <c r="Y204" s="102"/>
      <c r="Z204" s="102"/>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5"/>
      <c r="BK204" s="225"/>
    </row>
    <row r="205" spans="1:63" hidden="1" outlineLevel="1">
      <c r="A205" s="9"/>
      <c r="B205" s="9"/>
      <c r="C205" s="132" t="str">
        <f>Asset1</f>
        <v>Opening Distribution Assets</v>
      </c>
      <c r="D205" s="9"/>
      <c r="E205" s="9"/>
      <c r="F205" s="143"/>
      <c r="G205" s="198">
        <f>Input!R7</f>
        <v>0</v>
      </c>
      <c r="H205" s="119"/>
      <c r="I205" s="119"/>
      <c r="J205" s="119"/>
      <c r="K205" s="119"/>
      <c r="L205" s="119"/>
      <c r="M205" s="9"/>
      <c r="N205" s="113"/>
      <c r="O205" s="154"/>
      <c r="P205" s="154"/>
      <c r="Q205" s="154"/>
      <c r="R205" s="102"/>
      <c r="S205" s="102"/>
      <c r="T205" s="102"/>
      <c r="U205" s="102"/>
      <c r="V205" s="102"/>
      <c r="W205" s="102"/>
      <c r="X205" s="102"/>
      <c r="Y205" s="102"/>
      <c r="Z205" s="102"/>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5"/>
      <c r="BK205" s="225"/>
    </row>
    <row r="206" spans="1:63" hidden="1" outlineLevel="1">
      <c r="A206" s="9"/>
      <c r="B206" s="46"/>
      <c r="C206" s="132" t="str">
        <f>Asset2</f>
        <v>Sub-transmission Overhead</v>
      </c>
      <c r="D206" s="9"/>
      <c r="E206" s="9"/>
      <c r="F206" s="143"/>
      <c r="G206" s="198">
        <f>Input!R8</f>
        <v>0</v>
      </c>
      <c r="H206" s="119"/>
      <c r="I206" s="119"/>
      <c r="J206" s="119"/>
      <c r="K206" s="119"/>
      <c r="L206" s="119"/>
      <c r="M206" s="9"/>
      <c r="N206" s="113"/>
      <c r="O206" s="154"/>
      <c r="P206" s="154"/>
      <c r="Q206" s="154"/>
      <c r="R206" s="102"/>
      <c r="S206" s="102"/>
      <c r="T206" s="102"/>
      <c r="U206" s="102"/>
      <c r="V206" s="102"/>
      <c r="W206" s="102"/>
      <c r="X206" s="102"/>
      <c r="Y206" s="102"/>
      <c r="Z206" s="102"/>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5"/>
      <c r="BK206" s="225"/>
    </row>
    <row r="207" spans="1:63" hidden="1" outlineLevel="1">
      <c r="A207" s="9"/>
      <c r="B207" s="46"/>
      <c r="C207" s="132" t="str">
        <f>Asset3</f>
        <v>Sub-transmission Underground</v>
      </c>
      <c r="D207" s="9"/>
      <c r="E207" s="9"/>
      <c r="F207" s="143"/>
      <c r="G207" s="198">
        <f>Input!R9</f>
        <v>0</v>
      </c>
      <c r="H207" s="119"/>
      <c r="I207" s="119"/>
      <c r="J207" s="119"/>
      <c r="K207" s="119"/>
      <c r="L207" s="119"/>
      <c r="M207" s="9"/>
      <c r="N207" s="113"/>
      <c r="O207" s="154"/>
      <c r="P207" s="154"/>
      <c r="Q207" s="154"/>
      <c r="R207" s="102"/>
      <c r="S207" s="102"/>
      <c r="T207" s="102"/>
      <c r="U207" s="102"/>
      <c r="V207" s="102"/>
      <c r="W207" s="102"/>
      <c r="X207" s="102"/>
      <c r="Y207" s="102"/>
      <c r="Z207" s="102"/>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5"/>
      <c r="BK207" s="225"/>
    </row>
    <row r="208" spans="1:63" hidden="1" outlineLevel="1">
      <c r="A208" s="9"/>
      <c r="B208" s="46"/>
      <c r="C208" s="132" t="str">
        <f>Asset4</f>
        <v>Zone Substation</v>
      </c>
      <c r="D208" s="9"/>
      <c r="E208" s="9"/>
      <c r="F208" s="143"/>
      <c r="G208" s="198">
        <f>Input!R10</f>
        <v>0</v>
      </c>
      <c r="H208" s="119"/>
      <c r="I208" s="119"/>
      <c r="J208" s="119"/>
      <c r="K208" s="119"/>
      <c r="L208" s="119"/>
      <c r="M208" s="9"/>
      <c r="N208" s="113"/>
      <c r="O208" s="154"/>
      <c r="P208" s="154"/>
      <c r="Q208" s="154"/>
      <c r="R208" s="102"/>
      <c r="S208" s="102"/>
      <c r="T208" s="102"/>
      <c r="U208" s="102"/>
      <c r="V208" s="102"/>
      <c r="W208" s="102"/>
      <c r="X208" s="102"/>
      <c r="Y208" s="102"/>
      <c r="Z208" s="102"/>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5"/>
      <c r="BK208" s="225"/>
    </row>
    <row r="209" spans="1:63" hidden="1" outlineLevel="1">
      <c r="A209" s="9"/>
      <c r="B209" s="46"/>
      <c r="C209" s="132" t="str">
        <f>Asset5</f>
        <v>Distribution Substations</v>
      </c>
      <c r="D209" s="9"/>
      <c r="E209" s="9"/>
      <c r="F209" s="143"/>
      <c r="G209" s="198">
        <f>Input!R11</f>
        <v>0</v>
      </c>
      <c r="H209" s="119"/>
      <c r="I209" s="119"/>
      <c r="J209" s="119"/>
      <c r="K209" s="119"/>
      <c r="L209" s="119"/>
      <c r="M209" s="9"/>
      <c r="N209" s="113"/>
      <c r="O209" s="154"/>
      <c r="P209" s="154"/>
      <c r="Q209" s="154"/>
      <c r="R209" s="102"/>
      <c r="S209" s="102"/>
      <c r="T209" s="102"/>
      <c r="U209" s="102"/>
      <c r="V209" s="102"/>
      <c r="W209" s="102"/>
      <c r="X209" s="102"/>
      <c r="Y209" s="102"/>
      <c r="Z209" s="102"/>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5"/>
      <c r="BK209" s="225"/>
    </row>
    <row r="210" spans="1:63" hidden="1" outlineLevel="1">
      <c r="A210" s="9"/>
      <c r="B210" s="46"/>
      <c r="C210" s="132" t="str">
        <f>Asset6</f>
        <v>Distribution Overhead Lines</v>
      </c>
      <c r="D210" s="9"/>
      <c r="E210" s="9"/>
      <c r="F210" s="143"/>
      <c r="G210" s="198">
        <f>Input!R12</f>
        <v>0</v>
      </c>
      <c r="H210" s="119"/>
      <c r="I210" s="119"/>
      <c r="J210" s="119"/>
      <c r="K210" s="119"/>
      <c r="L210" s="119"/>
      <c r="M210" s="9"/>
      <c r="N210" s="113"/>
      <c r="O210" s="154"/>
      <c r="P210" s="154"/>
      <c r="Q210" s="154"/>
      <c r="R210" s="102"/>
      <c r="S210" s="102"/>
      <c r="T210" s="102"/>
      <c r="U210" s="102"/>
      <c r="V210" s="102"/>
      <c r="W210" s="102"/>
      <c r="X210" s="102"/>
      <c r="Y210" s="102"/>
      <c r="Z210" s="102"/>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5"/>
      <c r="BK210" s="225"/>
    </row>
    <row r="211" spans="1:63" hidden="1" outlineLevel="1">
      <c r="A211" s="9"/>
      <c r="B211" s="46"/>
      <c r="C211" s="132" t="str">
        <f>Asset7</f>
        <v>Distribution Underground Lines</v>
      </c>
      <c r="D211" s="9"/>
      <c r="E211" s="9"/>
      <c r="F211" s="143"/>
      <c r="G211" s="198">
        <f>Input!R13</f>
        <v>0</v>
      </c>
      <c r="H211" s="119"/>
      <c r="I211" s="119"/>
      <c r="J211" s="119"/>
      <c r="K211" s="119"/>
      <c r="L211" s="119"/>
      <c r="M211" s="9"/>
      <c r="N211" s="113"/>
      <c r="O211" s="154"/>
      <c r="P211" s="154"/>
      <c r="Q211" s="154"/>
      <c r="R211" s="102"/>
      <c r="S211" s="102"/>
      <c r="T211" s="102"/>
      <c r="U211" s="102"/>
      <c r="V211" s="102"/>
      <c r="W211" s="102"/>
      <c r="X211" s="102"/>
      <c r="Y211" s="102"/>
      <c r="Z211" s="102"/>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5"/>
      <c r="BK211" s="225"/>
    </row>
    <row r="212" spans="1:63" hidden="1" outlineLevel="1">
      <c r="A212" s="9"/>
      <c r="B212" s="46"/>
      <c r="C212" s="132" t="str">
        <f>Asset8</f>
        <v>IT &amp; Communication Systems (Networks)</v>
      </c>
      <c r="D212" s="9"/>
      <c r="E212" s="9"/>
      <c r="F212" s="143"/>
      <c r="G212" s="198">
        <f>Input!R14</f>
        <v>0</v>
      </c>
      <c r="H212" s="119"/>
      <c r="I212" s="119"/>
      <c r="J212" s="119"/>
      <c r="K212" s="119"/>
      <c r="L212" s="119"/>
      <c r="M212" s="9"/>
      <c r="N212" s="113"/>
      <c r="O212" s="154"/>
      <c r="P212" s="154"/>
      <c r="Q212" s="154"/>
      <c r="R212" s="102"/>
      <c r="S212" s="102"/>
      <c r="T212" s="102"/>
      <c r="U212" s="102"/>
      <c r="V212" s="102"/>
      <c r="W212" s="102"/>
      <c r="X212" s="102"/>
      <c r="Y212" s="102"/>
      <c r="Z212" s="102"/>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5"/>
      <c r="BK212" s="225"/>
    </row>
    <row r="213" spans="1:63" hidden="1" outlineLevel="1">
      <c r="A213" s="9"/>
      <c r="B213" s="46"/>
      <c r="C213" s="132" t="str">
        <f>Asset9</f>
        <v>Motor Vehicles</v>
      </c>
      <c r="D213" s="9"/>
      <c r="E213" s="9"/>
      <c r="F213" s="143"/>
      <c r="G213" s="198">
        <f>Input!R15</f>
        <v>0</v>
      </c>
      <c r="H213" s="119"/>
      <c r="I213" s="119"/>
      <c r="J213" s="119"/>
      <c r="K213" s="119"/>
      <c r="L213" s="119"/>
      <c r="M213" s="9"/>
      <c r="N213" s="113"/>
      <c r="O213" s="154"/>
      <c r="P213" s="154"/>
      <c r="Q213" s="154"/>
      <c r="R213" s="102"/>
      <c r="S213" s="102"/>
      <c r="T213" s="102"/>
      <c r="U213" s="102"/>
      <c r="V213" s="102"/>
      <c r="W213" s="102"/>
      <c r="X213" s="102"/>
      <c r="Y213" s="102"/>
      <c r="Z213" s="102"/>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5"/>
      <c r="BK213" s="225"/>
    </row>
    <row r="214" spans="1:63" hidden="1" outlineLevel="1">
      <c r="A214" s="9"/>
      <c r="B214" s="46"/>
      <c r="C214" s="132" t="str">
        <f>Asset10</f>
        <v>Other Non-System Assets (Networks)</v>
      </c>
      <c r="D214" s="9"/>
      <c r="E214" s="9"/>
      <c r="F214" s="143"/>
      <c r="G214" s="198">
        <f>Input!R16</f>
        <v>0</v>
      </c>
      <c r="H214" s="119"/>
      <c r="I214" s="119"/>
      <c r="J214" s="119"/>
      <c r="K214" s="119"/>
      <c r="L214" s="119"/>
      <c r="M214" s="9"/>
      <c r="N214" s="113"/>
      <c r="O214" s="154"/>
      <c r="P214" s="154"/>
      <c r="Q214" s="154"/>
      <c r="R214" s="102"/>
      <c r="S214" s="102"/>
      <c r="T214" s="102"/>
      <c r="U214" s="102"/>
      <c r="V214" s="102"/>
      <c r="W214" s="102"/>
      <c r="X214" s="102"/>
      <c r="Y214" s="102"/>
      <c r="Z214" s="102"/>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5"/>
      <c r="BK214" s="225"/>
    </row>
    <row r="215" spans="1:63" hidden="1" outlineLevel="1">
      <c r="A215" s="9"/>
      <c r="B215" s="46"/>
      <c r="C215" s="132" t="str">
        <f>Asset11</f>
        <v>IT Systems (Corporate)</v>
      </c>
      <c r="D215" s="9"/>
      <c r="E215" s="9"/>
      <c r="F215" s="143"/>
      <c r="G215" s="198">
        <f>Input!R17</f>
        <v>0</v>
      </c>
      <c r="H215" s="119"/>
      <c r="I215" s="119"/>
      <c r="J215" s="119"/>
      <c r="K215" s="119"/>
      <c r="L215" s="119"/>
      <c r="M215" s="9"/>
      <c r="N215" s="113"/>
      <c r="O215" s="154"/>
      <c r="P215" s="154"/>
      <c r="Q215" s="154"/>
      <c r="R215" s="102"/>
      <c r="S215" s="102"/>
      <c r="T215" s="102"/>
      <c r="U215" s="102"/>
      <c r="V215" s="102"/>
      <c r="W215" s="102"/>
      <c r="X215" s="102"/>
      <c r="Y215" s="102"/>
      <c r="Z215" s="102"/>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5"/>
      <c r="BK215" s="225"/>
    </row>
    <row r="216" spans="1:63" hidden="1" outlineLevel="1">
      <c r="A216" s="9"/>
      <c r="B216" s="46"/>
      <c r="C216" s="132" t="str">
        <f>Asset12</f>
        <v>Telecommunications (Corporate)</v>
      </c>
      <c r="D216" s="9"/>
      <c r="E216" s="9"/>
      <c r="F216" s="143"/>
      <c r="G216" s="198">
        <f>Input!R18</f>
        <v>0</v>
      </c>
      <c r="H216" s="119"/>
      <c r="I216" s="119"/>
      <c r="J216" s="119"/>
      <c r="K216" s="119"/>
      <c r="L216" s="119"/>
      <c r="M216" s="9"/>
      <c r="N216" s="113"/>
      <c r="O216" s="154"/>
      <c r="P216" s="154"/>
      <c r="Q216" s="154"/>
      <c r="R216" s="102"/>
      <c r="S216" s="102"/>
      <c r="T216" s="102"/>
      <c r="U216" s="102"/>
      <c r="V216" s="102"/>
      <c r="W216" s="102"/>
      <c r="X216" s="102"/>
      <c r="Y216" s="102"/>
      <c r="Z216" s="102"/>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5"/>
      <c r="BK216" s="225"/>
    </row>
    <row r="217" spans="1:63" hidden="1" outlineLevel="1">
      <c r="A217" s="9"/>
      <c r="B217" s="46"/>
      <c r="C217" s="132" t="str">
        <f>Asset13</f>
        <v>Other Non-System Assets (Corporate)</v>
      </c>
      <c r="D217" s="9"/>
      <c r="E217" s="9"/>
      <c r="F217" s="143"/>
      <c r="G217" s="198">
        <f>Input!R19</f>
        <v>0</v>
      </c>
      <c r="H217" s="119"/>
      <c r="I217" s="119"/>
      <c r="J217" s="119"/>
      <c r="K217" s="119"/>
      <c r="L217" s="119"/>
      <c r="M217" s="9"/>
      <c r="N217" s="113"/>
      <c r="O217" s="154"/>
      <c r="P217" s="154"/>
      <c r="Q217" s="154"/>
      <c r="R217" s="102"/>
      <c r="S217" s="102"/>
      <c r="T217" s="102"/>
      <c r="U217" s="102"/>
      <c r="V217" s="102"/>
      <c r="W217" s="102"/>
      <c r="X217" s="102"/>
      <c r="Y217" s="102"/>
      <c r="Z217" s="102"/>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5"/>
      <c r="BK217" s="225"/>
    </row>
    <row r="218" spans="1:63" hidden="1" outlineLevel="1">
      <c r="A218" s="9"/>
      <c r="B218" s="46"/>
      <c r="C218" s="132" t="str">
        <f>Asset14</f>
        <v>Land</v>
      </c>
      <c r="D218" s="9"/>
      <c r="E218" s="9"/>
      <c r="F218" s="143"/>
      <c r="G218" s="198">
        <f>Input!R20</f>
        <v>0</v>
      </c>
      <c r="H218" s="119"/>
      <c r="I218" s="119"/>
      <c r="J218" s="119"/>
      <c r="K218" s="119"/>
      <c r="L218" s="119"/>
      <c r="M218" s="9"/>
      <c r="N218" s="113"/>
      <c r="O218" s="154"/>
      <c r="P218" s="154"/>
      <c r="Q218" s="154"/>
      <c r="R218" s="102"/>
      <c r="S218" s="102"/>
      <c r="T218" s="102"/>
      <c r="U218" s="102"/>
      <c r="V218" s="102"/>
      <c r="W218" s="102"/>
      <c r="X218" s="102"/>
      <c r="Y218" s="102"/>
      <c r="Z218" s="102"/>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5"/>
      <c r="BK218" s="225"/>
    </row>
    <row r="219" spans="1:63" hidden="1" outlineLevel="1">
      <c r="A219" s="9"/>
      <c r="B219" s="46"/>
      <c r="C219" s="132" t="str">
        <f>Asset15</f>
        <v>Buildings</v>
      </c>
      <c r="D219" s="9"/>
      <c r="E219" s="9"/>
      <c r="F219" s="143"/>
      <c r="G219" s="198">
        <f>Input!R21</f>
        <v>0</v>
      </c>
      <c r="H219" s="119"/>
      <c r="I219" s="119"/>
      <c r="J219" s="119"/>
      <c r="K219" s="119"/>
      <c r="L219" s="119"/>
      <c r="M219" s="9"/>
      <c r="N219" s="113"/>
      <c r="O219" s="154"/>
      <c r="P219" s="154"/>
      <c r="Q219" s="154"/>
      <c r="R219" s="102"/>
      <c r="S219" s="102"/>
      <c r="T219" s="102"/>
      <c r="U219" s="102"/>
      <c r="V219" s="102"/>
      <c r="W219" s="102"/>
      <c r="X219" s="102"/>
      <c r="Y219" s="102"/>
      <c r="Z219" s="102"/>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5"/>
      <c r="BK219" s="225"/>
    </row>
    <row r="220" spans="1:63" hidden="1" outlineLevel="1">
      <c r="A220" s="9"/>
      <c r="B220" s="46"/>
      <c r="C220" s="132" t="str">
        <f>Asset16</f>
        <v>Equity raising costs</v>
      </c>
      <c r="D220" s="9"/>
      <c r="E220" s="9"/>
      <c r="F220" s="143"/>
      <c r="G220" s="198">
        <f>Input!R22</f>
        <v>0</v>
      </c>
      <c r="H220" s="119"/>
      <c r="I220" s="119"/>
      <c r="J220" s="119"/>
      <c r="K220" s="119"/>
      <c r="L220" s="119"/>
      <c r="M220" s="9"/>
      <c r="N220" s="113"/>
      <c r="O220" s="154"/>
      <c r="P220" s="154"/>
      <c r="Q220" s="154"/>
      <c r="R220" s="102"/>
      <c r="S220" s="102"/>
      <c r="T220" s="102"/>
      <c r="U220" s="102"/>
      <c r="V220" s="102"/>
      <c r="W220" s="102"/>
      <c r="X220" s="102"/>
      <c r="Y220" s="102"/>
      <c r="Z220" s="102"/>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5"/>
      <c r="BK220" s="225"/>
    </row>
    <row r="221" spans="1:63" hidden="1" outlineLevel="1">
      <c r="A221" s="9"/>
      <c r="B221" s="46"/>
      <c r="C221" s="132">
        <f>Asset17</f>
        <v>0</v>
      </c>
      <c r="D221" s="9"/>
      <c r="E221" s="9"/>
      <c r="F221" s="143"/>
      <c r="G221" s="198">
        <f>Input!R23</f>
        <v>0</v>
      </c>
      <c r="H221" s="119"/>
      <c r="I221" s="119"/>
      <c r="J221" s="119"/>
      <c r="K221" s="119"/>
      <c r="L221" s="119"/>
      <c r="M221" s="9"/>
      <c r="N221" s="113"/>
      <c r="O221" s="154"/>
      <c r="P221" s="154"/>
      <c r="Q221" s="154"/>
      <c r="R221" s="102"/>
      <c r="S221" s="102"/>
      <c r="T221" s="102"/>
      <c r="U221" s="102"/>
      <c r="V221" s="102"/>
      <c r="W221" s="102"/>
      <c r="X221" s="102"/>
      <c r="Y221" s="102"/>
      <c r="Z221" s="102"/>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5"/>
      <c r="BK221" s="225"/>
    </row>
    <row r="222" spans="1:63" hidden="1" outlineLevel="1">
      <c r="A222" s="9"/>
      <c r="B222" s="46"/>
      <c r="C222" s="132">
        <f>Asset18</f>
        <v>0</v>
      </c>
      <c r="D222" s="9"/>
      <c r="E222" s="9"/>
      <c r="F222" s="143"/>
      <c r="G222" s="198">
        <f>Input!R24</f>
        <v>0</v>
      </c>
      <c r="H222" s="119"/>
      <c r="I222" s="119"/>
      <c r="J222" s="119"/>
      <c r="K222" s="119"/>
      <c r="L222" s="119"/>
      <c r="M222" s="9"/>
      <c r="N222" s="113"/>
      <c r="O222" s="154"/>
      <c r="P222" s="154"/>
      <c r="Q222" s="154"/>
      <c r="R222" s="102"/>
      <c r="S222" s="102"/>
      <c r="T222" s="102"/>
      <c r="U222" s="102"/>
      <c r="V222" s="102"/>
      <c r="W222" s="102"/>
      <c r="X222" s="102"/>
      <c r="Y222" s="102"/>
      <c r="Z222" s="102"/>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5"/>
      <c r="BK222" s="225"/>
    </row>
    <row r="223" spans="1:63" hidden="1" outlineLevel="1">
      <c r="A223" s="9"/>
      <c r="B223" s="46"/>
      <c r="C223" s="132">
        <f>Asset19</f>
        <v>0</v>
      </c>
      <c r="D223" s="9"/>
      <c r="E223" s="9"/>
      <c r="F223" s="143"/>
      <c r="G223" s="198">
        <f>Input!R25</f>
        <v>0</v>
      </c>
      <c r="H223" s="119"/>
      <c r="I223" s="119"/>
      <c r="J223" s="119"/>
      <c r="K223" s="119"/>
      <c r="L223" s="119"/>
      <c r="M223" s="9"/>
      <c r="N223" s="113"/>
      <c r="O223" s="154"/>
      <c r="P223" s="154"/>
      <c r="Q223" s="154"/>
      <c r="R223" s="102"/>
      <c r="S223" s="102"/>
      <c r="T223" s="102"/>
      <c r="U223" s="102"/>
      <c r="V223" s="102"/>
      <c r="W223" s="102"/>
      <c r="X223" s="102"/>
      <c r="Y223" s="102"/>
      <c r="Z223" s="102"/>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5"/>
      <c r="BK223" s="225"/>
    </row>
    <row r="224" spans="1:63" hidden="1" outlineLevel="1">
      <c r="A224" s="9"/>
      <c r="B224" s="46"/>
      <c r="C224" s="132">
        <f>Asset20</f>
        <v>0</v>
      </c>
      <c r="D224" s="9"/>
      <c r="E224" s="9"/>
      <c r="F224" s="143"/>
      <c r="G224" s="200">
        <f>Input!R26</f>
        <v>0</v>
      </c>
      <c r="H224" s="119"/>
      <c r="I224" s="119"/>
      <c r="J224" s="119"/>
      <c r="K224" s="119"/>
      <c r="L224" s="119"/>
      <c r="M224" s="9"/>
      <c r="N224" s="113"/>
      <c r="O224" s="154"/>
      <c r="P224" s="154"/>
      <c r="Q224" s="154"/>
      <c r="R224" s="102"/>
      <c r="S224" s="102"/>
      <c r="T224" s="102"/>
      <c r="U224" s="102"/>
      <c r="V224" s="102"/>
      <c r="W224" s="102"/>
      <c r="X224" s="102"/>
      <c r="Y224" s="102"/>
      <c r="Z224" s="102"/>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5"/>
      <c r="BK224" s="225"/>
    </row>
    <row r="225" spans="1:63" hidden="1" outlineLevel="1">
      <c r="A225" s="9"/>
      <c r="B225" s="46"/>
      <c r="C225" s="132">
        <f>Asset21</f>
        <v>0</v>
      </c>
      <c r="D225" s="9"/>
      <c r="E225" s="9"/>
      <c r="F225" s="143"/>
      <c r="G225" s="200">
        <f>Input!R27</f>
        <v>0</v>
      </c>
      <c r="H225" s="119"/>
      <c r="I225" s="119"/>
      <c r="J225" s="119"/>
      <c r="K225" s="119"/>
      <c r="L225" s="119"/>
      <c r="M225" s="9"/>
      <c r="N225" s="113"/>
      <c r="O225" s="154"/>
      <c r="P225" s="154"/>
      <c r="Q225" s="154"/>
      <c r="R225" s="102"/>
      <c r="S225" s="102"/>
      <c r="T225" s="102"/>
      <c r="U225" s="102"/>
      <c r="V225" s="102"/>
      <c r="W225" s="102"/>
      <c r="X225" s="102"/>
      <c r="Y225" s="102"/>
      <c r="Z225" s="102"/>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5"/>
      <c r="BK225" s="225"/>
    </row>
    <row r="226" spans="1:63" hidden="1" outlineLevel="1">
      <c r="A226" s="9"/>
      <c r="B226" s="46"/>
      <c r="C226" s="132">
        <f>Asset22</f>
        <v>0</v>
      </c>
      <c r="D226" s="9"/>
      <c r="E226" s="9"/>
      <c r="F226" s="143"/>
      <c r="G226" s="200">
        <f>Input!R28</f>
        <v>0</v>
      </c>
      <c r="H226" s="119"/>
      <c r="I226" s="119"/>
      <c r="J226" s="119"/>
      <c r="K226" s="119"/>
      <c r="L226" s="119"/>
      <c r="M226" s="9"/>
      <c r="N226" s="113"/>
      <c r="O226" s="154"/>
      <c r="P226" s="154"/>
      <c r="Q226" s="154"/>
      <c r="R226" s="102"/>
      <c r="S226" s="102"/>
      <c r="T226" s="102"/>
      <c r="U226" s="102"/>
      <c r="V226" s="102"/>
      <c r="W226" s="102"/>
      <c r="X226" s="102"/>
      <c r="Y226" s="102"/>
      <c r="Z226" s="102"/>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5"/>
      <c r="BK226" s="225"/>
    </row>
    <row r="227" spans="1:63" hidden="1" outlineLevel="1">
      <c r="A227" s="9"/>
      <c r="B227" s="46"/>
      <c r="C227" s="132">
        <f>Asset23</f>
        <v>0</v>
      </c>
      <c r="D227" s="9"/>
      <c r="E227" s="9"/>
      <c r="F227" s="143"/>
      <c r="G227" s="200">
        <f>Input!R29</f>
        <v>0</v>
      </c>
      <c r="H227" s="119"/>
      <c r="I227" s="119"/>
      <c r="J227" s="119"/>
      <c r="K227" s="119"/>
      <c r="L227" s="119"/>
      <c r="M227" s="9"/>
      <c r="N227" s="113"/>
      <c r="O227" s="154"/>
      <c r="P227" s="154"/>
      <c r="Q227" s="154"/>
      <c r="R227" s="102"/>
      <c r="S227" s="102"/>
      <c r="T227" s="102"/>
      <c r="U227" s="102"/>
      <c r="V227" s="102"/>
      <c r="W227" s="102"/>
      <c r="X227" s="102"/>
      <c r="Y227" s="102"/>
      <c r="Z227" s="102"/>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5"/>
      <c r="BK227" s="225"/>
    </row>
    <row r="228" spans="1:63" hidden="1" outlineLevel="1">
      <c r="A228" s="9"/>
      <c r="B228" s="46"/>
      <c r="C228" s="132">
        <f>Asset24</f>
        <v>0</v>
      </c>
      <c r="D228" s="9"/>
      <c r="E228" s="9"/>
      <c r="F228" s="143"/>
      <c r="G228" s="200">
        <f>Input!R30</f>
        <v>0</v>
      </c>
      <c r="H228" s="119"/>
      <c r="I228" s="119"/>
      <c r="J228" s="119"/>
      <c r="K228" s="119"/>
      <c r="L228" s="119"/>
      <c r="M228" s="9"/>
      <c r="N228" s="113"/>
      <c r="O228" s="154"/>
      <c r="P228" s="154"/>
      <c r="Q228" s="154"/>
      <c r="R228" s="102"/>
      <c r="S228" s="102"/>
      <c r="T228" s="102"/>
      <c r="U228" s="102"/>
      <c r="V228" s="102"/>
      <c r="W228" s="102"/>
      <c r="X228" s="102"/>
      <c r="Y228" s="102"/>
      <c r="Z228" s="102"/>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5"/>
      <c r="BK228" s="225"/>
    </row>
    <row r="229" spans="1:63" hidden="1" outlineLevel="1">
      <c r="A229" s="9"/>
      <c r="B229" s="46"/>
      <c r="C229" s="132">
        <f>Asset25</f>
        <v>0</v>
      </c>
      <c r="D229" s="9"/>
      <c r="E229" s="9"/>
      <c r="F229" s="143"/>
      <c r="G229" s="200">
        <f>Input!R31</f>
        <v>0</v>
      </c>
      <c r="H229" s="119"/>
      <c r="I229" s="119"/>
      <c r="J229" s="119"/>
      <c r="K229" s="119"/>
      <c r="L229" s="119"/>
      <c r="M229" s="9"/>
      <c r="N229" s="113"/>
      <c r="O229" s="154"/>
      <c r="P229" s="154"/>
      <c r="Q229" s="154"/>
      <c r="R229" s="102"/>
      <c r="S229" s="102"/>
      <c r="T229" s="102"/>
      <c r="U229" s="102"/>
      <c r="V229" s="102"/>
      <c r="W229" s="102"/>
      <c r="X229" s="102"/>
      <c r="Y229" s="102"/>
      <c r="Z229" s="102"/>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5"/>
      <c r="BK229" s="225"/>
    </row>
    <row r="230" spans="1:63" hidden="1" outlineLevel="1">
      <c r="A230" s="9"/>
      <c r="B230" s="46"/>
      <c r="C230" s="132">
        <f>Asset26</f>
        <v>0</v>
      </c>
      <c r="D230" s="9"/>
      <c r="E230" s="9"/>
      <c r="F230" s="143"/>
      <c r="G230" s="200">
        <f>Input!R32</f>
        <v>0</v>
      </c>
      <c r="H230" s="119"/>
      <c r="I230" s="119"/>
      <c r="J230" s="119"/>
      <c r="K230" s="119"/>
      <c r="L230" s="119"/>
      <c r="M230" s="9"/>
      <c r="N230" s="113"/>
      <c r="O230" s="154"/>
      <c r="P230" s="154"/>
      <c r="Q230" s="154"/>
      <c r="R230" s="102"/>
      <c r="S230" s="102"/>
      <c r="T230" s="102"/>
      <c r="U230" s="102"/>
      <c r="V230" s="102"/>
      <c r="W230" s="102"/>
      <c r="X230" s="102"/>
      <c r="Y230" s="102"/>
      <c r="Z230" s="102"/>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5"/>
      <c r="BK230" s="225"/>
    </row>
    <row r="231" spans="1:63" hidden="1" outlineLevel="1">
      <c r="A231" s="9"/>
      <c r="B231" s="46"/>
      <c r="C231" s="132">
        <f>Asset27</f>
        <v>0</v>
      </c>
      <c r="D231" s="9"/>
      <c r="E231" s="9"/>
      <c r="F231" s="143"/>
      <c r="G231" s="200">
        <f>Input!R33</f>
        <v>0</v>
      </c>
      <c r="H231" s="119"/>
      <c r="I231" s="119"/>
      <c r="J231" s="119"/>
      <c r="K231" s="119"/>
      <c r="L231" s="119"/>
      <c r="M231" s="9"/>
      <c r="N231" s="113"/>
      <c r="O231" s="154"/>
      <c r="P231" s="154"/>
      <c r="Q231" s="154"/>
      <c r="R231" s="102"/>
      <c r="S231" s="102"/>
      <c r="T231" s="102"/>
      <c r="U231" s="102"/>
      <c r="V231" s="102"/>
      <c r="W231" s="102"/>
      <c r="X231" s="102"/>
      <c r="Y231" s="102"/>
      <c r="Z231" s="102"/>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5"/>
      <c r="BK231" s="225"/>
    </row>
    <row r="232" spans="1:63" hidden="1" outlineLevel="1">
      <c r="A232" s="9"/>
      <c r="B232" s="46"/>
      <c r="C232" s="132">
        <f>Asset28</f>
        <v>0</v>
      </c>
      <c r="D232" s="9"/>
      <c r="E232" s="9"/>
      <c r="F232" s="143"/>
      <c r="G232" s="200">
        <f>Input!R34</f>
        <v>0</v>
      </c>
      <c r="H232" s="119"/>
      <c r="I232" s="119"/>
      <c r="J232" s="119"/>
      <c r="K232" s="119"/>
      <c r="L232" s="119"/>
      <c r="M232" s="9"/>
      <c r="N232" s="113"/>
      <c r="O232" s="154"/>
      <c r="P232" s="154"/>
      <c r="Q232" s="154"/>
      <c r="R232" s="102"/>
      <c r="S232" s="102"/>
      <c r="T232" s="102"/>
      <c r="U232" s="102"/>
      <c r="V232" s="102"/>
      <c r="W232" s="102"/>
      <c r="X232" s="102"/>
      <c r="Y232" s="102"/>
      <c r="Z232" s="102"/>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5"/>
      <c r="BK232" s="225"/>
    </row>
    <row r="233" spans="1:63" hidden="1" outlineLevel="1">
      <c r="A233" s="9"/>
      <c r="B233" s="46"/>
      <c r="C233" s="132">
        <f>Asset29</f>
        <v>0</v>
      </c>
      <c r="D233" s="9"/>
      <c r="E233" s="9"/>
      <c r="F233" s="143"/>
      <c r="G233" s="200">
        <f>Input!R35</f>
        <v>0</v>
      </c>
      <c r="H233" s="119"/>
      <c r="I233" s="119"/>
      <c r="J233" s="119"/>
      <c r="K233" s="119"/>
      <c r="L233" s="119"/>
      <c r="M233" s="9"/>
      <c r="N233" s="113"/>
      <c r="O233" s="154"/>
      <c r="P233" s="154"/>
      <c r="Q233" s="154"/>
      <c r="R233" s="102"/>
      <c r="S233" s="102"/>
      <c r="T233" s="102"/>
      <c r="U233" s="102"/>
      <c r="V233" s="102"/>
      <c r="W233" s="102"/>
      <c r="X233" s="102"/>
      <c r="Y233" s="102"/>
      <c r="Z233" s="102"/>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5"/>
      <c r="BK233" s="225"/>
    </row>
    <row r="234" spans="1:63" hidden="1" outlineLevel="1">
      <c r="A234" s="9"/>
      <c r="B234" s="46"/>
      <c r="C234" s="132">
        <f>Asset30</f>
        <v>0</v>
      </c>
      <c r="D234" s="9"/>
      <c r="E234" s="9"/>
      <c r="F234" s="143"/>
      <c r="G234" s="200">
        <f>Input!R36</f>
        <v>0</v>
      </c>
      <c r="H234" s="119"/>
      <c r="I234" s="119"/>
      <c r="J234" s="119"/>
      <c r="K234" s="119"/>
      <c r="L234" s="119"/>
      <c r="M234" s="9"/>
      <c r="N234" s="113"/>
      <c r="O234" s="154"/>
      <c r="P234" s="154"/>
      <c r="Q234" s="154"/>
      <c r="R234" s="102"/>
      <c r="S234" s="102"/>
      <c r="T234" s="102"/>
      <c r="U234" s="102"/>
      <c r="V234" s="102"/>
      <c r="W234" s="102"/>
      <c r="X234" s="102"/>
      <c r="Y234" s="102"/>
      <c r="Z234" s="102"/>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5"/>
      <c r="BK234" s="225"/>
    </row>
    <row r="235" spans="1:63" collapsed="1">
      <c r="A235" s="9"/>
      <c r="B235" s="155"/>
      <c r="C235" s="26"/>
      <c r="D235" s="9"/>
      <c r="E235" s="9"/>
      <c r="F235" s="143"/>
      <c r="G235" s="200"/>
      <c r="H235" s="119"/>
      <c r="I235" s="119"/>
      <c r="J235" s="119"/>
      <c r="K235" s="119"/>
      <c r="L235" s="119"/>
      <c r="M235" s="9"/>
      <c r="N235" s="113"/>
      <c r="O235" s="154"/>
      <c r="P235" s="154"/>
      <c r="Q235" s="154"/>
      <c r="R235" s="102"/>
      <c r="S235" s="102"/>
      <c r="T235" s="102"/>
      <c r="U235" s="102"/>
      <c r="V235" s="102"/>
      <c r="W235" s="102"/>
      <c r="X235" s="102"/>
      <c r="Y235" s="102"/>
      <c r="Z235" s="102"/>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5"/>
      <c r="BK235" s="225"/>
    </row>
    <row r="236" spans="1:63">
      <c r="A236" s="9"/>
      <c r="B236" s="155" t="s">
        <v>57</v>
      </c>
      <c r="C236" s="26"/>
      <c r="D236" s="9"/>
      <c r="E236" s="9"/>
      <c r="F236" s="143"/>
      <c r="G236" s="200">
        <f>SUM(G237:G266)</f>
        <v>0</v>
      </c>
      <c r="H236" s="119"/>
      <c r="I236" s="119"/>
      <c r="J236" s="119"/>
      <c r="K236" s="119"/>
      <c r="L236" s="119"/>
      <c r="M236" s="9"/>
      <c r="N236" s="113"/>
      <c r="O236" s="154"/>
      <c r="P236" s="154"/>
      <c r="Q236" s="154"/>
      <c r="R236" s="102"/>
      <c r="S236" s="102"/>
      <c r="T236" s="102"/>
      <c r="U236" s="102"/>
      <c r="V236" s="102"/>
      <c r="W236" s="102"/>
      <c r="X236" s="102"/>
      <c r="Y236" s="102"/>
      <c r="Z236" s="102"/>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5"/>
      <c r="BK236" s="225"/>
    </row>
    <row r="237" spans="1:63" hidden="1" outlineLevel="1">
      <c r="A237" s="9"/>
      <c r="B237" s="9"/>
      <c r="C237" s="132" t="str">
        <f>Asset1</f>
        <v>Opening Distribution Assets</v>
      </c>
      <c r="D237" s="9"/>
      <c r="E237" s="9"/>
      <c r="F237" s="143"/>
      <c r="G237" s="198">
        <f t="shared" ref="G237:G256" si="3">G205-G173</f>
        <v>0</v>
      </c>
      <c r="H237" s="119"/>
      <c r="I237" s="119"/>
      <c r="J237" s="119"/>
      <c r="K237" s="119"/>
      <c r="L237" s="119"/>
      <c r="M237" s="9"/>
      <c r="N237" s="113"/>
      <c r="O237" s="154"/>
      <c r="P237" s="154"/>
      <c r="Q237" s="154"/>
      <c r="R237" s="102"/>
      <c r="S237" s="102"/>
      <c r="T237" s="102"/>
      <c r="U237" s="102"/>
      <c r="V237" s="102"/>
      <c r="W237" s="102"/>
      <c r="X237" s="102"/>
      <c r="Y237" s="102"/>
      <c r="Z237" s="102"/>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5"/>
      <c r="BK237" s="225"/>
    </row>
    <row r="238" spans="1:63" hidden="1" outlineLevel="1">
      <c r="A238" s="9"/>
      <c r="B238" s="46"/>
      <c r="C238" s="132" t="str">
        <f>Asset2</f>
        <v>Sub-transmission Overhead</v>
      </c>
      <c r="D238" s="9"/>
      <c r="E238" s="9"/>
      <c r="F238" s="143"/>
      <c r="G238" s="198">
        <f t="shared" si="3"/>
        <v>0</v>
      </c>
      <c r="H238" s="119"/>
      <c r="I238" s="119"/>
      <c r="J238" s="119"/>
      <c r="K238" s="119"/>
      <c r="L238" s="119"/>
      <c r="M238" s="9"/>
      <c r="N238" s="113"/>
      <c r="O238" s="154"/>
      <c r="P238" s="154"/>
      <c r="Q238" s="154"/>
      <c r="R238" s="102"/>
      <c r="S238" s="102"/>
      <c r="T238" s="102"/>
      <c r="U238" s="102"/>
      <c r="V238" s="102"/>
      <c r="W238" s="102"/>
      <c r="X238" s="102"/>
      <c r="Y238" s="102"/>
      <c r="Z238" s="102"/>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5"/>
      <c r="BK238" s="225"/>
    </row>
    <row r="239" spans="1:63" hidden="1" outlineLevel="1">
      <c r="A239" s="9"/>
      <c r="B239" s="46"/>
      <c r="C239" s="132" t="str">
        <f>Asset3</f>
        <v>Sub-transmission Underground</v>
      </c>
      <c r="D239" s="9"/>
      <c r="E239" s="9"/>
      <c r="F239" s="143"/>
      <c r="G239" s="198">
        <f t="shared" si="3"/>
        <v>0</v>
      </c>
      <c r="H239" s="119"/>
      <c r="I239" s="119"/>
      <c r="J239" s="119"/>
      <c r="K239" s="119"/>
      <c r="L239" s="119"/>
      <c r="M239" s="9"/>
      <c r="N239" s="113"/>
      <c r="O239" s="154"/>
      <c r="P239" s="154"/>
      <c r="Q239" s="154"/>
      <c r="R239" s="102"/>
      <c r="S239" s="102"/>
      <c r="T239" s="102"/>
      <c r="U239" s="102"/>
      <c r="V239" s="102"/>
      <c r="W239" s="102"/>
      <c r="X239" s="102"/>
      <c r="Y239" s="102"/>
      <c r="Z239" s="102"/>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5"/>
      <c r="BK239" s="225"/>
    </row>
    <row r="240" spans="1:63" hidden="1" outlineLevel="1">
      <c r="A240" s="9"/>
      <c r="B240" s="46"/>
      <c r="C240" s="132" t="str">
        <f>Asset4</f>
        <v>Zone Substation</v>
      </c>
      <c r="D240" s="9"/>
      <c r="E240" s="9"/>
      <c r="F240" s="143"/>
      <c r="G240" s="198">
        <f t="shared" si="3"/>
        <v>0</v>
      </c>
      <c r="H240" s="119"/>
      <c r="I240" s="119"/>
      <c r="J240" s="119"/>
      <c r="K240" s="119"/>
      <c r="L240" s="119"/>
      <c r="M240" s="9"/>
      <c r="N240" s="113"/>
      <c r="O240" s="154"/>
      <c r="P240" s="154"/>
      <c r="Q240" s="154"/>
      <c r="R240" s="102"/>
      <c r="S240" s="102"/>
      <c r="T240" s="102"/>
      <c r="U240" s="102"/>
      <c r="V240" s="102"/>
      <c r="W240" s="102"/>
      <c r="X240" s="102"/>
      <c r="Y240" s="102"/>
      <c r="Z240" s="102"/>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5"/>
      <c r="BK240" s="225"/>
    </row>
    <row r="241" spans="1:63" hidden="1" outlineLevel="1">
      <c r="A241" s="9"/>
      <c r="B241" s="46"/>
      <c r="C241" s="132" t="str">
        <f>Asset5</f>
        <v>Distribution Substations</v>
      </c>
      <c r="D241" s="9"/>
      <c r="E241" s="9"/>
      <c r="F241" s="143"/>
      <c r="G241" s="198">
        <f t="shared" si="3"/>
        <v>0</v>
      </c>
      <c r="H241" s="119"/>
      <c r="I241" s="119"/>
      <c r="J241" s="119"/>
      <c r="K241" s="119"/>
      <c r="L241" s="119"/>
      <c r="M241" s="9"/>
      <c r="N241" s="113"/>
      <c r="O241" s="154"/>
      <c r="P241" s="154"/>
      <c r="Q241" s="154"/>
      <c r="R241" s="102"/>
      <c r="S241" s="102"/>
      <c r="T241" s="102"/>
      <c r="U241" s="102"/>
      <c r="V241" s="102"/>
      <c r="W241" s="102"/>
      <c r="X241" s="102"/>
      <c r="Y241" s="102"/>
      <c r="Z241" s="102"/>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5"/>
      <c r="BK241" s="225"/>
    </row>
    <row r="242" spans="1:63" hidden="1" outlineLevel="1">
      <c r="A242" s="9"/>
      <c r="B242" s="46"/>
      <c r="C242" s="132" t="str">
        <f>Asset6</f>
        <v>Distribution Overhead Lines</v>
      </c>
      <c r="D242" s="9"/>
      <c r="E242" s="9"/>
      <c r="F242" s="143"/>
      <c r="G242" s="198">
        <f t="shared" si="3"/>
        <v>0</v>
      </c>
      <c r="H242" s="119"/>
      <c r="I242" s="119"/>
      <c r="J242" s="119"/>
      <c r="K242" s="119"/>
      <c r="L242" s="119"/>
      <c r="M242" s="9"/>
      <c r="N242" s="113"/>
      <c r="O242" s="154"/>
      <c r="P242" s="154"/>
      <c r="Q242" s="154"/>
      <c r="R242" s="102"/>
      <c r="S242" s="102"/>
      <c r="T242" s="102"/>
      <c r="U242" s="102"/>
      <c r="V242" s="102"/>
      <c r="W242" s="102"/>
      <c r="X242" s="102"/>
      <c r="Y242" s="102"/>
      <c r="Z242" s="102"/>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5"/>
      <c r="BK242" s="225"/>
    </row>
    <row r="243" spans="1:63" hidden="1" outlineLevel="1">
      <c r="A243" s="9"/>
      <c r="B243" s="46"/>
      <c r="C243" s="132" t="str">
        <f>Asset7</f>
        <v>Distribution Underground Lines</v>
      </c>
      <c r="D243" s="9"/>
      <c r="E243" s="9"/>
      <c r="F243" s="143"/>
      <c r="G243" s="198">
        <f t="shared" si="3"/>
        <v>0</v>
      </c>
      <c r="H243" s="119"/>
      <c r="I243" s="119"/>
      <c r="J243" s="119"/>
      <c r="K243" s="119"/>
      <c r="L243" s="119"/>
      <c r="M243" s="9"/>
      <c r="N243" s="113"/>
      <c r="O243" s="154"/>
      <c r="P243" s="154"/>
      <c r="Q243" s="154"/>
      <c r="R243" s="102"/>
      <c r="S243" s="102"/>
      <c r="T243" s="102"/>
      <c r="U243" s="102"/>
      <c r="V243" s="102"/>
      <c r="W243" s="102"/>
      <c r="X243" s="102"/>
      <c r="Y243" s="102"/>
      <c r="Z243" s="102"/>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5"/>
      <c r="BK243" s="225"/>
    </row>
    <row r="244" spans="1:63" hidden="1" outlineLevel="1">
      <c r="A244" s="9"/>
      <c r="B244" s="46"/>
      <c r="C244" s="132" t="str">
        <f>Asset8</f>
        <v>IT &amp; Communication Systems (Networks)</v>
      </c>
      <c r="D244" s="9"/>
      <c r="E244" s="9"/>
      <c r="F244" s="143"/>
      <c r="G244" s="198">
        <f t="shared" si="3"/>
        <v>0</v>
      </c>
      <c r="H244" s="119"/>
      <c r="I244" s="119"/>
      <c r="J244" s="119"/>
      <c r="K244" s="119"/>
      <c r="L244" s="119"/>
      <c r="M244" s="9"/>
      <c r="N244" s="113"/>
      <c r="O244" s="154"/>
      <c r="P244" s="154"/>
      <c r="Q244" s="154"/>
      <c r="R244" s="102"/>
      <c r="S244" s="102"/>
      <c r="T244" s="102"/>
      <c r="U244" s="102"/>
      <c r="V244" s="102"/>
      <c r="W244" s="102"/>
      <c r="X244" s="102"/>
      <c r="Y244" s="102"/>
      <c r="Z244" s="102"/>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5"/>
      <c r="BK244" s="225"/>
    </row>
    <row r="245" spans="1:63" hidden="1" outlineLevel="1">
      <c r="A245" s="9"/>
      <c r="B245" s="46"/>
      <c r="C245" s="132" t="str">
        <f>Asset9</f>
        <v>Motor Vehicles</v>
      </c>
      <c r="D245" s="9"/>
      <c r="E245" s="9"/>
      <c r="F245" s="143"/>
      <c r="G245" s="198">
        <f t="shared" si="3"/>
        <v>0</v>
      </c>
      <c r="H245" s="119"/>
      <c r="I245" s="119"/>
      <c r="J245" s="119"/>
      <c r="K245" s="119"/>
      <c r="L245" s="119"/>
      <c r="M245" s="9"/>
      <c r="N245" s="113"/>
      <c r="O245" s="154"/>
      <c r="P245" s="154"/>
      <c r="Q245" s="154"/>
      <c r="R245" s="102"/>
      <c r="S245" s="102"/>
      <c r="T245" s="102"/>
      <c r="U245" s="102"/>
      <c r="V245" s="102"/>
      <c r="W245" s="102"/>
      <c r="X245" s="102"/>
      <c r="Y245" s="102"/>
      <c r="Z245" s="102"/>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5"/>
      <c r="BK245" s="225"/>
    </row>
    <row r="246" spans="1:63" hidden="1" outlineLevel="1">
      <c r="A246" s="9"/>
      <c r="B246" s="46"/>
      <c r="C246" s="132" t="str">
        <f>Asset10</f>
        <v>Other Non-System Assets (Networks)</v>
      </c>
      <c r="D246" s="9"/>
      <c r="E246" s="9"/>
      <c r="F246" s="143"/>
      <c r="G246" s="198">
        <f t="shared" si="3"/>
        <v>0</v>
      </c>
      <c r="H246" s="119"/>
      <c r="I246" s="119"/>
      <c r="J246" s="119"/>
      <c r="K246" s="119"/>
      <c r="L246" s="119"/>
      <c r="M246" s="9"/>
      <c r="N246" s="113"/>
      <c r="O246" s="154"/>
      <c r="P246" s="154"/>
      <c r="Q246" s="154"/>
      <c r="R246" s="102"/>
      <c r="S246" s="102"/>
      <c r="T246" s="102"/>
      <c r="U246" s="102"/>
      <c r="V246" s="102"/>
      <c r="W246" s="102"/>
      <c r="X246" s="102"/>
      <c r="Y246" s="102"/>
      <c r="Z246" s="102"/>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5"/>
      <c r="BK246" s="225"/>
    </row>
    <row r="247" spans="1:63" hidden="1" outlineLevel="1">
      <c r="A247" s="9"/>
      <c r="B247" s="46"/>
      <c r="C247" s="132" t="str">
        <f>Asset11</f>
        <v>IT Systems (Corporate)</v>
      </c>
      <c r="D247" s="9"/>
      <c r="E247" s="9"/>
      <c r="F247" s="143"/>
      <c r="G247" s="198">
        <f t="shared" si="3"/>
        <v>0</v>
      </c>
      <c r="H247" s="119"/>
      <c r="I247" s="119"/>
      <c r="J247" s="119"/>
      <c r="K247" s="119"/>
      <c r="L247" s="119"/>
      <c r="M247" s="9"/>
      <c r="N247" s="113"/>
      <c r="O247" s="154"/>
      <c r="P247" s="154"/>
      <c r="Q247" s="154"/>
      <c r="R247" s="102"/>
      <c r="S247" s="102"/>
      <c r="T247" s="102"/>
      <c r="U247" s="102"/>
      <c r="V247" s="102"/>
      <c r="W247" s="102"/>
      <c r="X247" s="102"/>
      <c r="Y247" s="102"/>
      <c r="Z247" s="102"/>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5"/>
      <c r="BK247" s="225"/>
    </row>
    <row r="248" spans="1:63" hidden="1" outlineLevel="1">
      <c r="A248" s="9"/>
      <c r="B248" s="46"/>
      <c r="C248" s="132" t="str">
        <f>Asset12</f>
        <v>Telecommunications (Corporate)</v>
      </c>
      <c r="D248" s="9"/>
      <c r="E248" s="9"/>
      <c r="F248" s="143"/>
      <c r="G248" s="198">
        <f t="shared" si="3"/>
        <v>0</v>
      </c>
      <c r="H248" s="119"/>
      <c r="I248" s="119"/>
      <c r="J248" s="119"/>
      <c r="K248" s="119"/>
      <c r="L248" s="119"/>
      <c r="M248" s="9"/>
      <c r="N248" s="113"/>
      <c r="O248" s="154"/>
      <c r="P248" s="154"/>
      <c r="Q248" s="154"/>
      <c r="R248" s="102"/>
      <c r="S248" s="102"/>
      <c r="T248" s="102"/>
      <c r="U248" s="102"/>
      <c r="V248" s="102"/>
      <c r="W248" s="102"/>
      <c r="X248" s="102"/>
      <c r="Y248" s="102"/>
      <c r="Z248" s="102"/>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5"/>
      <c r="BK248" s="225"/>
    </row>
    <row r="249" spans="1:63" hidden="1" outlineLevel="1">
      <c r="A249" s="9"/>
      <c r="B249" s="46"/>
      <c r="C249" s="132" t="str">
        <f>Asset13</f>
        <v>Other Non-System Assets (Corporate)</v>
      </c>
      <c r="D249" s="9"/>
      <c r="E249" s="9"/>
      <c r="F249" s="143"/>
      <c r="G249" s="198">
        <f t="shared" si="3"/>
        <v>0</v>
      </c>
      <c r="H249" s="119"/>
      <c r="I249" s="119"/>
      <c r="J249" s="119"/>
      <c r="K249" s="119"/>
      <c r="L249" s="119"/>
      <c r="M249" s="9"/>
      <c r="N249" s="113"/>
      <c r="O249" s="154"/>
      <c r="P249" s="154"/>
      <c r="Q249" s="154"/>
      <c r="R249" s="102"/>
      <c r="S249" s="102"/>
      <c r="T249" s="102"/>
      <c r="U249" s="102"/>
      <c r="V249" s="102"/>
      <c r="W249" s="102"/>
      <c r="X249" s="102"/>
      <c r="Y249" s="102"/>
      <c r="Z249" s="102"/>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5"/>
      <c r="BK249" s="225"/>
    </row>
    <row r="250" spans="1:63" hidden="1" outlineLevel="1">
      <c r="A250" s="9"/>
      <c r="B250" s="46"/>
      <c r="C250" s="132" t="str">
        <f>Asset14</f>
        <v>Land</v>
      </c>
      <c r="D250" s="9"/>
      <c r="E250" s="9"/>
      <c r="F250" s="143"/>
      <c r="G250" s="198">
        <f t="shared" si="3"/>
        <v>0</v>
      </c>
      <c r="H250" s="119"/>
      <c r="I250" s="119"/>
      <c r="J250" s="119"/>
      <c r="K250" s="119"/>
      <c r="L250" s="119"/>
      <c r="M250" s="9"/>
      <c r="N250" s="113"/>
      <c r="O250" s="154"/>
      <c r="P250" s="154"/>
      <c r="Q250" s="154"/>
      <c r="R250" s="102"/>
      <c r="S250" s="102"/>
      <c r="T250" s="102"/>
      <c r="U250" s="102"/>
      <c r="V250" s="102"/>
      <c r="W250" s="102"/>
      <c r="X250" s="102"/>
      <c r="Y250" s="102"/>
      <c r="Z250" s="102"/>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5"/>
      <c r="BK250" s="225"/>
    </row>
    <row r="251" spans="1:63" hidden="1" outlineLevel="1">
      <c r="A251" s="9"/>
      <c r="B251" s="46"/>
      <c r="C251" s="132" t="str">
        <f>Asset15</f>
        <v>Buildings</v>
      </c>
      <c r="D251" s="9"/>
      <c r="E251" s="9"/>
      <c r="F251" s="143"/>
      <c r="G251" s="198">
        <f t="shared" si="3"/>
        <v>0</v>
      </c>
      <c r="H251" s="119"/>
      <c r="I251" s="119"/>
      <c r="J251" s="119"/>
      <c r="K251" s="119"/>
      <c r="L251" s="119"/>
      <c r="M251" s="9"/>
      <c r="N251" s="113"/>
      <c r="O251" s="154"/>
      <c r="P251" s="154"/>
      <c r="Q251" s="154"/>
      <c r="R251" s="102"/>
      <c r="S251" s="102"/>
      <c r="T251" s="102"/>
      <c r="U251" s="102"/>
      <c r="V251" s="102"/>
      <c r="W251" s="102"/>
      <c r="X251" s="102"/>
      <c r="Y251" s="102"/>
      <c r="Z251" s="102"/>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5"/>
      <c r="BK251" s="225"/>
    </row>
    <row r="252" spans="1:63" hidden="1" outlineLevel="1">
      <c r="A252" s="9"/>
      <c r="B252" s="46"/>
      <c r="C252" s="132" t="str">
        <f>Asset16</f>
        <v>Equity raising costs</v>
      </c>
      <c r="D252" s="9"/>
      <c r="E252" s="9"/>
      <c r="F252" s="143"/>
      <c r="G252" s="198">
        <f t="shared" si="3"/>
        <v>0</v>
      </c>
      <c r="H252" s="119"/>
      <c r="I252" s="119"/>
      <c r="J252" s="119"/>
      <c r="K252" s="119"/>
      <c r="L252" s="119"/>
      <c r="M252" s="9"/>
      <c r="N252" s="113"/>
      <c r="O252" s="154"/>
      <c r="P252" s="154"/>
      <c r="Q252" s="154"/>
      <c r="R252" s="102"/>
      <c r="S252" s="102"/>
      <c r="T252" s="102"/>
      <c r="U252" s="102"/>
      <c r="V252" s="102"/>
      <c r="W252" s="102"/>
      <c r="X252" s="102"/>
      <c r="Y252" s="102"/>
      <c r="Z252" s="102"/>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5"/>
      <c r="BK252" s="225"/>
    </row>
    <row r="253" spans="1:63" hidden="1" outlineLevel="1">
      <c r="A253" s="9"/>
      <c r="B253" s="46"/>
      <c r="C253" s="132">
        <f>Asset17</f>
        <v>0</v>
      </c>
      <c r="D253" s="9"/>
      <c r="E253" s="9"/>
      <c r="F253" s="143"/>
      <c r="G253" s="198">
        <f t="shared" si="3"/>
        <v>0</v>
      </c>
      <c r="H253" s="119"/>
      <c r="I253" s="119"/>
      <c r="J253" s="119"/>
      <c r="K253" s="119"/>
      <c r="L253" s="119"/>
      <c r="M253" s="9"/>
      <c r="N253" s="113"/>
      <c r="O253" s="154"/>
      <c r="P253" s="154"/>
      <c r="Q253" s="154"/>
      <c r="R253" s="102"/>
      <c r="S253" s="102"/>
      <c r="T253" s="102"/>
      <c r="U253" s="102"/>
      <c r="V253" s="102"/>
      <c r="W253" s="102"/>
      <c r="X253" s="102"/>
      <c r="Y253" s="102"/>
      <c r="Z253" s="102"/>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5"/>
      <c r="BK253" s="225"/>
    </row>
    <row r="254" spans="1:63" hidden="1" outlineLevel="1">
      <c r="A254" s="9"/>
      <c r="B254" s="46"/>
      <c r="C254" s="132">
        <f>Asset18</f>
        <v>0</v>
      </c>
      <c r="D254" s="9"/>
      <c r="E254" s="9"/>
      <c r="F254" s="143"/>
      <c r="G254" s="198">
        <f t="shared" si="3"/>
        <v>0</v>
      </c>
      <c r="H254" s="119"/>
      <c r="I254" s="119"/>
      <c r="J254" s="119"/>
      <c r="K254" s="119"/>
      <c r="L254" s="119"/>
      <c r="M254" s="9"/>
      <c r="N254" s="113"/>
      <c r="O254" s="154"/>
      <c r="P254" s="154"/>
      <c r="Q254" s="154"/>
      <c r="R254" s="102"/>
      <c r="S254" s="102"/>
      <c r="T254" s="102"/>
      <c r="U254" s="102"/>
      <c r="V254" s="102"/>
      <c r="W254" s="102"/>
      <c r="X254" s="102"/>
      <c r="Y254" s="102"/>
      <c r="Z254" s="102"/>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5"/>
      <c r="BK254" s="225"/>
    </row>
    <row r="255" spans="1:63" hidden="1" outlineLevel="1">
      <c r="A255" s="9"/>
      <c r="B255" s="46"/>
      <c r="C255" s="132">
        <f>Asset19</f>
        <v>0</v>
      </c>
      <c r="D255" s="9"/>
      <c r="E255" s="9"/>
      <c r="F255" s="143"/>
      <c r="G255" s="198">
        <f t="shared" si="3"/>
        <v>0</v>
      </c>
      <c r="H255" s="119"/>
      <c r="I255" s="119"/>
      <c r="J255" s="119"/>
      <c r="K255" s="119"/>
      <c r="L255" s="119"/>
      <c r="M255" s="9"/>
      <c r="N255" s="113"/>
      <c r="O255" s="154"/>
      <c r="P255" s="154"/>
      <c r="Q255" s="154"/>
      <c r="R255" s="102"/>
      <c r="S255" s="102"/>
      <c r="T255" s="102"/>
      <c r="U255" s="102"/>
      <c r="V255" s="102"/>
      <c r="W255" s="102"/>
      <c r="X255" s="102"/>
      <c r="Y255" s="102"/>
      <c r="Z255" s="102"/>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5"/>
      <c r="BK255" s="225"/>
    </row>
    <row r="256" spans="1:63" hidden="1" outlineLevel="1">
      <c r="A256" s="9"/>
      <c r="B256" s="46"/>
      <c r="C256" s="132">
        <f>Asset20</f>
        <v>0</v>
      </c>
      <c r="D256" s="9"/>
      <c r="E256" s="9"/>
      <c r="F256" s="143"/>
      <c r="G256" s="198">
        <f t="shared" si="3"/>
        <v>0</v>
      </c>
      <c r="H256" s="119"/>
      <c r="I256" s="119"/>
      <c r="J256" s="119"/>
      <c r="K256" s="119"/>
      <c r="L256" s="119"/>
      <c r="M256" s="9"/>
      <c r="N256" s="113"/>
      <c r="O256" s="154"/>
      <c r="P256" s="154"/>
      <c r="Q256" s="154"/>
      <c r="R256" s="102"/>
      <c r="S256" s="102"/>
      <c r="T256" s="102"/>
      <c r="U256" s="102"/>
      <c r="V256" s="102"/>
      <c r="W256" s="102"/>
      <c r="X256" s="102"/>
      <c r="Y256" s="102"/>
      <c r="Z256" s="102"/>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5"/>
      <c r="BK256" s="225"/>
    </row>
    <row r="257" spans="1:63" hidden="1" outlineLevel="1">
      <c r="A257" s="9"/>
      <c r="B257" s="46"/>
      <c r="C257" s="132">
        <f>Asset21</f>
        <v>0</v>
      </c>
      <c r="D257" s="9"/>
      <c r="E257" s="9"/>
      <c r="F257" s="143"/>
      <c r="G257" s="198">
        <f t="shared" ref="G257:G266" si="4">G225-G193</f>
        <v>0</v>
      </c>
      <c r="H257" s="119"/>
      <c r="I257" s="119"/>
      <c r="J257" s="119"/>
      <c r="K257" s="119"/>
      <c r="L257" s="119"/>
      <c r="M257" s="9"/>
      <c r="N257" s="113"/>
      <c r="O257" s="154"/>
      <c r="P257" s="154"/>
      <c r="Q257" s="154"/>
      <c r="R257" s="102"/>
      <c r="S257" s="102"/>
      <c r="T257" s="102"/>
      <c r="U257" s="102"/>
      <c r="V257" s="102"/>
      <c r="W257" s="102"/>
      <c r="X257" s="102"/>
      <c r="Y257" s="102"/>
      <c r="Z257" s="102"/>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5"/>
      <c r="BK257" s="225"/>
    </row>
    <row r="258" spans="1:63" hidden="1" outlineLevel="1">
      <c r="A258" s="9"/>
      <c r="B258" s="46"/>
      <c r="C258" s="132">
        <f>Asset22</f>
        <v>0</v>
      </c>
      <c r="D258" s="9"/>
      <c r="E258" s="9"/>
      <c r="F258" s="143"/>
      <c r="G258" s="198">
        <f t="shared" si="4"/>
        <v>0</v>
      </c>
      <c r="H258" s="119"/>
      <c r="I258" s="119"/>
      <c r="J258" s="119"/>
      <c r="K258" s="119"/>
      <c r="L258" s="119"/>
      <c r="M258" s="9"/>
      <c r="N258" s="113"/>
      <c r="O258" s="154"/>
      <c r="P258" s="154"/>
      <c r="Q258" s="154"/>
      <c r="R258" s="102"/>
      <c r="S258" s="102"/>
      <c r="T258" s="102"/>
      <c r="U258" s="102"/>
      <c r="V258" s="102"/>
      <c r="W258" s="102"/>
      <c r="X258" s="102"/>
      <c r="Y258" s="102"/>
      <c r="Z258" s="102"/>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5"/>
      <c r="BK258" s="225"/>
    </row>
    <row r="259" spans="1:63" hidden="1" outlineLevel="1">
      <c r="A259" s="9"/>
      <c r="B259" s="46"/>
      <c r="C259" s="132">
        <f>Asset23</f>
        <v>0</v>
      </c>
      <c r="D259" s="9"/>
      <c r="E259" s="9"/>
      <c r="F259" s="143"/>
      <c r="G259" s="198">
        <f t="shared" si="4"/>
        <v>0</v>
      </c>
      <c r="H259" s="119"/>
      <c r="I259" s="119"/>
      <c r="J259" s="119"/>
      <c r="K259" s="119"/>
      <c r="L259" s="119"/>
      <c r="M259" s="9"/>
      <c r="N259" s="113"/>
      <c r="O259" s="154"/>
      <c r="P259" s="154"/>
      <c r="Q259" s="154"/>
      <c r="R259" s="102"/>
      <c r="S259" s="102"/>
      <c r="T259" s="102"/>
      <c r="U259" s="102"/>
      <c r="V259" s="102"/>
      <c r="W259" s="102"/>
      <c r="X259" s="102"/>
      <c r="Y259" s="102"/>
      <c r="Z259" s="102"/>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5"/>
      <c r="BK259" s="225"/>
    </row>
    <row r="260" spans="1:63" hidden="1" outlineLevel="1">
      <c r="A260" s="9"/>
      <c r="B260" s="46"/>
      <c r="C260" s="132">
        <f>Asset24</f>
        <v>0</v>
      </c>
      <c r="D260" s="9"/>
      <c r="E260" s="9"/>
      <c r="F260" s="143"/>
      <c r="G260" s="198">
        <f t="shared" si="4"/>
        <v>0</v>
      </c>
      <c r="H260" s="119"/>
      <c r="I260" s="119"/>
      <c r="J260" s="119"/>
      <c r="K260" s="119"/>
      <c r="L260" s="119"/>
      <c r="M260" s="9"/>
      <c r="N260" s="113"/>
      <c r="O260" s="154"/>
      <c r="P260" s="154"/>
      <c r="Q260" s="154"/>
      <c r="R260" s="102"/>
      <c r="S260" s="102"/>
      <c r="T260" s="102"/>
      <c r="U260" s="102"/>
      <c r="V260" s="102"/>
      <c r="W260" s="102"/>
      <c r="X260" s="102"/>
      <c r="Y260" s="102"/>
      <c r="Z260" s="102"/>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5"/>
      <c r="BK260" s="225"/>
    </row>
    <row r="261" spans="1:63" hidden="1" outlineLevel="1">
      <c r="A261" s="9"/>
      <c r="B261" s="46"/>
      <c r="C261" s="132">
        <f>Asset25</f>
        <v>0</v>
      </c>
      <c r="D261" s="9"/>
      <c r="E261" s="9"/>
      <c r="F261" s="143"/>
      <c r="G261" s="198">
        <f t="shared" si="4"/>
        <v>0</v>
      </c>
      <c r="H261" s="119"/>
      <c r="I261" s="119"/>
      <c r="J261" s="119"/>
      <c r="K261" s="119"/>
      <c r="L261" s="119"/>
      <c r="M261" s="9"/>
      <c r="N261" s="113"/>
      <c r="O261" s="154"/>
      <c r="P261" s="154"/>
      <c r="Q261" s="154"/>
      <c r="R261" s="102"/>
      <c r="S261" s="102"/>
      <c r="T261" s="102"/>
      <c r="U261" s="102"/>
      <c r="V261" s="102"/>
      <c r="W261" s="102"/>
      <c r="X261" s="102"/>
      <c r="Y261" s="102"/>
      <c r="Z261" s="102"/>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5"/>
      <c r="BK261" s="225"/>
    </row>
    <row r="262" spans="1:63" hidden="1" outlineLevel="1">
      <c r="A262" s="9"/>
      <c r="B262" s="46"/>
      <c r="C262" s="132">
        <f>Asset26</f>
        <v>0</v>
      </c>
      <c r="D262" s="9"/>
      <c r="E262" s="9"/>
      <c r="F262" s="143"/>
      <c r="G262" s="198">
        <f t="shared" si="4"/>
        <v>0</v>
      </c>
      <c r="H262" s="119"/>
      <c r="I262" s="119"/>
      <c r="J262" s="119"/>
      <c r="K262" s="119"/>
      <c r="L262" s="119"/>
      <c r="M262" s="9"/>
      <c r="N262" s="113"/>
      <c r="O262" s="154"/>
      <c r="P262" s="154"/>
      <c r="Q262" s="154"/>
      <c r="R262" s="102"/>
      <c r="S262" s="102"/>
      <c r="T262" s="102"/>
      <c r="U262" s="102"/>
      <c r="V262" s="102"/>
      <c r="W262" s="102"/>
      <c r="X262" s="102"/>
      <c r="Y262" s="102"/>
      <c r="Z262" s="102"/>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5"/>
      <c r="BK262" s="225"/>
    </row>
    <row r="263" spans="1:63" hidden="1" outlineLevel="1">
      <c r="A263" s="9"/>
      <c r="B263" s="46"/>
      <c r="C263" s="132">
        <f>Asset27</f>
        <v>0</v>
      </c>
      <c r="D263" s="9"/>
      <c r="E263" s="9"/>
      <c r="F263" s="143"/>
      <c r="G263" s="198">
        <f t="shared" si="4"/>
        <v>0</v>
      </c>
      <c r="H263" s="119"/>
      <c r="I263" s="119"/>
      <c r="J263" s="119"/>
      <c r="K263" s="119"/>
      <c r="L263" s="119"/>
      <c r="M263" s="9"/>
      <c r="N263" s="113"/>
      <c r="O263" s="154"/>
      <c r="P263" s="154"/>
      <c r="Q263" s="154"/>
      <c r="R263" s="102"/>
      <c r="S263" s="102"/>
      <c r="T263" s="102"/>
      <c r="U263" s="102"/>
      <c r="V263" s="102"/>
      <c r="W263" s="102"/>
      <c r="X263" s="102"/>
      <c r="Y263" s="102"/>
      <c r="Z263" s="102"/>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5"/>
      <c r="BK263" s="225"/>
    </row>
    <row r="264" spans="1:63" hidden="1" outlineLevel="1">
      <c r="A264" s="9"/>
      <c r="B264" s="46"/>
      <c r="C264" s="132">
        <f>Asset28</f>
        <v>0</v>
      </c>
      <c r="D264" s="9"/>
      <c r="E264" s="9"/>
      <c r="F264" s="143"/>
      <c r="G264" s="198">
        <f t="shared" si="4"/>
        <v>0</v>
      </c>
      <c r="H264" s="119"/>
      <c r="I264" s="119"/>
      <c r="J264" s="119"/>
      <c r="K264" s="119"/>
      <c r="L264" s="119"/>
      <c r="M264" s="9"/>
      <c r="N264" s="113"/>
      <c r="O264" s="154"/>
      <c r="P264" s="154"/>
      <c r="Q264" s="154"/>
      <c r="R264" s="102"/>
      <c r="S264" s="102"/>
      <c r="T264" s="102"/>
      <c r="U264" s="102"/>
      <c r="V264" s="102"/>
      <c r="W264" s="102"/>
      <c r="X264" s="102"/>
      <c r="Y264" s="102"/>
      <c r="Z264" s="102"/>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5"/>
      <c r="BK264" s="225"/>
    </row>
    <row r="265" spans="1:63" hidden="1" outlineLevel="1">
      <c r="A265" s="9"/>
      <c r="B265" s="46"/>
      <c r="C265" s="132">
        <f>Asset29</f>
        <v>0</v>
      </c>
      <c r="D265" s="9"/>
      <c r="E265" s="9"/>
      <c r="F265" s="143"/>
      <c r="G265" s="198">
        <f t="shared" si="4"/>
        <v>0</v>
      </c>
      <c r="H265" s="119"/>
      <c r="I265" s="119"/>
      <c r="J265" s="119"/>
      <c r="K265" s="119"/>
      <c r="L265" s="119"/>
      <c r="M265" s="9"/>
      <c r="N265" s="113"/>
      <c r="O265" s="154"/>
      <c r="P265" s="154"/>
      <c r="Q265" s="154"/>
      <c r="R265" s="102"/>
      <c r="S265" s="102"/>
      <c r="T265" s="102"/>
      <c r="U265" s="102"/>
      <c r="V265" s="102"/>
      <c r="W265" s="102"/>
      <c r="X265" s="102"/>
      <c r="Y265" s="102"/>
      <c r="Z265" s="102"/>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5"/>
      <c r="BK265" s="225"/>
    </row>
    <row r="266" spans="1:63" hidden="1" outlineLevel="1">
      <c r="A266" s="9"/>
      <c r="B266" s="46"/>
      <c r="C266" s="132">
        <f>Asset30</f>
        <v>0</v>
      </c>
      <c r="D266" s="9"/>
      <c r="E266" s="9"/>
      <c r="F266" s="143"/>
      <c r="G266" s="198">
        <f t="shared" si="4"/>
        <v>0</v>
      </c>
      <c r="H266" s="119"/>
      <c r="I266" s="119"/>
      <c r="J266" s="119"/>
      <c r="K266" s="119"/>
      <c r="L266" s="119"/>
      <c r="M266" s="9"/>
      <c r="N266" s="113"/>
      <c r="O266" s="154"/>
      <c r="P266" s="154"/>
      <c r="Q266" s="154"/>
      <c r="R266" s="102"/>
      <c r="S266" s="102"/>
      <c r="T266" s="102"/>
      <c r="U266" s="102"/>
      <c r="V266" s="102"/>
      <c r="W266" s="102"/>
      <c r="X266" s="102"/>
      <c r="Y266" s="102"/>
      <c r="Z266" s="102"/>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5"/>
      <c r="BK266" s="225"/>
    </row>
    <row r="267" spans="1:63" collapsed="1">
      <c r="A267" s="9"/>
      <c r="B267" s="155"/>
      <c r="C267" s="26"/>
      <c r="D267" s="9"/>
      <c r="E267" s="9"/>
      <c r="F267" s="143"/>
      <c r="G267" s="200"/>
      <c r="H267" s="119"/>
      <c r="I267" s="119"/>
      <c r="J267" s="119"/>
      <c r="K267" s="119"/>
      <c r="L267" s="119"/>
      <c r="M267" s="9"/>
      <c r="N267" s="113"/>
      <c r="O267" s="154"/>
      <c r="P267" s="154"/>
      <c r="Q267" s="154"/>
      <c r="R267" s="102"/>
      <c r="S267" s="102"/>
      <c r="T267" s="102"/>
      <c r="U267" s="102"/>
      <c r="V267" s="102"/>
      <c r="W267" s="102"/>
      <c r="X267" s="102"/>
      <c r="Y267" s="102"/>
      <c r="Z267" s="102"/>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5"/>
      <c r="BK267" s="225"/>
    </row>
    <row r="268" spans="1:63">
      <c r="A268" s="9"/>
      <c r="B268" s="155" t="s">
        <v>63</v>
      </c>
      <c r="C268" s="26"/>
      <c r="D268" s="9"/>
      <c r="E268" s="9"/>
      <c r="F268" s="143"/>
      <c r="G268" s="200"/>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5"/>
      <c r="BK268" s="225"/>
    </row>
    <row r="269" spans="1:63" hidden="1" outlineLevel="1">
      <c r="A269" s="9"/>
      <c r="B269" s="46"/>
      <c r="C269" s="132" t="str">
        <f>Asset1</f>
        <v>Opening Distribution Assets</v>
      </c>
      <c r="D269" s="9"/>
      <c r="E269" s="9"/>
      <c r="F269" s="143"/>
      <c r="G269" s="200"/>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5"/>
      <c r="BK269" s="225"/>
    </row>
    <row r="270" spans="1:63" hidden="1" outlineLevel="1">
      <c r="A270" s="9"/>
      <c r="B270" s="46"/>
      <c r="C270" s="156" t="s">
        <v>29</v>
      </c>
      <c r="D270" s="9"/>
      <c r="E270" s="9"/>
      <c r="F270" s="143"/>
      <c r="G270" s="200"/>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5"/>
      <c r="BK270" s="225"/>
    </row>
    <row r="271" spans="1:63" hidden="1" outlineLevel="1">
      <c r="A271" s="9"/>
      <c r="B271" s="46"/>
      <c r="C271" s="132" t="str">
        <f>Asset2</f>
        <v>Sub-transmission Overhead</v>
      </c>
      <c r="D271" s="9"/>
      <c r="E271" s="9"/>
      <c r="F271" s="143"/>
      <c r="G271" s="200"/>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5"/>
      <c r="BK271" s="225"/>
    </row>
    <row r="272" spans="1:63" hidden="1" outlineLevel="1">
      <c r="A272" s="9"/>
      <c r="B272" s="46"/>
      <c r="C272" s="156" t="s">
        <v>29</v>
      </c>
      <c r="D272" s="9"/>
      <c r="E272" s="9"/>
      <c r="F272" s="143"/>
      <c r="G272" s="200"/>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5"/>
      <c r="BK272" s="225"/>
    </row>
    <row r="273" spans="1:63" hidden="1" outlineLevel="1">
      <c r="A273" s="9"/>
      <c r="B273" s="46"/>
      <c r="C273" s="132" t="str">
        <f>Asset3</f>
        <v>Sub-transmission Underground</v>
      </c>
      <c r="D273" s="9"/>
      <c r="E273" s="9"/>
      <c r="F273" s="143"/>
      <c r="G273" s="200"/>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5"/>
      <c r="BK273" s="225"/>
    </row>
    <row r="274" spans="1:63" hidden="1" outlineLevel="1">
      <c r="A274" s="9"/>
      <c r="B274" s="46"/>
      <c r="C274" s="156" t="s">
        <v>29</v>
      </c>
      <c r="D274" s="9"/>
      <c r="E274" s="9"/>
      <c r="F274" s="143"/>
      <c r="G274" s="200"/>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5"/>
      <c r="BK274" s="225"/>
    </row>
    <row r="275" spans="1:63" hidden="1" outlineLevel="1">
      <c r="A275" s="9"/>
      <c r="B275" s="46"/>
      <c r="C275" s="132" t="str">
        <f>Asset4</f>
        <v>Zone Substation</v>
      </c>
      <c r="D275" s="9"/>
      <c r="E275" s="9"/>
      <c r="F275" s="143"/>
      <c r="G275" s="200"/>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5"/>
      <c r="BK275" s="225"/>
    </row>
    <row r="276" spans="1:63" hidden="1" outlineLevel="1">
      <c r="A276" s="9"/>
      <c r="B276" s="46"/>
      <c r="C276" s="156" t="s">
        <v>29</v>
      </c>
      <c r="D276" s="9"/>
      <c r="E276" s="9"/>
      <c r="F276" s="143"/>
      <c r="G276" s="200"/>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5"/>
      <c r="BK276" s="225"/>
    </row>
    <row r="277" spans="1:63" hidden="1" outlineLevel="1">
      <c r="A277" s="9"/>
      <c r="B277" s="46"/>
      <c r="C277" s="132" t="str">
        <f>Asset5</f>
        <v>Distribution Substations</v>
      </c>
      <c r="D277" s="9"/>
      <c r="E277" s="9"/>
      <c r="F277" s="143"/>
      <c r="G277" s="200"/>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5"/>
      <c r="BK277" s="225"/>
    </row>
    <row r="278" spans="1:63" hidden="1" outlineLevel="1">
      <c r="A278" s="9"/>
      <c r="B278" s="46"/>
      <c r="C278" s="156" t="s">
        <v>29</v>
      </c>
      <c r="D278" s="9"/>
      <c r="E278" s="9"/>
      <c r="F278" s="143"/>
      <c r="G278" s="200"/>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5"/>
      <c r="BK278" s="225"/>
    </row>
    <row r="279" spans="1:63" hidden="1" outlineLevel="1">
      <c r="A279" s="9"/>
      <c r="B279" s="46"/>
      <c r="C279" s="132" t="str">
        <f>Asset6</f>
        <v>Distribution Overhead Lines</v>
      </c>
      <c r="D279" s="9"/>
      <c r="E279" s="9"/>
      <c r="F279" s="143"/>
      <c r="G279" s="200"/>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5"/>
      <c r="BK279" s="225"/>
    </row>
    <row r="280" spans="1:63" hidden="1" outlineLevel="1">
      <c r="A280" s="9"/>
      <c r="B280" s="46"/>
      <c r="C280" s="156" t="s">
        <v>29</v>
      </c>
      <c r="D280" s="9"/>
      <c r="E280" s="9"/>
      <c r="F280" s="143"/>
      <c r="G280" s="200"/>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5"/>
      <c r="BK280" s="225"/>
    </row>
    <row r="281" spans="1:63" hidden="1" outlineLevel="1">
      <c r="A281" s="9"/>
      <c r="B281" s="46"/>
      <c r="C281" s="132" t="str">
        <f>Asset7</f>
        <v>Distribution Underground Lines</v>
      </c>
      <c r="D281" s="9"/>
      <c r="E281" s="9"/>
      <c r="F281" s="143"/>
      <c r="G281" s="200"/>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5"/>
      <c r="BK281" s="225"/>
    </row>
    <row r="282" spans="1:63" hidden="1" outlineLevel="1">
      <c r="A282" s="9"/>
      <c r="B282" s="46"/>
      <c r="C282" s="156" t="s">
        <v>29</v>
      </c>
      <c r="D282" s="9"/>
      <c r="E282" s="9"/>
      <c r="F282" s="143"/>
      <c r="G282" s="200"/>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5"/>
      <c r="BK282" s="225"/>
    </row>
    <row r="283" spans="1:63" hidden="1" outlineLevel="1">
      <c r="A283" s="9"/>
      <c r="B283" s="46"/>
      <c r="C283" s="132" t="str">
        <f>Asset8</f>
        <v>IT &amp; Communication Systems (Networks)</v>
      </c>
      <c r="D283" s="9"/>
      <c r="E283" s="9"/>
      <c r="F283" s="143"/>
      <c r="G283" s="200"/>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5"/>
      <c r="BK283" s="225"/>
    </row>
    <row r="284" spans="1:63" hidden="1" outlineLevel="1">
      <c r="A284" s="9"/>
      <c r="B284" s="46"/>
      <c r="C284" s="156" t="s">
        <v>29</v>
      </c>
      <c r="D284" s="9"/>
      <c r="E284" s="9"/>
      <c r="F284" s="143"/>
      <c r="G284" s="200"/>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5"/>
      <c r="BK284" s="225"/>
    </row>
    <row r="285" spans="1:63" hidden="1" outlineLevel="1">
      <c r="A285" s="9"/>
      <c r="B285" s="46"/>
      <c r="C285" s="132" t="str">
        <f>Asset9</f>
        <v>Motor Vehicles</v>
      </c>
      <c r="D285" s="9"/>
      <c r="E285" s="9"/>
      <c r="F285" s="143"/>
      <c r="G285" s="200"/>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5"/>
      <c r="BK285" s="225"/>
    </row>
    <row r="286" spans="1:63" hidden="1" outlineLevel="1">
      <c r="A286" s="9"/>
      <c r="B286" s="46"/>
      <c r="C286" s="156" t="s">
        <v>29</v>
      </c>
      <c r="D286" s="9"/>
      <c r="E286" s="9"/>
      <c r="F286" s="143"/>
      <c r="G286" s="200"/>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5"/>
      <c r="BK286" s="225"/>
    </row>
    <row r="287" spans="1:63" hidden="1" outlineLevel="1">
      <c r="A287" s="9"/>
      <c r="B287" s="46"/>
      <c r="C287" s="132" t="str">
        <f>Asset10</f>
        <v>Other Non-System Assets (Networks)</v>
      </c>
      <c r="D287" s="9"/>
      <c r="E287" s="9"/>
      <c r="F287" s="143"/>
      <c r="G287" s="200"/>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5"/>
      <c r="BK287" s="225"/>
    </row>
    <row r="288" spans="1:63" hidden="1" outlineLevel="1">
      <c r="A288" s="9"/>
      <c r="B288" s="46"/>
      <c r="C288" s="156" t="s">
        <v>29</v>
      </c>
      <c r="D288" s="9"/>
      <c r="E288" s="9"/>
      <c r="F288" s="143"/>
      <c r="G288" s="200"/>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5"/>
      <c r="BK288" s="225"/>
    </row>
    <row r="289" spans="1:63" hidden="1" outlineLevel="1">
      <c r="A289" s="9"/>
      <c r="B289" s="46"/>
      <c r="C289" s="132" t="str">
        <f>Asset11</f>
        <v>IT Systems (Corporate)</v>
      </c>
      <c r="D289" s="9"/>
      <c r="E289" s="9"/>
      <c r="F289" s="143"/>
      <c r="G289" s="200"/>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5"/>
      <c r="BK289" s="225"/>
    </row>
    <row r="290" spans="1:63" hidden="1" outlineLevel="1">
      <c r="A290" s="9"/>
      <c r="B290" s="46"/>
      <c r="C290" s="156" t="s">
        <v>29</v>
      </c>
      <c r="D290" s="9"/>
      <c r="E290" s="9"/>
      <c r="F290" s="143"/>
      <c r="G290" s="200"/>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5"/>
      <c r="BK290" s="225"/>
    </row>
    <row r="291" spans="1:63" hidden="1" outlineLevel="1">
      <c r="A291" s="9"/>
      <c r="B291" s="46"/>
      <c r="C291" s="132" t="str">
        <f>Asset12</f>
        <v>Telecommunications (Corporate)</v>
      </c>
      <c r="D291" s="9"/>
      <c r="E291" s="9"/>
      <c r="F291" s="143"/>
      <c r="G291" s="200"/>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5"/>
      <c r="BK291" s="225"/>
    </row>
    <row r="292" spans="1:63" hidden="1" outlineLevel="1">
      <c r="A292" s="9"/>
      <c r="B292" s="46"/>
      <c r="C292" s="156" t="s">
        <v>29</v>
      </c>
      <c r="D292" s="9"/>
      <c r="E292" s="9"/>
      <c r="F292" s="143"/>
      <c r="G292" s="200"/>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5"/>
      <c r="BK292" s="225"/>
    </row>
    <row r="293" spans="1:63" hidden="1" outlineLevel="1">
      <c r="A293" s="9"/>
      <c r="B293" s="46"/>
      <c r="C293" s="132" t="str">
        <f>Asset13</f>
        <v>Other Non-System Assets (Corporate)</v>
      </c>
      <c r="D293" s="9"/>
      <c r="E293" s="9"/>
      <c r="F293" s="143"/>
      <c r="G293" s="200"/>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5"/>
      <c r="BK293" s="225"/>
    </row>
    <row r="294" spans="1:63" hidden="1" outlineLevel="1">
      <c r="A294" s="9"/>
      <c r="B294" s="46"/>
      <c r="C294" s="156" t="s">
        <v>29</v>
      </c>
      <c r="D294" s="9"/>
      <c r="E294" s="9"/>
      <c r="F294" s="143"/>
      <c r="G294" s="200"/>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5"/>
      <c r="BK294" s="225"/>
    </row>
    <row r="295" spans="1:63" hidden="1" outlineLevel="1">
      <c r="A295" s="9"/>
      <c r="B295" s="46"/>
      <c r="C295" s="132" t="str">
        <f>Asset14</f>
        <v>Land</v>
      </c>
      <c r="D295" s="9"/>
      <c r="E295" s="9"/>
      <c r="F295" s="143"/>
      <c r="G295" s="200"/>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5"/>
      <c r="BK295" s="225"/>
    </row>
    <row r="296" spans="1:63" hidden="1" outlineLevel="1">
      <c r="A296" s="9"/>
      <c r="B296" s="46"/>
      <c r="C296" s="156" t="s">
        <v>29</v>
      </c>
      <c r="D296" s="9"/>
      <c r="E296" s="9"/>
      <c r="F296" s="143"/>
      <c r="G296" s="200"/>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5"/>
      <c r="BK296" s="225"/>
    </row>
    <row r="297" spans="1:63" hidden="1" outlineLevel="1">
      <c r="A297" s="9"/>
      <c r="B297" s="46"/>
      <c r="C297" s="132" t="str">
        <f>Asset15</f>
        <v>Buildings</v>
      </c>
      <c r="D297" s="9"/>
      <c r="E297" s="9"/>
      <c r="F297" s="143"/>
      <c r="G297" s="200"/>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5"/>
      <c r="BK297" s="225"/>
    </row>
    <row r="298" spans="1:63" hidden="1" outlineLevel="1">
      <c r="A298" s="9"/>
      <c r="B298" s="46"/>
      <c r="C298" s="156" t="s">
        <v>29</v>
      </c>
      <c r="D298" s="9"/>
      <c r="E298" s="9"/>
      <c r="F298" s="143"/>
      <c r="G298" s="200"/>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5"/>
      <c r="BK298" s="225"/>
    </row>
    <row r="299" spans="1:63" hidden="1" outlineLevel="1">
      <c r="A299" s="9"/>
      <c r="B299" s="46"/>
      <c r="C299" s="132" t="str">
        <f>Asset16</f>
        <v>Equity raising costs</v>
      </c>
      <c r="D299" s="9"/>
      <c r="E299" s="9"/>
      <c r="F299" s="143"/>
      <c r="G299" s="200"/>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5"/>
      <c r="BK299" s="225"/>
    </row>
    <row r="300" spans="1:63" hidden="1" outlineLevel="1">
      <c r="A300" s="9"/>
      <c r="B300" s="46"/>
      <c r="C300" s="156" t="s">
        <v>29</v>
      </c>
      <c r="D300" s="9"/>
      <c r="E300" s="9"/>
      <c r="F300" s="143"/>
      <c r="G300" s="200"/>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5"/>
      <c r="BK300" s="225"/>
    </row>
    <row r="301" spans="1:63" hidden="1" outlineLevel="1">
      <c r="A301" s="9"/>
      <c r="B301" s="46"/>
      <c r="C301" s="132">
        <f>Asset17</f>
        <v>0</v>
      </c>
      <c r="D301" s="9"/>
      <c r="E301" s="9"/>
      <c r="F301" s="143"/>
      <c r="G301" s="200"/>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5"/>
      <c r="BK301" s="225"/>
    </row>
    <row r="302" spans="1:63" hidden="1" outlineLevel="1">
      <c r="A302" s="9"/>
      <c r="B302" s="46"/>
      <c r="C302" s="156" t="s">
        <v>29</v>
      </c>
      <c r="D302" s="9"/>
      <c r="E302" s="9"/>
      <c r="F302" s="143"/>
      <c r="G302" s="200"/>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5"/>
      <c r="BK302" s="225"/>
    </row>
    <row r="303" spans="1:63" hidden="1" outlineLevel="1">
      <c r="A303" s="9"/>
      <c r="B303" s="46"/>
      <c r="C303" s="132">
        <f>Asset18</f>
        <v>0</v>
      </c>
      <c r="D303" s="9"/>
      <c r="E303" s="9"/>
      <c r="F303" s="143"/>
      <c r="G303" s="200"/>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5"/>
      <c r="BK303" s="225"/>
    </row>
    <row r="304" spans="1:63" hidden="1" outlineLevel="1">
      <c r="A304" s="9"/>
      <c r="B304" s="46"/>
      <c r="C304" s="156" t="s">
        <v>29</v>
      </c>
      <c r="D304" s="9"/>
      <c r="E304" s="9"/>
      <c r="F304" s="143"/>
      <c r="G304" s="200"/>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5"/>
      <c r="BK304" s="225"/>
    </row>
    <row r="305" spans="1:63" hidden="1" outlineLevel="1">
      <c r="A305" s="9"/>
      <c r="B305" s="46"/>
      <c r="C305" s="132">
        <f>Asset19</f>
        <v>0</v>
      </c>
      <c r="D305" s="9"/>
      <c r="E305" s="9"/>
      <c r="F305" s="143"/>
      <c r="G305" s="200"/>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5"/>
      <c r="BK305" s="225"/>
    </row>
    <row r="306" spans="1:63" hidden="1" outlineLevel="1">
      <c r="A306" s="9"/>
      <c r="B306" s="46"/>
      <c r="C306" s="156" t="s">
        <v>29</v>
      </c>
      <c r="D306" s="9"/>
      <c r="E306" s="9"/>
      <c r="F306" s="143"/>
      <c r="G306" s="200"/>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5"/>
      <c r="BK306" s="225"/>
    </row>
    <row r="307" spans="1:63" hidden="1" outlineLevel="1">
      <c r="A307" s="9"/>
      <c r="B307" s="46"/>
      <c r="C307" s="132">
        <f>Asset20</f>
        <v>0</v>
      </c>
      <c r="D307" s="9"/>
      <c r="E307" s="9"/>
      <c r="F307" s="143"/>
      <c r="G307" s="200"/>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5"/>
      <c r="BK307" s="225"/>
    </row>
    <row r="308" spans="1:63" hidden="1" outlineLevel="1">
      <c r="A308" s="9"/>
      <c r="B308" s="46"/>
      <c r="C308" s="156" t="s">
        <v>29</v>
      </c>
      <c r="D308" s="9"/>
      <c r="E308" s="9"/>
      <c r="F308" s="143"/>
      <c r="G308" s="200"/>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5"/>
      <c r="BK308" s="225"/>
    </row>
    <row r="309" spans="1:63" hidden="1" outlineLevel="1">
      <c r="A309" s="9"/>
      <c r="B309" s="46"/>
      <c r="C309" s="132">
        <f>Asset21</f>
        <v>0</v>
      </c>
      <c r="D309" s="9"/>
      <c r="E309" s="9"/>
      <c r="F309" s="143"/>
      <c r="G309" s="198"/>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5"/>
      <c r="BK309" s="225"/>
    </row>
    <row r="310" spans="1:63" hidden="1" outlineLevel="1">
      <c r="A310" s="9"/>
      <c r="B310" s="46"/>
      <c r="C310" s="156" t="s">
        <v>29</v>
      </c>
      <c r="D310" s="9"/>
      <c r="E310" s="9"/>
      <c r="F310" s="143"/>
      <c r="G310" s="198"/>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5"/>
      <c r="BK310" s="225"/>
    </row>
    <row r="311" spans="1:63" hidden="1" outlineLevel="1">
      <c r="A311" s="9"/>
      <c r="B311" s="46"/>
      <c r="C311" s="132">
        <f>Asset22</f>
        <v>0</v>
      </c>
      <c r="D311" s="9"/>
      <c r="E311" s="9"/>
      <c r="F311" s="143"/>
      <c r="G311" s="198"/>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5"/>
      <c r="BK311" s="225"/>
    </row>
    <row r="312" spans="1:63" hidden="1" outlineLevel="1">
      <c r="A312" s="9"/>
      <c r="B312" s="46"/>
      <c r="C312" s="156" t="s">
        <v>29</v>
      </c>
      <c r="D312" s="9"/>
      <c r="E312" s="9"/>
      <c r="F312" s="143"/>
      <c r="G312" s="198"/>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5"/>
      <c r="BK312" s="225"/>
    </row>
    <row r="313" spans="1:63" hidden="1" outlineLevel="1">
      <c r="A313" s="9"/>
      <c r="B313" s="46"/>
      <c r="C313" s="132">
        <f>Asset23</f>
        <v>0</v>
      </c>
      <c r="D313" s="9"/>
      <c r="E313" s="9"/>
      <c r="F313" s="143"/>
      <c r="G313" s="198"/>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5"/>
      <c r="BK313" s="225"/>
    </row>
    <row r="314" spans="1:63" hidden="1" outlineLevel="1">
      <c r="A314" s="9"/>
      <c r="B314" s="46"/>
      <c r="C314" s="156" t="s">
        <v>29</v>
      </c>
      <c r="D314" s="9"/>
      <c r="E314" s="9"/>
      <c r="F314" s="143"/>
      <c r="G314" s="198"/>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5"/>
      <c r="BK314" s="225"/>
    </row>
    <row r="315" spans="1:63" hidden="1" outlineLevel="1">
      <c r="A315" s="9"/>
      <c r="B315" s="46"/>
      <c r="C315" s="132">
        <f>Asset24</f>
        <v>0</v>
      </c>
      <c r="D315" s="9"/>
      <c r="E315" s="9"/>
      <c r="F315" s="143"/>
      <c r="G315" s="198"/>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5"/>
      <c r="BK315" s="225"/>
    </row>
    <row r="316" spans="1:63" hidden="1" outlineLevel="1">
      <c r="A316" s="9"/>
      <c r="B316" s="46"/>
      <c r="C316" s="156" t="s">
        <v>29</v>
      </c>
      <c r="D316" s="9"/>
      <c r="E316" s="9"/>
      <c r="F316" s="143"/>
      <c r="G316" s="198"/>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5"/>
      <c r="BK316" s="225"/>
    </row>
    <row r="317" spans="1:63" hidden="1" outlineLevel="1">
      <c r="A317" s="9"/>
      <c r="B317" s="46"/>
      <c r="C317" s="132">
        <f>Asset25</f>
        <v>0</v>
      </c>
      <c r="D317" s="9"/>
      <c r="E317" s="9"/>
      <c r="F317" s="143"/>
      <c r="G317" s="198"/>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5"/>
      <c r="BK317" s="225"/>
    </row>
    <row r="318" spans="1:63" hidden="1" outlineLevel="1">
      <c r="A318" s="9"/>
      <c r="B318" s="46"/>
      <c r="C318" s="156" t="s">
        <v>29</v>
      </c>
      <c r="D318" s="9"/>
      <c r="E318" s="9"/>
      <c r="F318" s="143"/>
      <c r="G318" s="198"/>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5"/>
      <c r="BK318" s="225"/>
    </row>
    <row r="319" spans="1:63" hidden="1" outlineLevel="1">
      <c r="A319" s="9"/>
      <c r="B319" s="46"/>
      <c r="C319" s="132">
        <f>Asset26</f>
        <v>0</v>
      </c>
      <c r="D319" s="9"/>
      <c r="E319" s="9"/>
      <c r="F319" s="143"/>
      <c r="G319" s="198"/>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5"/>
      <c r="BK319" s="225"/>
    </row>
    <row r="320" spans="1:63" hidden="1" outlineLevel="1">
      <c r="A320" s="9"/>
      <c r="B320" s="46"/>
      <c r="C320" s="156" t="s">
        <v>29</v>
      </c>
      <c r="D320" s="9"/>
      <c r="E320" s="9"/>
      <c r="F320" s="143"/>
      <c r="G320" s="198"/>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5"/>
      <c r="BK320" s="225"/>
    </row>
    <row r="321" spans="1:63" hidden="1" outlineLevel="1">
      <c r="A321" s="9"/>
      <c r="B321" s="46"/>
      <c r="C321" s="132">
        <f>Asset27</f>
        <v>0</v>
      </c>
      <c r="D321" s="9"/>
      <c r="E321" s="9"/>
      <c r="F321" s="143"/>
      <c r="G321" s="198"/>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5"/>
      <c r="BK321" s="225"/>
    </row>
    <row r="322" spans="1:63" hidden="1" outlineLevel="1">
      <c r="A322" s="9"/>
      <c r="B322" s="46"/>
      <c r="C322" s="156" t="s">
        <v>29</v>
      </c>
      <c r="D322" s="9"/>
      <c r="E322" s="9"/>
      <c r="F322" s="143"/>
      <c r="G322" s="198"/>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5"/>
      <c r="BK322" s="225"/>
    </row>
    <row r="323" spans="1:63" hidden="1" outlineLevel="1">
      <c r="A323" s="9"/>
      <c r="B323" s="46"/>
      <c r="C323" s="132">
        <f>Asset28</f>
        <v>0</v>
      </c>
      <c r="D323" s="9"/>
      <c r="E323" s="9"/>
      <c r="F323" s="143"/>
      <c r="G323" s="198"/>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5"/>
      <c r="BK323" s="225"/>
    </row>
    <row r="324" spans="1:63" hidden="1" outlineLevel="1">
      <c r="A324" s="9"/>
      <c r="B324" s="46"/>
      <c r="C324" s="156" t="s">
        <v>29</v>
      </c>
      <c r="D324" s="9"/>
      <c r="E324" s="9"/>
      <c r="F324" s="143"/>
      <c r="G324" s="198"/>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5"/>
      <c r="BK324" s="225"/>
    </row>
    <row r="325" spans="1:63" hidden="1" outlineLevel="1">
      <c r="A325" s="9"/>
      <c r="B325" s="46"/>
      <c r="C325" s="132">
        <f>Asset29</f>
        <v>0</v>
      </c>
      <c r="D325" s="9"/>
      <c r="E325" s="9"/>
      <c r="F325" s="143"/>
      <c r="G325" s="198"/>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5"/>
      <c r="BK325" s="225"/>
    </row>
    <row r="326" spans="1:63" hidden="1" outlineLevel="1">
      <c r="A326" s="9"/>
      <c r="B326" s="46"/>
      <c r="C326" s="156" t="s">
        <v>29</v>
      </c>
      <c r="D326" s="9"/>
      <c r="E326" s="9"/>
      <c r="F326" s="143"/>
      <c r="G326" s="198"/>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5"/>
      <c r="BK326" s="225"/>
    </row>
    <row r="327" spans="1:63" hidden="1" outlineLevel="1">
      <c r="A327" s="9"/>
      <c r="B327" s="46"/>
      <c r="C327" s="132">
        <f>Asset30</f>
        <v>0</v>
      </c>
      <c r="D327" s="9"/>
      <c r="E327" s="9"/>
      <c r="F327" s="143"/>
      <c r="G327" s="198"/>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5"/>
      <c r="BK327" s="225"/>
    </row>
    <row r="328" spans="1:63" hidden="1" outlineLevel="1">
      <c r="A328" s="9"/>
      <c r="B328" s="46"/>
      <c r="C328" s="156" t="s">
        <v>29</v>
      </c>
      <c r="D328" s="9"/>
      <c r="E328" s="9"/>
      <c r="F328" s="143"/>
      <c r="G328" s="198"/>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5"/>
      <c r="BK328" s="225"/>
    </row>
    <row r="329" spans="1:63" collapsed="1">
      <c r="A329" s="9"/>
      <c r="B329" s="189" t="s">
        <v>44</v>
      </c>
      <c r="D329" s="9"/>
      <c r="E329" s="9"/>
      <c r="F329" s="143"/>
      <c r="G329" s="200"/>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5"/>
      <c r="BK329" s="225"/>
    </row>
    <row r="330" spans="1:63">
      <c r="A330" s="9"/>
      <c r="B330" s="155"/>
      <c r="C330" s="26"/>
      <c r="D330" s="9"/>
      <c r="E330" s="9"/>
      <c r="F330" s="143"/>
      <c r="G330" s="119"/>
      <c r="H330" s="119"/>
      <c r="I330" s="119"/>
      <c r="J330" s="119"/>
      <c r="K330" s="119"/>
      <c r="L330" s="119"/>
      <c r="M330" s="9"/>
      <c r="N330" s="113"/>
      <c r="O330" s="154"/>
      <c r="P330" s="154"/>
      <c r="Q330" s="154"/>
      <c r="R330" s="102"/>
      <c r="S330" s="102"/>
      <c r="T330" s="102"/>
      <c r="U330" s="102"/>
      <c r="V330" s="102"/>
      <c r="W330" s="102"/>
      <c r="X330" s="102"/>
      <c r="Y330" s="102"/>
      <c r="Z330" s="102"/>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5"/>
      <c r="BK330" s="225"/>
    </row>
    <row r="331" spans="1:63">
      <c r="A331" s="82"/>
      <c r="B331" s="82" t="s">
        <v>83</v>
      </c>
      <c r="C331" s="111"/>
      <c r="D331" s="111"/>
      <c r="E331" s="111"/>
      <c r="F331" s="111"/>
      <c r="G331" s="111"/>
      <c r="H331" s="276"/>
      <c r="I331" s="111"/>
      <c r="J331" s="111"/>
      <c r="K331" s="111"/>
      <c r="L331" s="111"/>
      <c r="M331" s="111"/>
      <c r="N331" s="111"/>
      <c r="O331" s="111"/>
      <c r="P331" s="111"/>
      <c r="Q331" s="111"/>
      <c r="R331" s="111"/>
      <c r="S331" s="102"/>
      <c r="T331" s="108"/>
      <c r="U331" s="108"/>
      <c r="V331" s="108"/>
      <c r="W331" s="108"/>
      <c r="X331" s="108"/>
      <c r="Y331" s="108"/>
      <c r="Z331" s="108"/>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225"/>
      <c r="BK331" s="225"/>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25"/>
      <c r="BK332" s="225"/>
    </row>
    <row r="333" spans="1:63">
      <c r="A333" s="9"/>
      <c r="B333" s="46" t="s">
        <v>46</v>
      </c>
      <c r="C333" s="9"/>
      <c r="D333" s="9"/>
      <c r="E333" s="9"/>
      <c r="F333" s="9"/>
      <c r="G333" s="197">
        <f>SUM(G334:G363)</f>
        <v>498.28027838127326</v>
      </c>
      <c r="H333" s="142">
        <f>SUM(H334:H363)</f>
        <v>523.28094164003767</v>
      </c>
      <c r="I333" s="113"/>
      <c r="J333" s="113"/>
      <c r="K333" s="113"/>
      <c r="L333" s="113"/>
      <c r="M333" s="113"/>
      <c r="N333" s="113"/>
      <c r="O333" s="108"/>
      <c r="P333" s="108"/>
      <c r="Q333" s="108"/>
      <c r="R333" s="108"/>
      <c r="S333" s="102"/>
      <c r="T333" s="108"/>
      <c r="U333" s="108"/>
      <c r="V333" s="108"/>
      <c r="W333" s="108"/>
      <c r="X333" s="108"/>
      <c r="Y333" s="108"/>
      <c r="Z333" s="108"/>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25"/>
      <c r="BK333" s="225"/>
    </row>
    <row r="334" spans="1:63" ht="12.75" hidden="1" customHeight="1" outlineLevel="1">
      <c r="A334" s="9"/>
      <c r="B334" s="9"/>
      <c r="C334" s="132" t="str">
        <f>Asset1</f>
        <v>Opening Distribution Assets</v>
      </c>
      <c r="D334" s="9"/>
      <c r="E334" s="9"/>
      <c r="F334" s="9"/>
      <c r="G334" s="198">
        <f>Input!J7</f>
        <v>498.28027838127326</v>
      </c>
      <c r="H334" s="113">
        <f t="shared" ref="H334:H363" si="6">G334+G366+G398+G430+G462+G494</f>
        <v>523.28094164003767</v>
      </c>
      <c r="I334" s="113"/>
      <c r="J334" s="113"/>
      <c r="K334" s="113"/>
      <c r="L334" s="113"/>
      <c r="M334" s="113"/>
      <c r="N334" s="113"/>
      <c r="O334" s="108"/>
      <c r="P334" s="108"/>
      <c r="Q334" s="108"/>
      <c r="R334" s="108"/>
      <c r="S334" s="102"/>
      <c r="T334" s="108"/>
      <c r="U334" s="108"/>
      <c r="V334" s="108"/>
      <c r="W334" s="108"/>
      <c r="X334" s="108"/>
      <c r="Y334" s="108"/>
      <c r="Z334" s="108"/>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25"/>
      <c r="BK334" s="225"/>
    </row>
    <row r="335" spans="1:63" ht="12.75" hidden="1" customHeight="1" outlineLevel="1">
      <c r="A335" s="9"/>
      <c r="B335" s="46"/>
      <c r="C335" s="132" t="str">
        <f>Asset2</f>
        <v>Sub-transmission Overhead</v>
      </c>
      <c r="D335" s="9"/>
      <c r="E335" s="9"/>
      <c r="F335" s="143"/>
      <c r="G335" s="198">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225"/>
      <c r="BK335" s="225"/>
    </row>
    <row r="336" spans="1:63" ht="12.75" hidden="1" customHeight="1" outlineLevel="1">
      <c r="A336" s="9"/>
      <c r="B336" s="46"/>
      <c r="C336" s="132" t="str">
        <f>Asset3</f>
        <v>Sub-transmission Underground</v>
      </c>
      <c r="D336" s="9"/>
      <c r="E336" s="9"/>
      <c r="F336" s="143"/>
      <c r="G336" s="198">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225"/>
      <c r="BK336" s="225"/>
    </row>
    <row r="337" spans="1:63" ht="12.75" hidden="1" customHeight="1" outlineLevel="1">
      <c r="A337" s="9"/>
      <c r="B337" s="46"/>
      <c r="C337" s="132" t="str">
        <f>Asset4</f>
        <v>Zone Substation</v>
      </c>
      <c r="D337" s="9"/>
      <c r="E337" s="9"/>
      <c r="F337" s="143"/>
      <c r="G337" s="198">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25"/>
      <c r="BK337" s="225"/>
    </row>
    <row r="338" spans="1:63" ht="12.75" hidden="1" customHeight="1" outlineLevel="1">
      <c r="A338" s="9"/>
      <c r="B338" s="46"/>
      <c r="C338" s="132" t="str">
        <f>Asset5</f>
        <v>Distribution Substations</v>
      </c>
      <c r="D338" s="9"/>
      <c r="E338" s="9"/>
      <c r="F338" s="143"/>
      <c r="G338" s="198">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c r="BJ338" s="225"/>
      <c r="BK338" s="225"/>
    </row>
    <row r="339" spans="1:63" ht="12.75" hidden="1" customHeight="1" outlineLevel="1">
      <c r="A339" s="9"/>
      <c r="B339" s="46"/>
      <c r="C339" s="132" t="str">
        <f>Asset6</f>
        <v>Distribution Overhead Lines</v>
      </c>
      <c r="D339" s="9"/>
      <c r="E339" s="9"/>
      <c r="F339" s="143"/>
      <c r="G339" s="198">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c r="BJ339" s="225"/>
      <c r="BK339" s="225"/>
    </row>
    <row r="340" spans="1:63" ht="12.75" hidden="1" customHeight="1" outlineLevel="1">
      <c r="A340" s="9"/>
      <c r="B340" s="46"/>
      <c r="C340" s="132" t="str">
        <f>Asset7</f>
        <v>Distribution Underground Lines</v>
      </c>
      <c r="D340" s="9"/>
      <c r="E340" s="9"/>
      <c r="F340" s="143"/>
      <c r="G340" s="198">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c r="BH340" s="219"/>
      <c r="BI340" s="219"/>
      <c r="BJ340" s="225"/>
      <c r="BK340" s="225"/>
    </row>
    <row r="341" spans="1:63" ht="12.75" hidden="1" customHeight="1" outlineLevel="1">
      <c r="A341" s="9"/>
      <c r="B341" s="46"/>
      <c r="C341" s="132" t="str">
        <f>Asset8</f>
        <v>IT &amp; Communication Systems (Networks)</v>
      </c>
      <c r="D341" s="9"/>
      <c r="E341" s="9"/>
      <c r="F341" s="143"/>
      <c r="G341" s="198">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c r="BH341" s="219"/>
      <c r="BI341" s="219"/>
      <c r="BJ341" s="225"/>
      <c r="BK341" s="225"/>
    </row>
    <row r="342" spans="1:63" ht="12.75" hidden="1" customHeight="1" outlineLevel="1">
      <c r="A342" s="9"/>
      <c r="B342" s="46"/>
      <c r="C342" s="132" t="str">
        <f>Asset9</f>
        <v>Motor Vehicles</v>
      </c>
      <c r="D342" s="9"/>
      <c r="E342" s="9"/>
      <c r="F342" s="143"/>
      <c r="G342" s="198">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c r="BH342" s="219"/>
      <c r="BI342" s="219"/>
      <c r="BJ342" s="225"/>
      <c r="BK342" s="225"/>
    </row>
    <row r="343" spans="1:63" ht="12.75" hidden="1" customHeight="1" outlineLevel="1">
      <c r="A343" s="9"/>
      <c r="B343" s="46"/>
      <c r="C343" s="132" t="str">
        <f>Asset10</f>
        <v>Other Non-System Assets (Networks)</v>
      </c>
      <c r="D343" s="9"/>
      <c r="E343" s="9"/>
      <c r="F343" s="143"/>
      <c r="G343" s="198">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c r="BH343" s="219"/>
      <c r="BI343" s="219"/>
      <c r="BJ343" s="225"/>
      <c r="BK343" s="225"/>
    </row>
    <row r="344" spans="1:63" ht="12.75" hidden="1" customHeight="1" outlineLevel="1">
      <c r="A344" s="9"/>
      <c r="B344" s="46"/>
      <c r="C344" s="132" t="str">
        <f>Asset11</f>
        <v>IT Systems (Corporate)</v>
      </c>
      <c r="D344" s="9"/>
      <c r="E344" s="9"/>
      <c r="F344" s="143"/>
      <c r="G344" s="198">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25"/>
      <c r="BK344" s="225"/>
    </row>
    <row r="345" spans="1:63" ht="12.75" hidden="1" customHeight="1" outlineLevel="1">
      <c r="A345" s="9"/>
      <c r="B345" s="46"/>
      <c r="C345" s="132" t="str">
        <f>Asset12</f>
        <v>Telecommunications (Corporate)</v>
      </c>
      <c r="D345" s="9"/>
      <c r="E345" s="9"/>
      <c r="F345" s="143"/>
      <c r="G345" s="198">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25"/>
      <c r="BK345" s="225"/>
    </row>
    <row r="346" spans="1:63" ht="12.75" hidden="1" customHeight="1" outlineLevel="1">
      <c r="A346" s="9"/>
      <c r="B346" s="46"/>
      <c r="C346" s="132" t="str">
        <f>Asset13</f>
        <v>Other Non-System Assets (Corporate)</v>
      </c>
      <c r="D346" s="9"/>
      <c r="E346" s="9"/>
      <c r="F346" s="143"/>
      <c r="G346" s="198">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c r="BH346" s="219"/>
      <c r="BI346" s="219"/>
      <c r="BJ346" s="225"/>
      <c r="BK346" s="225"/>
    </row>
    <row r="347" spans="1:63" ht="12.75" hidden="1" customHeight="1" outlineLevel="1">
      <c r="A347" s="9"/>
      <c r="B347" s="46"/>
      <c r="C347" s="132" t="str">
        <f>Asset14</f>
        <v>Land</v>
      </c>
      <c r="D347" s="9"/>
      <c r="E347" s="9"/>
      <c r="F347" s="143"/>
      <c r="G347" s="198">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25"/>
      <c r="BK347" s="225"/>
    </row>
    <row r="348" spans="1:63" ht="12.75" hidden="1" customHeight="1" outlineLevel="1">
      <c r="A348" s="9"/>
      <c r="B348" s="46"/>
      <c r="C348" s="132" t="str">
        <f>Asset15</f>
        <v>Buildings</v>
      </c>
      <c r="D348" s="9"/>
      <c r="E348" s="9"/>
      <c r="F348" s="143"/>
      <c r="G348" s="198">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c r="BH348" s="219"/>
      <c r="BI348" s="219"/>
      <c r="BJ348" s="225"/>
      <c r="BK348" s="225"/>
    </row>
    <row r="349" spans="1:63" ht="12.75" hidden="1" customHeight="1" outlineLevel="1">
      <c r="A349" s="9"/>
      <c r="B349" s="46"/>
      <c r="C349" s="132" t="str">
        <f>Asset16</f>
        <v>Equity raising costs</v>
      </c>
      <c r="D349" s="9"/>
      <c r="E349" s="9"/>
      <c r="F349" s="143"/>
      <c r="G349" s="198">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c r="BH349" s="219"/>
      <c r="BI349" s="219"/>
      <c r="BJ349" s="225"/>
      <c r="BK349" s="225"/>
    </row>
    <row r="350" spans="1:63" ht="12.75" hidden="1" customHeight="1" outlineLevel="1">
      <c r="A350" s="9"/>
      <c r="B350" s="46"/>
      <c r="C350" s="132">
        <f>Asset17</f>
        <v>0</v>
      </c>
      <c r="D350" s="9"/>
      <c r="E350" s="9"/>
      <c r="F350" s="143"/>
      <c r="G350" s="198">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225"/>
      <c r="BK350" s="225"/>
    </row>
    <row r="351" spans="1:63" ht="12.75" hidden="1" customHeight="1" outlineLevel="1">
      <c r="A351" s="9"/>
      <c r="B351" s="46"/>
      <c r="C351" s="132">
        <f>Asset18</f>
        <v>0</v>
      </c>
      <c r="D351" s="9"/>
      <c r="E351" s="9"/>
      <c r="F351" s="143"/>
      <c r="G351" s="198">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c r="BJ351" s="225"/>
      <c r="BK351" s="225"/>
    </row>
    <row r="352" spans="1:63" ht="12.75" hidden="1" customHeight="1" outlineLevel="1">
      <c r="A352" s="9"/>
      <c r="B352" s="46"/>
      <c r="C352" s="132">
        <f>Asset19</f>
        <v>0</v>
      </c>
      <c r="D352" s="9"/>
      <c r="E352" s="9"/>
      <c r="F352" s="143"/>
      <c r="G352" s="198">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c r="BH352" s="219"/>
      <c r="BI352" s="219"/>
      <c r="BJ352" s="225"/>
      <c r="BK352" s="225"/>
    </row>
    <row r="353" spans="1:63" ht="12.75" hidden="1" customHeight="1" outlineLevel="1">
      <c r="A353" s="9"/>
      <c r="B353" s="46"/>
      <c r="C353" s="132">
        <f>Asset20</f>
        <v>0</v>
      </c>
      <c r="D353" s="9"/>
      <c r="E353" s="9"/>
      <c r="F353" s="143"/>
      <c r="G353" s="198">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25"/>
      <c r="BK353" s="225"/>
    </row>
    <row r="354" spans="1:63" ht="12.75" hidden="1" customHeight="1" outlineLevel="1">
      <c r="A354" s="9"/>
      <c r="B354" s="46"/>
      <c r="C354" s="132">
        <f>Asset21</f>
        <v>0</v>
      </c>
      <c r="D354" s="9"/>
      <c r="E354" s="9"/>
      <c r="F354" s="143"/>
      <c r="G354" s="198">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c r="BH354" s="219"/>
      <c r="BI354" s="219"/>
      <c r="BJ354" s="225"/>
      <c r="BK354" s="225"/>
    </row>
    <row r="355" spans="1:63" ht="12.75" hidden="1" customHeight="1" outlineLevel="1">
      <c r="A355" s="9"/>
      <c r="B355" s="46"/>
      <c r="C355" s="132">
        <f>Asset22</f>
        <v>0</v>
      </c>
      <c r="D355" s="9"/>
      <c r="E355" s="9"/>
      <c r="F355" s="143"/>
      <c r="G355" s="198">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c r="BH355" s="219"/>
      <c r="BI355" s="219"/>
      <c r="BJ355" s="225"/>
      <c r="BK355" s="225"/>
    </row>
    <row r="356" spans="1:63" ht="12.75" hidden="1" customHeight="1" outlineLevel="1">
      <c r="A356" s="9"/>
      <c r="B356" s="46"/>
      <c r="C356" s="132">
        <f>Asset23</f>
        <v>0</v>
      </c>
      <c r="D356" s="9"/>
      <c r="E356" s="9"/>
      <c r="F356" s="143"/>
      <c r="G356" s="198">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c r="BH356" s="219"/>
      <c r="BI356" s="219"/>
      <c r="BJ356" s="225"/>
      <c r="BK356" s="225"/>
    </row>
    <row r="357" spans="1:63" ht="12.75" hidden="1" customHeight="1" outlineLevel="1">
      <c r="A357" s="9"/>
      <c r="B357" s="46"/>
      <c r="C357" s="132">
        <f>Asset24</f>
        <v>0</v>
      </c>
      <c r="D357" s="9"/>
      <c r="E357" s="9"/>
      <c r="F357" s="143"/>
      <c r="G357" s="198">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c r="BJ357" s="225"/>
      <c r="BK357" s="225"/>
    </row>
    <row r="358" spans="1:63" ht="12.75" hidden="1" customHeight="1" outlineLevel="1">
      <c r="A358" s="9"/>
      <c r="B358" s="46"/>
      <c r="C358" s="132">
        <f>Asset25</f>
        <v>0</v>
      </c>
      <c r="D358" s="9"/>
      <c r="E358" s="9"/>
      <c r="F358" s="143"/>
      <c r="G358" s="198">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225"/>
      <c r="BK358" s="225"/>
    </row>
    <row r="359" spans="1:63" ht="12.75" hidden="1" customHeight="1" outlineLevel="1">
      <c r="A359" s="9"/>
      <c r="B359" s="46"/>
      <c r="C359" s="132">
        <f>Asset26</f>
        <v>0</v>
      </c>
      <c r="D359" s="9"/>
      <c r="E359" s="9"/>
      <c r="F359" s="143"/>
      <c r="G359" s="198">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c r="BH359" s="219"/>
      <c r="BI359" s="219"/>
      <c r="BJ359" s="225"/>
      <c r="BK359" s="225"/>
    </row>
    <row r="360" spans="1:63" ht="12.75" hidden="1" customHeight="1" outlineLevel="1">
      <c r="A360" s="9"/>
      <c r="B360" s="46"/>
      <c r="C360" s="132">
        <f>Asset27</f>
        <v>0</v>
      </c>
      <c r="D360" s="9"/>
      <c r="E360" s="9"/>
      <c r="F360" s="143"/>
      <c r="G360" s="198">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25"/>
      <c r="BK360" s="225"/>
    </row>
    <row r="361" spans="1:63" ht="12.75" hidden="1" customHeight="1" outlineLevel="1">
      <c r="A361" s="9"/>
      <c r="B361" s="46"/>
      <c r="C361" s="132">
        <f>Asset28</f>
        <v>0</v>
      </c>
      <c r="D361" s="9"/>
      <c r="E361" s="9"/>
      <c r="F361" s="143"/>
      <c r="G361" s="198">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c r="BH361" s="219"/>
      <c r="BI361" s="219"/>
      <c r="BJ361" s="225"/>
      <c r="BK361" s="225"/>
    </row>
    <row r="362" spans="1:63" ht="12.75" hidden="1" customHeight="1" outlineLevel="1">
      <c r="A362" s="9"/>
      <c r="B362" s="46"/>
      <c r="C362" s="132">
        <f>Asset29</f>
        <v>0</v>
      </c>
      <c r="D362" s="9"/>
      <c r="E362" s="9"/>
      <c r="F362" s="143"/>
      <c r="G362" s="198">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c r="BH362" s="219"/>
      <c r="BI362" s="219"/>
      <c r="BJ362" s="225"/>
      <c r="BK362" s="225"/>
    </row>
    <row r="363" spans="1:63" ht="12.75" hidden="1" customHeight="1" outlineLevel="1">
      <c r="A363" s="9"/>
      <c r="B363" s="46"/>
      <c r="C363" s="132">
        <f>Asset30</f>
        <v>0</v>
      </c>
      <c r="D363" s="9"/>
      <c r="E363" s="9"/>
      <c r="F363" s="143"/>
      <c r="G363" s="198">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c r="BJ363" s="225"/>
      <c r="BK363" s="225"/>
    </row>
    <row r="364" spans="1:63" collapsed="1">
      <c r="A364" s="9"/>
      <c r="B364" s="46"/>
      <c r="C364" s="132"/>
      <c r="D364" s="9"/>
      <c r="E364" s="9"/>
      <c r="F364" s="143"/>
      <c r="G364" s="198"/>
      <c r="H364" s="123"/>
      <c r="I364" s="123"/>
      <c r="J364" s="123"/>
      <c r="K364" s="123"/>
      <c r="L364" s="123"/>
      <c r="M364" s="108"/>
      <c r="N364" s="108"/>
      <c r="O364" s="108"/>
      <c r="P364" s="108"/>
      <c r="Q364" s="108"/>
      <c r="R364" s="108"/>
      <c r="S364" s="102"/>
      <c r="T364" s="108"/>
      <c r="U364" s="108"/>
      <c r="V364" s="108"/>
      <c r="W364" s="108"/>
      <c r="X364" s="108"/>
      <c r="Y364" s="108"/>
      <c r="Z364" s="108"/>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c r="BJ364" s="225"/>
      <c r="BK364" s="225"/>
    </row>
    <row r="365" spans="1:63">
      <c r="A365" s="9"/>
      <c r="B365" s="46" t="s">
        <v>45</v>
      </c>
      <c r="C365" s="9"/>
      <c r="D365" s="9"/>
      <c r="E365" s="9"/>
      <c r="F365" s="9"/>
      <c r="G365" s="199">
        <f>SUM(G366:G395)</f>
        <v>29.159874678113024</v>
      </c>
      <c r="H365" s="123"/>
      <c r="I365" s="123"/>
      <c r="J365" s="123"/>
      <c r="K365" s="123"/>
      <c r="L365" s="123"/>
      <c r="M365" s="108"/>
      <c r="N365" s="108"/>
      <c r="O365" s="108"/>
      <c r="P365" s="108"/>
      <c r="Q365" s="108"/>
      <c r="R365" s="108"/>
      <c r="S365" s="102"/>
      <c r="T365" s="108"/>
      <c r="U365" s="108"/>
      <c r="V365" s="108"/>
      <c r="W365" s="108"/>
      <c r="X365" s="108"/>
      <c r="Y365" s="108"/>
      <c r="Z365" s="108"/>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c r="BJ365" s="225"/>
      <c r="BK365" s="225"/>
    </row>
    <row r="366" spans="1:63" hidden="1" outlineLevel="1">
      <c r="A366" s="9"/>
      <c r="B366" s="46"/>
      <c r="C366" s="132" t="str">
        <f>Asset1</f>
        <v>Opening Distribution Assets</v>
      </c>
      <c r="D366" s="9"/>
      <c r="E366" s="9"/>
      <c r="F366" s="9"/>
      <c r="G366" s="201">
        <f>Input!M7</f>
        <v>29.159874678113024</v>
      </c>
      <c r="H366" s="123"/>
      <c r="I366" s="123"/>
      <c r="J366" s="123"/>
      <c r="K366" s="123"/>
      <c r="L366" s="123"/>
      <c r="M366" s="108"/>
      <c r="N366" s="108"/>
      <c r="O366" s="108"/>
      <c r="P366" s="108"/>
      <c r="Q366" s="108"/>
      <c r="R366" s="108"/>
      <c r="S366" s="102"/>
      <c r="T366" s="108"/>
      <c r="U366" s="108"/>
      <c r="V366" s="108"/>
      <c r="W366" s="108"/>
      <c r="X366" s="108"/>
      <c r="Y366" s="108"/>
      <c r="Z366" s="108"/>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25"/>
      <c r="BK366" s="225"/>
    </row>
    <row r="367" spans="1:63" hidden="1" outlineLevel="1">
      <c r="A367" s="9"/>
      <c r="B367" s="46"/>
      <c r="C367" s="132" t="str">
        <f>Asset2</f>
        <v>Sub-transmission Overhead</v>
      </c>
      <c r="D367" s="9"/>
      <c r="E367" s="9"/>
      <c r="F367" s="9"/>
      <c r="G367" s="201">
        <f>Input!M8</f>
        <v>0</v>
      </c>
      <c r="H367" s="123"/>
      <c r="I367" s="123"/>
      <c r="J367" s="123"/>
      <c r="K367" s="123"/>
      <c r="L367" s="123"/>
      <c r="M367" s="108"/>
      <c r="N367" s="108"/>
      <c r="O367" s="108"/>
      <c r="P367" s="108"/>
      <c r="Q367" s="108"/>
      <c r="R367" s="108"/>
      <c r="S367" s="102"/>
      <c r="T367" s="108"/>
      <c r="U367" s="108"/>
      <c r="V367" s="108"/>
      <c r="W367" s="108"/>
      <c r="X367" s="108"/>
      <c r="Y367" s="108"/>
      <c r="Z367" s="108"/>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c r="BH367" s="219"/>
      <c r="BI367" s="219"/>
      <c r="BJ367" s="225"/>
      <c r="BK367" s="225"/>
    </row>
    <row r="368" spans="1:63" hidden="1" outlineLevel="1">
      <c r="A368" s="9"/>
      <c r="B368" s="46"/>
      <c r="C368" s="132" t="str">
        <f>Asset3</f>
        <v>Sub-transmission Underground</v>
      </c>
      <c r="D368" s="9"/>
      <c r="E368" s="9"/>
      <c r="F368" s="9"/>
      <c r="G368" s="201">
        <f>Input!M9</f>
        <v>0</v>
      </c>
      <c r="H368" s="123"/>
      <c r="I368" s="123"/>
      <c r="J368" s="123"/>
      <c r="K368" s="123"/>
      <c r="L368" s="123"/>
      <c r="M368" s="108"/>
      <c r="N368" s="108"/>
      <c r="O368" s="108"/>
      <c r="P368" s="108"/>
      <c r="Q368" s="108"/>
      <c r="R368" s="108"/>
      <c r="S368" s="102"/>
      <c r="T368" s="108"/>
      <c r="U368" s="108"/>
      <c r="V368" s="108"/>
      <c r="W368" s="108"/>
      <c r="X368" s="108"/>
      <c r="Y368" s="108"/>
      <c r="Z368" s="108"/>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c r="BH368" s="219"/>
      <c r="BI368" s="219"/>
      <c r="BJ368" s="225"/>
      <c r="BK368" s="225"/>
    </row>
    <row r="369" spans="1:63" hidden="1" outlineLevel="1">
      <c r="A369" s="9"/>
      <c r="B369" s="46"/>
      <c r="C369" s="132" t="str">
        <f>Asset4</f>
        <v>Zone Substation</v>
      </c>
      <c r="D369" s="9"/>
      <c r="E369" s="9"/>
      <c r="F369" s="9"/>
      <c r="G369" s="201">
        <f>Input!M10</f>
        <v>0</v>
      </c>
      <c r="H369" s="123"/>
      <c r="I369" s="123"/>
      <c r="J369" s="123"/>
      <c r="K369" s="123"/>
      <c r="L369" s="123"/>
      <c r="M369" s="108"/>
      <c r="N369" s="108"/>
      <c r="O369" s="108"/>
      <c r="P369" s="108"/>
      <c r="Q369" s="108"/>
      <c r="R369" s="108"/>
      <c r="S369" s="102"/>
      <c r="T369" s="108"/>
      <c r="U369" s="108"/>
      <c r="V369" s="108"/>
      <c r="W369" s="108"/>
      <c r="X369" s="108"/>
      <c r="Y369" s="108"/>
      <c r="Z369" s="108"/>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c r="BH369" s="219"/>
      <c r="BI369" s="219"/>
      <c r="BJ369" s="225"/>
      <c r="BK369" s="225"/>
    </row>
    <row r="370" spans="1:63" hidden="1" outlineLevel="1">
      <c r="A370" s="9"/>
      <c r="B370" s="46"/>
      <c r="C370" s="132" t="str">
        <f>Asset5</f>
        <v>Distribution Substations</v>
      </c>
      <c r="D370" s="9"/>
      <c r="E370" s="9"/>
      <c r="F370" s="9"/>
      <c r="G370" s="201">
        <f>Input!M11</f>
        <v>0</v>
      </c>
      <c r="H370" s="123"/>
      <c r="I370" s="123"/>
      <c r="J370" s="123"/>
      <c r="K370" s="123"/>
      <c r="L370" s="123"/>
      <c r="M370" s="108"/>
      <c r="N370" s="108"/>
      <c r="O370" s="108"/>
      <c r="P370" s="108"/>
      <c r="Q370" s="108"/>
      <c r="R370" s="108"/>
      <c r="S370" s="102"/>
      <c r="T370" s="108"/>
      <c r="U370" s="108"/>
      <c r="V370" s="108"/>
      <c r="W370" s="108"/>
      <c r="X370" s="108"/>
      <c r="Y370" s="108"/>
      <c r="Z370" s="108"/>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c r="BH370" s="219"/>
      <c r="BI370" s="219"/>
      <c r="BJ370" s="225"/>
      <c r="BK370" s="225"/>
    </row>
    <row r="371" spans="1:63" hidden="1" outlineLevel="1">
      <c r="A371" s="9"/>
      <c r="B371" s="46"/>
      <c r="C371" s="132" t="str">
        <f>Asset6</f>
        <v>Distribution Overhead Lines</v>
      </c>
      <c r="D371" s="9"/>
      <c r="E371" s="9"/>
      <c r="F371" s="9"/>
      <c r="G371" s="201">
        <f>Input!M12</f>
        <v>0</v>
      </c>
      <c r="H371" s="123"/>
      <c r="I371" s="123"/>
      <c r="J371" s="123"/>
      <c r="K371" s="123"/>
      <c r="L371" s="123"/>
      <c r="M371" s="108"/>
      <c r="N371" s="108"/>
      <c r="O371" s="108"/>
      <c r="P371" s="108"/>
      <c r="Q371" s="108"/>
      <c r="R371" s="108"/>
      <c r="S371" s="102"/>
      <c r="T371" s="108"/>
      <c r="U371" s="108"/>
      <c r="V371" s="108"/>
      <c r="W371" s="108"/>
      <c r="X371" s="108"/>
      <c r="Y371" s="108"/>
      <c r="Z371" s="108"/>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c r="BJ371" s="225"/>
      <c r="BK371" s="225"/>
    </row>
    <row r="372" spans="1:63" hidden="1" outlineLevel="1">
      <c r="A372" s="9"/>
      <c r="B372" s="46"/>
      <c r="C372" s="132" t="str">
        <f>Asset7</f>
        <v>Distribution Underground Lines</v>
      </c>
      <c r="D372" s="9"/>
      <c r="E372" s="9"/>
      <c r="F372" s="9"/>
      <c r="G372" s="201">
        <f>Input!M13</f>
        <v>0</v>
      </c>
      <c r="H372" s="123"/>
      <c r="I372" s="123"/>
      <c r="J372" s="123"/>
      <c r="K372" s="123"/>
      <c r="L372" s="123"/>
      <c r="M372" s="108"/>
      <c r="N372" s="108"/>
      <c r="O372" s="108"/>
      <c r="P372" s="108"/>
      <c r="Q372" s="108"/>
      <c r="R372" s="108"/>
      <c r="S372" s="102"/>
      <c r="T372" s="108"/>
      <c r="U372" s="108"/>
      <c r="V372" s="108"/>
      <c r="W372" s="108"/>
      <c r="X372" s="108"/>
      <c r="Y372" s="108"/>
      <c r="Z372" s="108"/>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25"/>
      <c r="BK372" s="225"/>
    </row>
    <row r="373" spans="1:63" hidden="1" outlineLevel="1">
      <c r="A373" s="9"/>
      <c r="B373" s="46"/>
      <c r="C373" s="132" t="str">
        <f>Asset8</f>
        <v>IT &amp; Communication Systems (Networks)</v>
      </c>
      <c r="D373" s="9"/>
      <c r="E373" s="9"/>
      <c r="F373" s="9"/>
      <c r="G373" s="201">
        <f>Input!M14</f>
        <v>0</v>
      </c>
      <c r="H373" s="123"/>
      <c r="I373" s="123"/>
      <c r="J373" s="123"/>
      <c r="K373" s="123"/>
      <c r="L373" s="123"/>
      <c r="M373" s="108"/>
      <c r="N373" s="108"/>
      <c r="O373" s="108"/>
      <c r="P373" s="108"/>
      <c r="Q373" s="108"/>
      <c r="R373" s="108"/>
      <c r="S373" s="102"/>
      <c r="T373" s="108"/>
      <c r="U373" s="108"/>
      <c r="V373" s="108"/>
      <c r="W373" s="108"/>
      <c r="X373" s="108"/>
      <c r="Y373" s="108"/>
      <c r="Z373" s="108"/>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c r="BH373" s="219"/>
      <c r="BI373" s="219"/>
      <c r="BJ373" s="225"/>
      <c r="BK373" s="225"/>
    </row>
    <row r="374" spans="1:63" hidden="1" outlineLevel="1">
      <c r="A374" s="9"/>
      <c r="B374" s="46"/>
      <c r="C374" s="132" t="str">
        <f>Asset9</f>
        <v>Motor Vehicles</v>
      </c>
      <c r="D374" s="9"/>
      <c r="E374" s="9"/>
      <c r="F374" s="9"/>
      <c r="G374" s="201">
        <f>Input!M15</f>
        <v>0</v>
      </c>
      <c r="H374" s="123"/>
      <c r="I374" s="123"/>
      <c r="J374" s="123"/>
      <c r="K374" s="123"/>
      <c r="L374" s="123"/>
      <c r="M374" s="108"/>
      <c r="N374" s="108"/>
      <c r="O374" s="108"/>
      <c r="P374" s="108"/>
      <c r="Q374" s="108"/>
      <c r="R374" s="108"/>
      <c r="S374" s="102"/>
      <c r="T374" s="108"/>
      <c r="U374" s="108"/>
      <c r="V374" s="108"/>
      <c r="W374" s="108"/>
      <c r="X374" s="108"/>
      <c r="Y374" s="108"/>
      <c r="Z374" s="108"/>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c r="BH374" s="219"/>
      <c r="BI374" s="219"/>
      <c r="BJ374" s="225"/>
      <c r="BK374" s="225"/>
    </row>
    <row r="375" spans="1:63" hidden="1" outlineLevel="1">
      <c r="A375" s="9"/>
      <c r="B375" s="46"/>
      <c r="C375" s="132" t="str">
        <f>Asset10</f>
        <v>Other Non-System Assets (Networks)</v>
      </c>
      <c r="D375" s="9"/>
      <c r="E375" s="9"/>
      <c r="F375" s="9"/>
      <c r="G375" s="201">
        <f>Input!M16</f>
        <v>0</v>
      </c>
      <c r="H375" s="123"/>
      <c r="I375" s="123"/>
      <c r="J375" s="123"/>
      <c r="K375" s="123"/>
      <c r="L375" s="123"/>
      <c r="M375" s="108"/>
      <c r="N375" s="108"/>
      <c r="O375" s="108"/>
      <c r="P375" s="108"/>
      <c r="Q375" s="108"/>
      <c r="R375" s="108"/>
      <c r="S375" s="102"/>
      <c r="T375" s="108"/>
      <c r="U375" s="108"/>
      <c r="V375" s="108"/>
      <c r="W375" s="108"/>
      <c r="X375" s="108"/>
      <c r="Y375" s="108"/>
      <c r="Z375" s="108"/>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25"/>
      <c r="BK375" s="225"/>
    </row>
    <row r="376" spans="1:63" hidden="1" outlineLevel="1">
      <c r="A376" s="9"/>
      <c r="B376" s="46"/>
      <c r="C376" s="132" t="str">
        <f>Asset11</f>
        <v>IT Systems (Corporate)</v>
      </c>
      <c r="D376" s="9"/>
      <c r="E376" s="9"/>
      <c r="F376" s="9"/>
      <c r="G376" s="201">
        <f>Input!M17</f>
        <v>0</v>
      </c>
      <c r="H376" s="123"/>
      <c r="I376" s="123"/>
      <c r="J376" s="123"/>
      <c r="K376" s="123"/>
      <c r="L376" s="123"/>
      <c r="M376" s="108"/>
      <c r="N376" s="108"/>
      <c r="O376" s="108"/>
      <c r="P376" s="108"/>
      <c r="Q376" s="108"/>
      <c r="R376" s="108"/>
      <c r="S376" s="102"/>
      <c r="T376" s="108"/>
      <c r="U376" s="108"/>
      <c r="V376" s="108"/>
      <c r="W376" s="108"/>
      <c r="X376" s="108"/>
      <c r="Y376" s="108"/>
      <c r="Z376" s="108"/>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c r="BH376" s="219"/>
      <c r="BI376" s="219"/>
      <c r="BJ376" s="225"/>
      <c r="BK376" s="225"/>
    </row>
    <row r="377" spans="1:63" hidden="1" outlineLevel="1">
      <c r="A377" s="9"/>
      <c r="B377" s="46"/>
      <c r="C377" s="132" t="str">
        <f>Asset12</f>
        <v>Telecommunications (Corporate)</v>
      </c>
      <c r="D377" s="9"/>
      <c r="E377" s="9"/>
      <c r="F377" s="9"/>
      <c r="G377" s="201">
        <f>Input!M18</f>
        <v>0</v>
      </c>
      <c r="H377" s="123"/>
      <c r="I377" s="123"/>
      <c r="J377" s="123"/>
      <c r="K377" s="123"/>
      <c r="L377" s="123"/>
      <c r="M377" s="108"/>
      <c r="N377" s="108"/>
      <c r="O377" s="108"/>
      <c r="P377" s="108"/>
      <c r="Q377" s="108"/>
      <c r="R377" s="108"/>
      <c r="S377" s="102"/>
      <c r="T377" s="108"/>
      <c r="U377" s="108"/>
      <c r="V377" s="108"/>
      <c r="W377" s="108"/>
      <c r="X377" s="108"/>
      <c r="Y377" s="108"/>
      <c r="Z377" s="108"/>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c r="BH377" s="219"/>
      <c r="BI377" s="219"/>
      <c r="BJ377" s="225"/>
      <c r="BK377" s="225"/>
    </row>
    <row r="378" spans="1:63" hidden="1" outlineLevel="1">
      <c r="A378" s="9"/>
      <c r="B378" s="46"/>
      <c r="C378" s="132" t="str">
        <f>Asset13</f>
        <v>Other Non-System Assets (Corporate)</v>
      </c>
      <c r="D378" s="9"/>
      <c r="E378" s="9"/>
      <c r="F378" s="9"/>
      <c r="G378" s="201">
        <f>Input!M19</f>
        <v>0</v>
      </c>
      <c r="H378" s="123"/>
      <c r="I378" s="123"/>
      <c r="J378" s="123"/>
      <c r="K378" s="123"/>
      <c r="L378" s="123"/>
      <c r="M378" s="108"/>
      <c r="N378" s="108"/>
      <c r="O378" s="108"/>
      <c r="P378" s="108"/>
      <c r="Q378" s="108"/>
      <c r="R378" s="108"/>
      <c r="S378" s="102"/>
      <c r="T378" s="108"/>
      <c r="U378" s="108"/>
      <c r="V378" s="108"/>
      <c r="W378" s="108"/>
      <c r="X378" s="108"/>
      <c r="Y378" s="108"/>
      <c r="Z378" s="108"/>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25"/>
      <c r="BK378" s="225"/>
    </row>
    <row r="379" spans="1:63" hidden="1" outlineLevel="1">
      <c r="A379" s="9"/>
      <c r="B379" s="46"/>
      <c r="C379" s="132" t="str">
        <f>Asset14</f>
        <v>Land</v>
      </c>
      <c r="D379" s="9"/>
      <c r="E379" s="9"/>
      <c r="F379" s="9"/>
      <c r="G379" s="201">
        <f>Input!M20</f>
        <v>0</v>
      </c>
      <c r="H379" s="123"/>
      <c r="I379" s="123"/>
      <c r="J379" s="123"/>
      <c r="K379" s="123"/>
      <c r="L379" s="123"/>
      <c r="M379" s="108"/>
      <c r="N379" s="108"/>
      <c r="O379" s="108"/>
      <c r="P379" s="108"/>
      <c r="Q379" s="108"/>
      <c r="R379" s="108"/>
      <c r="S379" s="102"/>
      <c r="T379" s="108"/>
      <c r="U379" s="108"/>
      <c r="V379" s="108"/>
      <c r="W379" s="108"/>
      <c r="X379" s="108"/>
      <c r="Y379" s="108"/>
      <c r="Z379" s="108"/>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25"/>
      <c r="BK379" s="225"/>
    </row>
    <row r="380" spans="1:63" hidden="1" outlineLevel="1">
      <c r="A380" s="9"/>
      <c r="B380" s="46"/>
      <c r="C380" s="132" t="str">
        <f>Asset15</f>
        <v>Buildings</v>
      </c>
      <c r="D380" s="9"/>
      <c r="E380" s="9"/>
      <c r="F380" s="9"/>
      <c r="G380" s="201">
        <f>Input!M21</f>
        <v>0</v>
      </c>
      <c r="H380" s="123"/>
      <c r="I380" s="123"/>
      <c r="J380" s="123"/>
      <c r="K380" s="123"/>
      <c r="L380" s="123"/>
      <c r="M380" s="108"/>
      <c r="N380" s="108"/>
      <c r="O380" s="108"/>
      <c r="P380" s="108"/>
      <c r="Q380" s="108"/>
      <c r="R380" s="108"/>
      <c r="S380" s="102"/>
      <c r="T380" s="108"/>
      <c r="U380" s="108"/>
      <c r="V380" s="108"/>
      <c r="W380" s="108"/>
      <c r="X380" s="108"/>
      <c r="Y380" s="108"/>
      <c r="Z380" s="108"/>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25"/>
      <c r="BK380" s="225"/>
    </row>
    <row r="381" spans="1:63" hidden="1" outlineLevel="1">
      <c r="A381" s="9"/>
      <c r="B381" s="46"/>
      <c r="C381" s="132" t="str">
        <f>Asset16</f>
        <v>Equity raising costs</v>
      </c>
      <c r="D381" s="9"/>
      <c r="E381" s="9"/>
      <c r="F381" s="9"/>
      <c r="G381" s="201">
        <f>Input!M22</f>
        <v>0</v>
      </c>
      <c r="H381" s="123"/>
      <c r="I381" s="123"/>
      <c r="J381" s="123"/>
      <c r="K381" s="123"/>
      <c r="L381" s="123"/>
      <c r="M381" s="108"/>
      <c r="N381" s="108"/>
      <c r="O381" s="108"/>
      <c r="P381" s="108"/>
      <c r="Q381" s="108"/>
      <c r="R381" s="108"/>
      <c r="S381" s="102"/>
      <c r="T381" s="108"/>
      <c r="U381" s="108"/>
      <c r="V381" s="108"/>
      <c r="W381" s="108"/>
      <c r="X381" s="108"/>
      <c r="Y381" s="108"/>
      <c r="Z381" s="108"/>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25"/>
      <c r="BK381" s="225"/>
    </row>
    <row r="382" spans="1:63" hidden="1" outlineLevel="1">
      <c r="A382" s="9"/>
      <c r="B382" s="46"/>
      <c r="C382" s="132">
        <f>Asset17</f>
        <v>0</v>
      </c>
      <c r="D382" s="9"/>
      <c r="E382" s="9"/>
      <c r="F382" s="9"/>
      <c r="G382" s="201">
        <f>Input!M23</f>
        <v>0</v>
      </c>
      <c r="H382" s="123"/>
      <c r="I382" s="123"/>
      <c r="J382" s="123"/>
      <c r="K382" s="123"/>
      <c r="L382" s="123"/>
      <c r="M382" s="108"/>
      <c r="N382" s="108"/>
      <c r="O382" s="108"/>
      <c r="P382" s="108"/>
      <c r="Q382" s="108"/>
      <c r="R382" s="108"/>
      <c r="S382" s="102"/>
      <c r="T382" s="108"/>
      <c r="U382" s="108"/>
      <c r="V382" s="108"/>
      <c r="W382" s="108"/>
      <c r="X382" s="108"/>
      <c r="Y382" s="108"/>
      <c r="Z382" s="108"/>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25"/>
      <c r="BK382" s="225"/>
    </row>
    <row r="383" spans="1:63" hidden="1" outlineLevel="1">
      <c r="A383" s="9"/>
      <c r="B383" s="46"/>
      <c r="C383" s="132">
        <f>Asset18</f>
        <v>0</v>
      </c>
      <c r="D383" s="9"/>
      <c r="E383" s="9"/>
      <c r="F383" s="9"/>
      <c r="G383" s="201">
        <f>Input!M24</f>
        <v>0</v>
      </c>
      <c r="H383" s="123"/>
      <c r="I383" s="123"/>
      <c r="J383" s="123"/>
      <c r="K383" s="123"/>
      <c r="L383" s="123"/>
      <c r="M383" s="108"/>
      <c r="N383" s="108"/>
      <c r="O383" s="108"/>
      <c r="P383" s="108"/>
      <c r="Q383" s="108"/>
      <c r="R383" s="108"/>
      <c r="S383" s="102"/>
      <c r="T383" s="108"/>
      <c r="U383" s="108"/>
      <c r="V383" s="108"/>
      <c r="W383" s="108"/>
      <c r="X383" s="108"/>
      <c r="Y383" s="108"/>
      <c r="Z383" s="108"/>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c r="BH383" s="219"/>
      <c r="BI383" s="219"/>
      <c r="BJ383" s="225"/>
      <c r="BK383" s="225"/>
    </row>
    <row r="384" spans="1:63" hidden="1" outlineLevel="1">
      <c r="A384" s="9"/>
      <c r="B384" s="46"/>
      <c r="C384" s="132">
        <f>Asset19</f>
        <v>0</v>
      </c>
      <c r="D384" s="9"/>
      <c r="E384" s="9"/>
      <c r="F384" s="9"/>
      <c r="G384" s="201">
        <f>Input!M25</f>
        <v>0</v>
      </c>
      <c r="H384" s="123"/>
      <c r="I384" s="123"/>
      <c r="J384" s="123"/>
      <c r="K384" s="123"/>
      <c r="L384" s="123"/>
      <c r="M384" s="108"/>
      <c r="N384" s="108"/>
      <c r="O384" s="108"/>
      <c r="P384" s="108"/>
      <c r="Q384" s="108"/>
      <c r="R384" s="108"/>
      <c r="S384" s="102"/>
      <c r="T384" s="108"/>
      <c r="U384" s="108"/>
      <c r="V384" s="108"/>
      <c r="W384" s="108"/>
      <c r="X384" s="108"/>
      <c r="Y384" s="108"/>
      <c r="Z384" s="108"/>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25"/>
      <c r="BK384" s="225"/>
    </row>
    <row r="385" spans="1:63" hidden="1" outlineLevel="1">
      <c r="A385" s="9"/>
      <c r="B385" s="46"/>
      <c r="C385" s="132">
        <f>Asset20</f>
        <v>0</v>
      </c>
      <c r="D385" s="9"/>
      <c r="E385" s="9"/>
      <c r="F385" s="9"/>
      <c r="G385" s="201">
        <f>Input!M26</f>
        <v>0</v>
      </c>
      <c r="H385" s="123"/>
      <c r="I385" s="123"/>
      <c r="J385" s="123"/>
      <c r="K385" s="123"/>
      <c r="L385" s="123"/>
      <c r="M385" s="108"/>
      <c r="N385" s="108"/>
      <c r="O385" s="108"/>
      <c r="P385" s="108"/>
      <c r="Q385" s="108"/>
      <c r="R385" s="108"/>
      <c r="S385" s="102"/>
      <c r="T385" s="108"/>
      <c r="U385" s="108"/>
      <c r="V385" s="108"/>
      <c r="W385" s="108"/>
      <c r="X385" s="108"/>
      <c r="Y385" s="108"/>
      <c r="Z385" s="108"/>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25"/>
      <c r="BK385" s="225"/>
    </row>
    <row r="386" spans="1:63" hidden="1" outlineLevel="1">
      <c r="A386" s="9"/>
      <c r="B386" s="46"/>
      <c r="C386" s="132">
        <f>Asset21</f>
        <v>0</v>
      </c>
      <c r="D386" s="9"/>
      <c r="E386" s="9"/>
      <c r="F386" s="9"/>
      <c r="G386" s="201">
        <f>Input!M27</f>
        <v>0</v>
      </c>
      <c r="H386" s="123"/>
      <c r="I386" s="123"/>
      <c r="J386" s="123"/>
      <c r="K386" s="123"/>
      <c r="L386" s="123"/>
      <c r="M386" s="108"/>
      <c r="N386" s="108"/>
      <c r="O386" s="108"/>
      <c r="P386" s="108"/>
      <c r="Q386" s="108"/>
      <c r="R386" s="108"/>
      <c r="S386" s="102"/>
      <c r="T386" s="108"/>
      <c r="U386" s="108"/>
      <c r="V386" s="108"/>
      <c r="W386" s="108"/>
      <c r="X386" s="108"/>
      <c r="Y386" s="108"/>
      <c r="Z386" s="108"/>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225"/>
      <c r="BK386" s="225"/>
    </row>
    <row r="387" spans="1:63" hidden="1" outlineLevel="1">
      <c r="A387" s="9"/>
      <c r="B387" s="46"/>
      <c r="C387" s="132">
        <f>Asset22</f>
        <v>0</v>
      </c>
      <c r="D387" s="9"/>
      <c r="E387" s="9"/>
      <c r="F387" s="9"/>
      <c r="G387" s="201">
        <f>Input!M28</f>
        <v>0</v>
      </c>
      <c r="H387" s="123"/>
      <c r="I387" s="123"/>
      <c r="J387" s="123"/>
      <c r="K387" s="123"/>
      <c r="L387" s="123"/>
      <c r="M387" s="108"/>
      <c r="N387" s="108"/>
      <c r="O387" s="108"/>
      <c r="P387" s="108"/>
      <c r="Q387" s="108"/>
      <c r="R387" s="108"/>
      <c r="S387" s="102"/>
      <c r="T387" s="108"/>
      <c r="U387" s="108"/>
      <c r="V387" s="108"/>
      <c r="W387" s="108"/>
      <c r="X387" s="108"/>
      <c r="Y387" s="108"/>
      <c r="Z387" s="108"/>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c r="BJ387" s="225"/>
      <c r="BK387" s="225"/>
    </row>
    <row r="388" spans="1:63" hidden="1" outlineLevel="1">
      <c r="A388" s="9"/>
      <c r="B388" s="46"/>
      <c r="C388" s="132">
        <f>Asset23</f>
        <v>0</v>
      </c>
      <c r="D388" s="9"/>
      <c r="E388" s="9"/>
      <c r="F388" s="9"/>
      <c r="G388" s="201">
        <f>Input!M29</f>
        <v>0</v>
      </c>
      <c r="H388" s="123"/>
      <c r="I388" s="123"/>
      <c r="J388" s="123"/>
      <c r="K388" s="123"/>
      <c r="L388" s="123"/>
      <c r="M388" s="108"/>
      <c r="N388" s="108"/>
      <c r="O388" s="108"/>
      <c r="P388" s="108"/>
      <c r="Q388" s="108"/>
      <c r="R388" s="108"/>
      <c r="S388" s="102"/>
      <c r="T388" s="108"/>
      <c r="U388" s="108"/>
      <c r="V388" s="108"/>
      <c r="W388" s="108"/>
      <c r="X388" s="108"/>
      <c r="Y388" s="108"/>
      <c r="Z388" s="108"/>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c r="BJ388" s="225"/>
      <c r="BK388" s="225"/>
    </row>
    <row r="389" spans="1:63" hidden="1" outlineLevel="1">
      <c r="A389" s="9"/>
      <c r="B389" s="46"/>
      <c r="C389" s="132">
        <f>Asset24</f>
        <v>0</v>
      </c>
      <c r="D389" s="9"/>
      <c r="E389" s="9"/>
      <c r="F389" s="9"/>
      <c r="G389" s="201">
        <f>Input!M30</f>
        <v>0</v>
      </c>
      <c r="H389" s="123"/>
      <c r="I389" s="123"/>
      <c r="J389" s="123"/>
      <c r="K389" s="123"/>
      <c r="L389" s="123"/>
      <c r="M389" s="108"/>
      <c r="N389" s="108"/>
      <c r="O389" s="108"/>
      <c r="P389" s="108"/>
      <c r="Q389" s="108"/>
      <c r="R389" s="108"/>
      <c r="S389" s="102"/>
      <c r="T389" s="108"/>
      <c r="U389" s="108"/>
      <c r="V389" s="108"/>
      <c r="W389" s="108"/>
      <c r="X389" s="108"/>
      <c r="Y389" s="108"/>
      <c r="Z389" s="108"/>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c r="BJ389" s="225"/>
      <c r="BK389" s="225"/>
    </row>
    <row r="390" spans="1:63" hidden="1" outlineLevel="1">
      <c r="A390" s="9"/>
      <c r="B390" s="46"/>
      <c r="C390" s="132">
        <f>Asset25</f>
        <v>0</v>
      </c>
      <c r="D390" s="9"/>
      <c r="E390" s="9"/>
      <c r="F390" s="9"/>
      <c r="G390" s="201">
        <f>Input!M31</f>
        <v>0</v>
      </c>
      <c r="H390" s="123"/>
      <c r="I390" s="123"/>
      <c r="J390" s="123"/>
      <c r="K390" s="123"/>
      <c r="L390" s="123"/>
      <c r="M390" s="108"/>
      <c r="N390" s="108"/>
      <c r="O390" s="108"/>
      <c r="P390" s="108"/>
      <c r="Q390" s="108"/>
      <c r="R390" s="108"/>
      <c r="S390" s="102"/>
      <c r="T390" s="108"/>
      <c r="U390" s="108"/>
      <c r="V390" s="108"/>
      <c r="W390" s="108"/>
      <c r="X390" s="108"/>
      <c r="Y390" s="108"/>
      <c r="Z390" s="108"/>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c r="BJ390" s="225"/>
      <c r="BK390" s="225"/>
    </row>
    <row r="391" spans="1:63" hidden="1" outlineLevel="1">
      <c r="A391" s="9"/>
      <c r="B391" s="46"/>
      <c r="C391" s="132">
        <f>Asset26</f>
        <v>0</v>
      </c>
      <c r="D391" s="9"/>
      <c r="E391" s="9"/>
      <c r="F391" s="9"/>
      <c r="G391" s="201">
        <f>Input!M32</f>
        <v>0</v>
      </c>
      <c r="H391" s="123"/>
      <c r="I391" s="123"/>
      <c r="J391" s="123"/>
      <c r="K391" s="123"/>
      <c r="L391" s="123"/>
      <c r="M391" s="108"/>
      <c r="N391" s="108"/>
      <c r="O391" s="108"/>
      <c r="P391" s="108"/>
      <c r="Q391" s="108"/>
      <c r="R391" s="108"/>
      <c r="S391" s="102"/>
      <c r="T391" s="108"/>
      <c r="U391" s="108"/>
      <c r="V391" s="108"/>
      <c r="W391" s="108"/>
      <c r="X391" s="108"/>
      <c r="Y391" s="108"/>
      <c r="Z391" s="108"/>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25"/>
      <c r="BK391" s="225"/>
    </row>
    <row r="392" spans="1:63" hidden="1" outlineLevel="1">
      <c r="A392" s="9"/>
      <c r="B392" s="46"/>
      <c r="C392" s="132">
        <f>Asset27</f>
        <v>0</v>
      </c>
      <c r="D392" s="9"/>
      <c r="E392" s="9"/>
      <c r="F392" s="9"/>
      <c r="G392" s="201">
        <f>Input!M33</f>
        <v>0</v>
      </c>
      <c r="H392" s="123"/>
      <c r="I392" s="123"/>
      <c r="J392" s="123"/>
      <c r="K392" s="123"/>
      <c r="L392" s="123"/>
      <c r="M392" s="108"/>
      <c r="N392" s="108"/>
      <c r="O392" s="108"/>
      <c r="P392" s="108"/>
      <c r="Q392" s="108"/>
      <c r="R392" s="108"/>
      <c r="S392" s="102"/>
      <c r="T392" s="108"/>
      <c r="U392" s="108"/>
      <c r="V392" s="108"/>
      <c r="W392" s="108"/>
      <c r="X392" s="108"/>
      <c r="Y392" s="108"/>
      <c r="Z392" s="108"/>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25"/>
      <c r="BK392" s="225"/>
    </row>
    <row r="393" spans="1:63" hidden="1" outlineLevel="1">
      <c r="A393" s="9"/>
      <c r="B393" s="46"/>
      <c r="C393" s="132">
        <f>Asset28</f>
        <v>0</v>
      </c>
      <c r="D393" s="9"/>
      <c r="E393" s="9"/>
      <c r="F393" s="9"/>
      <c r="G393" s="201">
        <f>Input!M34</f>
        <v>0</v>
      </c>
      <c r="H393" s="123"/>
      <c r="I393" s="123"/>
      <c r="J393" s="123"/>
      <c r="K393" s="123"/>
      <c r="L393" s="123"/>
      <c r="M393" s="108"/>
      <c r="N393" s="108"/>
      <c r="O393" s="108"/>
      <c r="P393" s="108"/>
      <c r="Q393" s="108"/>
      <c r="R393" s="108"/>
      <c r="S393" s="102"/>
      <c r="T393" s="108"/>
      <c r="U393" s="108"/>
      <c r="V393" s="108"/>
      <c r="W393" s="108"/>
      <c r="X393" s="108"/>
      <c r="Y393" s="108"/>
      <c r="Z393" s="108"/>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c r="BJ393" s="225"/>
      <c r="BK393" s="225"/>
    </row>
    <row r="394" spans="1:63" hidden="1" outlineLevel="1">
      <c r="A394" s="9"/>
      <c r="B394" s="46"/>
      <c r="C394" s="132">
        <f>Asset29</f>
        <v>0</v>
      </c>
      <c r="D394" s="9"/>
      <c r="E394" s="9"/>
      <c r="F394" s="9"/>
      <c r="G394" s="201">
        <f>Input!M35</f>
        <v>0</v>
      </c>
      <c r="H394" s="123"/>
      <c r="I394" s="123"/>
      <c r="J394" s="123"/>
      <c r="K394" s="123"/>
      <c r="L394" s="123"/>
      <c r="M394" s="108"/>
      <c r="N394" s="108"/>
      <c r="O394" s="108"/>
      <c r="P394" s="108"/>
      <c r="Q394" s="108"/>
      <c r="R394" s="108"/>
      <c r="S394" s="102"/>
      <c r="T394" s="108"/>
      <c r="U394" s="108"/>
      <c r="V394" s="108"/>
      <c r="W394" s="108"/>
      <c r="X394" s="108"/>
      <c r="Y394" s="108"/>
      <c r="Z394" s="108"/>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c r="BH394" s="219"/>
      <c r="BI394" s="219"/>
      <c r="BJ394" s="225"/>
      <c r="BK394" s="225"/>
    </row>
    <row r="395" spans="1:63" hidden="1" outlineLevel="1">
      <c r="A395" s="9"/>
      <c r="B395" s="46"/>
      <c r="C395" s="132">
        <f>Asset30</f>
        <v>0</v>
      </c>
      <c r="D395" s="9"/>
      <c r="E395" s="9"/>
      <c r="F395" s="9"/>
      <c r="G395" s="201">
        <f>Input!M36</f>
        <v>0</v>
      </c>
      <c r="H395" s="123"/>
      <c r="I395" s="123"/>
      <c r="J395" s="123"/>
      <c r="K395" s="123"/>
      <c r="L395" s="123"/>
      <c r="M395" s="108"/>
      <c r="N395" s="108"/>
      <c r="O395" s="108"/>
      <c r="P395" s="108"/>
      <c r="Q395" s="108"/>
      <c r="R395" s="108"/>
      <c r="S395" s="102"/>
      <c r="T395" s="108"/>
      <c r="U395" s="108"/>
      <c r="V395" s="108"/>
      <c r="W395" s="108"/>
      <c r="X395" s="108"/>
      <c r="Y395" s="108"/>
      <c r="Z395" s="108"/>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c r="BH395" s="219"/>
      <c r="BI395" s="219"/>
      <c r="BJ395" s="225"/>
      <c r="BK395" s="225"/>
    </row>
    <row r="396" spans="1:63" collapsed="1">
      <c r="A396" s="9"/>
      <c r="B396" s="46"/>
      <c r="C396" s="116"/>
      <c r="D396" s="9"/>
      <c r="E396" s="9"/>
      <c r="F396" s="28"/>
      <c r="G396" s="202"/>
      <c r="H396" s="123"/>
      <c r="I396" s="123"/>
      <c r="J396" s="123"/>
      <c r="K396" s="123"/>
      <c r="L396" s="123"/>
      <c r="M396" s="108"/>
      <c r="N396" s="108"/>
      <c r="O396" s="108"/>
      <c r="P396" s="108"/>
      <c r="Q396" s="108"/>
      <c r="R396" s="108"/>
      <c r="S396" s="108"/>
      <c r="T396" s="108"/>
      <c r="U396" s="108"/>
      <c r="V396" s="108"/>
      <c r="W396" s="108"/>
      <c r="X396" s="108"/>
      <c r="Y396" s="108"/>
      <c r="Z396" s="108"/>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c r="BH396" s="219"/>
      <c r="BI396" s="219"/>
      <c r="BJ396" s="225"/>
      <c r="BK396" s="225"/>
    </row>
    <row r="397" spans="1:63">
      <c r="A397" s="9"/>
      <c r="B397" s="91" t="s">
        <v>74</v>
      </c>
      <c r="C397" s="12"/>
      <c r="D397" s="9"/>
      <c r="E397" s="9"/>
      <c r="F397" s="9"/>
      <c r="G397" s="199">
        <f>SUM(G398:G427)</f>
        <v>-4.1592114193485834</v>
      </c>
      <c r="H397" s="123"/>
      <c r="I397" s="123"/>
      <c r="J397" s="123"/>
      <c r="K397" s="123"/>
      <c r="L397" s="123"/>
      <c r="M397" s="108"/>
      <c r="N397" s="108"/>
      <c r="O397" s="108"/>
      <c r="P397" s="108"/>
      <c r="Q397" s="108"/>
      <c r="R397" s="108"/>
      <c r="S397" s="108"/>
      <c r="T397" s="108"/>
      <c r="U397" s="108"/>
      <c r="V397" s="108"/>
      <c r="W397" s="108"/>
      <c r="X397" s="108"/>
      <c r="Y397" s="108"/>
      <c r="Z397" s="108"/>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c r="BH397" s="219"/>
      <c r="BI397" s="219"/>
      <c r="BJ397" s="225"/>
      <c r="BK397" s="225"/>
    </row>
    <row r="398" spans="1:63" ht="12.75" hidden="1" customHeight="1" outlineLevel="1">
      <c r="A398" s="9"/>
      <c r="B398" s="46"/>
      <c r="C398" s="132" t="str">
        <f>Asset1</f>
        <v>Opening Distribution Assets</v>
      </c>
      <c r="D398" s="9"/>
      <c r="E398" s="9"/>
      <c r="F398" s="28"/>
      <c r="G398" s="201">
        <f>-Input!N7</f>
        <v>-4.1592114193485834</v>
      </c>
      <c r="H398" s="123"/>
      <c r="I398" s="123"/>
      <c r="J398" s="123"/>
      <c r="K398" s="123"/>
      <c r="L398" s="123"/>
      <c r="M398" s="108"/>
      <c r="N398" s="108"/>
      <c r="O398" s="108"/>
      <c r="P398" s="108"/>
      <c r="Q398" s="108"/>
      <c r="R398" s="108"/>
      <c r="S398" s="108"/>
      <c r="T398" s="108"/>
      <c r="U398" s="108"/>
      <c r="V398" s="108"/>
      <c r="W398" s="108"/>
      <c r="X398" s="108"/>
      <c r="Y398" s="108"/>
      <c r="Z398" s="108"/>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c r="BH398" s="219"/>
      <c r="BI398" s="219"/>
      <c r="BJ398" s="225"/>
      <c r="BK398" s="225"/>
    </row>
    <row r="399" spans="1:63" ht="12.75" hidden="1" customHeight="1" outlineLevel="1">
      <c r="A399" s="9"/>
      <c r="B399" s="46"/>
      <c r="C399" s="132" t="str">
        <f>Asset2</f>
        <v>Sub-transmission Overhead</v>
      </c>
      <c r="D399" s="9"/>
      <c r="E399" s="9"/>
      <c r="F399" s="28"/>
      <c r="G399" s="201">
        <f>-Input!N8</f>
        <v>0</v>
      </c>
      <c r="H399" s="123"/>
      <c r="I399" s="123"/>
      <c r="J399" s="123"/>
      <c r="K399" s="123"/>
      <c r="L399" s="123"/>
      <c r="M399" s="108"/>
      <c r="N399" s="108"/>
      <c r="O399" s="108"/>
      <c r="P399" s="108"/>
      <c r="Q399" s="108"/>
      <c r="R399" s="108"/>
      <c r="S399" s="108"/>
      <c r="T399" s="108"/>
      <c r="U399" s="108"/>
      <c r="V399" s="108"/>
      <c r="W399" s="108"/>
      <c r="X399" s="108"/>
      <c r="Y399" s="108"/>
      <c r="Z399" s="108"/>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25"/>
      <c r="BK399" s="225"/>
    </row>
    <row r="400" spans="1:63" ht="12.75" hidden="1" customHeight="1" outlineLevel="1">
      <c r="A400" s="9"/>
      <c r="B400" s="46"/>
      <c r="C400" s="132" t="str">
        <f>Asset3</f>
        <v>Sub-transmission Underground</v>
      </c>
      <c r="D400" s="9"/>
      <c r="E400" s="9"/>
      <c r="F400" s="28"/>
      <c r="G400" s="201">
        <f>-Input!N9</f>
        <v>0</v>
      </c>
      <c r="H400" s="123"/>
      <c r="I400" s="123"/>
      <c r="J400" s="123"/>
      <c r="K400" s="123"/>
      <c r="L400" s="123"/>
      <c r="M400" s="108"/>
      <c r="N400" s="108"/>
      <c r="O400" s="108"/>
      <c r="P400" s="108"/>
      <c r="Q400" s="108"/>
      <c r="R400" s="108"/>
      <c r="S400" s="108"/>
      <c r="T400" s="108"/>
      <c r="U400" s="108"/>
      <c r="V400" s="108"/>
      <c r="W400" s="108"/>
      <c r="X400" s="108"/>
      <c r="Y400" s="108"/>
      <c r="Z400" s="108"/>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c r="BJ400" s="225"/>
      <c r="BK400" s="225"/>
    </row>
    <row r="401" spans="1:63" ht="12.75" hidden="1" customHeight="1" outlineLevel="1">
      <c r="A401" s="9"/>
      <c r="B401" s="46"/>
      <c r="C401" s="132" t="str">
        <f>Asset4</f>
        <v>Zone Substation</v>
      </c>
      <c r="D401" s="9"/>
      <c r="E401" s="9"/>
      <c r="F401" s="28"/>
      <c r="G401" s="201">
        <f>-Input!N10</f>
        <v>0</v>
      </c>
      <c r="H401" s="123"/>
      <c r="I401" s="123"/>
      <c r="J401" s="123"/>
      <c r="K401" s="123"/>
      <c r="L401" s="123"/>
      <c r="M401" s="108"/>
      <c r="N401" s="108"/>
      <c r="O401" s="108"/>
      <c r="P401" s="108"/>
      <c r="Q401" s="108"/>
      <c r="R401" s="108"/>
      <c r="S401" s="108"/>
      <c r="T401" s="108"/>
      <c r="U401" s="108"/>
      <c r="V401" s="108"/>
      <c r="W401" s="108"/>
      <c r="X401" s="108"/>
      <c r="Y401" s="108"/>
      <c r="Z401" s="108"/>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c r="BJ401" s="225"/>
      <c r="BK401" s="225"/>
    </row>
    <row r="402" spans="1:63" ht="12.75" hidden="1" customHeight="1" outlineLevel="1">
      <c r="A402" s="9"/>
      <c r="B402" s="46"/>
      <c r="C402" s="132" t="str">
        <f>Asset5</f>
        <v>Distribution Substations</v>
      </c>
      <c r="D402" s="9"/>
      <c r="E402" s="9"/>
      <c r="F402" s="28"/>
      <c r="G402" s="201">
        <f>-Input!N11</f>
        <v>0</v>
      </c>
      <c r="H402" s="123"/>
      <c r="I402" s="123"/>
      <c r="J402" s="123"/>
      <c r="K402" s="123"/>
      <c r="L402" s="123"/>
      <c r="M402" s="108"/>
      <c r="N402" s="108"/>
      <c r="O402" s="108"/>
      <c r="P402" s="108"/>
      <c r="Q402" s="108"/>
      <c r="R402" s="108"/>
      <c r="S402" s="108"/>
      <c r="T402" s="108"/>
      <c r="U402" s="108"/>
      <c r="V402" s="108"/>
      <c r="W402" s="108"/>
      <c r="X402" s="108"/>
      <c r="Y402" s="108"/>
      <c r="Z402" s="108"/>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c r="BJ402" s="225"/>
      <c r="BK402" s="225"/>
    </row>
    <row r="403" spans="1:63" ht="12.75" hidden="1" customHeight="1" outlineLevel="1">
      <c r="A403" s="9"/>
      <c r="B403" s="46"/>
      <c r="C403" s="132" t="str">
        <f>Asset6</f>
        <v>Distribution Overhead Lines</v>
      </c>
      <c r="D403" s="9"/>
      <c r="E403" s="9"/>
      <c r="F403" s="28"/>
      <c r="G403" s="201">
        <f>-Input!N12</f>
        <v>0</v>
      </c>
      <c r="H403" s="123"/>
      <c r="I403" s="123"/>
      <c r="J403" s="123"/>
      <c r="K403" s="123"/>
      <c r="L403" s="123"/>
      <c r="M403" s="108"/>
      <c r="N403" s="108"/>
      <c r="O403" s="108"/>
      <c r="P403" s="108"/>
      <c r="Q403" s="108"/>
      <c r="R403" s="108"/>
      <c r="S403" s="108"/>
      <c r="T403" s="108"/>
      <c r="U403" s="108"/>
      <c r="V403" s="108"/>
      <c r="W403" s="108"/>
      <c r="X403" s="108"/>
      <c r="Y403" s="108"/>
      <c r="Z403" s="108"/>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c r="BJ403" s="225"/>
      <c r="BK403" s="225"/>
    </row>
    <row r="404" spans="1:63" ht="12.75" hidden="1" customHeight="1" outlineLevel="1">
      <c r="A404" s="9"/>
      <c r="B404" s="46"/>
      <c r="C404" s="132" t="str">
        <f>Asset7</f>
        <v>Distribution Underground Lines</v>
      </c>
      <c r="D404" s="9"/>
      <c r="E404" s="9"/>
      <c r="F404" s="28"/>
      <c r="G404" s="201">
        <f>-Input!N13</f>
        <v>0</v>
      </c>
      <c r="H404" s="123"/>
      <c r="I404" s="123"/>
      <c r="J404" s="123"/>
      <c r="K404" s="123"/>
      <c r="L404" s="123"/>
      <c r="M404" s="108"/>
      <c r="N404" s="108"/>
      <c r="O404" s="108"/>
      <c r="P404" s="108"/>
      <c r="Q404" s="108"/>
      <c r="R404" s="108"/>
      <c r="S404" s="108"/>
      <c r="T404" s="108"/>
      <c r="U404" s="108"/>
      <c r="V404" s="108"/>
      <c r="W404" s="108"/>
      <c r="X404" s="108"/>
      <c r="Y404" s="108"/>
      <c r="Z404" s="108"/>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c r="BJ404" s="225"/>
      <c r="BK404" s="225"/>
    </row>
    <row r="405" spans="1:63" ht="12.75" hidden="1" customHeight="1" outlineLevel="1">
      <c r="A405" s="9"/>
      <c r="B405" s="46"/>
      <c r="C405" s="132" t="str">
        <f>Asset8</f>
        <v>IT &amp; Communication Systems (Networks)</v>
      </c>
      <c r="D405" s="9"/>
      <c r="E405" s="9"/>
      <c r="F405" s="28"/>
      <c r="G405" s="201">
        <f>-Input!N14</f>
        <v>0</v>
      </c>
      <c r="H405" s="123"/>
      <c r="I405" s="123"/>
      <c r="J405" s="123"/>
      <c r="K405" s="123"/>
      <c r="L405" s="123"/>
      <c r="M405" s="108"/>
      <c r="N405" s="108"/>
      <c r="O405" s="108"/>
      <c r="P405" s="108"/>
      <c r="Q405" s="108"/>
      <c r="R405" s="108"/>
      <c r="S405" s="108"/>
      <c r="T405" s="108"/>
      <c r="U405" s="108"/>
      <c r="V405" s="108"/>
      <c r="W405" s="108"/>
      <c r="X405" s="108"/>
      <c r="Y405" s="108"/>
      <c r="Z405" s="108"/>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25"/>
      <c r="BK405" s="225"/>
    </row>
    <row r="406" spans="1:63" ht="12.75" hidden="1" customHeight="1" outlineLevel="1">
      <c r="A406" s="9"/>
      <c r="B406" s="46"/>
      <c r="C406" s="132" t="str">
        <f>Asset9</f>
        <v>Motor Vehicles</v>
      </c>
      <c r="D406" s="9"/>
      <c r="E406" s="9"/>
      <c r="F406" s="28"/>
      <c r="G406" s="201">
        <f>-Input!N15</f>
        <v>0</v>
      </c>
      <c r="H406" s="123"/>
      <c r="I406" s="123"/>
      <c r="J406" s="123"/>
      <c r="K406" s="123"/>
      <c r="L406" s="123"/>
      <c r="M406" s="108"/>
      <c r="N406" s="108"/>
      <c r="O406" s="108"/>
      <c r="P406" s="108"/>
      <c r="Q406" s="108"/>
      <c r="R406" s="108"/>
      <c r="S406" s="108"/>
      <c r="T406" s="108"/>
      <c r="U406" s="108"/>
      <c r="V406" s="108"/>
      <c r="W406" s="108"/>
      <c r="X406" s="108"/>
      <c r="Y406" s="108"/>
      <c r="Z406" s="108"/>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c r="BJ406" s="225"/>
      <c r="BK406" s="225"/>
    </row>
    <row r="407" spans="1:63" ht="12.75" hidden="1" customHeight="1" outlineLevel="1">
      <c r="A407" s="9"/>
      <c r="B407" s="46"/>
      <c r="C407" s="132" t="str">
        <f>Asset10</f>
        <v>Other Non-System Assets (Networks)</v>
      </c>
      <c r="D407" s="9"/>
      <c r="E407" s="9"/>
      <c r="F407" s="28"/>
      <c r="G407" s="201">
        <f>-Input!N16</f>
        <v>0</v>
      </c>
      <c r="H407" s="123"/>
      <c r="I407" s="123"/>
      <c r="J407" s="123"/>
      <c r="K407" s="123"/>
      <c r="L407" s="123"/>
      <c r="M407" s="108"/>
      <c r="N407" s="108"/>
      <c r="O407" s="108"/>
      <c r="P407" s="108"/>
      <c r="Q407" s="108"/>
      <c r="R407" s="108"/>
      <c r="S407" s="108"/>
      <c r="T407" s="108"/>
      <c r="U407" s="108"/>
      <c r="V407" s="108"/>
      <c r="W407" s="108"/>
      <c r="X407" s="108"/>
      <c r="Y407" s="108"/>
      <c r="Z407" s="108"/>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225"/>
      <c r="BK407" s="225"/>
    </row>
    <row r="408" spans="1:63" ht="12.75" hidden="1" customHeight="1" outlineLevel="1">
      <c r="A408" s="9"/>
      <c r="B408" s="46"/>
      <c r="C408" s="132" t="str">
        <f>Asset11</f>
        <v>IT Systems (Corporate)</v>
      </c>
      <c r="D408" s="9"/>
      <c r="E408" s="9"/>
      <c r="F408" s="28"/>
      <c r="G408" s="201">
        <f>-Input!N17</f>
        <v>0</v>
      </c>
      <c r="H408" s="123"/>
      <c r="I408" s="123"/>
      <c r="J408" s="123"/>
      <c r="K408" s="123"/>
      <c r="L408" s="123"/>
      <c r="M408" s="108"/>
      <c r="N408" s="108"/>
      <c r="O408" s="108"/>
      <c r="P408" s="108"/>
      <c r="Q408" s="108"/>
      <c r="R408" s="108"/>
      <c r="S408" s="108"/>
      <c r="T408" s="108"/>
      <c r="U408" s="108"/>
      <c r="V408" s="108"/>
      <c r="W408" s="108"/>
      <c r="X408" s="108"/>
      <c r="Y408" s="108"/>
      <c r="Z408" s="108"/>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c r="BH408" s="219"/>
      <c r="BI408" s="219"/>
      <c r="BJ408" s="225"/>
      <c r="BK408" s="225"/>
    </row>
    <row r="409" spans="1:63" ht="12.75" hidden="1" customHeight="1" outlineLevel="1">
      <c r="A409" s="9"/>
      <c r="B409" s="46"/>
      <c r="C409" s="132" t="str">
        <f>Asset12</f>
        <v>Telecommunications (Corporate)</v>
      </c>
      <c r="D409" s="9"/>
      <c r="E409" s="9"/>
      <c r="F409" s="28"/>
      <c r="G409" s="201">
        <f>-Input!N18</f>
        <v>0</v>
      </c>
      <c r="H409" s="123"/>
      <c r="I409" s="123"/>
      <c r="J409" s="123"/>
      <c r="K409" s="123"/>
      <c r="L409" s="123"/>
      <c r="M409" s="108"/>
      <c r="N409" s="108"/>
      <c r="O409" s="108"/>
      <c r="P409" s="108"/>
      <c r="Q409" s="108"/>
      <c r="R409" s="108"/>
      <c r="S409" s="108"/>
      <c r="T409" s="108"/>
      <c r="U409" s="108"/>
      <c r="V409" s="108"/>
      <c r="W409" s="108"/>
      <c r="X409" s="108"/>
      <c r="Y409" s="108"/>
      <c r="Z409" s="108"/>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c r="BH409" s="219"/>
      <c r="BI409" s="219"/>
      <c r="BJ409" s="225"/>
      <c r="BK409" s="225"/>
    </row>
    <row r="410" spans="1:63" ht="12.75" hidden="1" customHeight="1" outlineLevel="1">
      <c r="A410" s="9"/>
      <c r="B410" s="46"/>
      <c r="C410" s="132" t="str">
        <f>Asset13</f>
        <v>Other Non-System Assets (Corporate)</v>
      </c>
      <c r="D410" s="9"/>
      <c r="E410" s="9"/>
      <c r="F410" s="28"/>
      <c r="G410" s="201">
        <f>-Input!N19</f>
        <v>0</v>
      </c>
      <c r="H410" s="123"/>
      <c r="I410" s="123"/>
      <c r="J410" s="123"/>
      <c r="K410" s="123"/>
      <c r="L410" s="123"/>
      <c r="M410" s="108"/>
      <c r="N410" s="108"/>
      <c r="O410" s="108"/>
      <c r="P410" s="108"/>
      <c r="Q410" s="108"/>
      <c r="R410" s="108"/>
      <c r="S410" s="108"/>
      <c r="T410" s="108"/>
      <c r="U410" s="108"/>
      <c r="V410" s="108"/>
      <c r="W410" s="108"/>
      <c r="X410" s="108"/>
      <c r="Y410" s="108"/>
      <c r="Z410" s="108"/>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25"/>
      <c r="BK410" s="225"/>
    </row>
    <row r="411" spans="1:63" ht="12.75" hidden="1" customHeight="1" outlineLevel="1">
      <c r="A411" s="9"/>
      <c r="B411" s="46"/>
      <c r="C411" s="132" t="str">
        <f>Asset14</f>
        <v>Land</v>
      </c>
      <c r="D411" s="9"/>
      <c r="E411" s="9"/>
      <c r="F411" s="28"/>
      <c r="G411" s="201">
        <f>-Input!N20</f>
        <v>0</v>
      </c>
      <c r="H411" s="123"/>
      <c r="I411" s="123"/>
      <c r="J411" s="123"/>
      <c r="K411" s="123"/>
      <c r="L411" s="123"/>
      <c r="M411" s="108"/>
      <c r="N411" s="108"/>
      <c r="O411" s="108"/>
      <c r="P411" s="108"/>
      <c r="Q411" s="108"/>
      <c r="R411" s="108"/>
      <c r="S411" s="108"/>
      <c r="T411" s="108"/>
      <c r="U411" s="108"/>
      <c r="V411" s="108"/>
      <c r="W411" s="108"/>
      <c r="X411" s="108"/>
      <c r="Y411" s="108"/>
      <c r="Z411" s="108"/>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c r="BH411" s="219"/>
      <c r="BI411" s="219"/>
      <c r="BJ411" s="225"/>
      <c r="BK411" s="225"/>
    </row>
    <row r="412" spans="1:63" ht="12.75" hidden="1" customHeight="1" outlineLevel="1">
      <c r="A412" s="9"/>
      <c r="B412" s="46"/>
      <c r="C412" s="132" t="str">
        <f>Asset15</f>
        <v>Buildings</v>
      </c>
      <c r="D412" s="9"/>
      <c r="E412" s="9"/>
      <c r="F412" s="28"/>
      <c r="G412" s="201">
        <f>-Input!N21</f>
        <v>0</v>
      </c>
      <c r="H412" s="123"/>
      <c r="I412" s="123"/>
      <c r="J412" s="123"/>
      <c r="K412" s="123"/>
      <c r="L412" s="123"/>
      <c r="M412" s="108"/>
      <c r="N412" s="108"/>
      <c r="O412" s="108"/>
      <c r="P412" s="108"/>
      <c r="Q412" s="108"/>
      <c r="R412" s="108"/>
      <c r="S412" s="108"/>
      <c r="T412" s="108"/>
      <c r="U412" s="108"/>
      <c r="V412" s="108"/>
      <c r="W412" s="108"/>
      <c r="X412" s="108"/>
      <c r="Y412" s="108"/>
      <c r="Z412" s="108"/>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25"/>
      <c r="BK412" s="225"/>
    </row>
    <row r="413" spans="1:63" ht="12.75" hidden="1" customHeight="1" outlineLevel="1">
      <c r="A413" s="9"/>
      <c r="B413" s="46"/>
      <c r="C413" s="132" t="str">
        <f>Asset16</f>
        <v>Equity raising costs</v>
      </c>
      <c r="D413" s="9"/>
      <c r="E413" s="9"/>
      <c r="F413" s="28"/>
      <c r="G413" s="201">
        <f>-Input!N22</f>
        <v>0</v>
      </c>
      <c r="H413" s="123"/>
      <c r="I413" s="123"/>
      <c r="J413" s="123"/>
      <c r="K413" s="123"/>
      <c r="L413" s="123"/>
      <c r="M413" s="108"/>
      <c r="N413" s="108"/>
      <c r="O413" s="108"/>
      <c r="P413" s="108"/>
      <c r="Q413" s="108"/>
      <c r="R413" s="108"/>
      <c r="S413" s="108"/>
      <c r="T413" s="108"/>
      <c r="U413" s="108"/>
      <c r="V413" s="108"/>
      <c r="W413" s="108"/>
      <c r="X413" s="108"/>
      <c r="Y413" s="108"/>
      <c r="Z413" s="108"/>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c r="BJ413" s="225"/>
      <c r="BK413" s="225"/>
    </row>
    <row r="414" spans="1:63" ht="12.75" hidden="1" customHeight="1" outlineLevel="1">
      <c r="A414" s="9"/>
      <c r="B414" s="46"/>
      <c r="C414" s="132">
        <f>Asset17</f>
        <v>0</v>
      </c>
      <c r="D414" s="9"/>
      <c r="E414" s="9"/>
      <c r="F414" s="28"/>
      <c r="G414" s="201">
        <f>-Input!N23</f>
        <v>0</v>
      </c>
      <c r="H414" s="123"/>
      <c r="I414" s="123"/>
      <c r="J414" s="123"/>
      <c r="K414" s="123"/>
      <c r="L414" s="123"/>
      <c r="M414" s="108"/>
      <c r="N414" s="108"/>
      <c r="O414" s="108"/>
      <c r="P414" s="108"/>
      <c r="Q414" s="108"/>
      <c r="R414" s="108"/>
      <c r="S414" s="108"/>
      <c r="T414" s="108"/>
      <c r="U414" s="108"/>
      <c r="V414" s="108"/>
      <c r="W414" s="108"/>
      <c r="X414" s="108"/>
      <c r="Y414" s="108"/>
      <c r="Z414" s="108"/>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c r="BJ414" s="225"/>
      <c r="BK414" s="225"/>
    </row>
    <row r="415" spans="1:63" ht="12.75" hidden="1" customHeight="1" outlineLevel="1">
      <c r="A415" s="9"/>
      <c r="B415" s="46"/>
      <c r="C415" s="132">
        <f>Asset18</f>
        <v>0</v>
      </c>
      <c r="D415" s="9"/>
      <c r="E415" s="9"/>
      <c r="F415" s="28"/>
      <c r="G415" s="201">
        <f>-Input!N24</f>
        <v>0</v>
      </c>
      <c r="H415" s="123"/>
      <c r="I415" s="123"/>
      <c r="J415" s="123"/>
      <c r="K415" s="123"/>
      <c r="L415" s="123"/>
      <c r="M415" s="108"/>
      <c r="N415" s="108"/>
      <c r="O415" s="108"/>
      <c r="P415" s="108"/>
      <c r="Q415" s="108"/>
      <c r="R415" s="108"/>
      <c r="S415" s="108"/>
      <c r="T415" s="108"/>
      <c r="U415" s="108"/>
      <c r="V415" s="108"/>
      <c r="W415" s="108"/>
      <c r="X415" s="108"/>
      <c r="Y415" s="108"/>
      <c r="Z415" s="108"/>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225"/>
      <c r="BK415" s="225"/>
    </row>
    <row r="416" spans="1:63" ht="12.75" hidden="1" customHeight="1" outlineLevel="1">
      <c r="A416" s="9"/>
      <c r="B416" s="46"/>
      <c r="C416" s="132">
        <f>Asset19</f>
        <v>0</v>
      </c>
      <c r="D416" s="9"/>
      <c r="E416" s="9"/>
      <c r="F416" s="28"/>
      <c r="G416" s="201">
        <f>-Input!N25</f>
        <v>0</v>
      </c>
      <c r="H416" s="123"/>
      <c r="I416" s="123"/>
      <c r="J416" s="123"/>
      <c r="K416" s="123"/>
      <c r="L416" s="123"/>
      <c r="M416" s="108"/>
      <c r="N416" s="108"/>
      <c r="O416" s="108"/>
      <c r="P416" s="108"/>
      <c r="Q416" s="108"/>
      <c r="R416" s="108"/>
      <c r="S416" s="108"/>
      <c r="T416" s="108"/>
      <c r="U416" s="108"/>
      <c r="V416" s="108"/>
      <c r="W416" s="108"/>
      <c r="X416" s="108"/>
      <c r="Y416" s="108"/>
      <c r="Z416" s="108"/>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c r="BJ416" s="225"/>
      <c r="BK416" s="225"/>
    </row>
    <row r="417" spans="1:63" ht="12.75" hidden="1" customHeight="1" outlineLevel="1">
      <c r="A417" s="9"/>
      <c r="B417" s="46"/>
      <c r="C417" s="132">
        <f>Asset20</f>
        <v>0</v>
      </c>
      <c r="D417" s="9"/>
      <c r="E417" s="9"/>
      <c r="F417" s="28"/>
      <c r="G417" s="201">
        <f>-Input!N26</f>
        <v>0</v>
      </c>
      <c r="H417" s="123"/>
      <c r="I417" s="123"/>
      <c r="J417" s="123"/>
      <c r="K417" s="123"/>
      <c r="L417" s="123"/>
      <c r="M417" s="108"/>
      <c r="N417" s="108"/>
      <c r="O417" s="108"/>
      <c r="P417" s="108"/>
      <c r="Q417" s="108"/>
      <c r="R417" s="108"/>
      <c r="S417" s="108"/>
      <c r="T417" s="108"/>
      <c r="U417" s="108"/>
      <c r="V417" s="108"/>
      <c r="W417" s="108"/>
      <c r="X417" s="108"/>
      <c r="Y417" s="108"/>
      <c r="Z417" s="108"/>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225"/>
      <c r="BK417" s="225"/>
    </row>
    <row r="418" spans="1:63" ht="12.75" hidden="1" customHeight="1" outlineLevel="1">
      <c r="A418" s="9"/>
      <c r="B418" s="46"/>
      <c r="C418" s="132">
        <f>Asset21</f>
        <v>0</v>
      </c>
      <c r="D418" s="9"/>
      <c r="E418" s="9"/>
      <c r="F418" s="28"/>
      <c r="G418" s="201">
        <f>-Input!N27</f>
        <v>0</v>
      </c>
      <c r="H418" s="123"/>
      <c r="I418" s="123"/>
      <c r="J418" s="123"/>
      <c r="K418" s="123"/>
      <c r="L418" s="123"/>
      <c r="M418" s="108"/>
      <c r="N418" s="108"/>
      <c r="O418" s="108"/>
      <c r="P418" s="108"/>
      <c r="Q418" s="108"/>
      <c r="R418" s="108"/>
      <c r="S418" s="108"/>
      <c r="T418" s="108"/>
      <c r="U418" s="108"/>
      <c r="V418" s="108"/>
      <c r="W418" s="108"/>
      <c r="X418" s="108"/>
      <c r="Y418" s="108"/>
      <c r="Z418" s="108"/>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c r="BJ418" s="225"/>
      <c r="BK418" s="225"/>
    </row>
    <row r="419" spans="1:63" ht="12.75" hidden="1" customHeight="1" outlineLevel="1">
      <c r="A419" s="9"/>
      <c r="B419" s="46"/>
      <c r="C419" s="132">
        <f>Asset22</f>
        <v>0</v>
      </c>
      <c r="D419" s="9"/>
      <c r="E419" s="9"/>
      <c r="F419" s="28"/>
      <c r="G419" s="201">
        <f>-Input!N28</f>
        <v>0</v>
      </c>
      <c r="H419" s="123"/>
      <c r="I419" s="123"/>
      <c r="J419" s="123"/>
      <c r="K419" s="123"/>
      <c r="L419" s="123"/>
      <c r="M419" s="108"/>
      <c r="N419" s="108"/>
      <c r="O419" s="108"/>
      <c r="P419" s="108"/>
      <c r="Q419" s="108"/>
      <c r="R419" s="108"/>
      <c r="S419" s="108"/>
      <c r="T419" s="108"/>
      <c r="U419" s="108"/>
      <c r="V419" s="108"/>
      <c r="W419" s="108"/>
      <c r="X419" s="108"/>
      <c r="Y419" s="108"/>
      <c r="Z419" s="108"/>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c r="BJ419" s="225"/>
      <c r="BK419" s="225"/>
    </row>
    <row r="420" spans="1:63" ht="12.75" hidden="1" customHeight="1" outlineLevel="1">
      <c r="A420" s="9"/>
      <c r="B420" s="46"/>
      <c r="C420" s="132">
        <f>Asset23</f>
        <v>0</v>
      </c>
      <c r="D420" s="9"/>
      <c r="E420" s="9"/>
      <c r="F420" s="28"/>
      <c r="G420" s="201">
        <f>-Input!N29</f>
        <v>0</v>
      </c>
      <c r="H420" s="123"/>
      <c r="I420" s="123"/>
      <c r="J420" s="123"/>
      <c r="K420" s="123"/>
      <c r="L420" s="123"/>
      <c r="M420" s="108"/>
      <c r="N420" s="108"/>
      <c r="O420" s="108"/>
      <c r="P420" s="108"/>
      <c r="Q420" s="108"/>
      <c r="R420" s="108"/>
      <c r="S420" s="108"/>
      <c r="T420" s="108"/>
      <c r="U420" s="108"/>
      <c r="V420" s="108"/>
      <c r="W420" s="108"/>
      <c r="X420" s="108"/>
      <c r="Y420" s="108"/>
      <c r="Z420" s="108"/>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c r="BJ420" s="225"/>
      <c r="BK420" s="225"/>
    </row>
    <row r="421" spans="1:63" ht="12.75" hidden="1" customHeight="1" outlineLevel="1">
      <c r="A421" s="9"/>
      <c r="B421" s="46"/>
      <c r="C421" s="132">
        <f>Asset24</f>
        <v>0</v>
      </c>
      <c r="D421" s="9"/>
      <c r="E421" s="9"/>
      <c r="F421" s="28"/>
      <c r="G421" s="201">
        <f>-Input!N30</f>
        <v>0</v>
      </c>
      <c r="H421" s="123"/>
      <c r="I421" s="123"/>
      <c r="J421" s="123"/>
      <c r="K421" s="123"/>
      <c r="L421" s="123"/>
      <c r="M421" s="108"/>
      <c r="N421" s="108"/>
      <c r="O421" s="108"/>
      <c r="P421" s="108"/>
      <c r="Q421" s="108"/>
      <c r="R421" s="108"/>
      <c r="S421" s="108"/>
      <c r="T421" s="108"/>
      <c r="U421" s="108"/>
      <c r="V421" s="108"/>
      <c r="W421" s="108"/>
      <c r="X421" s="108"/>
      <c r="Y421" s="108"/>
      <c r="Z421" s="108"/>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25"/>
      <c r="BK421" s="225"/>
    </row>
    <row r="422" spans="1:63" ht="12.75" hidden="1" customHeight="1" outlineLevel="1">
      <c r="A422" s="9"/>
      <c r="B422" s="46"/>
      <c r="C422" s="132">
        <f>Asset25</f>
        <v>0</v>
      </c>
      <c r="D422" s="9"/>
      <c r="E422" s="9"/>
      <c r="F422" s="28"/>
      <c r="G422" s="201">
        <f>-Input!N31</f>
        <v>0</v>
      </c>
      <c r="H422" s="123"/>
      <c r="I422" s="123"/>
      <c r="J422" s="123"/>
      <c r="K422" s="123"/>
      <c r="L422" s="123"/>
      <c r="M422" s="108"/>
      <c r="N422" s="108"/>
      <c r="O422" s="108"/>
      <c r="P422" s="108"/>
      <c r="Q422" s="108"/>
      <c r="R422" s="108"/>
      <c r="S422" s="108"/>
      <c r="T422" s="108"/>
      <c r="U422" s="108"/>
      <c r="V422" s="108"/>
      <c r="W422" s="108"/>
      <c r="X422" s="108"/>
      <c r="Y422" s="108"/>
      <c r="Z422" s="108"/>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25"/>
      <c r="BK422" s="225"/>
    </row>
    <row r="423" spans="1:63" ht="12.75" hidden="1" customHeight="1" outlineLevel="1">
      <c r="A423" s="9"/>
      <c r="B423" s="46"/>
      <c r="C423" s="132">
        <f>Asset26</f>
        <v>0</v>
      </c>
      <c r="D423" s="9"/>
      <c r="E423" s="9"/>
      <c r="F423" s="28"/>
      <c r="G423" s="201">
        <f>-Input!N32</f>
        <v>0</v>
      </c>
      <c r="H423" s="123"/>
      <c r="I423" s="123"/>
      <c r="J423" s="123"/>
      <c r="K423" s="123"/>
      <c r="L423" s="123"/>
      <c r="M423" s="108"/>
      <c r="N423" s="108"/>
      <c r="O423" s="108"/>
      <c r="P423" s="108"/>
      <c r="Q423" s="108"/>
      <c r="R423" s="108"/>
      <c r="S423" s="108"/>
      <c r="T423" s="108"/>
      <c r="U423" s="108"/>
      <c r="V423" s="108"/>
      <c r="W423" s="108"/>
      <c r="X423" s="108"/>
      <c r="Y423" s="108"/>
      <c r="Z423" s="108"/>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25"/>
      <c r="BK423" s="225"/>
    </row>
    <row r="424" spans="1:63" ht="12.75" hidden="1" customHeight="1" outlineLevel="1">
      <c r="A424" s="9"/>
      <c r="B424" s="46"/>
      <c r="C424" s="132">
        <f>Asset27</f>
        <v>0</v>
      </c>
      <c r="D424" s="9"/>
      <c r="E424" s="9"/>
      <c r="F424" s="28"/>
      <c r="G424" s="201">
        <f>-Input!N33</f>
        <v>0</v>
      </c>
      <c r="H424" s="123"/>
      <c r="I424" s="123"/>
      <c r="J424" s="123"/>
      <c r="K424" s="123"/>
      <c r="L424" s="123"/>
      <c r="M424" s="108"/>
      <c r="N424" s="108"/>
      <c r="O424" s="108"/>
      <c r="P424" s="108"/>
      <c r="Q424" s="108"/>
      <c r="R424" s="108"/>
      <c r="S424" s="108"/>
      <c r="T424" s="108"/>
      <c r="U424" s="108"/>
      <c r="V424" s="108"/>
      <c r="W424" s="108"/>
      <c r="X424" s="108"/>
      <c r="Y424" s="108"/>
      <c r="Z424" s="108"/>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25"/>
      <c r="BK424" s="225"/>
    </row>
    <row r="425" spans="1:63" ht="12.75" hidden="1" customHeight="1" outlineLevel="1">
      <c r="A425" s="9"/>
      <c r="B425" s="46"/>
      <c r="C425" s="132">
        <f>Asset28</f>
        <v>0</v>
      </c>
      <c r="D425" s="9"/>
      <c r="E425" s="9"/>
      <c r="F425" s="28"/>
      <c r="G425" s="201">
        <f>-Input!N34</f>
        <v>0</v>
      </c>
      <c r="H425" s="123"/>
      <c r="I425" s="123"/>
      <c r="J425" s="123"/>
      <c r="K425" s="123"/>
      <c r="L425" s="123"/>
      <c r="M425" s="108"/>
      <c r="N425" s="108"/>
      <c r="O425" s="108"/>
      <c r="P425" s="108"/>
      <c r="Q425" s="108"/>
      <c r="R425" s="108"/>
      <c r="S425" s="108"/>
      <c r="T425" s="108"/>
      <c r="U425" s="108"/>
      <c r="V425" s="108"/>
      <c r="W425" s="108"/>
      <c r="X425" s="108"/>
      <c r="Y425" s="108"/>
      <c r="Z425" s="108"/>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c r="BJ425" s="225"/>
      <c r="BK425" s="225"/>
    </row>
    <row r="426" spans="1:63" ht="12.75" hidden="1" customHeight="1" outlineLevel="1">
      <c r="A426" s="9"/>
      <c r="B426" s="46"/>
      <c r="C426" s="132">
        <f>Asset29</f>
        <v>0</v>
      </c>
      <c r="D426" s="9"/>
      <c r="E426" s="9"/>
      <c r="F426" s="28"/>
      <c r="G426" s="201">
        <f>-Input!N35</f>
        <v>0</v>
      </c>
      <c r="H426" s="123"/>
      <c r="I426" s="123"/>
      <c r="J426" s="123"/>
      <c r="K426" s="123"/>
      <c r="L426" s="123"/>
      <c r="M426" s="108"/>
      <c r="N426" s="108"/>
      <c r="O426" s="108"/>
      <c r="P426" s="108"/>
      <c r="Q426" s="108"/>
      <c r="R426" s="108"/>
      <c r="S426" s="108"/>
      <c r="T426" s="108"/>
      <c r="U426" s="108"/>
      <c r="V426" s="108"/>
      <c r="W426" s="108"/>
      <c r="X426" s="108"/>
      <c r="Y426" s="108"/>
      <c r="Z426" s="108"/>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c r="BH426" s="219"/>
      <c r="BI426" s="219"/>
      <c r="BJ426" s="225"/>
      <c r="BK426" s="225"/>
    </row>
    <row r="427" spans="1:63" ht="12.75" hidden="1" customHeight="1" outlineLevel="1">
      <c r="A427" s="9"/>
      <c r="B427" s="46"/>
      <c r="C427" s="132">
        <f>Asset30</f>
        <v>0</v>
      </c>
      <c r="D427" s="9"/>
      <c r="E427" s="9"/>
      <c r="F427" s="28"/>
      <c r="G427" s="201">
        <f>-Input!N36</f>
        <v>0</v>
      </c>
      <c r="H427" s="123"/>
      <c r="I427" s="123"/>
      <c r="J427" s="123"/>
      <c r="K427" s="123"/>
      <c r="L427" s="123"/>
      <c r="M427" s="108"/>
      <c r="N427" s="108"/>
      <c r="O427" s="108"/>
      <c r="P427" s="108"/>
      <c r="Q427" s="108"/>
      <c r="R427" s="108"/>
      <c r="S427" s="108"/>
      <c r="T427" s="108"/>
      <c r="U427" s="108"/>
      <c r="V427" s="108"/>
      <c r="W427" s="108"/>
      <c r="X427" s="108"/>
      <c r="Y427" s="108"/>
      <c r="Z427" s="108"/>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c r="BH427" s="219"/>
      <c r="BI427" s="219"/>
      <c r="BJ427" s="225"/>
      <c r="BK427" s="225"/>
    </row>
    <row r="428" spans="1:63" collapsed="1">
      <c r="A428" s="9"/>
      <c r="B428" s="46"/>
      <c r="C428" s="132"/>
      <c r="D428" s="9"/>
      <c r="E428" s="9"/>
      <c r="F428" s="28"/>
      <c r="G428" s="202"/>
      <c r="H428" s="123"/>
      <c r="I428" s="123"/>
      <c r="J428" s="123"/>
      <c r="K428" s="123"/>
      <c r="L428" s="123"/>
      <c r="M428" s="108"/>
      <c r="N428" s="108"/>
      <c r="O428" s="108"/>
      <c r="P428" s="108"/>
      <c r="Q428" s="108"/>
      <c r="R428" s="108"/>
      <c r="S428" s="108"/>
      <c r="T428" s="108"/>
      <c r="U428" s="108"/>
      <c r="V428" s="108"/>
      <c r="W428" s="108"/>
      <c r="X428" s="108"/>
      <c r="Y428" s="108"/>
      <c r="Z428" s="108"/>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c r="BH428" s="219"/>
      <c r="BI428" s="219"/>
      <c r="BJ428" s="225"/>
      <c r="BK428" s="225"/>
    </row>
    <row r="429" spans="1:63">
      <c r="A429" s="9"/>
      <c r="B429" s="46" t="s">
        <v>53</v>
      </c>
      <c r="C429" s="132"/>
      <c r="D429" s="9"/>
      <c r="E429" s="9"/>
      <c r="F429" s="143"/>
      <c r="G429" s="200">
        <f>SUM(G430:G459)</f>
        <v>0</v>
      </c>
      <c r="H429" s="123"/>
      <c r="I429" s="123"/>
      <c r="J429" s="123"/>
      <c r="K429" s="123"/>
      <c r="L429" s="123"/>
      <c r="M429" s="108"/>
      <c r="N429" s="108"/>
      <c r="O429" s="108"/>
      <c r="P429" s="108"/>
      <c r="Q429" s="108"/>
      <c r="R429" s="108"/>
      <c r="S429" s="108"/>
      <c r="T429" s="108"/>
      <c r="U429" s="108"/>
      <c r="V429" s="108"/>
      <c r="W429" s="108"/>
      <c r="X429" s="108"/>
      <c r="Y429" s="108"/>
      <c r="Z429" s="108"/>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c r="BH429" s="219"/>
      <c r="BI429" s="219"/>
      <c r="BJ429" s="225"/>
      <c r="BK429" s="225"/>
    </row>
    <row r="430" spans="1:63" hidden="1" outlineLevel="1">
      <c r="A430" s="9"/>
      <c r="B430" s="9"/>
      <c r="C430" s="132" t="str">
        <f>Asset1</f>
        <v>Opening Distribution Assets</v>
      </c>
      <c r="D430" s="9"/>
      <c r="E430" s="9"/>
      <c r="F430" s="143"/>
      <c r="G430" s="198">
        <f>Input!O7</f>
        <v>0</v>
      </c>
      <c r="H430" s="123"/>
      <c r="I430" s="123"/>
      <c r="J430" s="123"/>
      <c r="K430" s="123"/>
      <c r="L430" s="123"/>
      <c r="M430" s="108"/>
      <c r="N430" s="108"/>
      <c r="O430" s="108"/>
      <c r="P430" s="108"/>
      <c r="Q430" s="108"/>
      <c r="R430" s="108"/>
      <c r="S430" s="108"/>
      <c r="T430" s="108"/>
      <c r="U430" s="108"/>
      <c r="V430" s="108"/>
      <c r="W430" s="108"/>
      <c r="X430" s="108"/>
      <c r="Y430" s="108"/>
      <c r="Z430" s="108"/>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c r="BJ430" s="225"/>
      <c r="BK430" s="225"/>
    </row>
    <row r="431" spans="1:63" hidden="1" outlineLevel="1">
      <c r="A431" s="9"/>
      <c r="B431" s="46"/>
      <c r="C431" s="132" t="str">
        <f>Asset2</f>
        <v>Sub-transmission Overhead</v>
      </c>
      <c r="D431" s="9"/>
      <c r="E431" s="9"/>
      <c r="F431" s="143"/>
      <c r="G431" s="198">
        <f>Input!O8</f>
        <v>0</v>
      </c>
      <c r="H431" s="123"/>
      <c r="I431" s="123"/>
      <c r="J431" s="123"/>
      <c r="K431" s="123"/>
      <c r="L431" s="123"/>
      <c r="M431" s="108"/>
      <c r="N431" s="108"/>
      <c r="O431" s="108"/>
      <c r="P431" s="108"/>
      <c r="Q431" s="108"/>
      <c r="R431" s="108"/>
      <c r="S431" s="108"/>
      <c r="T431" s="108"/>
      <c r="U431" s="108"/>
      <c r="V431" s="108"/>
      <c r="W431" s="108"/>
      <c r="X431" s="108"/>
      <c r="Y431" s="108"/>
      <c r="Z431" s="108"/>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c r="BH431" s="219"/>
      <c r="BI431" s="219"/>
      <c r="BJ431" s="225"/>
      <c r="BK431" s="225"/>
    </row>
    <row r="432" spans="1:63" hidden="1" outlineLevel="1">
      <c r="A432" s="9"/>
      <c r="B432" s="46"/>
      <c r="C432" s="132" t="str">
        <f>Asset3</f>
        <v>Sub-transmission Underground</v>
      </c>
      <c r="D432" s="9"/>
      <c r="E432" s="9"/>
      <c r="F432" s="143"/>
      <c r="G432" s="198">
        <f>Input!O9</f>
        <v>0</v>
      </c>
      <c r="H432" s="123"/>
      <c r="I432" s="123"/>
      <c r="J432" s="123"/>
      <c r="K432" s="123"/>
      <c r="L432" s="123"/>
      <c r="M432" s="108"/>
      <c r="N432" s="108"/>
      <c r="O432" s="108"/>
      <c r="P432" s="108"/>
      <c r="Q432" s="108"/>
      <c r="R432" s="108"/>
      <c r="S432" s="108"/>
      <c r="T432" s="108"/>
      <c r="U432" s="108"/>
      <c r="V432" s="108"/>
      <c r="W432" s="108"/>
      <c r="X432" s="108"/>
      <c r="Y432" s="108"/>
      <c r="Z432" s="108"/>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25"/>
      <c r="BK432" s="225"/>
    </row>
    <row r="433" spans="1:63" hidden="1" outlineLevel="1">
      <c r="A433" s="9"/>
      <c r="B433" s="46"/>
      <c r="C433" s="132" t="str">
        <f>Asset4</f>
        <v>Zone Substation</v>
      </c>
      <c r="D433" s="9"/>
      <c r="E433" s="9"/>
      <c r="F433" s="143"/>
      <c r="G433" s="198">
        <f>Input!O10</f>
        <v>0</v>
      </c>
      <c r="H433" s="123"/>
      <c r="I433" s="123"/>
      <c r="J433" s="123"/>
      <c r="K433" s="123"/>
      <c r="L433" s="123"/>
      <c r="M433" s="108"/>
      <c r="N433" s="108"/>
      <c r="O433" s="108"/>
      <c r="P433" s="108"/>
      <c r="Q433" s="108"/>
      <c r="R433" s="108"/>
      <c r="S433" s="108"/>
      <c r="T433" s="108"/>
      <c r="U433" s="108"/>
      <c r="V433" s="108"/>
      <c r="W433" s="108"/>
      <c r="X433" s="108"/>
      <c r="Y433" s="108"/>
      <c r="Z433" s="108"/>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c r="BH433" s="219"/>
      <c r="BI433" s="219"/>
      <c r="BJ433" s="225"/>
      <c r="BK433" s="225"/>
    </row>
    <row r="434" spans="1:63" hidden="1" outlineLevel="1">
      <c r="A434" s="9"/>
      <c r="B434" s="46"/>
      <c r="C434" s="132" t="str">
        <f>Asset5</f>
        <v>Distribution Substations</v>
      </c>
      <c r="D434" s="9"/>
      <c r="E434" s="9"/>
      <c r="F434" s="143"/>
      <c r="G434" s="198">
        <f>Input!O11</f>
        <v>0</v>
      </c>
      <c r="H434" s="123"/>
      <c r="I434" s="123"/>
      <c r="J434" s="123"/>
      <c r="K434" s="123"/>
      <c r="L434" s="123"/>
      <c r="M434" s="108"/>
      <c r="N434" s="108"/>
      <c r="O434" s="108"/>
      <c r="P434" s="108"/>
      <c r="Q434" s="108"/>
      <c r="R434" s="108"/>
      <c r="S434" s="108"/>
      <c r="T434" s="108"/>
      <c r="U434" s="108"/>
      <c r="V434" s="108"/>
      <c r="W434" s="108"/>
      <c r="X434" s="108"/>
      <c r="Y434" s="108"/>
      <c r="Z434" s="108"/>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c r="BJ434" s="225"/>
      <c r="BK434" s="225"/>
    </row>
    <row r="435" spans="1:63" hidden="1" outlineLevel="1">
      <c r="A435" s="9"/>
      <c r="B435" s="46"/>
      <c r="C435" s="132" t="str">
        <f>Asset6</f>
        <v>Distribution Overhead Lines</v>
      </c>
      <c r="D435" s="9"/>
      <c r="E435" s="9"/>
      <c r="F435" s="143"/>
      <c r="G435" s="198">
        <f>Input!O12</f>
        <v>0</v>
      </c>
      <c r="H435" s="123"/>
      <c r="I435" s="123"/>
      <c r="J435" s="123"/>
      <c r="K435" s="123"/>
      <c r="L435" s="123"/>
      <c r="M435" s="108"/>
      <c r="N435" s="108"/>
      <c r="O435" s="108"/>
      <c r="P435" s="108"/>
      <c r="Q435" s="108"/>
      <c r="R435" s="108"/>
      <c r="S435" s="108"/>
      <c r="T435" s="108"/>
      <c r="U435" s="108"/>
      <c r="V435" s="108"/>
      <c r="W435" s="108"/>
      <c r="X435" s="108"/>
      <c r="Y435" s="108"/>
      <c r="Z435" s="108"/>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25"/>
      <c r="BK435" s="225"/>
    </row>
    <row r="436" spans="1:63" hidden="1" outlineLevel="1">
      <c r="A436" s="9"/>
      <c r="B436" s="46"/>
      <c r="C436" s="132" t="str">
        <f>Asset7</f>
        <v>Distribution Underground Lines</v>
      </c>
      <c r="D436" s="9"/>
      <c r="E436" s="9"/>
      <c r="F436" s="143"/>
      <c r="G436" s="198">
        <f>Input!O13</f>
        <v>0</v>
      </c>
      <c r="H436" s="123"/>
      <c r="I436" s="123"/>
      <c r="J436" s="123"/>
      <c r="K436" s="123"/>
      <c r="L436" s="123"/>
      <c r="M436" s="108"/>
      <c r="N436" s="108"/>
      <c r="O436" s="108"/>
      <c r="P436" s="108"/>
      <c r="Q436" s="108"/>
      <c r="R436" s="108"/>
      <c r="S436" s="108"/>
      <c r="T436" s="108"/>
      <c r="U436" s="108"/>
      <c r="V436" s="108"/>
      <c r="W436" s="108"/>
      <c r="X436" s="108"/>
      <c r="Y436" s="108"/>
      <c r="Z436" s="108"/>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c r="BH436" s="219"/>
      <c r="BI436" s="219"/>
      <c r="BJ436" s="225"/>
      <c r="BK436" s="225"/>
    </row>
    <row r="437" spans="1:63" hidden="1" outlineLevel="1">
      <c r="A437" s="9"/>
      <c r="B437" s="46"/>
      <c r="C437" s="132" t="str">
        <f>Asset8</f>
        <v>IT &amp; Communication Systems (Networks)</v>
      </c>
      <c r="D437" s="9"/>
      <c r="E437" s="9"/>
      <c r="F437" s="143"/>
      <c r="G437" s="198">
        <f>Input!O14</f>
        <v>0</v>
      </c>
      <c r="H437" s="123"/>
      <c r="I437" s="123"/>
      <c r="J437" s="123"/>
      <c r="K437" s="123"/>
      <c r="L437" s="123"/>
      <c r="M437" s="108"/>
      <c r="N437" s="108"/>
      <c r="O437" s="108"/>
      <c r="P437" s="108"/>
      <c r="Q437" s="108"/>
      <c r="R437" s="108"/>
      <c r="S437" s="108"/>
      <c r="T437" s="108"/>
      <c r="U437" s="108"/>
      <c r="V437" s="108"/>
      <c r="W437" s="108"/>
      <c r="X437" s="108"/>
      <c r="Y437" s="108"/>
      <c r="Z437" s="108"/>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c r="BH437" s="219"/>
      <c r="BI437" s="219"/>
      <c r="BJ437" s="225"/>
      <c r="BK437" s="225"/>
    </row>
    <row r="438" spans="1:63" hidden="1" outlineLevel="1">
      <c r="A438" s="9"/>
      <c r="B438" s="46"/>
      <c r="C438" s="132" t="str">
        <f>Asset9</f>
        <v>Motor Vehicles</v>
      </c>
      <c r="D438" s="9"/>
      <c r="E438" s="9"/>
      <c r="F438" s="143"/>
      <c r="G438" s="198">
        <f>Input!O15</f>
        <v>0</v>
      </c>
      <c r="H438" s="123"/>
      <c r="I438" s="123"/>
      <c r="J438" s="123"/>
      <c r="K438" s="123"/>
      <c r="L438" s="123"/>
      <c r="M438" s="108"/>
      <c r="N438" s="108"/>
      <c r="O438" s="108"/>
      <c r="P438" s="108"/>
      <c r="Q438" s="108"/>
      <c r="R438" s="108"/>
      <c r="S438" s="108"/>
      <c r="T438" s="108"/>
      <c r="U438" s="108"/>
      <c r="V438" s="108"/>
      <c r="W438" s="108"/>
      <c r="X438" s="108"/>
      <c r="Y438" s="108"/>
      <c r="Z438" s="108"/>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25"/>
      <c r="BK438" s="225"/>
    </row>
    <row r="439" spans="1:63" hidden="1" outlineLevel="1">
      <c r="A439" s="9"/>
      <c r="B439" s="46"/>
      <c r="C439" s="132" t="str">
        <f>Asset10</f>
        <v>Other Non-System Assets (Networks)</v>
      </c>
      <c r="D439" s="9"/>
      <c r="E439" s="9"/>
      <c r="F439" s="143"/>
      <c r="G439" s="198">
        <f>Input!O16</f>
        <v>0</v>
      </c>
      <c r="H439" s="123"/>
      <c r="I439" s="123"/>
      <c r="J439" s="123"/>
      <c r="K439" s="123"/>
      <c r="L439" s="123"/>
      <c r="M439" s="108"/>
      <c r="N439" s="108"/>
      <c r="O439" s="108"/>
      <c r="P439" s="108"/>
      <c r="Q439" s="108"/>
      <c r="R439" s="108"/>
      <c r="S439" s="108"/>
      <c r="T439" s="108"/>
      <c r="U439" s="108"/>
      <c r="V439" s="108"/>
      <c r="W439" s="108"/>
      <c r="X439" s="108"/>
      <c r="Y439" s="108"/>
      <c r="Z439" s="108"/>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c r="BH439" s="219"/>
      <c r="BI439" s="219"/>
      <c r="BJ439" s="225"/>
      <c r="BK439" s="225"/>
    </row>
    <row r="440" spans="1:63" hidden="1" outlineLevel="1">
      <c r="A440" s="9"/>
      <c r="B440" s="46"/>
      <c r="C440" s="132" t="str">
        <f>Asset11</f>
        <v>IT Systems (Corporate)</v>
      </c>
      <c r="D440" s="9"/>
      <c r="E440" s="9"/>
      <c r="F440" s="143"/>
      <c r="G440" s="198">
        <f>Input!O17</f>
        <v>0</v>
      </c>
      <c r="H440" s="123"/>
      <c r="I440" s="123"/>
      <c r="J440" s="123"/>
      <c r="K440" s="123"/>
      <c r="L440" s="123"/>
      <c r="M440" s="108"/>
      <c r="N440" s="108"/>
      <c r="O440" s="108"/>
      <c r="P440" s="108"/>
      <c r="Q440" s="108"/>
      <c r="R440" s="108"/>
      <c r="S440" s="108"/>
      <c r="T440" s="108"/>
      <c r="U440" s="108"/>
      <c r="V440" s="108"/>
      <c r="W440" s="108"/>
      <c r="X440" s="108"/>
      <c r="Y440" s="108"/>
      <c r="Z440" s="108"/>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25"/>
      <c r="BK440" s="225"/>
    </row>
    <row r="441" spans="1:63" hidden="1" outlineLevel="1">
      <c r="A441" s="9"/>
      <c r="B441" s="46"/>
      <c r="C441" s="132" t="str">
        <f>Asset12</f>
        <v>Telecommunications (Corporate)</v>
      </c>
      <c r="D441" s="9"/>
      <c r="E441" s="9"/>
      <c r="F441" s="143"/>
      <c r="G441" s="198">
        <f>Input!O18</f>
        <v>0</v>
      </c>
      <c r="H441" s="123"/>
      <c r="I441" s="123"/>
      <c r="J441" s="123"/>
      <c r="K441" s="123"/>
      <c r="L441" s="123"/>
      <c r="M441" s="108"/>
      <c r="N441" s="108"/>
      <c r="O441" s="108"/>
      <c r="P441" s="108"/>
      <c r="Q441" s="108"/>
      <c r="R441" s="108"/>
      <c r="S441" s="108"/>
      <c r="T441" s="108"/>
      <c r="U441" s="108"/>
      <c r="V441" s="108"/>
      <c r="W441" s="108"/>
      <c r="X441" s="108"/>
      <c r="Y441" s="108"/>
      <c r="Z441" s="108"/>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c r="BH441" s="219"/>
      <c r="BI441" s="219"/>
      <c r="BJ441" s="225"/>
      <c r="BK441" s="225"/>
    </row>
    <row r="442" spans="1:63" hidden="1" outlineLevel="1">
      <c r="A442" s="9"/>
      <c r="B442" s="46"/>
      <c r="C442" s="132" t="str">
        <f>Asset13</f>
        <v>Other Non-System Assets (Corporate)</v>
      </c>
      <c r="D442" s="9"/>
      <c r="E442" s="9"/>
      <c r="F442" s="143"/>
      <c r="G442" s="198">
        <f>Input!O19</f>
        <v>0</v>
      </c>
      <c r="H442" s="123"/>
      <c r="I442" s="123"/>
      <c r="J442" s="123"/>
      <c r="K442" s="123"/>
      <c r="L442" s="123"/>
      <c r="M442" s="108"/>
      <c r="N442" s="108"/>
      <c r="O442" s="108"/>
      <c r="P442" s="108"/>
      <c r="Q442" s="108"/>
      <c r="R442" s="108"/>
      <c r="S442" s="108"/>
      <c r="T442" s="108"/>
      <c r="U442" s="108"/>
      <c r="V442" s="108"/>
      <c r="W442" s="108"/>
      <c r="X442" s="108"/>
      <c r="Y442" s="108"/>
      <c r="Z442" s="108"/>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25"/>
      <c r="BK442" s="225"/>
    </row>
    <row r="443" spans="1:63" hidden="1" outlineLevel="1">
      <c r="A443" s="9"/>
      <c r="B443" s="46"/>
      <c r="C443" s="132" t="str">
        <f>Asset14</f>
        <v>Land</v>
      </c>
      <c r="D443" s="9"/>
      <c r="E443" s="9"/>
      <c r="F443" s="143"/>
      <c r="G443" s="198">
        <f>Input!O20</f>
        <v>0</v>
      </c>
      <c r="H443" s="123"/>
      <c r="I443" s="123"/>
      <c r="J443" s="123"/>
      <c r="K443" s="123"/>
      <c r="L443" s="123"/>
      <c r="M443" s="108"/>
      <c r="N443" s="108"/>
      <c r="O443" s="108"/>
      <c r="P443" s="108"/>
      <c r="Q443" s="108"/>
      <c r="R443" s="108"/>
      <c r="S443" s="108"/>
      <c r="T443" s="108"/>
      <c r="U443" s="108"/>
      <c r="V443" s="108"/>
      <c r="W443" s="108"/>
      <c r="X443" s="108"/>
      <c r="Y443" s="108"/>
      <c r="Z443" s="108"/>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25"/>
      <c r="BK443" s="225"/>
    </row>
    <row r="444" spans="1:63" hidden="1" outlineLevel="1">
      <c r="A444" s="9"/>
      <c r="B444" s="46"/>
      <c r="C444" s="132" t="str">
        <f>Asset15</f>
        <v>Buildings</v>
      </c>
      <c r="D444" s="9"/>
      <c r="E444" s="9"/>
      <c r="F444" s="143"/>
      <c r="G444" s="198">
        <f>Input!O21</f>
        <v>0</v>
      </c>
      <c r="H444" s="123"/>
      <c r="I444" s="123"/>
      <c r="J444" s="123"/>
      <c r="K444" s="123"/>
      <c r="L444" s="123"/>
      <c r="M444" s="108"/>
      <c r="N444" s="108"/>
      <c r="O444" s="108"/>
      <c r="P444" s="108"/>
      <c r="Q444" s="108"/>
      <c r="R444" s="108"/>
      <c r="S444" s="108"/>
      <c r="T444" s="108"/>
      <c r="U444" s="108"/>
      <c r="V444" s="108"/>
      <c r="W444" s="108"/>
      <c r="X444" s="108"/>
      <c r="Y444" s="108"/>
      <c r="Z444" s="108"/>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25"/>
      <c r="BK444" s="225"/>
    </row>
    <row r="445" spans="1:63" hidden="1" outlineLevel="1">
      <c r="A445" s="9"/>
      <c r="B445" s="46"/>
      <c r="C445" s="132" t="str">
        <f>Asset16</f>
        <v>Equity raising costs</v>
      </c>
      <c r="D445" s="9"/>
      <c r="E445" s="9"/>
      <c r="F445" s="143"/>
      <c r="G445" s="198">
        <f>Input!O22</f>
        <v>0</v>
      </c>
      <c r="H445" s="123"/>
      <c r="I445" s="123"/>
      <c r="J445" s="123"/>
      <c r="K445" s="123"/>
      <c r="L445" s="123"/>
      <c r="M445" s="108"/>
      <c r="N445" s="108"/>
      <c r="O445" s="108"/>
      <c r="P445" s="108"/>
      <c r="Q445" s="108"/>
      <c r="R445" s="108"/>
      <c r="S445" s="108"/>
      <c r="T445" s="108"/>
      <c r="U445" s="108"/>
      <c r="V445" s="108"/>
      <c r="W445" s="108"/>
      <c r="X445" s="108"/>
      <c r="Y445" s="108"/>
      <c r="Z445" s="108"/>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c r="BH445" s="219"/>
      <c r="BI445" s="219"/>
      <c r="BJ445" s="225"/>
      <c r="BK445" s="225"/>
    </row>
    <row r="446" spans="1:63" hidden="1" outlineLevel="1">
      <c r="A446" s="9"/>
      <c r="B446" s="46"/>
      <c r="C446" s="132">
        <f>Asset17</f>
        <v>0</v>
      </c>
      <c r="D446" s="9"/>
      <c r="E446" s="9"/>
      <c r="F446" s="143"/>
      <c r="G446" s="198">
        <f>Input!O23</f>
        <v>0</v>
      </c>
      <c r="H446" s="123"/>
      <c r="I446" s="123"/>
      <c r="J446" s="123"/>
      <c r="K446" s="123"/>
      <c r="L446" s="123"/>
      <c r="M446" s="108"/>
      <c r="N446" s="108"/>
      <c r="O446" s="108"/>
      <c r="P446" s="108"/>
      <c r="Q446" s="108"/>
      <c r="R446" s="108"/>
      <c r="S446" s="108"/>
      <c r="T446" s="108"/>
      <c r="U446" s="108"/>
      <c r="V446" s="108"/>
      <c r="W446" s="108"/>
      <c r="X446" s="108"/>
      <c r="Y446" s="108"/>
      <c r="Z446" s="108"/>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c r="BH446" s="219"/>
      <c r="BI446" s="219"/>
      <c r="BJ446" s="225"/>
      <c r="BK446" s="225"/>
    </row>
    <row r="447" spans="1:63" hidden="1" outlineLevel="1">
      <c r="A447" s="9"/>
      <c r="B447" s="46"/>
      <c r="C447" s="132">
        <f>Asset18</f>
        <v>0</v>
      </c>
      <c r="D447" s="9"/>
      <c r="E447" s="9"/>
      <c r="F447" s="143"/>
      <c r="G447" s="198">
        <f>Input!O24</f>
        <v>0</v>
      </c>
      <c r="H447" s="123"/>
      <c r="I447" s="123"/>
      <c r="J447" s="123"/>
      <c r="K447" s="123"/>
      <c r="L447" s="123"/>
      <c r="M447" s="108"/>
      <c r="N447" s="108"/>
      <c r="O447" s="108"/>
      <c r="P447" s="108"/>
      <c r="Q447" s="108"/>
      <c r="R447" s="108"/>
      <c r="S447" s="108"/>
      <c r="T447" s="108"/>
      <c r="U447" s="108"/>
      <c r="V447" s="108"/>
      <c r="W447" s="108"/>
      <c r="X447" s="108"/>
      <c r="Y447" s="108"/>
      <c r="Z447" s="108"/>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c r="BH447" s="219"/>
      <c r="BI447" s="219"/>
      <c r="BJ447" s="225"/>
      <c r="BK447" s="225"/>
    </row>
    <row r="448" spans="1:63" hidden="1" outlineLevel="1">
      <c r="A448" s="9"/>
      <c r="B448" s="46"/>
      <c r="C448" s="132">
        <f>Asset19</f>
        <v>0</v>
      </c>
      <c r="D448" s="9"/>
      <c r="E448" s="9"/>
      <c r="F448" s="143"/>
      <c r="G448" s="198">
        <f>Input!O25</f>
        <v>0</v>
      </c>
      <c r="H448" s="123"/>
      <c r="I448" s="123"/>
      <c r="J448" s="123"/>
      <c r="K448" s="123"/>
      <c r="L448" s="123"/>
      <c r="M448" s="108"/>
      <c r="N448" s="108"/>
      <c r="O448" s="108"/>
      <c r="P448" s="108"/>
      <c r="Q448" s="108"/>
      <c r="R448" s="108"/>
      <c r="S448" s="108"/>
      <c r="T448" s="108"/>
      <c r="U448" s="108"/>
      <c r="V448" s="108"/>
      <c r="W448" s="108"/>
      <c r="X448" s="108"/>
      <c r="Y448" s="108"/>
      <c r="Z448" s="108"/>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225"/>
      <c r="BK448" s="225"/>
    </row>
    <row r="449" spans="1:63" hidden="1" outlineLevel="1">
      <c r="A449" s="9"/>
      <c r="B449" s="46"/>
      <c r="C449" s="132">
        <f>Asset20</f>
        <v>0</v>
      </c>
      <c r="D449" s="9"/>
      <c r="E449" s="9"/>
      <c r="F449" s="143"/>
      <c r="G449" s="198">
        <f>Input!O26</f>
        <v>0</v>
      </c>
      <c r="H449" s="123"/>
      <c r="I449" s="123"/>
      <c r="J449" s="123"/>
      <c r="K449" s="123"/>
      <c r="L449" s="123"/>
      <c r="M449" s="108"/>
      <c r="N449" s="108"/>
      <c r="O449" s="108"/>
      <c r="P449" s="108"/>
      <c r="Q449" s="108"/>
      <c r="R449" s="108"/>
      <c r="S449" s="108"/>
      <c r="T449" s="108"/>
      <c r="U449" s="108"/>
      <c r="V449" s="108"/>
      <c r="W449" s="108"/>
      <c r="X449" s="108"/>
      <c r="Y449" s="108"/>
      <c r="Z449" s="108"/>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c r="BJ449" s="225"/>
      <c r="BK449" s="225"/>
    </row>
    <row r="450" spans="1:63" hidden="1" outlineLevel="1">
      <c r="A450" s="9"/>
      <c r="B450" s="46"/>
      <c r="C450" s="132">
        <f>Asset21</f>
        <v>0</v>
      </c>
      <c r="D450" s="9"/>
      <c r="E450" s="9"/>
      <c r="F450" s="143"/>
      <c r="G450" s="198">
        <f>Input!O27</f>
        <v>0</v>
      </c>
      <c r="H450" s="123"/>
      <c r="I450" s="123"/>
      <c r="J450" s="123"/>
      <c r="K450" s="123"/>
      <c r="L450" s="123"/>
      <c r="M450" s="108"/>
      <c r="N450" s="108"/>
      <c r="O450" s="108"/>
      <c r="P450" s="108"/>
      <c r="Q450" s="108"/>
      <c r="R450" s="108"/>
      <c r="S450" s="108"/>
      <c r="T450" s="108"/>
      <c r="U450" s="108"/>
      <c r="V450" s="108"/>
      <c r="W450" s="108"/>
      <c r="X450" s="108"/>
      <c r="Y450" s="108"/>
      <c r="Z450" s="108"/>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c r="BH450" s="219"/>
      <c r="BI450" s="219"/>
      <c r="BJ450" s="225"/>
      <c r="BK450" s="225"/>
    </row>
    <row r="451" spans="1:63" hidden="1" outlineLevel="1">
      <c r="A451" s="9"/>
      <c r="B451" s="46"/>
      <c r="C451" s="132">
        <f>Asset22</f>
        <v>0</v>
      </c>
      <c r="D451" s="9"/>
      <c r="E451" s="9"/>
      <c r="F451" s="143"/>
      <c r="G451" s="198">
        <f>Input!O28</f>
        <v>0</v>
      </c>
      <c r="H451" s="123"/>
      <c r="I451" s="123"/>
      <c r="J451" s="123"/>
      <c r="K451" s="123"/>
      <c r="L451" s="123"/>
      <c r="M451" s="108"/>
      <c r="N451" s="108"/>
      <c r="O451" s="108"/>
      <c r="P451" s="108"/>
      <c r="Q451" s="108"/>
      <c r="R451" s="108"/>
      <c r="S451" s="108"/>
      <c r="T451" s="108"/>
      <c r="U451" s="108"/>
      <c r="V451" s="108"/>
      <c r="W451" s="108"/>
      <c r="X451" s="108"/>
      <c r="Y451" s="108"/>
      <c r="Z451" s="108"/>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c r="BH451" s="219"/>
      <c r="BI451" s="219"/>
      <c r="BJ451" s="225"/>
      <c r="BK451" s="225"/>
    </row>
    <row r="452" spans="1:63" hidden="1" outlineLevel="1">
      <c r="A452" s="9"/>
      <c r="B452" s="46"/>
      <c r="C452" s="132">
        <f>Asset23</f>
        <v>0</v>
      </c>
      <c r="D452" s="9"/>
      <c r="E452" s="9"/>
      <c r="F452" s="143"/>
      <c r="G452" s="198">
        <f>Input!O29</f>
        <v>0</v>
      </c>
      <c r="H452" s="123"/>
      <c r="I452" s="123"/>
      <c r="J452" s="123"/>
      <c r="K452" s="123"/>
      <c r="L452" s="123"/>
      <c r="M452" s="108"/>
      <c r="N452" s="108"/>
      <c r="O452" s="108"/>
      <c r="P452" s="108"/>
      <c r="Q452" s="108"/>
      <c r="R452" s="108"/>
      <c r="S452" s="108"/>
      <c r="T452" s="108"/>
      <c r="U452" s="108"/>
      <c r="V452" s="108"/>
      <c r="W452" s="108"/>
      <c r="X452" s="108"/>
      <c r="Y452" s="108"/>
      <c r="Z452" s="108"/>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c r="BH452" s="219"/>
      <c r="BI452" s="219"/>
      <c r="BJ452" s="225"/>
      <c r="BK452" s="225"/>
    </row>
    <row r="453" spans="1:63" hidden="1" outlineLevel="1">
      <c r="A453" s="9"/>
      <c r="B453" s="46"/>
      <c r="C453" s="132">
        <f>Asset24</f>
        <v>0</v>
      </c>
      <c r="D453" s="9"/>
      <c r="E453" s="9"/>
      <c r="F453" s="143"/>
      <c r="G453" s="198">
        <f>Input!O30</f>
        <v>0</v>
      </c>
      <c r="H453" s="123"/>
      <c r="I453" s="123"/>
      <c r="J453" s="123"/>
      <c r="K453" s="123"/>
      <c r="L453" s="123"/>
      <c r="M453" s="108"/>
      <c r="N453" s="108"/>
      <c r="O453" s="108"/>
      <c r="P453" s="108"/>
      <c r="Q453" s="108"/>
      <c r="R453" s="108"/>
      <c r="S453" s="108"/>
      <c r="T453" s="108"/>
      <c r="U453" s="108"/>
      <c r="V453" s="108"/>
      <c r="W453" s="108"/>
      <c r="X453" s="108"/>
      <c r="Y453" s="108"/>
      <c r="Z453" s="108"/>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c r="BH453" s="219"/>
      <c r="BI453" s="219"/>
      <c r="BJ453" s="225"/>
      <c r="BK453" s="225"/>
    </row>
    <row r="454" spans="1:63" hidden="1" outlineLevel="1">
      <c r="A454" s="9"/>
      <c r="B454" s="46"/>
      <c r="C454" s="132">
        <f>Asset25</f>
        <v>0</v>
      </c>
      <c r="D454" s="9"/>
      <c r="E454" s="9"/>
      <c r="F454" s="143"/>
      <c r="G454" s="198">
        <f>Input!O31</f>
        <v>0</v>
      </c>
      <c r="H454" s="123"/>
      <c r="I454" s="123"/>
      <c r="J454" s="123"/>
      <c r="K454" s="123"/>
      <c r="L454" s="123"/>
      <c r="M454" s="108"/>
      <c r="N454" s="108"/>
      <c r="O454" s="108"/>
      <c r="P454" s="108"/>
      <c r="Q454" s="108"/>
      <c r="R454" s="108"/>
      <c r="S454" s="108"/>
      <c r="T454" s="108"/>
      <c r="U454" s="108"/>
      <c r="V454" s="108"/>
      <c r="W454" s="108"/>
      <c r="X454" s="108"/>
      <c r="Y454" s="108"/>
      <c r="Z454" s="108"/>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c r="BH454" s="219"/>
      <c r="BI454" s="219"/>
      <c r="BJ454" s="225"/>
      <c r="BK454" s="225"/>
    </row>
    <row r="455" spans="1:63" hidden="1" outlineLevel="1">
      <c r="A455" s="9"/>
      <c r="B455" s="46"/>
      <c r="C455" s="132">
        <f>Asset26</f>
        <v>0</v>
      </c>
      <c r="D455" s="9"/>
      <c r="E455" s="9"/>
      <c r="F455" s="143"/>
      <c r="G455" s="198">
        <f>Input!O32</f>
        <v>0</v>
      </c>
      <c r="H455" s="123"/>
      <c r="I455" s="123"/>
      <c r="J455" s="123"/>
      <c r="K455" s="123"/>
      <c r="L455" s="123"/>
      <c r="M455" s="108"/>
      <c r="N455" s="108"/>
      <c r="O455" s="108"/>
      <c r="P455" s="108"/>
      <c r="Q455" s="108"/>
      <c r="R455" s="108"/>
      <c r="S455" s="108"/>
      <c r="T455" s="108"/>
      <c r="U455" s="108"/>
      <c r="V455" s="108"/>
      <c r="W455" s="108"/>
      <c r="X455" s="108"/>
      <c r="Y455" s="108"/>
      <c r="Z455" s="108"/>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c r="BH455" s="219"/>
      <c r="BI455" s="219"/>
      <c r="BJ455" s="225"/>
      <c r="BK455" s="225"/>
    </row>
    <row r="456" spans="1:63" hidden="1" outlineLevel="1">
      <c r="A456" s="9"/>
      <c r="B456" s="46"/>
      <c r="C456" s="132">
        <f>Asset27</f>
        <v>0</v>
      </c>
      <c r="D456" s="9"/>
      <c r="E456" s="9"/>
      <c r="F456" s="143"/>
      <c r="G456" s="198">
        <f>Input!O33</f>
        <v>0</v>
      </c>
      <c r="H456" s="123"/>
      <c r="I456" s="123"/>
      <c r="J456" s="123"/>
      <c r="K456" s="123"/>
      <c r="L456" s="123"/>
      <c r="M456" s="108"/>
      <c r="N456" s="108"/>
      <c r="O456" s="108"/>
      <c r="P456" s="108"/>
      <c r="Q456" s="108"/>
      <c r="R456" s="108"/>
      <c r="S456" s="108"/>
      <c r="T456" s="108"/>
      <c r="U456" s="108"/>
      <c r="V456" s="108"/>
      <c r="W456" s="108"/>
      <c r="X456" s="108"/>
      <c r="Y456" s="108"/>
      <c r="Z456" s="108"/>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c r="BH456" s="219"/>
      <c r="BI456" s="219"/>
      <c r="BJ456" s="225"/>
      <c r="BK456" s="225"/>
    </row>
    <row r="457" spans="1:63" hidden="1" outlineLevel="1">
      <c r="A457" s="9"/>
      <c r="B457" s="46"/>
      <c r="C457" s="132">
        <f>Asset28</f>
        <v>0</v>
      </c>
      <c r="D457" s="9"/>
      <c r="E457" s="9"/>
      <c r="F457" s="143"/>
      <c r="G457" s="198">
        <f>Input!O34</f>
        <v>0</v>
      </c>
      <c r="H457" s="123"/>
      <c r="I457" s="123"/>
      <c r="J457" s="123"/>
      <c r="K457" s="123"/>
      <c r="L457" s="123"/>
      <c r="M457" s="108"/>
      <c r="N457" s="108"/>
      <c r="O457" s="108"/>
      <c r="P457" s="108"/>
      <c r="Q457" s="108"/>
      <c r="R457" s="108"/>
      <c r="S457" s="108"/>
      <c r="T457" s="108"/>
      <c r="U457" s="108"/>
      <c r="V457" s="108"/>
      <c r="W457" s="108"/>
      <c r="X457" s="108"/>
      <c r="Y457" s="108"/>
      <c r="Z457" s="108"/>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c r="BH457" s="219"/>
      <c r="BI457" s="219"/>
      <c r="BJ457" s="225"/>
      <c r="BK457" s="225"/>
    </row>
    <row r="458" spans="1:63" hidden="1" outlineLevel="1">
      <c r="A458" s="9"/>
      <c r="B458" s="46"/>
      <c r="C458" s="132">
        <f>Asset29</f>
        <v>0</v>
      </c>
      <c r="D458" s="9"/>
      <c r="E458" s="9"/>
      <c r="F458" s="143"/>
      <c r="G458" s="198">
        <f>Input!O35</f>
        <v>0</v>
      </c>
      <c r="H458" s="123"/>
      <c r="I458" s="123"/>
      <c r="J458" s="123"/>
      <c r="K458" s="123"/>
      <c r="L458" s="123"/>
      <c r="M458" s="108"/>
      <c r="N458" s="108"/>
      <c r="O458" s="108"/>
      <c r="P458" s="108"/>
      <c r="Q458" s="108"/>
      <c r="R458" s="108"/>
      <c r="S458" s="108"/>
      <c r="T458" s="108"/>
      <c r="U458" s="108"/>
      <c r="V458" s="108"/>
      <c r="W458" s="108"/>
      <c r="X458" s="108"/>
      <c r="Y458" s="108"/>
      <c r="Z458" s="108"/>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c r="BH458" s="219"/>
      <c r="BI458" s="219"/>
      <c r="BJ458" s="225"/>
      <c r="BK458" s="225"/>
    </row>
    <row r="459" spans="1:63" hidden="1" outlineLevel="1">
      <c r="A459" s="9"/>
      <c r="B459" s="46"/>
      <c r="C459" s="132">
        <f>Asset30</f>
        <v>0</v>
      </c>
      <c r="D459" s="9"/>
      <c r="E459" s="9"/>
      <c r="F459" s="143"/>
      <c r="G459" s="198">
        <f>Input!O36</f>
        <v>0</v>
      </c>
      <c r="H459" s="123"/>
      <c r="I459" s="123"/>
      <c r="J459" s="123"/>
      <c r="K459" s="123"/>
      <c r="L459" s="123"/>
      <c r="M459" s="108"/>
      <c r="N459" s="108"/>
      <c r="O459" s="108"/>
      <c r="P459" s="108"/>
      <c r="Q459" s="108"/>
      <c r="R459" s="108"/>
      <c r="S459" s="108"/>
      <c r="T459" s="108"/>
      <c r="U459" s="108"/>
      <c r="V459" s="108"/>
      <c r="W459" s="108"/>
      <c r="X459" s="108"/>
      <c r="Y459" s="108"/>
      <c r="Z459" s="108"/>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c r="BH459" s="219"/>
      <c r="BI459" s="219"/>
      <c r="BJ459" s="225"/>
      <c r="BK459" s="225"/>
    </row>
    <row r="460" spans="1:63" collapsed="1">
      <c r="A460" s="9"/>
      <c r="B460" s="46"/>
      <c r="C460" s="132"/>
      <c r="D460" s="9"/>
      <c r="E460" s="9"/>
      <c r="F460" s="143"/>
      <c r="G460" s="198"/>
      <c r="H460" s="123"/>
      <c r="I460" s="123"/>
      <c r="J460" s="123"/>
      <c r="K460" s="123"/>
      <c r="L460" s="123"/>
      <c r="M460" s="108"/>
      <c r="N460" s="108"/>
      <c r="O460" s="108"/>
      <c r="P460" s="108"/>
      <c r="Q460" s="108"/>
      <c r="R460" s="108"/>
      <c r="S460" s="108"/>
      <c r="T460" s="108"/>
      <c r="U460" s="108"/>
      <c r="V460" s="108"/>
      <c r="W460" s="108"/>
      <c r="X460" s="108"/>
      <c r="Y460" s="108"/>
      <c r="Z460" s="108"/>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25"/>
      <c r="BK460" s="225"/>
    </row>
    <row r="461" spans="1:63">
      <c r="A461" s="9"/>
      <c r="B461" s="46" t="s">
        <v>65</v>
      </c>
      <c r="C461" s="132"/>
      <c r="D461" s="9"/>
      <c r="E461" s="9"/>
      <c r="F461" s="143"/>
      <c r="G461" s="200">
        <f>SUM(G462:G491)</f>
        <v>0</v>
      </c>
      <c r="H461" s="123"/>
      <c r="I461" s="123"/>
      <c r="J461" s="123"/>
      <c r="K461" s="123"/>
      <c r="L461" s="123"/>
      <c r="M461" s="108"/>
      <c r="N461" s="108"/>
      <c r="O461" s="108"/>
      <c r="P461" s="108"/>
      <c r="Q461" s="108"/>
      <c r="R461" s="108"/>
      <c r="S461" s="108"/>
      <c r="T461" s="108"/>
      <c r="U461" s="108"/>
      <c r="V461" s="108"/>
      <c r="W461" s="108"/>
      <c r="X461" s="108"/>
      <c r="Y461" s="108"/>
      <c r="Z461" s="108"/>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c r="BJ461" s="225"/>
      <c r="BK461" s="225"/>
    </row>
    <row r="462" spans="1:63" ht="12.75" hidden="1" customHeight="1" outlineLevel="1">
      <c r="A462" s="9"/>
      <c r="B462" s="9"/>
      <c r="C462" s="132" t="str">
        <f>Asset1</f>
        <v>Opening Distribution Assets</v>
      </c>
      <c r="D462" s="9"/>
      <c r="E462" s="9"/>
      <c r="F462" s="143"/>
      <c r="G462" s="198">
        <f>Input!P7</f>
        <v>0</v>
      </c>
      <c r="H462" s="123"/>
      <c r="I462" s="123"/>
      <c r="J462" s="123"/>
      <c r="K462" s="123"/>
      <c r="L462" s="123"/>
      <c r="M462" s="108"/>
      <c r="N462" s="108"/>
      <c r="O462" s="108"/>
      <c r="P462" s="108"/>
      <c r="Q462" s="108"/>
      <c r="R462" s="108"/>
      <c r="S462" s="108"/>
      <c r="T462" s="108"/>
      <c r="U462" s="108"/>
      <c r="V462" s="108"/>
      <c r="W462" s="108"/>
      <c r="X462" s="108"/>
      <c r="Y462" s="108"/>
      <c r="Z462" s="108"/>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c r="BH462" s="219"/>
      <c r="BI462" s="219"/>
      <c r="BJ462" s="225"/>
      <c r="BK462" s="225"/>
    </row>
    <row r="463" spans="1:63" ht="12.75" hidden="1" customHeight="1" outlineLevel="1">
      <c r="A463" s="9"/>
      <c r="B463" s="46"/>
      <c r="C463" s="132" t="str">
        <f>Asset2</f>
        <v>Sub-transmission Overhead</v>
      </c>
      <c r="D463" s="9"/>
      <c r="E463" s="9"/>
      <c r="F463" s="143"/>
      <c r="G463" s="198">
        <f>Input!P8</f>
        <v>0</v>
      </c>
      <c r="H463" s="123"/>
      <c r="I463" s="123"/>
      <c r="J463" s="123"/>
      <c r="K463" s="123"/>
      <c r="L463" s="123"/>
      <c r="M463" s="108"/>
      <c r="N463" s="108"/>
      <c r="O463" s="108"/>
      <c r="P463" s="108"/>
      <c r="Q463" s="108"/>
      <c r="R463" s="108"/>
      <c r="S463" s="108"/>
      <c r="T463" s="108"/>
      <c r="U463" s="108"/>
      <c r="V463" s="108"/>
      <c r="W463" s="108"/>
      <c r="X463" s="108"/>
      <c r="Y463" s="108"/>
      <c r="Z463" s="108"/>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225"/>
      <c r="BK463" s="225"/>
    </row>
    <row r="464" spans="1:63" ht="12.75" hidden="1" customHeight="1" outlineLevel="1">
      <c r="A464" s="9"/>
      <c r="B464" s="46"/>
      <c r="C464" s="132" t="str">
        <f>Asset3</f>
        <v>Sub-transmission Underground</v>
      </c>
      <c r="D464" s="9"/>
      <c r="E464" s="9"/>
      <c r="F464" s="143"/>
      <c r="G464" s="198">
        <f>Input!P9</f>
        <v>0</v>
      </c>
      <c r="H464" s="123"/>
      <c r="I464" s="123"/>
      <c r="J464" s="123"/>
      <c r="K464" s="123"/>
      <c r="L464" s="123"/>
      <c r="M464" s="108"/>
      <c r="N464" s="108"/>
      <c r="O464" s="108"/>
      <c r="P464" s="108"/>
      <c r="Q464" s="108"/>
      <c r="R464" s="108"/>
      <c r="S464" s="108"/>
      <c r="T464" s="108"/>
      <c r="U464" s="108"/>
      <c r="V464" s="108"/>
      <c r="W464" s="108"/>
      <c r="X464" s="108"/>
      <c r="Y464" s="108"/>
      <c r="Z464" s="108"/>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c r="BH464" s="219"/>
      <c r="BI464" s="219"/>
      <c r="BJ464" s="225"/>
      <c r="BK464" s="225"/>
    </row>
    <row r="465" spans="1:63" ht="12.75" hidden="1" customHeight="1" outlineLevel="1">
      <c r="A465" s="9"/>
      <c r="B465" s="46"/>
      <c r="C465" s="132" t="str">
        <f>Asset4</f>
        <v>Zone Substation</v>
      </c>
      <c r="D465" s="9"/>
      <c r="E465" s="9"/>
      <c r="F465" s="143"/>
      <c r="G465" s="198">
        <f>Input!P10</f>
        <v>0</v>
      </c>
      <c r="H465" s="123"/>
      <c r="I465" s="123"/>
      <c r="J465" s="123"/>
      <c r="K465" s="123"/>
      <c r="L465" s="123"/>
      <c r="M465" s="108"/>
      <c r="N465" s="108"/>
      <c r="O465" s="108"/>
      <c r="P465" s="108"/>
      <c r="Q465" s="108"/>
      <c r="R465" s="108"/>
      <c r="S465" s="108"/>
      <c r="T465" s="108"/>
      <c r="U465" s="108"/>
      <c r="V465" s="108"/>
      <c r="W465" s="108"/>
      <c r="X465" s="108"/>
      <c r="Y465" s="108"/>
      <c r="Z465" s="108"/>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c r="BJ465" s="225"/>
      <c r="BK465" s="225"/>
    </row>
    <row r="466" spans="1:63" ht="12.75" hidden="1" customHeight="1" outlineLevel="1">
      <c r="A466" s="9"/>
      <c r="B466" s="46"/>
      <c r="C466" s="132" t="str">
        <f>Asset5</f>
        <v>Distribution Substations</v>
      </c>
      <c r="D466" s="9"/>
      <c r="E466" s="9"/>
      <c r="F466" s="143"/>
      <c r="G466" s="198">
        <f>Input!P11</f>
        <v>0</v>
      </c>
      <c r="H466" s="123"/>
      <c r="I466" s="123"/>
      <c r="J466" s="123"/>
      <c r="K466" s="123"/>
      <c r="L466" s="123"/>
      <c r="M466" s="108"/>
      <c r="N466" s="108"/>
      <c r="O466" s="108"/>
      <c r="P466" s="108"/>
      <c r="Q466" s="108"/>
      <c r="R466" s="108"/>
      <c r="S466" s="108"/>
      <c r="T466" s="108"/>
      <c r="U466" s="108"/>
      <c r="V466" s="108"/>
      <c r="W466" s="108"/>
      <c r="X466" s="108"/>
      <c r="Y466" s="108"/>
      <c r="Z466" s="108"/>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c r="BH466" s="219"/>
      <c r="BI466" s="219"/>
      <c r="BJ466" s="225"/>
      <c r="BK466" s="225"/>
    </row>
    <row r="467" spans="1:63" ht="12.75" hidden="1" customHeight="1" outlineLevel="1">
      <c r="A467" s="9"/>
      <c r="B467" s="46"/>
      <c r="C467" s="132" t="str">
        <f>Asset6</f>
        <v>Distribution Overhead Lines</v>
      </c>
      <c r="D467" s="9"/>
      <c r="E467" s="9"/>
      <c r="F467" s="143"/>
      <c r="G467" s="198">
        <f>Input!P12</f>
        <v>0</v>
      </c>
      <c r="H467" s="123"/>
      <c r="I467" s="123"/>
      <c r="J467" s="123"/>
      <c r="K467" s="123"/>
      <c r="L467" s="123"/>
      <c r="M467" s="108"/>
      <c r="N467" s="108"/>
      <c r="O467" s="108"/>
      <c r="P467" s="108"/>
      <c r="Q467" s="108"/>
      <c r="R467" s="108"/>
      <c r="S467" s="108"/>
      <c r="T467" s="108"/>
      <c r="U467" s="108"/>
      <c r="V467" s="108"/>
      <c r="W467" s="108"/>
      <c r="X467" s="108"/>
      <c r="Y467" s="108"/>
      <c r="Z467" s="108"/>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c r="BH467" s="219"/>
      <c r="BI467" s="219"/>
      <c r="BJ467" s="225"/>
      <c r="BK467" s="225"/>
    </row>
    <row r="468" spans="1:63" ht="12.75" hidden="1" customHeight="1" outlineLevel="1">
      <c r="A468" s="9"/>
      <c r="B468" s="46"/>
      <c r="C468" s="132" t="str">
        <f>Asset7</f>
        <v>Distribution Underground Lines</v>
      </c>
      <c r="D468" s="9"/>
      <c r="E468" s="9"/>
      <c r="F468" s="143"/>
      <c r="G468" s="198">
        <f>Input!P13</f>
        <v>0</v>
      </c>
      <c r="H468" s="123"/>
      <c r="I468" s="123"/>
      <c r="J468" s="123"/>
      <c r="K468" s="123"/>
      <c r="L468" s="123"/>
      <c r="M468" s="108"/>
      <c r="N468" s="108"/>
      <c r="O468" s="108"/>
      <c r="P468" s="108"/>
      <c r="Q468" s="108"/>
      <c r="R468" s="108"/>
      <c r="S468" s="108"/>
      <c r="T468" s="108"/>
      <c r="U468" s="108"/>
      <c r="V468" s="108"/>
      <c r="W468" s="108"/>
      <c r="X468" s="108"/>
      <c r="Y468" s="108"/>
      <c r="Z468" s="108"/>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c r="BH468" s="219"/>
      <c r="BI468" s="219"/>
      <c r="BJ468" s="225"/>
      <c r="BK468" s="225"/>
    </row>
    <row r="469" spans="1:63" ht="12.75" hidden="1" customHeight="1" outlineLevel="1">
      <c r="A469" s="9"/>
      <c r="B469" s="46"/>
      <c r="C469" s="132" t="str">
        <f>Asset8</f>
        <v>IT &amp; Communication Systems (Networks)</v>
      </c>
      <c r="D469" s="9"/>
      <c r="E469" s="9"/>
      <c r="F469" s="143"/>
      <c r="G469" s="198">
        <f>Input!P14</f>
        <v>0</v>
      </c>
      <c r="H469" s="123"/>
      <c r="I469" s="123"/>
      <c r="J469" s="123"/>
      <c r="K469" s="123"/>
      <c r="L469" s="123"/>
      <c r="M469" s="108"/>
      <c r="N469" s="108"/>
      <c r="O469" s="108"/>
      <c r="P469" s="108"/>
      <c r="Q469" s="108"/>
      <c r="R469" s="108"/>
      <c r="S469" s="108"/>
      <c r="T469" s="108"/>
      <c r="U469" s="108"/>
      <c r="V469" s="108"/>
      <c r="W469" s="108"/>
      <c r="X469" s="108"/>
      <c r="Y469" s="108"/>
      <c r="Z469" s="108"/>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c r="BH469" s="219"/>
      <c r="BI469" s="219"/>
      <c r="BJ469" s="225"/>
      <c r="BK469" s="225"/>
    </row>
    <row r="470" spans="1:63" ht="12.75" hidden="1" customHeight="1" outlineLevel="1">
      <c r="A470" s="9"/>
      <c r="B470" s="46"/>
      <c r="C470" s="132" t="str">
        <f>Asset9</f>
        <v>Motor Vehicles</v>
      </c>
      <c r="D470" s="9"/>
      <c r="E470" s="9"/>
      <c r="F470" s="143"/>
      <c r="G470" s="198">
        <f>Input!P15</f>
        <v>0</v>
      </c>
      <c r="H470" s="123"/>
      <c r="I470" s="123"/>
      <c r="J470" s="123"/>
      <c r="K470" s="123"/>
      <c r="L470" s="123"/>
      <c r="M470" s="108"/>
      <c r="N470" s="108"/>
      <c r="O470" s="108"/>
      <c r="P470" s="108"/>
      <c r="Q470" s="108"/>
      <c r="R470" s="108"/>
      <c r="S470" s="108"/>
      <c r="T470" s="108"/>
      <c r="U470" s="108"/>
      <c r="V470" s="108"/>
      <c r="W470" s="108"/>
      <c r="X470" s="108"/>
      <c r="Y470" s="108"/>
      <c r="Z470" s="108"/>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c r="BH470" s="219"/>
      <c r="BI470" s="219"/>
      <c r="BJ470" s="225"/>
      <c r="BK470" s="225"/>
    </row>
    <row r="471" spans="1:63" ht="12.75" hidden="1" customHeight="1" outlineLevel="1">
      <c r="A471" s="9"/>
      <c r="B471" s="46"/>
      <c r="C471" s="132" t="str">
        <f>Asset10</f>
        <v>Other Non-System Assets (Networks)</v>
      </c>
      <c r="D471" s="9"/>
      <c r="E471" s="9"/>
      <c r="F471" s="143"/>
      <c r="G471" s="198">
        <f>Input!P16</f>
        <v>0</v>
      </c>
      <c r="H471" s="123"/>
      <c r="I471" s="123"/>
      <c r="J471" s="123"/>
      <c r="K471" s="123"/>
      <c r="L471" s="123"/>
      <c r="M471" s="108"/>
      <c r="N471" s="108"/>
      <c r="O471" s="108"/>
      <c r="P471" s="108"/>
      <c r="Q471" s="108"/>
      <c r="R471" s="108"/>
      <c r="S471" s="108"/>
      <c r="T471" s="108"/>
      <c r="U471" s="108"/>
      <c r="V471" s="108"/>
      <c r="W471" s="108"/>
      <c r="X471" s="108"/>
      <c r="Y471" s="108"/>
      <c r="Z471" s="108"/>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c r="BH471" s="219"/>
      <c r="BI471" s="219"/>
      <c r="BJ471" s="225"/>
      <c r="BK471" s="225"/>
    </row>
    <row r="472" spans="1:63" ht="12.75" hidden="1" customHeight="1" outlineLevel="1">
      <c r="A472" s="9"/>
      <c r="B472" s="46"/>
      <c r="C472" s="132" t="str">
        <f>Asset11</f>
        <v>IT Systems (Corporate)</v>
      </c>
      <c r="D472" s="9"/>
      <c r="E472" s="9"/>
      <c r="F472" s="143"/>
      <c r="G472" s="198">
        <f>Input!P17</f>
        <v>0</v>
      </c>
      <c r="H472" s="123"/>
      <c r="I472" s="123"/>
      <c r="J472" s="123"/>
      <c r="K472" s="123"/>
      <c r="L472" s="123"/>
      <c r="M472" s="108"/>
      <c r="N472" s="108"/>
      <c r="O472" s="108"/>
      <c r="P472" s="108"/>
      <c r="Q472" s="108"/>
      <c r="R472" s="108"/>
      <c r="S472" s="108"/>
      <c r="T472" s="108"/>
      <c r="U472" s="108"/>
      <c r="V472" s="108"/>
      <c r="W472" s="108"/>
      <c r="X472" s="108"/>
      <c r="Y472" s="108"/>
      <c r="Z472" s="108"/>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c r="BH472" s="219"/>
      <c r="BI472" s="219"/>
      <c r="BJ472" s="225"/>
      <c r="BK472" s="225"/>
    </row>
    <row r="473" spans="1:63" ht="12.75" hidden="1" customHeight="1" outlineLevel="1">
      <c r="A473" s="9"/>
      <c r="B473" s="46"/>
      <c r="C473" s="132" t="str">
        <f>Asset12</f>
        <v>Telecommunications (Corporate)</v>
      </c>
      <c r="D473" s="9"/>
      <c r="E473" s="9"/>
      <c r="F473" s="143"/>
      <c r="G473" s="198">
        <f>Input!P18</f>
        <v>0</v>
      </c>
      <c r="H473" s="123"/>
      <c r="I473" s="123"/>
      <c r="J473" s="123"/>
      <c r="K473" s="123"/>
      <c r="L473" s="123"/>
      <c r="M473" s="108"/>
      <c r="N473" s="108"/>
      <c r="O473" s="108"/>
      <c r="P473" s="108"/>
      <c r="Q473" s="108"/>
      <c r="R473" s="108"/>
      <c r="S473" s="108"/>
      <c r="T473" s="108"/>
      <c r="U473" s="108"/>
      <c r="V473" s="108"/>
      <c r="W473" s="108"/>
      <c r="X473" s="108"/>
      <c r="Y473" s="108"/>
      <c r="Z473" s="108"/>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c r="BH473" s="219"/>
      <c r="BI473" s="219"/>
      <c r="BJ473" s="225"/>
      <c r="BK473" s="225"/>
    </row>
    <row r="474" spans="1:63" ht="12.75" hidden="1" customHeight="1" outlineLevel="1">
      <c r="A474" s="9"/>
      <c r="B474" s="46"/>
      <c r="C474" s="132" t="str">
        <f>Asset13</f>
        <v>Other Non-System Assets (Corporate)</v>
      </c>
      <c r="D474" s="9"/>
      <c r="E474" s="9"/>
      <c r="F474" s="143"/>
      <c r="G474" s="198">
        <f>Input!P19</f>
        <v>0</v>
      </c>
      <c r="H474" s="123"/>
      <c r="I474" s="123"/>
      <c r="J474" s="123"/>
      <c r="K474" s="123"/>
      <c r="L474" s="123"/>
      <c r="M474" s="108"/>
      <c r="N474" s="108"/>
      <c r="O474" s="108"/>
      <c r="P474" s="108"/>
      <c r="Q474" s="108"/>
      <c r="R474" s="108"/>
      <c r="S474" s="108"/>
      <c r="T474" s="108"/>
      <c r="U474" s="108"/>
      <c r="V474" s="108"/>
      <c r="W474" s="108"/>
      <c r="X474" s="108"/>
      <c r="Y474" s="108"/>
      <c r="Z474" s="108"/>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c r="BJ474" s="225"/>
      <c r="BK474" s="225"/>
    </row>
    <row r="475" spans="1:63" ht="12.75" hidden="1" customHeight="1" outlineLevel="1">
      <c r="A475" s="9"/>
      <c r="B475" s="46"/>
      <c r="C475" s="132" t="str">
        <f>Asset14</f>
        <v>Land</v>
      </c>
      <c r="D475" s="9"/>
      <c r="E475" s="9"/>
      <c r="F475" s="143"/>
      <c r="G475" s="198">
        <f>Input!P20</f>
        <v>0</v>
      </c>
      <c r="H475" s="123"/>
      <c r="I475" s="123"/>
      <c r="J475" s="123"/>
      <c r="K475" s="123"/>
      <c r="L475" s="123"/>
      <c r="M475" s="108"/>
      <c r="N475" s="108"/>
      <c r="O475" s="108"/>
      <c r="P475" s="108"/>
      <c r="Q475" s="108"/>
      <c r="R475" s="108"/>
      <c r="S475" s="108"/>
      <c r="T475" s="108"/>
      <c r="U475" s="108"/>
      <c r="V475" s="108"/>
      <c r="W475" s="108"/>
      <c r="X475" s="108"/>
      <c r="Y475" s="108"/>
      <c r="Z475" s="108"/>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c r="BH475" s="219"/>
      <c r="BI475" s="219"/>
      <c r="BJ475" s="225"/>
      <c r="BK475" s="225"/>
    </row>
    <row r="476" spans="1:63" ht="12.75" hidden="1" customHeight="1" outlineLevel="1">
      <c r="A476" s="9"/>
      <c r="B476" s="46"/>
      <c r="C476" s="132" t="str">
        <f>Asset15</f>
        <v>Buildings</v>
      </c>
      <c r="D476" s="9"/>
      <c r="E476" s="9"/>
      <c r="F476" s="143"/>
      <c r="G476" s="198">
        <f>Input!P21</f>
        <v>0</v>
      </c>
      <c r="H476" s="123"/>
      <c r="I476" s="123"/>
      <c r="J476" s="123"/>
      <c r="K476" s="123"/>
      <c r="L476" s="123"/>
      <c r="M476" s="108"/>
      <c r="N476" s="108"/>
      <c r="O476" s="108"/>
      <c r="P476" s="108"/>
      <c r="Q476" s="108"/>
      <c r="R476" s="108"/>
      <c r="S476" s="108"/>
      <c r="T476" s="108"/>
      <c r="U476" s="108"/>
      <c r="V476" s="108"/>
      <c r="W476" s="108"/>
      <c r="X476" s="108"/>
      <c r="Y476" s="108"/>
      <c r="Z476" s="108"/>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c r="BH476" s="219"/>
      <c r="BI476" s="219"/>
      <c r="BJ476" s="225"/>
      <c r="BK476" s="225"/>
    </row>
    <row r="477" spans="1:63" ht="12.75" hidden="1" customHeight="1" outlineLevel="1">
      <c r="A477" s="9"/>
      <c r="B477" s="46"/>
      <c r="C477" s="132" t="str">
        <f>Asset16</f>
        <v>Equity raising costs</v>
      </c>
      <c r="D477" s="9"/>
      <c r="E477" s="9"/>
      <c r="F477" s="143"/>
      <c r="G477" s="198">
        <f>Input!P22</f>
        <v>0</v>
      </c>
      <c r="H477" s="123"/>
      <c r="I477" s="123"/>
      <c r="J477" s="123"/>
      <c r="K477" s="123"/>
      <c r="L477" s="123"/>
      <c r="M477" s="108"/>
      <c r="N477" s="108"/>
      <c r="O477" s="108"/>
      <c r="P477" s="108"/>
      <c r="Q477" s="108"/>
      <c r="R477" s="108"/>
      <c r="S477" s="108"/>
      <c r="T477" s="108"/>
      <c r="U477" s="108"/>
      <c r="V477" s="108"/>
      <c r="W477" s="108"/>
      <c r="X477" s="108"/>
      <c r="Y477" s="108"/>
      <c r="Z477" s="108"/>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c r="BJ477" s="225"/>
      <c r="BK477" s="225"/>
    </row>
    <row r="478" spans="1:63" ht="12.75" hidden="1" customHeight="1" outlineLevel="1">
      <c r="A478" s="9"/>
      <c r="B478" s="46"/>
      <c r="C478" s="132">
        <f>Asset17</f>
        <v>0</v>
      </c>
      <c r="D478" s="9"/>
      <c r="E478" s="9"/>
      <c r="F478" s="143"/>
      <c r="G478" s="198">
        <f>Input!P23</f>
        <v>0</v>
      </c>
      <c r="H478" s="123"/>
      <c r="I478" s="123"/>
      <c r="J478" s="123"/>
      <c r="K478" s="123"/>
      <c r="L478" s="123"/>
      <c r="M478" s="108"/>
      <c r="N478" s="108"/>
      <c r="O478" s="108"/>
      <c r="P478" s="108"/>
      <c r="Q478" s="108"/>
      <c r="R478" s="108"/>
      <c r="S478" s="108"/>
      <c r="T478" s="108"/>
      <c r="U478" s="108"/>
      <c r="V478" s="108"/>
      <c r="W478" s="108"/>
      <c r="X478" s="108"/>
      <c r="Y478" s="108"/>
      <c r="Z478" s="108"/>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c r="BJ478" s="225"/>
      <c r="BK478" s="225"/>
    </row>
    <row r="479" spans="1:63" ht="12.75" hidden="1" customHeight="1" outlineLevel="1">
      <c r="A479" s="9"/>
      <c r="B479" s="46"/>
      <c r="C479" s="132">
        <f>Asset18</f>
        <v>0</v>
      </c>
      <c r="D479" s="9"/>
      <c r="E479" s="9"/>
      <c r="F479" s="143"/>
      <c r="G479" s="198">
        <f>Input!P24</f>
        <v>0</v>
      </c>
      <c r="H479" s="123"/>
      <c r="I479" s="123"/>
      <c r="J479" s="123"/>
      <c r="K479" s="123"/>
      <c r="L479" s="123"/>
      <c r="M479" s="108"/>
      <c r="N479" s="108"/>
      <c r="O479" s="108"/>
      <c r="P479" s="108"/>
      <c r="Q479" s="108"/>
      <c r="R479" s="108"/>
      <c r="S479" s="108"/>
      <c r="T479" s="108"/>
      <c r="U479" s="108"/>
      <c r="V479" s="108"/>
      <c r="W479" s="108"/>
      <c r="X479" s="108"/>
      <c r="Y479" s="108"/>
      <c r="Z479" s="108"/>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c r="BH479" s="219"/>
      <c r="BI479" s="219"/>
      <c r="BJ479" s="225"/>
      <c r="BK479" s="225"/>
    </row>
    <row r="480" spans="1:63" ht="12.75" hidden="1" customHeight="1" outlineLevel="1">
      <c r="A480" s="9"/>
      <c r="B480" s="46"/>
      <c r="C480" s="132">
        <f>Asset19</f>
        <v>0</v>
      </c>
      <c r="D480" s="9"/>
      <c r="E480" s="9"/>
      <c r="F480" s="143"/>
      <c r="G480" s="198">
        <f>Input!P25</f>
        <v>0</v>
      </c>
      <c r="H480" s="123"/>
      <c r="I480" s="123"/>
      <c r="J480" s="123"/>
      <c r="K480" s="123"/>
      <c r="L480" s="123"/>
      <c r="M480" s="108"/>
      <c r="N480" s="108"/>
      <c r="O480" s="108"/>
      <c r="P480" s="108"/>
      <c r="Q480" s="108"/>
      <c r="R480" s="108"/>
      <c r="S480" s="108"/>
      <c r="T480" s="108"/>
      <c r="U480" s="108"/>
      <c r="V480" s="108"/>
      <c r="W480" s="108"/>
      <c r="X480" s="108"/>
      <c r="Y480" s="108"/>
      <c r="Z480" s="108"/>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c r="BH480" s="219"/>
      <c r="BI480" s="219"/>
      <c r="BJ480" s="225"/>
      <c r="BK480" s="225"/>
    </row>
    <row r="481" spans="1:63" ht="12.75" hidden="1" customHeight="1" outlineLevel="1">
      <c r="A481" s="9"/>
      <c r="B481" s="46"/>
      <c r="C481" s="132">
        <f>Asset20</f>
        <v>0</v>
      </c>
      <c r="D481" s="9"/>
      <c r="E481" s="9"/>
      <c r="F481" s="143"/>
      <c r="G481" s="198">
        <f>Input!P26</f>
        <v>0</v>
      </c>
      <c r="H481" s="123"/>
      <c r="I481" s="123"/>
      <c r="J481" s="123"/>
      <c r="K481" s="123"/>
      <c r="L481" s="123"/>
      <c r="M481" s="108"/>
      <c r="N481" s="108"/>
      <c r="O481" s="108"/>
      <c r="P481" s="108"/>
      <c r="Q481" s="108"/>
      <c r="R481" s="108"/>
      <c r="S481" s="108"/>
      <c r="T481" s="108"/>
      <c r="U481" s="108"/>
      <c r="V481" s="108"/>
      <c r="W481" s="108"/>
      <c r="X481" s="108"/>
      <c r="Y481" s="108"/>
      <c r="Z481" s="108"/>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c r="BH481" s="219"/>
      <c r="BI481" s="219"/>
      <c r="BJ481" s="225"/>
      <c r="BK481" s="225"/>
    </row>
    <row r="482" spans="1:63" ht="12.75" hidden="1" customHeight="1" outlineLevel="1">
      <c r="A482" s="9"/>
      <c r="B482" s="46"/>
      <c r="C482" s="132">
        <f>Asset21</f>
        <v>0</v>
      </c>
      <c r="D482" s="9"/>
      <c r="E482" s="9"/>
      <c r="F482" s="143"/>
      <c r="G482" s="198">
        <f>Input!P27</f>
        <v>0</v>
      </c>
      <c r="H482" s="123"/>
      <c r="I482" s="123"/>
      <c r="J482" s="123"/>
      <c r="K482" s="123"/>
      <c r="L482" s="123"/>
      <c r="M482" s="108"/>
      <c r="N482" s="108"/>
      <c r="O482" s="108"/>
      <c r="P482" s="108"/>
      <c r="Q482" s="108"/>
      <c r="R482" s="108"/>
      <c r="S482" s="108"/>
      <c r="T482" s="108"/>
      <c r="U482" s="108"/>
      <c r="V482" s="108"/>
      <c r="W482" s="108"/>
      <c r="X482" s="108"/>
      <c r="Y482" s="108"/>
      <c r="Z482" s="108"/>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c r="BH482" s="219"/>
      <c r="BI482" s="219"/>
      <c r="BJ482" s="225"/>
      <c r="BK482" s="225"/>
    </row>
    <row r="483" spans="1:63" ht="12.75" hidden="1" customHeight="1" outlineLevel="1">
      <c r="A483" s="9"/>
      <c r="B483" s="46"/>
      <c r="C483" s="132">
        <f>Asset22</f>
        <v>0</v>
      </c>
      <c r="D483" s="9"/>
      <c r="E483" s="9"/>
      <c r="F483" s="143"/>
      <c r="G483" s="198">
        <f>Input!P28</f>
        <v>0</v>
      </c>
      <c r="H483" s="123"/>
      <c r="I483" s="123"/>
      <c r="J483" s="123"/>
      <c r="K483" s="123"/>
      <c r="L483" s="123"/>
      <c r="M483" s="108"/>
      <c r="N483" s="108"/>
      <c r="O483" s="108"/>
      <c r="P483" s="108"/>
      <c r="Q483" s="108"/>
      <c r="R483" s="108"/>
      <c r="S483" s="108"/>
      <c r="T483" s="108"/>
      <c r="U483" s="108"/>
      <c r="V483" s="108"/>
      <c r="W483" s="108"/>
      <c r="X483" s="108"/>
      <c r="Y483" s="108"/>
      <c r="Z483" s="108"/>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c r="BJ483" s="225"/>
      <c r="BK483" s="225"/>
    </row>
    <row r="484" spans="1:63" ht="12.75" hidden="1" customHeight="1" outlineLevel="1">
      <c r="A484" s="9"/>
      <c r="B484" s="46"/>
      <c r="C484" s="132">
        <f>Asset23</f>
        <v>0</v>
      </c>
      <c r="D484" s="9"/>
      <c r="E484" s="9"/>
      <c r="F484" s="143"/>
      <c r="G484" s="198">
        <f>Input!P29</f>
        <v>0</v>
      </c>
      <c r="H484" s="123"/>
      <c r="I484" s="123"/>
      <c r="J484" s="123"/>
      <c r="K484" s="123"/>
      <c r="L484" s="123"/>
      <c r="M484" s="108"/>
      <c r="N484" s="108"/>
      <c r="O484" s="108"/>
      <c r="P484" s="108"/>
      <c r="Q484" s="108"/>
      <c r="R484" s="108"/>
      <c r="S484" s="108"/>
      <c r="T484" s="108"/>
      <c r="U484" s="108"/>
      <c r="V484" s="108"/>
      <c r="W484" s="108"/>
      <c r="X484" s="108"/>
      <c r="Y484" s="108"/>
      <c r="Z484" s="108"/>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c r="BH484" s="219"/>
      <c r="BI484" s="219"/>
      <c r="BJ484" s="225"/>
      <c r="BK484" s="225"/>
    </row>
    <row r="485" spans="1:63" ht="12.75" hidden="1" customHeight="1" outlineLevel="1">
      <c r="A485" s="9"/>
      <c r="B485" s="46"/>
      <c r="C485" s="132">
        <f>Asset24</f>
        <v>0</v>
      </c>
      <c r="D485" s="9"/>
      <c r="E485" s="9"/>
      <c r="F485" s="143"/>
      <c r="G485" s="198">
        <f>Input!P30</f>
        <v>0</v>
      </c>
      <c r="H485" s="123"/>
      <c r="I485" s="123"/>
      <c r="J485" s="123"/>
      <c r="K485" s="123"/>
      <c r="L485" s="123"/>
      <c r="M485" s="108"/>
      <c r="N485" s="108"/>
      <c r="O485" s="108"/>
      <c r="P485" s="108"/>
      <c r="Q485" s="108"/>
      <c r="R485" s="108"/>
      <c r="S485" s="108"/>
      <c r="T485" s="108"/>
      <c r="U485" s="108"/>
      <c r="V485" s="108"/>
      <c r="W485" s="108"/>
      <c r="X485" s="108"/>
      <c r="Y485" s="108"/>
      <c r="Z485" s="108"/>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c r="BH485" s="219"/>
      <c r="BI485" s="219"/>
      <c r="BJ485" s="225"/>
      <c r="BK485" s="225"/>
    </row>
    <row r="486" spans="1:63" ht="12.75" hidden="1" customHeight="1" outlineLevel="1">
      <c r="A486" s="9"/>
      <c r="B486" s="46"/>
      <c r="C486" s="132">
        <f>Asset25</f>
        <v>0</v>
      </c>
      <c r="D486" s="9"/>
      <c r="E486" s="9"/>
      <c r="F486" s="143"/>
      <c r="G486" s="198">
        <f>Input!P31</f>
        <v>0</v>
      </c>
      <c r="H486" s="123"/>
      <c r="I486" s="123"/>
      <c r="J486" s="123"/>
      <c r="K486" s="123"/>
      <c r="L486" s="123"/>
      <c r="M486" s="108"/>
      <c r="N486" s="108"/>
      <c r="O486" s="108"/>
      <c r="P486" s="108"/>
      <c r="Q486" s="108"/>
      <c r="R486" s="108"/>
      <c r="S486" s="108"/>
      <c r="T486" s="108"/>
      <c r="U486" s="108"/>
      <c r="V486" s="108"/>
      <c r="W486" s="108"/>
      <c r="X486" s="108"/>
      <c r="Y486" s="108"/>
      <c r="Z486" s="108"/>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c r="BH486" s="219"/>
      <c r="BI486" s="219"/>
      <c r="BJ486" s="225"/>
      <c r="BK486" s="225"/>
    </row>
    <row r="487" spans="1:63" ht="12.75" hidden="1" customHeight="1" outlineLevel="1">
      <c r="A487" s="9"/>
      <c r="B487" s="46"/>
      <c r="C487" s="132">
        <f>Asset26</f>
        <v>0</v>
      </c>
      <c r="D487" s="9"/>
      <c r="E487" s="9"/>
      <c r="F487" s="143"/>
      <c r="G487" s="198">
        <f>Input!P32</f>
        <v>0</v>
      </c>
      <c r="H487" s="123"/>
      <c r="I487" s="123"/>
      <c r="J487" s="123"/>
      <c r="K487" s="123"/>
      <c r="L487" s="123"/>
      <c r="M487" s="108"/>
      <c r="N487" s="108"/>
      <c r="O487" s="108"/>
      <c r="P487" s="108"/>
      <c r="Q487" s="108"/>
      <c r="R487" s="108"/>
      <c r="S487" s="108"/>
      <c r="T487" s="108"/>
      <c r="U487" s="108"/>
      <c r="V487" s="108"/>
      <c r="W487" s="108"/>
      <c r="X487" s="108"/>
      <c r="Y487" s="108"/>
      <c r="Z487" s="108"/>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c r="BH487" s="219"/>
      <c r="BI487" s="219"/>
      <c r="BJ487" s="225"/>
      <c r="BK487" s="225"/>
    </row>
    <row r="488" spans="1:63" ht="12.75" hidden="1" customHeight="1" outlineLevel="1">
      <c r="A488" s="9"/>
      <c r="B488" s="46"/>
      <c r="C488" s="132">
        <f>Asset27</f>
        <v>0</v>
      </c>
      <c r="D488" s="9"/>
      <c r="E488" s="9"/>
      <c r="F488" s="143"/>
      <c r="G488" s="198">
        <f>Input!P33</f>
        <v>0</v>
      </c>
      <c r="H488" s="123"/>
      <c r="I488" s="123"/>
      <c r="J488" s="123"/>
      <c r="K488" s="123"/>
      <c r="L488" s="123"/>
      <c r="M488" s="108"/>
      <c r="N488" s="108"/>
      <c r="O488" s="108"/>
      <c r="P488" s="108"/>
      <c r="Q488" s="108"/>
      <c r="R488" s="108"/>
      <c r="S488" s="108"/>
      <c r="T488" s="108"/>
      <c r="U488" s="108"/>
      <c r="V488" s="108"/>
      <c r="W488" s="108"/>
      <c r="X488" s="108"/>
      <c r="Y488" s="108"/>
      <c r="Z488" s="108"/>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c r="BH488" s="219"/>
      <c r="BI488" s="219"/>
      <c r="BJ488" s="225"/>
      <c r="BK488" s="225"/>
    </row>
    <row r="489" spans="1:63" ht="12.75" hidden="1" customHeight="1" outlineLevel="1">
      <c r="A489" s="9"/>
      <c r="B489" s="46"/>
      <c r="C489" s="132">
        <f>Asset28</f>
        <v>0</v>
      </c>
      <c r="D489" s="9"/>
      <c r="E489" s="9"/>
      <c r="F489" s="143"/>
      <c r="G489" s="198">
        <f>Input!P34</f>
        <v>0</v>
      </c>
      <c r="H489" s="123"/>
      <c r="I489" s="123"/>
      <c r="J489" s="123"/>
      <c r="K489" s="123"/>
      <c r="L489" s="123"/>
      <c r="M489" s="108"/>
      <c r="N489" s="108"/>
      <c r="O489" s="108"/>
      <c r="P489" s="108"/>
      <c r="Q489" s="108"/>
      <c r="R489" s="108"/>
      <c r="S489" s="108"/>
      <c r="T489" s="108"/>
      <c r="U489" s="108"/>
      <c r="V489" s="108"/>
      <c r="W489" s="108"/>
      <c r="X489" s="108"/>
      <c r="Y489" s="108"/>
      <c r="Z489" s="108"/>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c r="BH489" s="219"/>
      <c r="BI489" s="219"/>
      <c r="BJ489" s="225"/>
      <c r="BK489" s="225"/>
    </row>
    <row r="490" spans="1:63" ht="12.75" hidden="1" customHeight="1" outlineLevel="1">
      <c r="A490" s="9"/>
      <c r="B490" s="46"/>
      <c r="C490" s="132">
        <f>Asset29</f>
        <v>0</v>
      </c>
      <c r="D490" s="9"/>
      <c r="E490" s="9"/>
      <c r="F490" s="143"/>
      <c r="G490" s="198">
        <f>Input!P35</f>
        <v>0</v>
      </c>
      <c r="H490" s="123"/>
      <c r="I490" s="123"/>
      <c r="J490" s="123"/>
      <c r="K490" s="123"/>
      <c r="L490" s="123"/>
      <c r="M490" s="108"/>
      <c r="N490" s="108"/>
      <c r="O490" s="108"/>
      <c r="P490" s="108"/>
      <c r="Q490" s="108"/>
      <c r="R490" s="108"/>
      <c r="S490" s="108"/>
      <c r="T490" s="108"/>
      <c r="U490" s="108"/>
      <c r="V490" s="108"/>
      <c r="W490" s="108"/>
      <c r="X490" s="108"/>
      <c r="Y490" s="108"/>
      <c r="Z490" s="108"/>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c r="BH490" s="219"/>
      <c r="BI490" s="219"/>
      <c r="BJ490" s="225"/>
      <c r="BK490" s="225"/>
    </row>
    <row r="491" spans="1:63" ht="12.75" hidden="1" customHeight="1" outlineLevel="1">
      <c r="A491" s="9"/>
      <c r="B491" s="46"/>
      <c r="C491" s="132">
        <f>Asset30</f>
        <v>0</v>
      </c>
      <c r="D491" s="9"/>
      <c r="E491" s="9"/>
      <c r="F491" s="143"/>
      <c r="G491" s="198">
        <f>Input!P36</f>
        <v>0</v>
      </c>
      <c r="H491" s="123"/>
      <c r="I491" s="123"/>
      <c r="J491" s="123"/>
      <c r="K491" s="123"/>
      <c r="L491" s="123"/>
      <c r="M491" s="108"/>
      <c r="N491" s="108"/>
      <c r="O491" s="108"/>
      <c r="P491" s="108"/>
      <c r="Q491" s="108"/>
      <c r="R491" s="108"/>
      <c r="S491" s="108"/>
      <c r="T491" s="108"/>
      <c r="U491" s="108"/>
      <c r="V491" s="108"/>
      <c r="W491" s="108"/>
      <c r="X491" s="108"/>
      <c r="Y491" s="108"/>
      <c r="Z491" s="108"/>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225"/>
      <c r="BK491" s="225"/>
    </row>
    <row r="492" spans="1:63" collapsed="1">
      <c r="A492" s="9"/>
      <c r="B492" s="46"/>
      <c r="C492" s="132"/>
      <c r="D492" s="9"/>
      <c r="E492" s="9"/>
      <c r="F492" s="143"/>
      <c r="G492" s="198"/>
      <c r="H492" s="123"/>
      <c r="I492" s="123"/>
      <c r="J492" s="123"/>
      <c r="K492" s="123"/>
      <c r="L492" s="123"/>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c r="BJ492" s="225"/>
      <c r="BK492" s="225"/>
    </row>
    <row r="493" spans="1:63">
      <c r="A493" s="9"/>
      <c r="B493" s="46" t="s">
        <v>62</v>
      </c>
      <c r="C493" s="132"/>
      <c r="D493" s="9"/>
      <c r="E493" s="9"/>
      <c r="F493" s="28"/>
      <c r="G493" s="202">
        <f>SUM(G494:G523)</f>
        <v>0</v>
      </c>
      <c r="H493" s="123"/>
      <c r="I493" s="123"/>
      <c r="J493" s="123"/>
      <c r="K493" s="123"/>
      <c r="L493" s="123"/>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c r="BJ493" s="225"/>
      <c r="BK493" s="225"/>
    </row>
    <row r="494" spans="1:63" ht="12.75" hidden="1" customHeight="1" outlineLevel="1">
      <c r="A494" s="9"/>
      <c r="B494" s="46"/>
      <c r="C494" s="132" t="str">
        <f>Asset1</f>
        <v>Opening Distribution Assets</v>
      </c>
      <c r="D494" s="9"/>
      <c r="E494" s="9"/>
      <c r="F494" s="28"/>
      <c r="G494" s="201">
        <f>Input!Q7</f>
        <v>0</v>
      </c>
      <c r="H494" s="123"/>
      <c r="I494" s="123"/>
      <c r="J494" s="123"/>
      <c r="K494" s="123"/>
      <c r="L494" s="123"/>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c r="BJ494" s="225"/>
      <c r="BK494" s="225"/>
    </row>
    <row r="495" spans="1:63" ht="12.75" hidden="1" customHeight="1" outlineLevel="1">
      <c r="A495" s="9"/>
      <c r="B495" s="46"/>
      <c r="C495" s="132" t="str">
        <f>Asset2</f>
        <v>Sub-transmission Overhead</v>
      </c>
      <c r="D495" s="9"/>
      <c r="E495" s="9"/>
      <c r="F495" s="28"/>
      <c r="G495" s="201">
        <f>Input!Q8</f>
        <v>0</v>
      </c>
      <c r="H495" s="123"/>
      <c r="I495" s="123"/>
      <c r="J495" s="123"/>
      <c r="K495" s="123"/>
      <c r="L495" s="123"/>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c r="BJ495" s="225"/>
      <c r="BK495" s="225"/>
    </row>
    <row r="496" spans="1:63" ht="12.75" hidden="1" customHeight="1" outlineLevel="1">
      <c r="A496" s="9"/>
      <c r="B496" s="46"/>
      <c r="C496" s="132" t="str">
        <f>Asset3</f>
        <v>Sub-transmission Underground</v>
      </c>
      <c r="D496" s="9"/>
      <c r="E496" s="9"/>
      <c r="F496" s="28"/>
      <c r="G496" s="201">
        <f>Input!Q9</f>
        <v>0</v>
      </c>
      <c r="H496" s="123"/>
      <c r="I496" s="123"/>
      <c r="J496" s="123"/>
      <c r="K496" s="123"/>
      <c r="L496" s="123"/>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c r="BJ496" s="225"/>
      <c r="BK496" s="225"/>
    </row>
    <row r="497" spans="1:63" ht="12.75" hidden="1" customHeight="1" outlineLevel="1">
      <c r="A497" s="9"/>
      <c r="B497" s="46"/>
      <c r="C497" s="132" t="str">
        <f>Asset4</f>
        <v>Zone Substation</v>
      </c>
      <c r="D497" s="9"/>
      <c r="E497" s="9"/>
      <c r="F497" s="28"/>
      <c r="G497" s="201">
        <f>Input!Q10</f>
        <v>0</v>
      </c>
      <c r="H497" s="123"/>
      <c r="I497" s="123"/>
      <c r="J497" s="123"/>
      <c r="K497" s="123"/>
      <c r="L497" s="123"/>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c r="BJ497" s="225"/>
      <c r="BK497" s="225"/>
    </row>
    <row r="498" spans="1:63" ht="12.75" hidden="1" customHeight="1" outlineLevel="1">
      <c r="A498" s="9"/>
      <c r="B498" s="46"/>
      <c r="C498" s="132" t="str">
        <f>Asset5</f>
        <v>Distribution Substations</v>
      </c>
      <c r="D498" s="9"/>
      <c r="E498" s="9"/>
      <c r="F498" s="28"/>
      <c r="G498" s="201">
        <f>Input!Q11</f>
        <v>0</v>
      </c>
      <c r="H498" s="123"/>
      <c r="I498" s="123"/>
      <c r="J498" s="123"/>
      <c r="K498" s="123"/>
      <c r="L498" s="123"/>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c r="BJ498" s="225"/>
      <c r="BK498" s="225"/>
    </row>
    <row r="499" spans="1:63" ht="12.75" hidden="1" customHeight="1" outlineLevel="1">
      <c r="A499" s="9"/>
      <c r="B499" s="46"/>
      <c r="C499" s="132" t="str">
        <f>Asset6</f>
        <v>Distribution Overhead Lines</v>
      </c>
      <c r="D499" s="9"/>
      <c r="E499" s="9"/>
      <c r="F499" s="28"/>
      <c r="G499" s="201">
        <f>Input!Q12</f>
        <v>0</v>
      </c>
      <c r="H499" s="123"/>
      <c r="I499" s="123"/>
      <c r="J499" s="123"/>
      <c r="K499" s="123"/>
      <c r="L499" s="123"/>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c r="BJ499" s="225"/>
      <c r="BK499" s="225"/>
    </row>
    <row r="500" spans="1:63" ht="12.75" hidden="1" customHeight="1" outlineLevel="1">
      <c r="A500" s="9"/>
      <c r="B500" s="46"/>
      <c r="C500" s="132" t="str">
        <f>Asset7</f>
        <v>Distribution Underground Lines</v>
      </c>
      <c r="D500" s="9"/>
      <c r="E500" s="9"/>
      <c r="F500" s="28"/>
      <c r="G500" s="201">
        <f>Input!Q13</f>
        <v>0</v>
      </c>
      <c r="H500" s="123"/>
      <c r="I500" s="123"/>
      <c r="J500" s="123"/>
      <c r="K500" s="123"/>
      <c r="L500" s="123"/>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c r="BJ500" s="225"/>
      <c r="BK500" s="225"/>
    </row>
    <row r="501" spans="1:63" ht="12.75" hidden="1" customHeight="1" outlineLevel="1">
      <c r="A501" s="9"/>
      <c r="B501" s="46"/>
      <c r="C501" s="132" t="str">
        <f>Asset8</f>
        <v>IT &amp; Communication Systems (Networks)</v>
      </c>
      <c r="D501" s="9"/>
      <c r="E501" s="9"/>
      <c r="F501" s="28"/>
      <c r="G501" s="201">
        <f>Input!Q14</f>
        <v>0</v>
      </c>
      <c r="H501" s="123"/>
      <c r="I501" s="123"/>
      <c r="J501" s="123"/>
      <c r="K501" s="123"/>
      <c r="L501" s="123"/>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c r="BJ501" s="225"/>
      <c r="BK501" s="225"/>
    </row>
    <row r="502" spans="1:63" ht="12.75" hidden="1" customHeight="1" outlineLevel="1">
      <c r="A502" s="9"/>
      <c r="B502" s="46"/>
      <c r="C502" s="132" t="str">
        <f>Asset9</f>
        <v>Motor Vehicles</v>
      </c>
      <c r="D502" s="9"/>
      <c r="E502" s="9"/>
      <c r="F502" s="28"/>
      <c r="G502" s="201">
        <f>Input!Q15</f>
        <v>0</v>
      </c>
      <c r="H502" s="123"/>
      <c r="I502" s="123"/>
      <c r="J502" s="123"/>
      <c r="K502" s="123"/>
      <c r="L502" s="123"/>
      <c r="M502" s="108"/>
      <c r="N502" s="108"/>
      <c r="O502" s="108"/>
      <c r="P502" s="108"/>
      <c r="Q502" s="108"/>
      <c r="R502" s="108"/>
      <c r="S502" s="108"/>
      <c r="T502" s="108"/>
      <c r="U502" s="108"/>
      <c r="V502" s="108"/>
      <c r="W502" s="108"/>
      <c r="X502" s="108"/>
      <c r="Y502" s="108"/>
      <c r="Z502" s="108"/>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c r="BH502" s="219"/>
      <c r="BI502" s="219"/>
      <c r="BJ502" s="225"/>
      <c r="BK502" s="225"/>
    </row>
    <row r="503" spans="1:63" ht="12.75" hidden="1" customHeight="1" outlineLevel="1">
      <c r="A503" s="9"/>
      <c r="B503" s="46"/>
      <c r="C503" s="132" t="str">
        <f>Asset10</f>
        <v>Other Non-System Assets (Networks)</v>
      </c>
      <c r="D503" s="9"/>
      <c r="E503" s="9"/>
      <c r="F503" s="28"/>
      <c r="G503" s="201">
        <f>Input!Q16</f>
        <v>0</v>
      </c>
      <c r="H503" s="123"/>
      <c r="I503" s="123"/>
      <c r="J503" s="123"/>
      <c r="K503" s="123"/>
      <c r="L503" s="123"/>
      <c r="M503" s="108"/>
      <c r="N503" s="108"/>
      <c r="O503" s="108"/>
      <c r="P503" s="108"/>
      <c r="Q503" s="108"/>
      <c r="R503" s="108"/>
      <c r="S503" s="108"/>
      <c r="T503" s="108"/>
      <c r="U503" s="108"/>
      <c r="V503" s="108"/>
      <c r="W503" s="108"/>
      <c r="X503" s="108"/>
      <c r="Y503" s="108"/>
      <c r="Z503" s="108"/>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c r="BH503" s="219"/>
      <c r="BI503" s="219"/>
      <c r="BJ503" s="225"/>
      <c r="BK503" s="225"/>
    </row>
    <row r="504" spans="1:63" ht="12.75" hidden="1" customHeight="1" outlineLevel="1">
      <c r="A504" s="9"/>
      <c r="B504" s="46"/>
      <c r="C504" s="132" t="str">
        <f>Asset11</f>
        <v>IT Systems (Corporate)</v>
      </c>
      <c r="D504" s="9"/>
      <c r="E504" s="9"/>
      <c r="F504" s="28"/>
      <c r="G504" s="201">
        <f>Input!Q17</f>
        <v>0</v>
      </c>
      <c r="H504" s="123"/>
      <c r="I504" s="123"/>
      <c r="J504" s="123"/>
      <c r="K504" s="123"/>
      <c r="L504" s="123"/>
      <c r="M504" s="108"/>
      <c r="N504" s="108"/>
      <c r="O504" s="108"/>
      <c r="P504" s="108"/>
      <c r="Q504" s="108"/>
      <c r="R504" s="108"/>
      <c r="S504" s="108"/>
      <c r="T504" s="108"/>
      <c r="U504" s="108"/>
      <c r="V504" s="108"/>
      <c r="W504" s="108"/>
      <c r="X504" s="108"/>
      <c r="Y504" s="108"/>
      <c r="Z504" s="108"/>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c r="BH504" s="219"/>
      <c r="BI504" s="219"/>
      <c r="BJ504" s="225"/>
      <c r="BK504" s="225"/>
    </row>
    <row r="505" spans="1:63" ht="12.75" hidden="1" customHeight="1" outlineLevel="1">
      <c r="A505" s="9"/>
      <c r="B505" s="46"/>
      <c r="C505" s="132" t="str">
        <f>Asset12</f>
        <v>Telecommunications (Corporate)</v>
      </c>
      <c r="D505" s="9"/>
      <c r="E505" s="9"/>
      <c r="F505" s="28"/>
      <c r="G505" s="201">
        <f>Input!Q18</f>
        <v>0</v>
      </c>
      <c r="H505" s="123"/>
      <c r="I505" s="123"/>
      <c r="J505" s="123"/>
      <c r="K505" s="123"/>
      <c r="L505" s="123"/>
      <c r="M505" s="108"/>
      <c r="N505" s="108"/>
      <c r="O505" s="108"/>
      <c r="P505" s="108"/>
      <c r="Q505" s="108"/>
      <c r="R505" s="108"/>
      <c r="S505" s="108"/>
      <c r="T505" s="108"/>
      <c r="U505" s="108"/>
      <c r="V505" s="108"/>
      <c r="W505" s="108"/>
      <c r="X505" s="108"/>
      <c r="Y505" s="108"/>
      <c r="Z505" s="108"/>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c r="BH505" s="219"/>
      <c r="BI505" s="219"/>
      <c r="BJ505" s="225"/>
      <c r="BK505" s="225"/>
    </row>
    <row r="506" spans="1:63" ht="12.75" hidden="1" customHeight="1" outlineLevel="1">
      <c r="A506" s="9"/>
      <c r="B506" s="46"/>
      <c r="C506" s="132" t="str">
        <f>Asset13</f>
        <v>Other Non-System Assets (Corporate)</v>
      </c>
      <c r="D506" s="9"/>
      <c r="E506" s="9"/>
      <c r="F506" s="28"/>
      <c r="G506" s="201">
        <f>Input!Q19</f>
        <v>0</v>
      </c>
      <c r="H506" s="123"/>
      <c r="I506" s="123"/>
      <c r="J506" s="123"/>
      <c r="K506" s="123"/>
      <c r="L506" s="123"/>
      <c r="M506" s="108"/>
      <c r="N506" s="108"/>
      <c r="O506" s="108"/>
      <c r="P506" s="108"/>
      <c r="Q506" s="108"/>
      <c r="R506" s="108"/>
      <c r="S506" s="108"/>
      <c r="T506" s="108"/>
      <c r="U506" s="108"/>
      <c r="V506" s="108"/>
      <c r="W506" s="108"/>
      <c r="X506" s="108"/>
      <c r="Y506" s="108"/>
      <c r="Z506" s="108"/>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c r="BJ506" s="225"/>
      <c r="BK506" s="225"/>
    </row>
    <row r="507" spans="1:63" ht="12.75" hidden="1" customHeight="1" outlineLevel="1">
      <c r="A507" s="9"/>
      <c r="B507" s="46"/>
      <c r="C507" s="132" t="str">
        <f>Asset14</f>
        <v>Land</v>
      </c>
      <c r="D507" s="9"/>
      <c r="E507" s="9"/>
      <c r="F507" s="28"/>
      <c r="G507" s="201">
        <f>Input!Q20</f>
        <v>0</v>
      </c>
      <c r="H507" s="123"/>
      <c r="I507" s="123"/>
      <c r="J507" s="123"/>
      <c r="K507" s="123"/>
      <c r="L507" s="123"/>
      <c r="M507" s="108"/>
      <c r="N507" s="108"/>
      <c r="O507" s="108"/>
      <c r="P507" s="108"/>
      <c r="Q507" s="108"/>
      <c r="R507" s="108"/>
      <c r="S507" s="108"/>
      <c r="T507" s="108"/>
      <c r="U507" s="108"/>
      <c r="V507" s="108"/>
      <c r="W507" s="108"/>
      <c r="X507" s="108"/>
      <c r="Y507" s="108"/>
      <c r="Z507" s="108"/>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c r="BH507" s="219"/>
      <c r="BI507" s="219"/>
      <c r="BJ507" s="225"/>
      <c r="BK507" s="225"/>
    </row>
    <row r="508" spans="1:63" ht="12.75" hidden="1" customHeight="1" outlineLevel="1">
      <c r="A508" s="9"/>
      <c r="B508" s="46"/>
      <c r="C508" s="132" t="str">
        <f>Asset15</f>
        <v>Buildings</v>
      </c>
      <c r="D508" s="9"/>
      <c r="E508" s="9"/>
      <c r="F508" s="28"/>
      <c r="G508" s="201">
        <f>Input!Q21</f>
        <v>0</v>
      </c>
      <c r="H508" s="123"/>
      <c r="I508" s="123"/>
      <c r="J508" s="123"/>
      <c r="K508" s="123"/>
      <c r="L508" s="123"/>
      <c r="M508" s="108"/>
      <c r="N508" s="108"/>
      <c r="O508" s="108"/>
      <c r="P508" s="108"/>
      <c r="Q508" s="108"/>
      <c r="R508" s="108"/>
      <c r="S508" s="108"/>
      <c r="T508" s="108"/>
      <c r="U508" s="108"/>
      <c r="V508" s="108"/>
      <c r="W508" s="108"/>
      <c r="X508" s="108"/>
      <c r="Y508" s="108"/>
      <c r="Z508" s="108"/>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c r="BH508" s="219"/>
      <c r="BI508" s="219"/>
      <c r="BJ508" s="225"/>
      <c r="BK508" s="225"/>
    </row>
    <row r="509" spans="1:63" ht="12.75" hidden="1" customHeight="1" outlineLevel="1">
      <c r="A509" s="9"/>
      <c r="B509" s="46"/>
      <c r="C509" s="132" t="str">
        <f>Asset16</f>
        <v>Equity raising costs</v>
      </c>
      <c r="D509" s="9"/>
      <c r="E509" s="9"/>
      <c r="F509" s="28"/>
      <c r="G509" s="201">
        <f>Input!Q22</f>
        <v>0</v>
      </c>
      <c r="H509" s="123"/>
      <c r="I509" s="123"/>
      <c r="J509" s="123"/>
      <c r="K509" s="123"/>
      <c r="L509" s="123"/>
      <c r="M509" s="108"/>
      <c r="N509" s="108"/>
      <c r="O509" s="108"/>
      <c r="P509" s="108"/>
      <c r="Q509" s="108"/>
      <c r="R509" s="108"/>
      <c r="S509" s="108"/>
      <c r="T509" s="108"/>
      <c r="U509" s="108"/>
      <c r="V509" s="108"/>
      <c r="W509" s="108"/>
      <c r="X509" s="108"/>
      <c r="Y509" s="108"/>
      <c r="Z509" s="108"/>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c r="BH509" s="219"/>
      <c r="BI509" s="219"/>
      <c r="BJ509" s="225"/>
      <c r="BK509" s="225"/>
    </row>
    <row r="510" spans="1:63" ht="12.75" hidden="1" customHeight="1" outlineLevel="1">
      <c r="A510" s="9"/>
      <c r="B510" s="46"/>
      <c r="C510" s="132">
        <f>Asset17</f>
        <v>0</v>
      </c>
      <c r="D510" s="9"/>
      <c r="E510" s="9"/>
      <c r="F510" s="28"/>
      <c r="G510" s="201">
        <f>Input!Q23</f>
        <v>0</v>
      </c>
      <c r="H510" s="123"/>
      <c r="I510" s="123"/>
      <c r="J510" s="123"/>
      <c r="K510" s="123"/>
      <c r="L510" s="123"/>
      <c r="M510" s="108"/>
      <c r="N510" s="108"/>
      <c r="O510" s="108"/>
      <c r="P510" s="108"/>
      <c r="Q510" s="108"/>
      <c r="R510" s="108"/>
      <c r="S510" s="108"/>
      <c r="T510" s="108"/>
      <c r="U510" s="108"/>
      <c r="V510" s="108"/>
      <c r="W510" s="108"/>
      <c r="X510" s="108"/>
      <c r="Y510" s="108"/>
      <c r="Z510" s="108"/>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25"/>
      <c r="BK510" s="225"/>
    </row>
    <row r="511" spans="1:63" ht="12.75" hidden="1" customHeight="1" outlineLevel="1">
      <c r="A511" s="9"/>
      <c r="B511" s="46"/>
      <c r="C511" s="132">
        <f>Asset18</f>
        <v>0</v>
      </c>
      <c r="D511" s="9"/>
      <c r="E511" s="9"/>
      <c r="F511" s="28"/>
      <c r="G511" s="201">
        <f>Input!Q24</f>
        <v>0</v>
      </c>
      <c r="H511" s="123"/>
      <c r="I511" s="123"/>
      <c r="J511" s="123"/>
      <c r="K511" s="123"/>
      <c r="L511" s="123"/>
      <c r="M511" s="108"/>
      <c r="N511" s="108"/>
      <c r="O511" s="108"/>
      <c r="P511" s="108"/>
      <c r="Q511" s="108"/>
      <c r="R511" s="108"/>
      <c r="S511" s="108"/>
      <c r="T511" s="108"/>
      <c r="U511" s="108"/>
      <c r="V511" s="108"/>
      <c r="W511" s="108"/>
      <c r="X511" s="108"/>
      <c r="Y511" s="108"/>
      <c r="Z511" s="108"/>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c r="AZ511" s="219"/>
      <c r="BA511" s="219"/>
      <c r="BB511" s="219"/>
      <c r="BC511" s="219"/>
      <c r="BD511" s="219"/>
      <c r="BE511" s="219"/>
      <c r="BF511" s="219"/>
      <c r="BG511" s="219"/>
      <c r="BH511" s="219"/>
      <c r="BI511" s="219"/>
      <c r="BJ511" s="225"/>
      <c r="BK511" s="225"/>
    </row>
    <row r="512" spans="1:63" ht="12.75" hidden="1" customHeight="1" outlineLevel="1">
      <c r="A512" s="9"/>
      <c r="B512" s="46"/>
      <c r="C512" s="132">
        <f>Asset19</f>
        <v>0</v>
      </c>
      <c r="D512" s="9"/>
      <c r="E512" s="9"/>
      <c r="F512" s="28"/>
      <c r="G512" s="201">
        <f>Input!Q25</f>
        <v>0</v>
      </c>
      <c r="H512" s="123"/>
      <c r="I512" s="123"/>
      <c r="J512" s="123"/>
      <c r="K512" s="123"/>
      <c r="L512" s="123"/>
      <c r="M512" s="108"/>
      <c r="N512" s="108"/>
      <c r="O512" s="108"/>
      <c r="P512" s="108"/>
      <c r="Q512" s="108"/>
      <c r="R512" s="108"/>
      <c r="S512" s="108"/>
      <c r="T512" s="108"/>
      <c r="U512" s="108"/>
      <c r="V512" s="108"/>
      <c r="W512" s="108"/>
      <c r="X512" s="108"/>
      <c r="Y512" s="108"/>
      <c r="Z512" s="108"/>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c r="AZ512" s="219"/>
      <c r="BA512" s="219"/>
      <c r="BB512" s="219"/>
      <c r="BC512" s="219"/>
      <c r="BD512" s="219"/>
      <c r="BE512" s="219"/>
      <c r="BF512" s="219"/>
      <c r="BG512" s="219"/>
      <c r="BH512" s="219"/>
      <c r="BI512" s="219"/>
      <c r="BJ512" s="225"/>
      <c r="BK512" s="225"/>
    </row>
    <row r="513" spans="1:63" ht="12.75" hidden="1" customHeight="1" outlineLevel="1">
      <c r="A513" s="9"/>
      <c r="B513" s="46"/>
      <c r="C513" s="132">
        <f>Asset20</f>
        <v>0</v>
      </c>
      <c r="D513" s="9"/>
      <c r="E513" s="9"/>
      <c r="F513" s="28"/>
      <c r="G513" s="201">
        <f>Input!Q26</f>
        <v>0</v>
      </c>
      <c r="H513" s="123"/>
      <c r="I513" s="123"/>
      <c r="J513" s="123"/>
      <c r="K513" s="123"/>
      <c r="L513" s="123"/>
      <c r="M513" s="108"/>
      <c r="N513" s="108"/>
      <c r="O513" s="108"/>
      <c r="P513" s="108"/>
      <c r="Q513" s="108"/>
      <c r="R513" s="108"/>
      <c r="S513" s="108"/>
      <c r="T513" s="108"/>
      <c r="U513" s="108"/>
      <c r="V513" s="108"/>
      <c r="W513" s="108"/>
      <c r="X513" s="108"/>
      <c r="Y513" s="108"/>
      <c r="Z513" s="108"/>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c r="AZ513" s="219"/>
      <c r="BA513" s="219"/>
      <c r="BB513" s="219"/>
      <c r="BC513" s="219"/>
      <c r="BD513" s="219"/>
      <c r="BE513" s="219"/>
      <c r="BF513" s="219"/>
      <c r="BG513" s="219"/>
      <c r="BH513" s="219"/>
      <c r="BI513" s="219"/>
      <c r="BJ513" s="225"/>
      <c r="BK513" s="225"/>
    </row>
    <row r="514" spans="1:63" ht="12.75" hidden="1" customHeight="1" outlineLevel="1">
      <c r="A514" s="9"/>
      <c r="B514" s="46"/>
      <c r="C514" s="132">
        <f>Asset21</f>
        <v>0</v>
      </c>
      <c r="D514" s="9"/>
      <c r="E514" s="9"/>
      <c r="F514" s="28"/>
      <c r="G514" s="201">
        <f>Input!Q27</f>
        <v>0</v>
      </c>
      <c r="H514" s="123"/>
      <c r="I514" s="123"/>
      <c r="J514" s="123"/>
      <c r="K514" s="123"/>
      <c r="L514" s="123"/>
      <c r="M514" s="108"/>
      <c r="N514" s="108"/>
      <c r="O514" s="108"/>
      <c r="P514" s="108"/>
      <c r="Q514" s="108"/>
      <c r="R514" s="108"/>
      <c r="S514" s="108"/>
      <c r="T514" s="108"/>
      <c r="U514" s="108"/>
      <c r="V514" s="108"/>
      <c r="W514" s="108"/>
      <c r="X514" s="108"/>
      <c r="Y514" s="108"/>
      <c r="Z514" s="108"/>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c r="AZ514" s="219"/>
      <c r="BA514" s="219"/>
      <c r="BB514" s="219"/>
      <c r="BC514" s="219"/>
      <c r="BD514" s="219"/>
      <c r="BE514" s="219"/>
      <c r="BF514" s="219"/>
      <c r="BG514" s="219"/>
      <c r="BH514" s="219"/>
      <c r="BI514" s="219"/>
      <c r="BJ514" s="225"/>
      <c r="BK514" s="225"/>
    </row>
    <row r="515" spans="1:63" ht="12.75" hidden="1" customHeight="1" outlineLevel="1">
      <c r="A515" s="9"/>
      <c r="B515" s="46"/>
      <c r="C515" s="132">
        <f>Asset22</f>
        <v>0</v>
      </c>
      <c r="D515" s="9"/>
      <c r="E515" s="9"/>
      <c r="F515" s="28"/>
      <c r="G515" s="201">
        <f>Input!Q28</f>
        <v>0</v>
      </c>
      <c r="H515" s="123"/>
      <c r="I515" s="123"/>
      <c r="J515" s="123"/>
      <c r="K515" s="123"/>
      <c r="L515" s="123"/>
      <c r="M515" s="108"/>
      <c r="N515" s="108"/>
      <c r="O515" s="108"/>
      <c r="P515" s="108"/>
      <c r="Q515" s="108"/>
      <c r="R515" s="108"/>
      <c r="S515" s="108"/>
      <c r="T515" s="108"/>
      <c r="U515" s="108"/>
      <c r="V515" s="108"/>
      <c r="W515" s="108"/>
      <c r="X515" s="108"/>
      <c r="Y515" s="108"/>
      <c r="Z515" s="108"/>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9"/>
      <c r="BE515" s="219"/>
      <c r="BF515" s="219"/>
      <c r="BG515" s="219"/>
      <c r="BH515" s="219"/>
      <c r="BI515" s="219"/>
      <c r="BJ515" s="225"/>
      <c r="BK515" s="225"/>
    </row>
    <row r="516" spans="1:63" ht="12.75" hidden="1" customHeight="1" outlineLevel="1">
      <c r="A516" s="9"/>
      <c r="B516" s="46"/>
      <c r="C516" s="132">
        <f>Asset23</f>
        <v>0</v>
      </c>
      <c r="D516" s="9"/>
      <c r="E516" s="9"/>
      <c r="F516" s="28"/>
      <c r="G516" s="201">
        <f>Input!Q29</f>
        <v>0</v>
      </c>
      <c r="H516" s="123"/>
      <c r="I516" s="123"/>
      <c r="J516" s="123"/>
      <c r="K516" s="123"/>
      <c r="L516" s="123"/>
      <c r="M516" s="108"/>
      <c r="N516" s="108"/>
      <c r="O516" s="108"/>
      <c r="P516" s="108"/>
      <c r="Q516" s="108"/>
      <c r="R516" s="108"/>
      <c r="S516" s="108"/>
      <c r="T516" s="108"/>
      <c r="U516" s="108"/>
      <c r="V516" s="108"/>
      <c r="W516" s="108"/>
      <c r="X516" s="108"/>
      <c r="Y516" s="108"/>
      <c r="Z516" s="108"/>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9"/>
      <c r="BE516" s="219"/>
      <c r="BF516" s="219"/>
      <c r="BG516" s="219"/>
      <c r="BH516" s="219"/>
      <c r="BI516" s="219"/>
      <c r="BJ516" s="225"/>
      <c r="BK516" s="225"/>
    </row>
    <row r="517" spans="1:63" ht="12.75" hidden="1" customHeight="1" outlineLevel="1">
      <c r="A517" s="9"/>
      <c r="B517" s="46"/>
      <c r="C517" s="132">
        <f>Asset24</f>
        <v>0</v>
      </c>
      <c r="D517" s="9"/>
      <c r="E517" s="9"/>
      <c r="F517" s="28"/>
      <c r="G517" s="201">
        <f>Input!Q30</f>
        <v>0</v>
      </c>
      <c r="H517" s="123"/>
      <c r="I517" s="123"/>
      <c r="J517" s="123"/>
      <c r="K517" s="123"/>
      <c r="L517" s="123"/>
      <c r="M517" s="108"/>
      <c r="N517" s="108"/>
      <c r="O517" s="108"/>
      <c r="P517" s="108"/>
      <c r="Q517" s="108"/>
      <c r="R517" s="108"/>
      <c r="S517" s="108"/>
      <c r="T517" s="108"/>
      <c r="U517" s="108"/>
      <c r="V517" s="108"/>
      <c r="W517" s="108"/>
      <c r="X517" s="108"/>
      <c r="Y517" s="108"/>
      <c r="Z517" s="108"/>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c r="AZ517" s="219"/>
      <c r="BA517" s="219"/>
      <c r="BB517" s="219"/>
      <c r="BC517" s="219"/>
      <c r="BD517" s="219"/>
      <c r="BE517" s="219"/>
      <c r="BF517" s="219"/>
      <c r="BG517" s="219"/>
      <c r="BH517" s="219"/>
      <c r="BI517" s="219"/>
      <c r="BJ517" s="225"/>
      <c r="BK517" s="225"/>
    </row>
    <row r="518" spans="1:63" ht="12.75" hidden="1" customHeight="1" outlineLevel="1">
      <c r="A518" s="9"/>
      <c r="B518" s="46"/>
      <c r="C518" s="132">
        <f>Asset25</f>
        <v>0</v>
      </c>
      <c r="D518" s="9"/>
      <c r="E518" s="9"/>
      <c r="F518" s="28"/>
      <c r="G518" s="201">
        <f>Input!Q31</f>
        <v>0</v>
      </c>
      <c r="H518" s="123"/>
      <c r="I518" s="123"/>
      <c r="J518" s="123"/>
      <c r="K518" s="123"/>
      <c r="L518" s="123"/>
      <c r="M518" s="108"/>
      <c r="N518" s="108"/>
      <c r="O518" s="108"/>
      <c r="P518" s="108"/>
      <c r="Q518" s="108"/>
      <c r="R518" s="108"/>
      <c r="S518" s="108"/>
      <c r="T518" s="108"/>
      <c r="U518" s="108"/>
      <c r="V518" s="108"/>
      <c r="W518" s="108"/>
      <c r="X518" s="108"/>
      <c r="Y518" s="108"/>
      <c r="Z518" s="108"/>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c r="AZ518" s="219"/>
      <c r="BA518" s="219"/>
      <c r="BB518" s="219"/>
      <c r="BC518" s="219"/>
      <c r="BD518" s="219"/>
      <c r="BE518" s="219"/>
      <c r="BF518" s="219"/>
      <c r="BG518" s="219"/>
      <c r="BH518" s="219"/>
      <c r="BI518" s="219"/>
      <c r="BJ518" s="225"/>
      <c r="BK518" s="225"/>
    </row>
    <row r="519" spans="1:63" ht="12.75" hidden="1" customHeight="1" outlineLevel="1">
      <c r="A519" s="9"/>
      <c r="B519" s="46"/>
      <c r="C519" s="132">
        <f>Asset26</f>
        <v>0</v>
      </c>
      <c r="D519" s="9"/>
      <c r="E519" s="9"/>
      <c r="F519" s="28"/>
      <c r="G519" s="201">
        <f>Input!Q32</f>
        <v>0</v>
      </c>
      <c r="H519" s="123"/>
      <c r="I519" s="123"/>
      <c r="J519" s="123"/>
      <c r="K519" s="123"/>
      <c r="L519" s="123"/>
      <c r="M519" s="108"/>
      <c r="N519" s="108"/>
      <c r="O519" s="108"/>
      <c r="P519" s="108"/>
      <c r="Q519" s="108"/>
      <c r="R519" s="108"/>
      <c r="S519" s="108"/>
      <c r="T519" s="108"/>
      <c r="U519" s="108"/>
      <c r="V519" s="108"/>
      <c r="W519" s="108"/>
      <c r="X519" s="108"/>
      <c r="Y519" s="108"/>
      <c r="Z519" s="108"/>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c r="BH519" s="219"/>
      <c r="BI519" s="219"/>
      <c r="BJ519" s="225"/>
      <c r="BK519" s="225"/>
    </row>
    <row r="520" spans="1:63" ht="12.75" hidden="1" customHeight="1" outlineLevel="1">
      <c r="A520" s="9"/>
      <c r="B520" s="46"/>
      <c r="C520" s="132">
        <f>Asset27</f>
        <v>0</v>
      </c>
      <c r="D520" s="9"/>
      <c r="E520" s="9"/>
      <c r="F520" s="28"/>
      <c r="G520" s="201">
        <f>Input!Q33</f>
        <v>0</v>
      </c>
      <c r="H520" s="123"/>
      <c r="I520" s="123"/>
      <c r="J520" s="123"/>
      <c r="K520" s="123"/>
      <c r="L520" s="123"/>
      <c r="M520" s="108"/>
      <c r="N520" s="108"/>
      <c r="O520" s="108"/>
      <c r="P520" s="108"/>
      <c r="Q520" s="108"/>
      <c r="R520" s="108"/>
      <c r="S520" s="108"/>
      <c r="T520" s="108"/>
      <c r="U520" s="108"/>
      <c r="V520" s="108"/>
      <c r="W520" s="108"/>
      <c r="X520" s="108"/>
      <c r="Y520" s="108"/>
      <c r="Z520" s="108"/>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c r="AZ520" s="219"/>
      <c r="BA520" s="219"/>
      <c r="BB520" s="219"/>
      <c r="BC520" s="219"/>
      <c r="BD520" s="219"/>
      <c r="BE520" s="219"/>
      <c r="BF520" s="219"/>
      <c r="BG520" s="219"/>
      <c r="BH520" s="219"/>
      <c r="BI520" s="219"/>
      <c r="BJ520" s="225"/>
      <c r="BK520" s="225"/>
    </row>
    <row r="521" spans="1:63" ht="12.75" hidden="1" customHeight="1" outlineLevel="1">
      <c r="A521" s="9"/>
      <c r="B521" s="46"/>
      <c r="C521" s="132">
        <f>Asset28</f>
        <v>0</v>
      </c>
      <c r="D521" s="9"/>
      <c r="E521" s="9"/>
      <c r="F521" s="28"/>
      <c r="G521" s="201">
        <f>Input!Q34</f>
        <v>0</v>
      </c>
      <c r="H521" s="123"/>
      <c r="I521" s="123"/>
      <c r="J521" s="123"/>
      <c r="K521" s="123"/>
      <c r="L521" s="123"/>
      <c r="M521" s="108"/>
      <c r="N521" s="108"/>
      <c r="O521" s="108"/>
      <c r="P521" s="108"/>
      <c r="Q521" s="108"/>
      <c r="R521" s="108"/>
      <c r="S521" s="108"/>
      <c r="T521" s="108"/>
      <c r="U521" s="108"/>
      <c r="V521" s="108"/>
      <c r="W521" s="108"/>
      <c r="X521" s="108"/>
      <c r="Y521" s="108"/>
      <c r="Z521" s="108"/>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19"/>
      <c r="BB521" s="219"/>
      <c r="BC521" s="219"/>
      <c r="BD521" s="219"/>
      <c r="BE521" s="219"/>
      <c r="BF521" s="219"/>
      <c r="BG521" s="219"/>
      <c r="BH521" s="219"/>
      <c r="BI521" s="219"/>
      <c r="BJ521" s="225"/>
      <c r="BK521" s="225"/>
    </row>
    <row r="522" spans="1:63" ht="12.75" hidden="1" customHeight="1" outlineLevel="1">
      <c r="A522" s="9"/>
      <c r="B522" s="46"/>
      <c r="C522" s="132">
        <f>Asset29</f>
        <v>0</v>
      </c>
      <c r="D522" s="9"/>
      <c r="E522" s="9"/>
      <c r="F522" s="28"/>
      <c r="G522" s="201">
        <f>Input!Q35</f>
        <v>0</v>
      </c>
      <c r="H522" s="123"/>
      <c r="I522" s="123"/>
      <c r="J522" s="123"/>
      <c r="K522" s="123"/>
      <c r="L522" s="123"/>
      <c r="M522" s="108"/>
      <c r="N522" s="108"/>
      <c r="O522" s="108"/>
      <c r="P522" s="108"/>
      <c r="Q522" s="108"/>
      <c r="R522" s="108"/>
      <c r="S522" s="108"/>
      <c r="T522" s="108"/>
      <c r="U522" s="108"/>
      <c r="V522" s="108"/>
      <c r="W522" s="108"/>
      <c r="X522" s="108"/>
      <c r="Y522" s="108"/>
      <c r="Z522" s="108"/>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c r="AZ522" s="219"/>
      <c r="BA522" s="219"/>
      <c r="BB522" s="219"/>
      <c r="BC522" s="219"/>
      <c r="BD522" s="219"/>
      <c r="BE522" s="219"/>
      <c r="BF522" s="219"/>
      <c r="BG522" s="219"/>
      <c r="BH522" s="219"/>
      <c r="BI522" s="219"/>
      <c r="BJ522" s="225"/>
      <c r="BK522" s="225"/>
    </row>
    <row r="523" spans="1:63" ht="12.75" hidden="1" customHeight="1" outlineLevel="1">
      <c r="A523" s="9"/>
      <c r="B523" s="46"/>
      <c r="C523" s="132">
        <f>Asset30</f>
        <v>0</v>
      </c>
      <c r="D523" s="9"/>
      <c r="E523" s="9"/>
      <c r="F523" s="28"/>
      <c r="G523" s="201">
        <f>Input!Q36</f>
        <v>0</v>
      </c>
      <c r="H523" s="123"/>
      <c r="I523" s="123"/>
      <c r="J523" s="123"/>
      <c r="K523" s="123"/>
      <c r="L523" s="123"/>
      <c r="M523" s="108"/>
      <c r="N523" s="108"/>
      <c r="O523" s="108"/>
      <c r="P523" s="108"/>
      <c r="Q523" s="108"/>
      <c r="R523" s="108"/>
      <c r="S523" s="108"/>
      <c r="T523" s="108"/>
      <c r="U523" s="108"/>
      <c r="V523" s="108"/>
      <c r="W523" s="108"/>
      <c r="X523" s="108"/>
      <c r="Y523" s="108"/>
      <c r="Z523" s="108"/>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9"/>
      <c r="BE523" s="219"/>
      <c r="BF523" s="219"/>
      <c r="BG523" s="219"/>
      <c r="BH523" s="219"/>
      <c r="BI523" s="219"/>
      <c r="BJ523" s="225"/>
      <c r="BK523" s="225"/>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9"/>
      <c r="BE524" s="219"/>
      <c r="BF524" s="219"/>
      <c r="BG524" s="219"/>
      <c r="BH524" s="219"/>
      <c r="BI524" s="219"/>
      <c r="BJ524" s="225"/>
      <c r="BK524" s="225"/>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row>
    <row r="570" spans="1:63">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row>
    <row r="571" spans="1:63">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row>
    <row r="572" spans="1:63">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row>
    <row r="573" spans="1:63">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row>
    <row r="574" spans="1:63">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row>
    <row r="575" spans="1:63">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row>
    <row r="576" spans="1:63">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row>
    <row r="577" spans="1:7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row>
    <row r="578" spans="1:7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row>
    <row r="579" spans="1:7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row>
    <row r="580" spans="1:7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row>
    <row r="581" spans="1:7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row>
    <row r="582" spans="1:7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row>
    <row r="583" spans="1:7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row>
    <row r="584" spans="1:7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row>
    <row r="585" spans="1:7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row>
    <row r="586" spans="1:7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row>
    <row r="587" spans="1:7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row>
    <row r="588" spans="1:7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row>
    <row r="589" spans="1:7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row>
    <row r="590" spans="1:7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row>
    <row r="591" spans="1:7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row>
    <row r="592" spans="1:7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row>
    <row r="593" spans="1:7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row>
    <row r="594" spans="1:7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row>
    <row r="595" spans="1:7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row>
    <row r="596" spans="1:7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row>
    <row r="597" spans="1:7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row>
    <row r="598" spans="1:7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row>
    <row r="599" spans="1:7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row>
    <row r="600" spans="1:7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row>
    <row r="601" spans="1:7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row>
    <row r="602" spans="1:7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row>
    <row r="603" spans="1:7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row>
    <row r="604" spans="1:7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row>
    <row r="605" spans="1:7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row>
    <row r="606" spans="1:7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row>
    <row r="607" spans="1:7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row>
    <row r="608" spans="1:7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row>
    <row r="609" spans="1:7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row>
    <row r="610" spans="1:7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row>
    <row r="611" spans="1:7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row>
    <row r="612" spans="1:7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row>
    <row r="613" spans="1:7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row>
    <row r="614" spans="1:7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row>
    <row r="615" spans="1:7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row>
    <row r="616" spans="1:7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row>
    <row r="617" spans="1:7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row>
    <row r="618" spans="1:7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row>
    <row r="619" spans="1:7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row>
    <row r="620" spans="1:7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row>
    <row r="621" spans="1:7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row>
    <row r="622" spans="1:7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row>
    <row r="623" spans="1:7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row>
    <row r="624" spans="1:7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row>
    <row r="625" spans="1:7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row>
    <row r="626" spans="1:7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row>
    <row r="627" spans="1:7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row>
    <row r="628" spans="1:7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row>
    <row r="629" spans="1:7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row>
    <row r="630" spans="1:7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row>
    <row r="631" spans="1:7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row>
    <row r="632" spans="1:7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row>
    <row r="633" spans="1:7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row>
    <row r="634" spans="1:7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row>
    <row r="635" spans="1:7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row>
    <row r="636" spans="1:7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row>
    <row r="637" spans="1:7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row>
    <row r="638" spans="1:7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row>
    <row r="639" spans="1:7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row>
    <row r="640" spans="1:7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row>
    <row r="641" spans="1:7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row>
    <row r="642" spans="1:7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row>
    <row r="643" spans="1:7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row>
    <row r="644" spans="1:7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row>
    <row r="645" spans="1:7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row>
    <row r="646" spans="1:7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row>
    <row r="647" spans="1:7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row>
    <row r="648" spans="1:7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row>
    <row r="649" spans="1:7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row>
    <row r="650" spans="1:7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row>
    <row r="651" spans="1:7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row>
    <row r="652" spans="1:7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row>
    <row r="653" spans="1:7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row>
    <row r="654" spans="1:7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row>
    <row r="655" spans="1:7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row>
    <row r="656" spans="1:7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row>
    <row r="657" spans="1:7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row>
    <row r="658" spans="1:7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row>
    <row r="659" spans="1:7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row>
    <row r="660" spans="1:7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row>
    <row r="661" spans="1:7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row>
    <row r="662" spans="1:7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row>
    <row r="663" spans="1:7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row>
    <row r="664" spans="1:7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row>
    <row r="665" spans="1:7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row>
    <row r="666" spans="1:7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row>
    <row r="667" spans="1:7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row>
    <row r="668" spans="1:7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row>
    <row r="669" spans="1:7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row>
    <row r="670" spans="1:7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row>
    <row r="671" spans="1:7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row>
    <row r="672" spans="1:7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BH672" s="192"/>
      <c r="BI672" s="192"/>
      <c r="BJ672" s="192"/>
      <c r="BK672" s="192"/>
      <c r="BL672" s="192"/>
      <c r="BM672" s="192"/>
      <c r="BN672" s="192"/>
      <c r="BO672" s="192"/>
      <c r="BP672" s="192"/>
      <c r="BQ672" s="192"/>
      <c r="BR672" s="192"/>
      <c r="BS672" s="192"/>
      <c r="BT672" s="192"/>
    </row>
    <row r="673" spans="1:7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BH673" s="192"/>
      <c r="BI673" s="192"/>
      <c r="BJ673" s="192"/>
      <c r="BK673" s="192"/>
      <c r="BL673" s="192"/>
      <c r="BM673" s="192"/>
      <c r="BN673" s="192"/>
      <c r="BO673" s="192"/>
      <c r="BP673" s="192"/>
      <c r="BQ673" s="192"/>
      <c r="BR673" s="192"/>
      <c r="BS673" s="192"/>
      <c r="BT673" s="192"/>
    </row>
    <row r="674" spans="1:7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BH674" s="192"/>
      <c r="BI674" s="192"/>
      <c r="BJ674" s="192"/>
      <c r="BK674" s="192"/>
      <c r="BL674" s="192"/>
      <c r="BM674" s="192"/>
      <c r="BN674" s="192"/>
      <c r="BO674" s="192"/>
      <c r="BP674" s="192"/>
      <c r="BQ674" s="192"/>
      <c r="BR674" s="192"/>
      <c r="BS674" s="192"/>
      <c r="BT674" s="192"/>
    </row>
    <row r="675" spans="1:7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BH675" s="192"/>
      <c r="BI675" s="192"/>
      <c r="BJ675" s="192"/>
      <c r="BK675" s="192"/>
      <c r="BL675" s="192"/>
      <c r="BM675" s="192"/>
      <c r="BN675" s="192"/>
      <c r="BO675" s="192"/>
      <c r="BP675" s="192"/>
      <c r="BQ675" s="192"/>
      <c r="BR675" s="192"/>
      <c r="BS675" s="192"/>
      <c r="BT675" s="192"/>
    </row>
    <row r="676" spans="1:7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BH676" s="192"/>
      <c r="BI676" s="192"/>
      <c r="BJ676" s="192"/>
      <c r="BK676" s="192"/>
      <c r="BL676" s="192"/>
      <c r="BM676" s="192"/>
      <c r="BN676" s="192"/>
      <c r="BO676" s="192"/>
      <c r="BP676" s="192"/>
      <c r="BQ676" s="192"/>
      <c r="BR676" s="192"/>
      <c r="BS676" s="192"/>
      <c r="BT676" s="192"/>
    </row>
    <row r="677" spans="1:7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BH677" s="192"/>
      <c r="BI677" s="192"/>
      <c r="BJ677" s="192"/>
      <c r="BK677" s="192"/>
      <c r="BL677" s="192"/>
      <c r="BM677" s="192"/>
      <c r="BN677" s="192"/>
      <c r="BO677" s="192"/>
      <c r="BP677" s="192"/>
      <c r="BQ677" s="192"/>
      <c r="BR677" s="192"/>
      <c r="BS677" s="192"/>
      <c r="BT677" s="192"/>
    </row>
    <row r="678" spans="1:7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BH678" s="192"/>
      <c r="BI678" s="192"/>
      <c r="BJ678" s="192"/>
      <c r="BK678" s="192"/>
      <c r="BL678" s="192"/>
      <c r="BM678" s="192"/>
      <c r="BN678" s="192"/>
      <c r="BO678" s="192"/>
      <c r="BP678" s="192"/>
      <c r="BQ678" s="192"/>
      <c r="BR678" s="192"/>
      <c r="BS678" s="192"/>
      <c r="BT678" s="192"/>
    </row>
    <row r="679" spans="1:7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BH679" s="192"/>
      <c r="BI679" s="192"/>
      <c r="BJ679" s="192"/>
      <c r="BK679" s="192"/>
      <c r="BL679" s="192"/>
      <c r="BM679" s="192"/>
      <c r="BN679" s="192"/>
      <c r="BO679" s="192"/>
      <c r="BP679" s="192"/>
      <c r="BQ679" s="192"/>
      <c r="BR679" s="192"/>
      <c r="BS679" s="192"/>
      <c r="BT679" s="192"/>
    </row>
    <row r="680" spans="1:7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BH680" s="192"/>
      <c r="BI680" s="192"/>
      <c r="BJ680" s="192"/>
      <c r="BK680" s="192"/>
      <c r="BL680" s="192"/>
      <c r="BM680" s="192"/>
      <c r="BN680" s="192"/>
      <c r="BO680" s="192"/>
      <c r="BP680" s="192"/>
      <c r="BQ680" s="192"/>
      <c r="BR680" s="192"/>
      <c r="BS680" s="192"/>
      <c r="BT680" s="192"/>
    </row>
    <row r="681" spans="1:7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BH681" s="192"/>
      <c r="BI681" s="192"/>
      <c r="BJ681" s="192"/>
      <c r="BK681" s="192"/>
      <c r="BL681" s="192"/>
      <c r="BM681" s="192"/>
      <c r="BN681" s="192"/>
      <c r="BO681" s="192"/>
      <c r="BP681" s="192"/>
      <c r="BQ681" s="192"/>
      <c r="BR681" s="192"/>
      <c r="BS681" s="192"/>
      <c r="BT681" s="192"/>
    </row>
    <row r="682" spans="1:7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BH682" s="192"/>
      <c r="BI682" s="192"/>
      <c r="BJ682" s="192"/>
      <c r="BK682" s="192"/>
      <c r="BL682" s="192"/>
      <c r="BM682" s="192"/>
      <c r="BN682" s="192"/>
      <c r="BO682" s="192"/>
      <c r="BP682" s="192"/>
      <c r="BQ682" s="192"/>
      <c r="BR682" s="192"/>
      <c r="BS682" s="192"/>
      <c r="BT682" s="192"/>
    </row>
    <row r="683" spans="1:7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BH683" s="192"/>
      <c r="BI683" s="192"/>
      <c r="BJ683" s="192"/>
      <c r="BK683" s="192"/>
      <c r="BL683" s="192"/>
      <c r="BM683" s="192"/>
      <c r="BN683" s="192"/>
      <c r="BO683" s="192"/>
      <c r="BP683" s="192"/>
      <c r="BQ683" s="192"/>
      <c r="BR683" s="192"/>
      <c r="BS683" s="192"/>
      <c r="BT683" s="192"/>
    </row>
    <row r="684" spans="1:7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BH684" s="192"/>
      <c r="BI684" s="192"/>
      <c r="BJ684" s="192"/>
      <c r="BK684" s="192"/>
      <c r="BL684" s="192"/>
      <c r="BM684" s="192"/>
      <c r="BN684" s="192"/>
      <c r="BO684" s="192"/>
      <c r="BP684" s="192"/>
      <c r="BQ684" s="192"/>
      <c r="BR684" s="192"/>
      <c r="BS684" s="192"/>
      <c r="BT684" s="192"/>
    </row>
    <row r="685" spans="1:7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BH685" s="192"/>
      <c r="BI685" s="192"/>
      <c r="BJ685" s="192"/>
      <c r="BK685" s="192"/>
      <c r="BL685" s="192"/>
      <c r="BM685" s="192"/>
      <c r="BN685" s="192"/>
      <c r="BO685" s="192"/>
      <c r="BP685" s="192"/>
      <c r="BQ685" s="192"/>
      <c r="BR685" s="192"/>
      <c r="BS685" s="192"/>
      <c r="BT685" s="192"/>
    </row>
    <row r="686" spans="1:7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BH686" s="192"/>
      <c r="BI686" s="192"/>
      <c r="BJ686" s="192"/>
      <c r="BK686" s="192"/>
      <c r="BL686" s="192"/>
      <c r="BM686" s="192"/>
      <c r="BN686" s="192"/>
      <c r="BO686" s="192"/>
      <c r="BP686" s="192"/>
      <c r="BQ686" s="192"/>
      <c r="BR686" s="192"/>
      <c r="BS686" s="192"/>
      <c r="BT686" s="192"/>
    </row>
    <row r="687" spans="1:7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BH687" s="192"/>
      <c r="BI687" s="192"/>
      <c r="BJ687" s="192"/>
      <c r="BK687" s="192"/>
      <c r="BL687" s="192"/>
      <c r="BM687" s="192"/>
      <c r="BN687" s="192"/>
      <c r="BO687" s="192"/>
      <c r="BP687" s="192"/>
      <c r="BQ687" s="192"/>
      <c r="BR687" s="192"/>
      <c r="BS687" s="192"/>
      <c r="BT687" s="192"/>
    </row>
    <row r="688" spans="1:7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BH688" s="192"/>
      <c r="BI688" s="192"/>
      <c r="BJ688" s="192"/>
      <c r="BK688" s="192"/>
      <c r="BL688" s="192"/>
      <c r="BM688" s="192"/>
      <c r="BN688" s="192"/>
      <c r="BO688" s="192"/>
      <c r="BP688" s="192"/>
      <c r="BQ688" s="192"/>
      <c r="BR688" s="192"/>
      <c r="BS688" s="192"/>
      <c r="BT688" s="192"/>
    </row>
    <row r="689" spans="1:7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BH689" s="192"/>
      <c r="BI689" s="192"/>
      <c r="BJ689" s="192"/>
      <c r="BK689" s="192"/>
      <c r="BL689" s="192"/>
      <c r="BM689" s="192"/>
      <c r="BN689" s="192"/>
      <c r="BO689" s="192"/>
      <c r="BP689" s="192"/>
      <c r="BQ689" s="192"/>
      <c r="BR689" s="192"/>
      <c r="BS689" s="192"/>
      <c r="BT689" s="192"/>
    </row>
    <row r="690" spans="1:7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BH690" s="192"/>
      <c r="BI690" s="192"/>
      <c r="BJ690" s="192"/>
      <c r="BK690" s="192"/>
      <c r="BL690" s="192"/>
      <c r="BM690" s="192"/>
      <c r="BN690" s="192"/>
      <c r="BO690" s="192"/>
      <c r="BP690" s="192"/>
      <c r="BQ690" s="192"/>
      <c r="BR690" s="192"/>
      <c r="BS690" s="192"/>
      <c r="BT690" s="192"/>
    </row>
    <row r="691" spans="1:7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BH691" s="192"/>
      <c r="BI691" s="192"/>
      <c r="BJ691" s="192"/>
      <c r="BK691" s="192"/>
      <c r="BL691" s="192"/>
      <c r="BM691" s="192"/>
      <c r="BN691" s="192"/>
      <c r="BO691" s="192"/>
      <c r="BP691" s="192"/>
      <c r="BQ691" s="192"/>
      <c r="BR691" s="192"/>
      <c r="BS691" s="192"/>
      <c r="BT691" s="192"/>
    </row>
    <row r="692" spans="1:7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BH692" s="192"/>
      <c r="BI692" s="192"/>
      <c r="BJ692" s="192"/>
      <c r="BK692" s="192"/>
      <c r="BL692" s="192"/>
      <c r="BM692" s="192"/>
      <c r="BN692" s="192"/>
      <c r="BO692" s="192"/>
      <c r="BP692" s="192"/>
      <c r="BQ692" s="192"/>
      <c r="BR692" s="192"/>
      <c r="BS692" s="192"/>
      <c r="BT692" s="192"/>
    </row>
    <row r="693" spans="1:7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BH693" s="192"/>
      <c r="BI693" s="192"/>
      <c r="BJ693" s="192"/>
      <c r="BK693" s="192"/>
      <c r="BL693" s="192"/>
      <c r="BM693" s="192"/>
      <c r="BN693" s="192"/>
      <c r="BO693" s="192"/>
      <c r="BP693" s="192"/>
      <c r="BQ693" s="192"/>
      <c r="BR693" s="192"/>
      <c r="BS693" s="192"/>
      <c r="BT693" s="192"/>
    </row>
    <row r="694" spans="1:7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BH694" s="192"/>
      <c r="BI694" s="192"/>
      <c r="BJ694" s="192"/>
      <c r="BK694" s="192"/>
      <c r="BL694" s="192"/>
      <c r="BM694" s="192"/>
      <c r="BN694" s="192"/>
      <c r="BO694" s="192"/>
      <c r="BP694" s="192"/>
      <c r="BQ694" s="192"/>
      <c r="BR694" s="192"/>
      <c r="BS694" s="192"/>
      <c r="BT694" s="192"/>
    </row>
    <row r="695" spans="1:7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BH695" s="192"/>
      <c r="BI695" s="192"/>
      <c r="BJ695" s="192"/>
      <c r="BK695" s="192"/>
      <c r="BL695" s="192"/>
      <c r="BM695" s="192"/>
      <c r="BN695" s="192"/>
      <c r="BO695" s="192"/>
      <c r="BP695" s="192"/>
      <c r="BQ695" s="192"/>
      <c r="BR695" s="192"/>
      <c r="BS695" s="192"/>
      <c r="BT695" s="192"/>
    </row>
    <row r="696" spans="1:7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BH696" s="192"/>
      <c r="BI696" s="192"/>
      <c r="BJ696" s="192"/>
      <c r="BK696" s="192"/>
      <c r="BL696" s="192"/>
      <c r="BM696" s="192"/>
      <c r="BN696" s="192"/>
      <c r="BO696" s="192"/>
      <c r="BP696" s="192"/>
      <c r="BQ696" s="192"/>
      <c r="BR696" s="192"/>
      <c r="BS696" s="192"/>
      <c r="BT696" s="192"/>
    </row>
    <row r="697" spans="1:7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BH697" s="192"/>
      <c r="BI697" s="192"/>
      <c r="BJ697" s="192"/>
      <c r="BK697" s="192"/>
      <c r="BL697" s="192"/>
      <c r="BM697" s="192"/>
      <c r="BN697" s="192"/>
      <c r="BO697" s="192"/>
      <c r="BP697" s="192"/>
      <c r="BQ697" s="192"/>
      <c r="BR697" s="192"/>
      <c r="BS697" s="192"/>
      <c r="BT697" s="192"/>
    </row>
    <row r="698" spans="1:7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BH698" s="192"/>
      <c r="BI698" s="192"/>
      <c r="BJ698" s="192"/>
      <c r="BK698" s="192"/>
      <c r="BL698" s="192"/>
      <c r="BM698" s="192"/>
      <c r="BN698" s="192"/>
      <c r="BO698" s="192"/>
      <c r="BP698" s="192"/>
      <c r="BQ698" s="192"/>
      <c r="BR698" s="192"/>
      <c r="BS698" s="192"/>
      <c r="BT698" s="192"/>
    </row>
    <row r="699" spans="1:7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BH699" s="192"/>
      <c r="BI699" s="192"/>
      <c r="BJ699" s="192"/>
      <c r="BK699" s="192"/>
      <c r="BL699" s="192"/>
      <c r="BM699" s="192"/>
      <c r="BN699" s="192"/>
      <c r="BO699" s="192"/>
      <c r="BP699" s="192"/>
      <c r="BQ699" s="192"/>
      <c r="BR699" s="192"/>
      <c r="BS699" s="192"/>
      <c r="BT699" s="192"/>
    </row>
    <row r="700" spans="1:7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BH700" s="192"/>
      <c r="BI700" s="192"/>
      <c r="BJ700" s="192"/>
      <c r="BK700" s="192"/>
      <c r="BL700" s="192"/>
      <c r="BM700" s="192"/>
      <c r="BN700" s="192"/>
      <c r="BO700" s="192"/>
      <c r="BP700" s="192"/>
      <c r="BQ700" s="192"/>
      <c r="BR700" s="192"/>
      <c r="BS700" s="192"/>
      <c r="BT700" s="192"/>
    </row>
    <row r="701" spans="1:7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BH701" s="192"/>
      <c r="BI701" s="192"/>
      <c r="BJ701" s="192"/>
      <c r="BK701" s="192"/>
      <c r="BL701" s="192"/>
      <c r="BM701" s="192"/>
      <c r="BN701" s="192"/>
      <c r="BO701" s="192"/>
      <c r="BP701" s="192"/>
      <c r="BQ701" s="192"/>
      <c r="BR701" s="192"/>
      <c r="BS701" s="192"/>
      <c r="BT701" s="192"/>
    </row>
    <row r="702" spans="1:7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BH702" s="192"/>
      <c r="BI702" s="192"/>
      <c r="BJ702" s="192"/>
      <c r="BK702" s="192"/>
      <c r="BL702" s="192"/>
      <c r="BM702" s="192"/>
      <c r="BN702" s="192"/>
      <c r="BO702" s="192"/>
      <c r="BP702" s="192"/>
      <c r="BQ702" s="192"/>
      <c r="BR702" s="192"/>
      <c r="BS702" s="192"/>
      <c r="BT702" s="192"/>
    </row>
    <row r="703" spans="1:7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BH703" s="192"/>
      <c r="BI703" s="192"/>
      <c r="BJ703" s="192"/>
      <c r="BK703" s="192"/>
      <c r="BL703" s="192"/>
      <c r="BM703" s="192"/>
      <c r="BN703" s="192"/>
      <c r="BO703" s="192"/>
      <c r="BP703" s="192"/>
      <c r="BQ703" s="192"/>
      <c r="BR703" s="192"/>
      <c r="BS703" s="192"/>
      <c r="BT703" s="192"/>
    </row>
    <row r="704" spans="1:7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BH704" s="192"/>
      <c r="BI704" s="192"/>
      <c r="BJ704" s="192"/>
      <c r="BK704" s="192"/>
      <c r="BL704" s="192"/>
      <c r="BM704" s="192"/>
      <c r="BN704" s="192"/>
      <c r="BO704" s="192"/>
      <c r="BP704" s="192"/>
      <c r="BQ704" s="192"/>
      <c r="BR704" s="192"/>
      <c r="BS704" s="192"/>
      <c r="BT704" s="192"/>
    </row>
    <row r="705" spans="1:7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BH705" s="192"/>
      <c r="BI705" s="192"/>
      <c r="BJ705" s="192"/>
      <c r="BK705" s="192"/>
      <c r="BL705" s="192"/>
      <c r="BM705" s="192"/>
      <c r="BN705" s="192"/>
      <c r="BO705" s="192"/>
      <c r="BP705" s="192"/>
      <c r="BQ705" s="192"/>
      <c r="BR705" s="192"/>
      <c r="BS705" s="192"/>
      <c r="BT705" s="192"/>
    </row>
    <row r="706" spans="1:7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BH706" s="192"/>
      <c r="BI706" s="192"/>
      <c r="BJ706" s="192"/>
      <c r="BK706" s="192"/>
      <c r="BL706" s="192"/>
      <c r="BM706" s="192"/>
      <c r="BN706" s="192"/>
      <c r="BO706" s="192"/>
      <c r="BP706" s="192"/>
      <c r="BQ706" s="192"/>
      <c r="BR706" s="192"/>
      <c r="BS706" s="192"/>
      <c r="BT706" s="192"/>
    </row>
    <row r="707" spans="1:7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BH707" s="192"/>
      <c r="BI707" s="192"/>
      <c r="BJ707" s="192"/>
      <c r="BK707" s="192"/>
      <c r="BL707" s="192"/>
      <c r="BM707" s="192"/>
      <c r="BN707" s="192"/>
      <c r="BO707" s="192"/>
      <c r="BP707" s="192"/>
      <c r="BQ707" s="192"/>
      <c r="BR707" s="192"/>
      <c r="BS707" s="192"/>
      <c r="BT707" s="192"/>
    </row>
    <row r="708" spans="1:7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BH708" s="192"/>
      <c r="BI708" s="192"/>
      <c r="BJ708" s="192"/>
      <c r="BK708" s="192"/>
      <c r="BL708" s="192"/>
      <c r="BM708" s="192"/>
      <c r="BN708" s="192"/>
      <c r="BO708" s="192"/>
      <c r="BP708" s="192"/>
      <c r="BQ708" s="192"/>
      <c r="BR708" s="192"/>
      <c r="BS708" s="192"/>
      <c r="BT708" s="192"/>
    </row>
    <row r="709" spans="1:7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BH709" s="192"/>
      <c r="BI709" s="192"/>
      <c r="BJ709" s="192"/>
      <c r="BK709" s="192"/>
      <c r="BL709" s="192"/>
      <c r="BM709" s="192"/>
      <c r="BN709" s="192"/>
      <c r="BO709" s="192"/>
      <c r="BP709" s="192"/>
      <c r="BQ709" s="192"/>
      <c r="BR709" s="192"/>
      <c r="BS709" s="192"/>
      <c r="BT709" s="192"/>
    </row>
    <row r="710" spans="1:7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BH710" s="192"/>
      <c r="BI710" s="192"/>
      <c r="BJ710" s="192"/>
      <c r="BK710" s="192"/>
      <c r="BL710" s="192"/>
      <c r="BM710" s="192"/>
      <c r="BN710" s="192"/>
      <c r="BO710" s="192"/>
      <c r="BP710" s="192"/>
      <c r="BQ710" s="192"/>
      <c r="BR710" s="192"/>
      <c r="BS710" s="192"/>
      <c r="BT710" s="192"/>
    </row>
    <row r="711" spans="1:7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BH711" s="192"/>
      <c r="BI711" s="192"/>
      <c r="BJ711" s="192"/>
      <c r="BK711" s="192"/>
      <c r="BL711" s="192"/>
      <c r="BM711" s="192"/>
      <c r="BN711" s="192"/>
      <c r="BO711" s="192"/>
      <c r="BP711" s="192"/>
      <c r="BQ711" s="192"/>
      <c r="BR711" s="192"/>
      <c r="BS711" s="192"/>
      <c r="BT711" s="192"/>
    </row>
    <row r="712" spans="1:7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BH712" s="192"/>
      <c r="BI712" s="192"/>
      <c r="BJ712" s="192"/>
      <c r="BK712" s="192"/>
      <c r="BL712" s="192"/>
      <c r="BM712" s="192"/>
      <c r="BN712" s="192"/>
      <c r="BO712" s="192"/>
      <c r="BP712" s="192"/>
      <c r="BQ712" s="192"/>
      <c r="BR712" s="192"/>
      <c r="BS712" s="192"/>
      <c r="BT712" s="192"/>
    </row>
    <row r="713" spans="1:7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BH713" s="192"/>
      <c r="BI713" s="192"/>
      <c r="BJ713" s="192"/>
      <c r="BK713" s="192"/>
      <c r="BL713" s="192"/>
      <c r="BM713" s="192"/>
      <c r="BN713" s="192"/>
      <c r="BO713" s="192"/>
      <c r="BP713" s="192"/>
      <c r="BQ713" s="192"/>
      <c r="BR713" s="192"/>
      <c r="BS713" s="192"/>
      <c r="BT713" s="192"/>
    </row>
    <row r="714" spans="1:7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BH714" s="192"/>
      <c r="BI714" s="192"/>
      <c r="BJ714" s="192"/>
      <c r="BK714" s="192"/>
      <c r="BL714" s="192"/>
      <c r="BM714" s="192"/>
      <c r="BN714" s="192"/>
      <c r="BO714" s="192"/>
      <c r="BP714" s="192"/>
      <c r="BQ714" s="192"/>
      <c r="BR714" s="192"/>
      <c r="BS714" s="192"/>
      <c r="BT714" s="192"/>
    </row>
    <row r="715" spans="1:7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BH715" s="192"/>
      <c r="BI715" s="192"/>
      <c r="BJ715" s="192"/>
      <c r="BK715" s="192"/>
      <c r="BL715" s="192"/>
      <c r="BM715" s="192"/>
      <c r="BN715" s="192"/>
      <c r="BO715" s="192"/>
      <c r="BP715" s="192"/>
      <c r="BQ715" s="192"/>
      <c r="BR715" s="192"/>
      <c r="BS715" s="192"/>
      <c r="BT715" s="192"/>
    </row>
    <row r="716" spans="1:7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BH716" s="192"/>
      <c r="BI716" s="192"/>
      <c r="BJ716" s="192"/>
      <c r="BK716" s="192"/>
      <c r="BL716" s="192"/>
      <c r="BM716" s="192"/>
      <c r="BN716" s="192"/>
      <c r="BO716" s="192"/>
      <c r="BP716" s="192"/>
      <c r="BQ716" s="192"/>
      <c r="BR716" s="192"/>
      <c r="BS716" s="192"/>
      <c r="BT716" s="192"/>
    </row>
    <row r="717" spans="1:7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BH717" s="192"/>
      <c r="BI717" s="192"/>
      <c r="BJ717" s="192"/>
      <c r="BK717" s="192"/>
      <c r="BL717" s="192"/>
      <c r="BM717" s="192"/>
      <c r="BN717" s="192"/>
      <c r="BO717" s="192"/>
      <c r="BP717" s="192"/>
      <c r="BQ717" s="192"/>
      <c r="BR717" s="192"/>
      <c r="BS717" s="192"/>
      <c r="BT717" s="192"/>
    </row>
    <row r="718" spans="1:7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BH718" s="192"/>
      <c r="BI718" s="192"/>
      <c r="BJ718" s="192"/>
      <c r="BK718" s="192"/>
      <c r="BL718" s="192"/>
      <c r="BM718" s="192"/>
      <c r="BN718" s="192"/>
      <c r="BO718" s="192"/>
      <c r="BP718" s="192"/>
      <c r="BQ718" s="192"/>
      <c r="BR718" s="192"/>
      <c r="BS718" s="192"/>
      <c r="BT718" s="192"/>
    </row>
    <row r="719" spans="1:7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BH719" s="192"/>
      <c r="BI719" s="192"/>
      <c r="BJ719" s="192"/>
      <c r="BK719" s="192"/>
      <c r="BL719" s="192"/>
      <c r="BM719" s="192"/>
      <c r="BN719" s="192"/>
      <c r="BO719" s="192"/>
      <c r="BP719" s="192"/>
      <c r="BQ719" s="192"/>
      <c r="BR719" s="192"/>
      <c r="BS719" s="192"/>
      <c r="BT719" s="192"/>
    </row>
    <row r="720" spans="1:7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BH720" s="192"/>
      <c r="BI720" s="192"/>
      <c r="BJ720" s="192"/>
      <c r="BK720" s="192"/>
      <c r="BL720" s="192"/>
      <c r="BM720" s="192"/>
      <c r="BN720" s="192"/>
      <c r="BO720" s="192"/>
      <c r="BP720" s="192"/>
      <c r="BQ720" s="192"/>
      <c r="BR720" s="192"/>
      <c r="BS720" s="192"/>
      <c r="BT720" s="192"/>
    </row>
    <row r="721" spans="1:7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BH721" s="192"/>
      <c r="BI721" s="192"/>
      <c r="BJ721" s="192"/>
      <c r="BK721" s="192"/>
      <c r="BL721" s="192"/>
      <c r="BM721" s="192"/>
      <c r="BN721" s="192"/>
      <c r="BO721" s="192"/>
      <c r="BP721" s="192"/>
      <c r="BQ721" s="192"/>
      <c r="BR721" s="192"/>
      <c r="BS721" s="192"/>
      <c r="BT721" s="192"/>
    </row>
    <row r="722" spans="1:7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BH722" s="192"/>
      <c r="BI722" s="192"/>
      <c r="BJ722" s="192"/>
      <c r="BK722" s="192"/>
      <c r="BL722" s="192"/>
      <c r="BM722" s="192"/>
      <c r="BN722" s="192"/>
      <c r="BO722" s="192"/>
      <c r="BP722" s="192"/>
      <c r="BQ722" s="192"/>
      <c r="BR722" s="192"/>
      <c r="BS722" s="192"/>
      <c r="BT722" s="192"/>
    </row>
    <row r="723" spans="1:7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BH723" s="192"/>
      <c r="BI723" s="192"/>
      <c r="BJ723" s="192"/>
      <c r="BK723" s="192"/>
      <c r="BL723" s="192"/>
      <c r="BM723" s="192"/>
      <c r="BN723" s="192"/>
      <c r="BO723" s="192"/>
      <c r="BP723" s="192"/>
      <c r="BQ723" s="192"/>
      <c r="BR723" s="192"/>
      <c r="BS723" s="192"/>
      <c r="BT723" s="192"/>
    </row>
    <row r="724" spans="1:7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BH724" s="192"/>
      <c r="BI724" s="192"/>
      <c r="BJ724" s="192"/>
      <c r="BK724" s="192"/>
      <c r="BL724" s="192"/>
      <c r="BM724" s="192"/>
      <c r="BN724" s="192"/>
      <c r="BO724" s="192"/>
      <c r="BP724" s="192"/>
      <c r="BQ724" s="192"/>
      <c r="BR724" s="192"/>
      <c r="BS724" s="192"/>
      <c r="BT724" s="192"/>
    </row>
    <row r="725" spans="1:7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BH725" s="192"/>
      <c r="BI725" s="192"/>
      <c r="BJ725" s="192"/>
      <c r="BK725" s="192"/>
      <c r="BL725" s="192"/>
      <c r="BM725" s="192"/>
      <c r="BN725" s="192"/>
      <c r="BO725" s="192"/>
      <c r="BP725" s="192"/>
      <c r="BQ725" s="192"/>
      <c r="BR725" s="192"/>
      <c r="BS725" s="192"/>
      <c r="BT725" s="192"/>
    </row>
    <row r="726" spans="1:7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BH726" s="192"/>
      <c r="BI726" s="192"/>
      <c r="BJ726" s="192"/>
      <c r="BK726" s="192"/>
      <c r="BL726" s="192"/>
      <c r="BM726" s="192"/>
      <c r="BN726" s="192"/>
      <c r="BO726" s="192"/>
      <c r="BP726" s="192"/>
      <c r="BQ726" s="192"/>
      <c r="BR726" s="192"/>
      <c r="BS726" s="192"/>
      <c r="BT726" s="192"/>
    </row>
    <row r="727" spans="1:7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BH727" s="192"/>
      <c r="BI727" s="192"/>
      <c r="BJ727" s="192"/>
      <c r="BK727" s="192"/>
      <c r="BL727" s="192"/>
      <c r="BM727" s="192"/>
      <c r="BN727" s="192"/>
      <c r="BO727" s="192"/>
      <c r="BP727" s="192"/>
      <c r="BQ727" s="192"/>
      <c r="BR727" s="192"/>
      <c r="BS727" s="192"/>
      <c r="BT727" s="192"/>
    </row>
    <row r="728" spans="1:7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BH728" s="192"/>
      <c r="BI728" s="192"/>
      <c r="BJ728" s="192"/>
      <c r="BK728" s="192"/>
      <c r="BL728" s="192"/>
      <c r="BM728" s="192"/>
      <c r="BN728" s="192"/>
      <c r="BO728" s="192"/>
      <c r="BP728" s="192"/>
      <c r="BQ728" s="192"/>
      <c r="BR728" s="192"/>
      <c r="BS728" s="192"/>
      <c r="BT728" s="192"/>
    </row>
    <row r="729" spans="1:7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BH729" s="192"/>
      <c r="BI729" s="192"/>
      <c r="BJ729" s="192"/>
      <c r="BK729" s="192"/>
      <c r="BL729" s="192"/>
      <c r="BM729" s="192"/>
      <c r="BN729" s="192"/>
      <c r="BO729" s="192"/>
      <c r="BP729" s="192"/>
      <c r="BQ729" s="192"/>
      <c r="BR729" s="192"/>
      <c r="BS729" s="192"/>
      <c r="BT729" s="192"/>
    </row>
    <row r="730" spans="1:7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BH730" s="192"/>
      <c r="BI730" s="192"/>
      <c r="BJ730" s="192"/>
      <c r="BK730" s="192"/>
      <c r="BL730" s="192"/>
      <c r="BM730" s="192"/>
      <c r="BN730" s="192"/>
      <c r="BO730" s="192"/>
      <c r="BP730" s="192"/>
      <c r="BQ730" s="192"/>
      <c r="BR730" s="192"/>
      <c r="BS730" s="192"/>
      <c r="BT730" s="192"/>
    </row>
    <row r="731" spans="1:7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BH731" s="192"/>
      <c r="BI731" s="192"/>
      <c r="BJ731" s="192"/>
      <c r="BK731" s="192"/>
      <c r="BL731" s="192"/>
      <c r="BM731" s="192"/>
      <c r="BN731" s="192"/>
      <c r="BO731" s="192"/>
      <c r="BP731" s="192"/>
      <c r="BQ731" s="192"/>
      <c r="BR731" s="192"/>
      <c r="BS731" s="192"/>
      <c r="BT731" s="192"/>
    </row>
    <row r="732" spans="1:7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BH732" s="192"/>
      <c r="BI732" s="192"/>
      <c r="BJ732" s="192"/>
      <c r="BK732" s="192"/>
      <c r="BL732" s="192"/>
      <c r="BM732" s="192"/>
      <c r="BN732" s="192"/>
      <c r="BO732" s="192"/>
      <c r="BP732" s="192"/>
      <c r="BQ732" s="192"/>
      <c r="BR732" s="192"/>
      <c r="BS732" s="192"/>
      <c r="BT732" s="192"/>
    </row>
    <row r="733" spans="1:7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BH733" s="192"/>
      <c r="BI733" s="192"/>
      <c r="BJ733" s="192"/>
      <c r="BK733" s="192"/>
      <c r="BL733" s="192"/>
      <c r="BM733" s="192"/>
      <c r="BN733" s="192"/>
      <c r="BO733" s="192"/>
      <c r="BP733" s="192"/>
      <c r="BQ733" s="192"/>
      <c r="BR733" s="192"/>
      <c r="BS733" s="192"/>
      <c r="BT733" s="192"/>
    </row>
    <row r="734" spans="1:7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BH734" s="192"/>
      <c r="BI734" s="192"/>
      <c r="BJ734" s="192"/>
      <c r="BK734" s="192"/>
      <c r="BL734" s="192"/>
      <c r="BM734" s="192"/>
      <c r="BN734" s="192"/>
      <c r="BO734" s="192"/>
      <c r="BP734" s="192"/>
      <c r="BQ734" s="192"/>
      <c r="BR734" s="192"/>
      <c r="BS734" s="192"/>
      <c r="BT734" s="192"/>
    </row>
    <row r="735" spans="1:7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BH735" s="192"/>
      <c r="BI735" s="192"/>
      <c r="BJ735" s="192"/>
      <c r="BK735" s="192"/>
      <c r="BL735" s="192"/>
      <c r="BM735" s="192"/>
      <c r="BN735" s="192"/>
      <c r="BO735" s="192"/>
      <c r="BP735" s="192"/>
      <c r="BQ735" s="192"/>
      <c r="BR735" s="192"/>
      <c r="BS735" s="192"/>
      <c r="BT735" s="192"/>
    </row>
    <row r="736" spans="1:7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BH736" s="192"/>
      <c r="BI736" s="192"/>
      <c r="BJ736" s="192"/>
      <c r="BK736" s="192"/>
      <c r="BL736" s="192"/>
      <c r="BM736" s="192"/>
      <c r="BN736" s="192"/>
      <c r="BO736" s="192"/>
      <c r="BP736" s="192"/>
      <c r="BQ736" s="192"/>
      <c r="BR736" s="192"/>
      <c r="BS736" s="192"/>
      <c r="BT736" s="192"/>
    </row>
    <row r="737" spans="1:7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BH737" s="192"/>
      <c r="BI737" s="192"/>
      <c r="BJ737" s="192"/>
      <c r="BK737" s="192"/>
      <c r="BL737" s="192"/>
      <c r="BM737" s="192"/>
      <c r="BN737" s="192"/>
      <c r="BO737" s="192"/>
      <c r="BP737" s="192"/>
      <c r="BQ737" s="192"/>
      <c r="BR737" s="192"/>
      <c r="BS737" s="192"/>
      <c r="BT737" s="192"/>
    </row>
    <row r="738" spans="1:7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BH738" s="192"/>
      <c r="BI738" s="192"/>
      <c r="BJ738" s="192"/>
      <c r="BK738" s="192"/>
      <c r="BL738" s="192"/>
      <c r="BM738" s="192"/>
      <c r="BN738" s="192"/>
      <c r="BO738" s="192"/>
      <c r="BP738" s="192"/>
      <c r="BQ738" s="192"/>
      <c r="BR738" s="192"/>
      <c r="BS738" s="192"/>
      <c r="BT738" s="192"/>
    </row>
    <row r="739" spans="1:7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BH739" s="192"/>
      <c r="BI739" s="192"/>
      <c r="BJ739" s="192"/>
      <c r="BK739" s="192"/>
      <c r="BL739" s="192"/>
      <c r="BM739" s="192"/>
      <c r="BN739" s="192"/>
      <c r="BO739" s="192"/>
      <c r="BP739" s="192"/>
      <c r="BQ739" s="192"/>
      <c r="BR739" s="192"/>
      <c r="BS739" s="192"/>
      <c r="BT739" s="192"/>
    </row>
    <row r="740" spans="1:7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BH740" s="192"/>
      <c r="BI740" s="192"/>
      <c r="BJ740" s="192"/>
      <c r="BK740" s="192"/>
      <c r="BL740" s="192"/>
      <c r="BM740" s="192"/>
      <c r="BN740" s="192"/>
      <c r="BO740" s="192"/>
      <c r="BP740" s="192"/>
      <c r="BQ740" s="192"/>
      <c r="BR740" s="192"/>
      <c r="BS740" s="192"/>
      <c r="BT740" s="192"/>
    </row>
    <row r="741" spans="1:7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BH741" s="192"/>
      <c r="BI741" s="192"/>
      <c r="BJ741" s="192"/>
      <c r="BK741" s="192"/>
      <c r="BL741" s="192"/>
      <c r="BM741" s="192"/>
      <c r="BN741" s="192"/>
      <c r="BO741" s="192"/>
      <c r="BP741" s="192"/>
      <c r="BQ741" s="192"/>
      <c r="BR741" s="192"/>
      <c r="BS741" s="192"/>
      <c r="BT741" s="192"/>
    </row>
    <row r="742" spans="1:7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BH742" s="192"/>
      <c r="BI742" s="192"/>
      <c r="BJ742" s="192"/>
      <c r="BK742" s="192"/>
      <c r="BL742" s="192"/>
      <c r="BM742" s="192"/>
      <c r="BN742" s="192"/>
      <c r="BO742" s="192"/>
      <c r="BP742" s="192"/>
      <c r="BQ742" s="192"/>
      <c r="BR742" s="192"/>
      <c r="BS742" s="192"/>
      <c r="BT742" s="192"/>
    </row>
    <row r="743" spans="1:7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BH743" s="192"/>
      <c r="BI743" s="192"/>
      <c r="BJ743" s="192"/>
      <c r="BK743" s="192"/>
      <c r="BL743" s="192"/>
      <c r="BM743" s="192"/>
      <c r="BN743" s="192"/>
      <c r="BO743" s="192"/>
      <c r="BP743" s="192"/>
      <c r="BQ743" s="192"/>
      <c r="BR743" s="192"/>
      <c r="BS743" s="192"/>
      <c r="BT743" s="192"/>
    </row>
    <row r="744" spans="1:7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BH744" s="192"/>
      <c r="BI744" s="192"/>
      <c r="BJ744" s="192"/>
      <c r="BK744" s="192"/>
      <c r="BL744" s="192"/>
      <c r="BM744" s="192"/>
      <c r="BN744" s="192"/>
      <c r="BO744" s="192"/>
      <c r="BP744" s="192"/>
      <c r="BQ744" s="192"/>
      <c r="BR744" s="192"/>
      <c r="BS744" s="192"/>
      <c r="BT744" s="192"/>
    </row>
    <row r="745" spans="1:72">
      <c r="BH745" s="192"/>
      <c r="BI745" s="192"/>
      <c r="BJ745" s="192"/>
      <c r="BK745" s="192"/>
      <c r="BL745" s="192"/>
      <c r="BM745" s="192"/>
      <c r="BN745" s="192"/>
      <c r="BO745" s="192"/>
      <c r="BP745" s="192"/>
      <c r="BQ745" s="192"/>
      <c r="BR745" s="192"/>
      <c r="BS745" s="192"/>
      <c r="BT745" s="192"/>
    </row>
    <row r="746" spans="1:72">
      <c r="BH746" s="192"/>
      <c r="BI746" s="192"/>
      <c r="BJ746" s="192"/>
      <c r="BK746" s="192"/>
      <c r="BL746" s="192"/>
      <c r="BM746" s="192"/>
      <c r="BN746" s="192"/>
      <c r="BO746" s="192"/>
      <c r="BP746" s="192"/>
      <c r="BQ746" s="192"/>
      <c r="BR746" s="192"/>
      <c r="BS746" s="192"/>
      <c r="BT746" s="192"/>
    </row>
    <row r="747" spans="1:72">
      <c r="BH747" s="192"/>
      <c r="BI747" s="192"/>
      <c r="BJ747" s="192"/>
      <c r="BK747" s="192"/>
      <c r="BL747" s="192"/>
      <c r="BM747" s="192"/>
      <c r="BN747" s="192"/>
      <c r="BO747" s="192"/>
      <c r="BP747" s="192"/>
      <c r="BQ747" s="192"/>
      <c r="BR747" s="192"/>
      <c r="BS747" s="192"/>
      <c r="BT747" s="192"/>
    </row>
    <row r="748" spans="1:72">
      <c r="BH748" s="192"/>
      <c r="BI748" s="192"/>
      <c r="BJ748" s="192"/>
      <c r="BK748" s="192"/>
      <c r="BL748" s="192"/>
      <c r="BM748" s="192"/>
      <c r="BN748" s="192"/>
      <c r="BO748" s="192"/>
      <c r="BP748" s="192"/>
      <c r="BQ748" s="192"/>
      <c r="BR748" s="192"/>
      <c r="BS748" s="192"/>
      <c r="BT748" s="192"/>
    </row>
    <row r="749" spans="1:72">
      <c r="BH749" s="192"/>
      <c r="BI749" s="192"/>
      <c r="BJ749" s="192"/>
      <c r="BK749" s="192"/>
      <c r="BL749" s="192"/>
      <c r="BM749" s="192"/>
      <c r="BN749" s="192"/>
      <c r="BO749" s="192"/>
      <c r="BP749" s="192"/>
      <c r="BQ749" s="192"/>
      <c r="BR749" s="192"/>
      <c r="BS749" s="192"/>
      <c r="BT749" s="192"/>
    </row>
    <row r="750" spans="1:72">
      <c r="BH750" s="192"/>
      <c r="BI750" s="192"/>
      <c r="BJ750" s="192"/>
      <c r="BK750" s="192"/>
      <c r="BL750" s="192"/>
      <c r="BM750" s="192"/>
      <c r="BN750" s="192"/>
      <c r="BO750" s="192"/>
      <c r="BP750" s="192"/>
      <c r="BQ750" s="192"/>
      <c r="BR750" s="192"/>
      <c r="BS750" s="192"/>
      <c r="BT750" s="192"/>
    </row>
    <row r="751" spans="1:72">
      <c r="BH751" s="192"/>
      <c r="BI751" s="192"/>
      <c r="BJ751" s="192"/>
      <c r="BK751" s="192"/>
      <c r="BL751" s="192"/>
      <c r="BM751" s="192"/>
      <c r="BN751" s="192"/>
      <c r="BO751" s="192"/>
      <c r="BP751" s="192"/>
      <c r="BQ751" s="192"/>
      <c r="BR751" s="192"/>
      <c r="BS751" s="192"/>
      <c r="BT751" s="192"/>
    </row>
    <row r="752" spans="1:72">
      <c r="BH752" s="192"/>
      <c r="BI752" s="192"/>
      <c r="BJ752" s="192"/>
      <c r="BK752" s="192"/>
      <c r="BL752" s="192"/>
      <c r="BM752" s="192"/>
      <c r="BN752" s="192"/>
      <c r="BO752" s="192"/>
      <c r="BP752" s="192"/>
      <c r="BQ752" s="192"/>
      <c r="BR752" s="192"/>
      <c r="BS752" s="192"/>
      <c r="BT752" s="192"/>
    </row>
    <row r="753" spans="60:72">
      <c r="BH753" s="192"/>
      <c r="BI753" s="192"/>
      <c r="BJ753" s="192"/>
      <c r="BK753" s="192"/>
      <c r="BL753" s="192"/>
      <c r="BM753" s="192"/>
      <c r="BN753" s="192"/>
      <c r="BO753" s="192"/>
      <c r="BP753" s="192"/>
      <c r="BQ753" s="192"/>
      <c r="BR753" s="192"/>
      <c r="BS753" s="192"/>
      <c r="BT753" s="192"/>
    </row>
    <row r="754" spans="60:72">
      <c r="BH754" s="192"/>
      <c r="BI754" s="192"/>
      <c r="BJ754" s="192"/>
      <c r="BK754" s="192"/>
      <c r="BL754" s="192"/>
      <c r="BM754" s="192"/>
      <c r="BN754" s="192"/>
      <c r="BO754" s="192"/>
      <c r="BP754" s="192"/>
      <c r="BQ754" s="192"/>
      <c r="BR754" s="192"/>
      <c r="BS754" s="192"/>
      <c r="BT754" s="192"/>
    </row>
    <row r="755" spans="60:72">
      <c r="BH755" s="192"/>
      <c r="BI755" s="192"/>
      <c r="BJ755" s="192"/>
      <c r="BK755" s="192"/>
      <c r="BL755" s="192"/>
      <c r="BM755" s="192"/>
      <c r="BN755" s="192"/>
      <c r="BO755" s="192"/>
      <c r="BP755" s="192"/>
      <c r="BQ755" s="192"/>
      <c r="BR755" s="192"/>
      <c r="BS755" s="192"/>
      <c r="BT755" s="192"/>
    </row>
    <row r="756" spans="60:72">
      <c r="BH756" s="192"/>
      <c r="BI756" s="192"/>
      <c r="BJ756" s="192"/>
      <c r="BK756" s="192"/>
      <c r="BL756" s="192"/>
      <c r="BM756" s="192"/>
      <c r="BN756" s="192"/>
      <c r="BO756" s="192"/>
      <c r="BP756" s="192"/>
      <c r="BQ756" s="192"/>
      <c r="BR756" s="192"/>
      <c r="BS756" s="192"/>
      <c r="BT756" s="192"/>
    </row>
    <row r="757" spans="60:72">
      <c r="BH757" s="192"/>
      <c r="BI757" s="192"/>
      <c r="BJ757" s="192"/>
      <c r="BK757" s="192"/>
      <c r="BL757" s="192"/>
      <c r="BM757" s="192"/>
      <c r="BN757" s="192"/>
      <c r="BO757" s="192"/>
      <c r="BP757" s="192"/>
      <c r="BQ757" s="192"/>
      <c r="BR757" s="192"/>
      <c r="BS757" s="192"/>
      <c r="BT757" s="192"/>
    </row>
    <row r="758" spans="60:72">
      <c r="BH758" s="192"/>
      <c r="BI758" s="192"/>
      <c r="BJ758" s="192"/>
      <c r="BK758" s="192"/>
      <c r="BL758" s="192"/>
      <c r="BM758" s="192"/>
      <c r="BN758" s="192"/>
      <c r="BO758" s="192"/>
      <c r="BP758" s="192"/>
      <c r="BQ758" s="192"/>
      <c r="BR758" s="192"/>
      <c r="BS758" s="192"/>
      <c r="BT758" s="192"/>
    </row>
    <row r="759" spans="60:72">
      <c r="BH759" s="192"/>
      <c r="BI759" s="192"/>
      <c r="BJ759" s="192"/>
      <c r="BK759" s="192"/>
      <c r="BL759" s="192"/>
      <c r="BM759" s="192"/>
      <c r="BN759" s="192"/>
      <c r="BO759" s="192"/>
      <c r="BP759" s="192"/>
      <c r="BQ759" s="192"/>
      <c r="BR759" s="192"/>
      <c r="BS759" s="192"/>
      <c r="BT759" s="192"/>
    </row>
    <row r="760" spans="60:72">
      <c r="BH760" s="192"/>
      <c r="BI760" s="192"/>
      <c r="BJ760" s="192"/>
      <c r="BK760" s="192"/>
      <c r="BL760" s="192"/>
      <c r="BM760" s="192"/>
      <c r="BN760" s="192"/>
      <c r="BO760" s="192"/>
      <c r="BP760" s="192"/>
      <c r="BQ760" s="192"/>
      <c r="BR760" s="192"/>
      <c r="BS760" s="192"/>
      <c r="BT760" s="192"/>
    </row>
    <row r="761" spans="60:72">
      <c r="BH761" s="192"/>
      <c r="BI761" s="192"/>
      <c r="BJ761" s="192"/>
      <c r="BK761" s="192"/>
      <c r="BL761" s="192"/>
      <c r="BM761" s="192"/>
      <c r="BN761" s="192"/>
      <c r="BO761" s="192"/>
      <c r="BP761" s="192"/>
      <c r="BQ761" s="192"/>
      <c r="BR761" s="192"/>
      <c r="BS761" s="192"/>
      <c r="BT761" s="192"/>
    </row>
    <row r="762" spans="60:72">
      <c r="BH762" s="192"/>
      <c r="BI762" s="192"/>
      <c r="BJ762" s="192"/>
      <c r="BK762" s="192"/>
      <c r="BL762" s="192"/>
      <c r="BM762" s="192"/>
      <c r="BN762" s="192"/>
      <c r="BO762" s="192"/>
      <c r="BP762" s="192"/>
      <c r="BQ762" s="192"/>
      <c r="BR762" s="192"/>
      <c r="BS762" s="192"/>
      <c r="BT762" s="192"/>
    </row>
    <row r="763" spans="60:72">
      <c r="BH763" s="192"/>
      <c r="BI763" s="192"/>
      <c r="BJ763" s="192"/>
      <c r="BK763" s="192"/>
      <c r="BL763" s="192"/>
      <c r="BM763" s="192"/>
      <c r="BN763" s="192"/>
      <c r="BO763" s="192"/>
      <c r="BP763" s="192"/>
      <c r="BQ763" s="192"/>
      <c r="BR763" s="192"/>
      <c r="BS763" s="192"/>
      <c r="BT763" s="192"/>
    </row>
    <row r="764" spans="60:72">
      <c r="BH764" s="192"/>
      <c r="BI764" s="192"/>
      <c r="BJ764" s="192"/>
      <c r="BK764" s="192"/>
      <c r="BL764" s="192"/>
      <c r="BM764" s="192"/>
      <c r="BN764" s="192"/>
      <c r="BO764" s="192"/>
      <c r="BP764" s="192"/>
      <c r="BQ764" s="192"/>
      <c r="BR764" s="192"/>
      <c r="BS764" s="192"/>
      <c r="BT764" s="192"/>
    </row>
    <row r="765" spans="60:72">
      <c r="BH765" s="192"/>
      <c r="BI765" s="192"/>
      <c r="BJ765" s="192"/>
      <c r="BK765" s="192"/>
      <c r="BL765" s="192"/>
      <c r="BM765" s="192"/>
      <c r="BN765" s="192"/>
      <c r="BO765" s="192"/>
      <c r="BP765" s="192"/>
      <c r="BQ765" s="192"/>
      <c r="BR765" s="192"/>
      <c r="BS765" s="192"/>
      <c r="BT765" s="192"/>
    </row>
    <row r="766" spans="60:72">
      <c r="BH766" s="192"/>
      <c r="BI766" s="192"/>
      <c r="BJ766" s="192"/>
      <c r="BK766" s="192"/>
      <c r="BL766" s="192"/>
      <c r="BM766" s="192"/>
      <c r="BN766" s="192"/>
      <c r="BO766" s="192"/>
      <c r="BP766" s="192"/>
      <c r="BQ766" s="192"/>
      <c r="BR766" s="192"/>
      <c r="BS766" s="192"/>
      <c r="BT766" s="192"/>
    </row>
    <row r="767" spans="60:72">
      <c r="BH767" s="192"/>
      <c r="BI767" s="192"/>
      <c r="BJ767" s="192"/>
      <c r="BK767" s="192"/>
      <c r="BL767" s="192"/>
      <c r="BM767" s="192"/>
      <c r="BN767" s="192"/>
      <c r="BO767" s="192"/>
      <c r="BP767" s="192"/>
      <c r="BQ767" s="192"/>
      <c r="BR767" s="192"/>
      <c r="BS767" s="192"/>
      <c r="BT767" s="192"/>
    </row>
    <row r="768" spans="60:72">
      <c r="BH768" s="192"/>
      <c r="BI768" s="192"/>
      <c r="BJ768" s="192"/>
      <c r="BK768" s="192"/>
      <c r="BL768" s="192"/>
      <c r="BM768" s="192"/>
      <c r="BN768" s="192"/>
      <c r="BO768" s="192"/>
      <c r="BP768" s="192"/>
      <c r="BQ768" s="192"/>
      <c r="BR768" s="192"/>
      <c r="BS768" s="192"/>
      <c r="BT768" s="192"/>
    </row>
    <row r="769" spans="60:72">
      <c r="BH769" s="192"/>
      <c r="BI769" s="192"/>
      <c r="BJ769" s="192"/>
      <c r="BK769" s="192"/>
      <c r="BL769" s="192"/>
      <c r="BM769" s="192"/>
      <c r="BN769" s="192"/>
      <c r="BO769" s="192"/>
      <c r="BP769" s="192"/>
      <c r="BQ769" s="192"/>
      <c r="BR769" s="192"/>
      <c r="BS769" s="192"/>
      <c r="BT769" s="192"/>
    </row>
    <row r="770" spans="60:72">
      <c r="BH770" s="192"/>
      <c r="BI770" s="192"/>
      <c r="BJ770" s="192"/>
      <c r="BK770" s="192"/>
      <c r="BL770" s="192"/>
      <c r="BM770" s="192"/>
      <c r="BN770" s="192"/>
      <c r="BO770" s="192"/>
      <c r="BP770" s="192"/>
      <c r="BQ770" s="192"/>
      <c r="BR770" s="192"/>
      <c r="BS770" s="192"/>
      <c r="BT770" s="192"/>
    </row>
    <row r="771" spans="60:72">
      <c r="BH771" s="192"/>
      <c r="BI771" s="192"/>
      <c r="BJ771" s="192"/>
      <c r="BK771" s="192"/>
      <c r="BL771" s="192"/>
      <c r="BM771" s="192"/>
      <c r="BN771" s="192"/>
      <c r="BO771" s="192"/>
      <c r="BP771" s="192"/>
      <c r="BQ771" s="192"/>
      <c r="BR771" s="192"/>
      <c r="BS771" s="192"/>
      <c r="BT771" s="192"/>
    </row>
    <row r="772" spans="60:72">
      <c r="BH772" s="192"/>
      <c r="BI772" s="192"/>
      <c r="BJ772" s="192"/>
      <c r="BK772" s="192"/>
      <c r="BL772" s="192"/>
      <c r="BM772" s="192"/>
      <c r="BN772" s="192"/>
      <c r="BO772" s="192"/>
      <c r="BP772" s="192"/>
      <c r="BQ772" s="192"/>
      <c r="BR772" s="192"/>
      <c r="BS772" s="192"/>
      <c r="BT772" s="192"/>
    </row>
    <row r="773" spans="60:72">
      <c r="BH773" s="192"/>
      <c r="BI773" s="192"/>
      <c r="BJ773" s="192"/>
      <c r="BK773" s="192"/>
      <c r="BL773" s="192"/>
      <c r="BM773" s="192"/>
      <c r="BN773" s="192"/>
      <c r="BO773" s="192"/>
      <c r="BP773" s="192"/>
      <c r="BQ773" s="192"/>
      <c r="BR773" s="192"/>
      <c r="BS773" s="192"/>
      <c r="BT773" s="192"/>
    </row>
    <row r="774" spans="60:72">
      <c r="BH774" s="192"/>
      <c r="BI774" s="192"/>
      <c r="BJ774" s="192"/>
      <c r="BK774" s="192"/>
      <c r="BL774" s="192"/>
      <c r="BM774" s="192"/>
      <c r="BN774" s="192"/>
      <c r="BO774" s="192"/>
      <c r="BP774" s="192"/>
      <c r="BQ774" s="192"/>
      <c r="BR774" s="192"/>
      <c r="BS774" s="192"/>
      <c r="BT774" s="192"/>
    </row>
    <row r="775" spans="60:72">
      <c r="BH775" s="192"/>
      <c r="BI775" s="192"/>
      <c r="BJ775" s="192"/>
      <c r="BK775" s="192"/>
      <c r="BL775" s="192"/>
      <c r="BM775" s="192"/>
      <c r="BN775" s="192"/>
      <c r="BO775" s="192"/>
      <c r="BP775" s="192"/>
      <c r="BQ775" s="192"/>
      <c r="BR775" s="192"/>
      <c r="BS775" s="192"/>
      <c r="BT775" s="192"/>
    </row>
    <row r="776" spans="60:72">
      <c r="BH776" s="192"/>
      <c r="BI776" s="192"/>
      <c r="BJ776" s="192"/>
      <c r="BK776" s="192"/>
      <c r="BL776" s="192"/>
      <c r="BM776" s="192"/>
      <c r="BN776" s="192"/>
      <c r="BO776" s="192"/>
      <c r="BP776" s="192"/>
      <c r="BQ776" s="192"/>
      <c r="BR776" s="192"/>
      <c r="BS776" s="192"/>
      <c r="BT776" s="192"/>
    </row>
    <row r="777" spans="60:72">
      <c r="BH777" s="192"/>
      <c r="BI777" s="192"/>
      <c r="BJ777" s="192"/>
      <c r="BK777" s="192"/>
      <c r="BL777" s="192"/>
      <c r="BM777" s="192"/>
      <c r="BN777" s="192"/>
      <c r="BO777" s="192"/>
      <c r="BP777" s="192"/>
      <c r="BQ777" s="192"/>
      <c r="BR777" s="192"/>
      <c r="BS777" s="192"/>
      <c r="BT777" s="192"/>
    </row>
    <row r="778" spans="60:72">
      <c r="BH778" s="192"/>
      <c r="BI778" s="192"/>
      <c r="BJ778" s="192"/>
      <c r="BK778" s="192"/>
      <c r="BL778" s="192"/>
      <c r="BM778" s="192"/>
      <c r="BN778" s="192"/>
      <c r="BO778" s="192"/>
      <c r="BP778" s="192"/>
      <c r="BQ778" s="192"/>
      <c r="BR778" s="192"/>
      <c r="BS778" s="192"/>
      <c r="BT778" s="192"/>
    </row>
    <row r="779" spans="60:72">
      <c r="BH779" s="192"/>
      <c r="BI779" s="192"/>
      <c r="BJ779" s="192"/>
      <c r="BK779" s="192"/>
      <c r="BL779" s="192"/>
      <c r="BM779" s="192"/>
      <c r="BN779" s="192"/>
      <c r="BO779" s="192"/>
      <c r="BP779" s="192"/>
      <c r="BQ779" s="192"/>
      <c r="BR779" s="192"/>
      <c r="BS779" s="192"/>
      <c r="BT779" s="192"/>
    </row>
    <row r="780" spans="60:72">
      <c r="BH780" s="192"/>
      <c r="BI780" s="192"/>
      <c r="BJ780" s="192"/>
      <c r="BK780" s="192"/>
      <c r="BL780" s="192"/>
      <c r="BM780" s="192"/>
      <c r="BN780" s="192"/>
      <c r="BO780" s="192"/>
      <c r="BP780" s="192"/>
      <c r="BQ780" s="192"/>
      <c r="BR780" s="192"/>
      <c r="BS780" s="192"/>
      <c r="BT780" s="192"/>
    </row>
    <row r="781" spans="60:72">
      <c r="BH781" s="192"/>
      <c r="BI781" s="192"/>
      <c r="BJ781" s="192"/>
      <c r="BK781" s="192"/>
      <c r="BL781" s="192"/>
      <c r="BM781" s="192"/>
      <c r="BN781" s="192"/>
      <c r="BO781" s="192"/>
      <c r="BP781" s="192"/>
      <c r="BQ781" s="192"/>
      <c r="BR781" s="192"/>
      <c r="BS781" s="192"/>
      <c r="BT781" s="192"/>
    </row>
    <row r="782" spans="60:72">
      <c r="BH782" s="192"/>
      <c r="BI782" s="192"/>
      <c r="BJ782" s="192"/>
      <c r="BK782" s="192"/>
      <c r="BL782" s="192"/>
      <c r="BM782" s="192"/>
      <c r="BN782" s="192"/>
      <c r="BO782" s="192"/>
      <c r="BP782" s="192"/>
      <c r="BQ782" s="192"/>
      <c r="BR782" s="192"/>
      <c r="BS782" s="192"/>
      <c r="BT782" s="192"/>
    </row>
    <row r="783" spans="60:72">
      <c r="BH783" s="192"/>
      <c r="BI783" s="192"/>
      <c r="BJ783" s="192"/>
      <c r="BK783" s="192"/>
      <c r="BL783" s="192"/>
      <c r="BM783" s="192"/>
      <c r="BN783" s="192"/>
      <c r="BO783" s="192"/>
      <c r="BP783" s="192"/>
      <c r="BQ783" s="192"/>
      <c r="BR783" s="192"/>
      <c r="BS783" s="192"/>
      <c r="BT783" s="192"/>
    </row>
    <row r="784" spans="60:72">
      <c r="BH784" s="192"/>
      <c r="BI784" s="192"/>
      <c r="BJ784" s="192"/>
      <c r="BK784" s="192"/>
      <c r="BL784" s="192"/>
      <c r="BM784" s="192"/>
      <c r="BN784" s="192"/>
      <c r="BO784" s="192"/>
      <c r="BP784" s="192"/>
      <c r="BQ784" s="192"/>
      <c r="BR784" s="192"/>
      <c r="BS784" s="192"/>
      <c r="BT784" s="192"/>
    </row>
    <row r="785" spans="60:72">
      <c r="BH785" s="192"/>
      <c r="BI785" s="192"/>
      <c r="BJ785" s="192"/>
      <c r="BK785" s="192"/>
      <c r="BL785" s="192"/>
      <c r="BM785" s="192"/>
      <c r="BN785" s="192"/>
      <c r="BO785" s="192"/>
      <c r="BP785" s="192"/>
      <c r="BQ785" s="192"/>
      <c r="BR785" s="192"/>
      <c r="BS785" s="192"/>
      <c r="BT785" s="192"/>
    </row>
    <row r="786" spans="60:72">
      <c r="BH786" s="192"/>
      <c r="BI786" s="192"/>
      <c r="BJ786" s="192"/>
      <c r="BK786" s="192"/>
      <c r="BL786" s="192"/>
      <c r="BM786" s="192"/>
      <c r="BN786" s="192"/>
      <c r="BO786" s="192"/>
      <c r="BP786" s="192"/>
      <c r="BQ786" s="192"/>
      <c r="BR786" s="192"/>
      <c r="BS786" s="192"/>
      <c r="BT786" s="192"/>
    </row>
    <row r="787" spans="60:72">
      <c r="BH787" s="192"/>
      <c r="BI787" s="192"/>
      <c r="BJ787" s="192"/>
      <c r="BK787" s="192"/>
      <c r="BL787" s="192"/>
      <c r="BM787" s="192"/>
      <c r="BN787" s="192"/>
      <c r="BO787" s="192"/>
      <c r="BP787" s="192"/>
      <c r="BQ787" s="192"/>
      <c r="BR787" s="192"/>
      <c r="BS787" s="192"/>
      <c r="BT787" s="192"/>
    </row>
    <row r="788" spans="60:72">
      <c r="BH788" s="192"/>
      <c r="BI788" s="192"/>
      <c r="BJ788" s="192"/>
      <c r="BK788" s="192"/>
      <c r="BL788" s="192"/>
      <c r="BM788" s="192"/>
      <c r="BN788" s="192"/>
      <c r="BO788" s="192"/>
      <c r="BP788" s="192"/>
      <c r="BQ788" s="192"/>
      <c r="BR788" s="192"/>
      <c r="BS788" s="192"/>
      <c r="BT788" s="192"/>
    </row>
    <row r="789" spans="60:72">
      <c r="BH789" s="192"/>
      <c r="BI789" s="192"/>
      <c r="BJ789" s="192"/>
      <c r="BK789" s="192"/>
      <c r="BL789" s="192"/>
      <c r="BM789" s="192"/>
      <c r="BN789" s="192"/>
      <c r="BO789" s="192"/>
      <c r="BP789" s="192"/>
      <c r="BQ789" s="192"/>
      <c r="BR789" s="192"/>
      <c r="BS789" s="192"/>
      <c r="BT789" s="192"/>
    </row>
    <row r="790" spans="60:72">
      <c r="BH790" s="192"/>
      <c r="BI790" s="192"/>
      <c r="BJ790" s="192"/>
      <c r="BK790" s="192"/>
      <c r="BL790" s="192"/>
      <c r="BM790" s="192"/>
      <c r="BN790" s="192"/>
      <c r="BO790" s="192"/>
      <c r="BP790" s="192"/>
      <c r="BQ790" s="192"/>
      <c r="BR790" s="192"/>
      <c r="BS790" s="192"/>
      <c r="BT790" s="192"/>
    </row>
    <row r="791" spans="60:72">
      <c r="BH791" s="192"/>
      <c r="BI791" s="192"/>
      <c r="BJ791" s="192"/>
      <c r="BK791" s="192"/>
      <c r="BL791" s="192"/>
      <c r="BM791" s="192"/>
      <c r="BN791" s="192"/>
      <c r="BO791" s="192"/>
      <c r="BP791" s="192"/>
      <c r="BQ791" s="192"/>
      <c r="BR791" s="192"/>
      <c r="BS791" s="192"/>
      <c r="BT791" s="192"/>
    </row>
    <row r="792" spans="60:72">
      <c r="BH792" s="192"/>
      <c r="BI792" s="192"/>
      <c r="BJ792" s="192"/>
      <c r="BK792" s="192"/>
      <c r="BL792" s="192"/>
      <c r="BM792" s="192"/>
      <c r="BN792" s="192"/>
      <c r="BO792" s="192"/>
      <c r="BP792" s="192"/>
      <c r="BQ792" s="192"/>
      <c r="BR792" s="192"/>
      <c r="BS792" s="192"/>
      <c r="BT792" s="192"/>
    </row>
    <row r="793" spans="60:72">
      <c r="BH793" s="192"/>
      <c r="BI793" s="192"/>
      <c r="BJ793" s="192"/>
      <c r="BK793" s="192"/>
      <c r="BL793" s="192"/>
      <c r="BM793" s="192"/>
      <c r="BN793" s="192"/>
      <c r="BO793" s="192"/>
      <c r="BP793" s="192"/>
      <c r="BQ793" s="192"/>
      <c r="BR793" s="192"/>
      <c r="BS793" s="192"/>
      <c r="BT793" s="192"/>
    </row>
    <row r="794" spans="60:72">
      <c r="BH794" s="192"/>
      <c r="BI794" s="192"/>
      <c r="BJ794" s="192"/>
      <c r="BK794" s="192"/>
      <c r="BL794" s="192"/>
      <c r="BM794" s="192"/>
      <c r="BN794" s="192"/>
      <c r="BO794" s="192"/>
      <c r="BP794" s="192"/>
      <c r="BQ794" s="192"/>
      <c r="BR794" s="192"/>
      <c r="BS794" s="192"/>
      <c r="BT794" s="192"/>
    </row>
    <row r="795" spans="60:72">
      <c r="BH795" s="192"/>
      <c r="BI795" s="192"/>
      <c r="BJ795" s="192"/>
      <c r="BK795" s="192"/>
      <c r="BL795" s="192"/>
      <c r="BM795" s="192"/>
      <c r="BN795" s="192"/>
      <c r="BO795" s="192"/>
      <c r="BP795" s="192"/>
      <c r="BQ795" s="192"/>
      <c r="BR795" s="192"/>
      <c r="BS795" s="192"/>
      <c r="BT795" s="192"/>
    </row>
    <row r="796" spans="60:72">
      <c r="BH796" s="192"/>
      <c r="BI796" s="192"/>
      <c r="BJ796" s="192"/>
      <c r="BK796" s="192"/>
      <c r="BL796" s="192"/>
      <c r="BM796" s="192"/>
      <c r="BN796" s="192"/>
      <c r="BO796" s="192"/>
      <c r="BP796" s="192"/>
      <c r="BQ796" s="192"/>
      <c r="BR796" s="192"/>
      <c r="BS796" s="192"/>
      <c r="BT796" s="192"/>
    </row>
    <row r="797" spans="60:72">
      <c r="BH797" s="192"/>
      <c r="BI797" s="192"/>
      <c r="BJ797" s="192"/>
      <c r="BK797" s="192"/>
      <c r="BL797" s="192"/>
      <c r="BM797" s="192"/>
      <c r="BN797" s="192"/>
      <c r="BO797" s="192"/>
      <c r="BP797" s="192"/>
      <c r="BQ797" s="192"/>
      <c r="BR797" s="192"/>
      <c r="BS797" s="192"/>
      <c r="BT797" s="192"/>
    </row>
    <row r="798" spans="60:72">
      <c r="BH798" s="192"/>
      <c r="BI798" s="192"/>
      <c r="BJ798" s="192"/>
      <c r="BK798" s="192"/>
      <c r="BL798" s="192"/>
      <c r="BM798" s="192"/>
      <c r="BN798" s="192"/>
      <c r="BO798" s="192"/>
      <c r="BP798" s="192"/>
      <c r="BQ798" s="192"/>
      <c r="BR798" s="192"/>
      <c r="BS798" s="192"/>
      <c r="BT798" s="192"/>
    </row>
    <row r="799" spans="60:72">
      <c r="BH799" s="192"/>
      <c r="BI799" s="192"/>
      <c r="BJ799" s="192"/>
      <c r="BK799" s="192"/>
      <c r="BL799" s="192"/>
      <c r="BM799" s="192"/>
      <c r="BN799" s="192"/>
      <c r="BO799" s="192"/>
      <c r="BP799" s="192"/>
      <c r="BQ799" s="192"/>
      <c r="BR799" s="192"/>
      <c r="BS799" s="192"/>
      <c r="BT799" s="192"/>
    </row>
    <row r="800" spans="60:72">
      <c r="BH800" s="192"/>
      <c r="BI800" s="192"/>
      <c r="BJ800" s="192"/>
      <c r="BK800" s="192"/>
      <c r="BL800" s="192"/>
      <c r="BM800" s="192"/>
      <c r="BN800" s="192"/>
      <c r="BO800" s="192"/>
      <c r="BP800" s="192"/>
      <c r="BQ800" s="192"/>
      <c r="BR800" s="192"/>
      <c r="BS800" s="192"/>
      <c r="BT800" s="192"/>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52"/>
      <c r="BE1" s="52"/>
      <c r="BF1" s="52"/>
      <c r="BG1" s="52"/>
      <c r="BH1" s="52"/>
      <c r="BI1" s="52"/>
      <c r="BJ1" s="52"/>
      <c r="BK1" s="12"/>
      <c r="BL1" s="12"/>
    </row>
    <row r="2" spans="1:256" ht="15.75">
      <c r="A2" s="9"/>
      <c r="B2" s="9"/>
      <c r="C2" s="57" t="s">
        <v>114</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12"/>
      <c r="BE2" s="12"/>
      <c r="BF2" s="12"/>
      <c r="BG2" s="12"/>
      <c r="BH2" s="12"/>
      <c r="BI2" s="12"/>
      <c r="BJ2" s="12"/>
      <c r="BK2" s="12"/>
      <c r="BL2" s="12"/>
    </row>
    <row r="3" spans="1:256" s="1" customFormat="1">
      <c r="A3" s="58"/>
      <c r="B3" s="58"/>
      <c r="C3" s="59"/>
      <c r="D3" s="58"/>
      <c r="E3" s="58"/>
      <c r="F3" s="58"/>
      <c r="G3" s="241">
        <v>0</v>
      </c>
      <c r="H3" s="241">
        <f t="shared" ref="H3:R3" si="0">G3+1</f>
        <v>1</v>
      </c>
      <c r="I3" s="241">
        <f t="shared" si="0"/>
        <v>2</v>
      </c>
      <c r="J3" s="241">
        <f t="shared" si="0"/>
        <v>3</v>
      </c>
      <c r="K3" s="241">
        <f t="shared" si="0"/>
        <v>4</v>
      </c>
      <c r="L3" s="241">
        <f t="shared" si="0"/>
        <v>5</v>
      </c>
      <c r="M3" s="241">
        <f t="shared" si="0"/>
        <v>6</v>
      </c>
      <c r="N3" s="241">
        <f t="shared" si="0"/>
        <v>7</v>
      </c>
      <c r="O3" s="241">
        <f t="shared" si="0"/>
        <v>8</v>
      </c>
      <c r="P3" s="241">
        <f t="shared" si="0"/>
        <v>9</v>
      </c>
      <c r="Q3" s="241">
        <f t="shared" si="0"/>
        <v>10</v>
      </c>
      <c r="R3" s="241">
        <f t="shared" si="0"/>
        <v>11</v>
      </c>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4"/>
      <c r="G6" s="203">
        <f>Input!G177</f>
        <v>4.3526432415321059E-2</v>
      </c>
      <c r="H6" s="21">
        <f>Input!H177</f>
        <v>1.8201122402548231E-2</v>
      </c>
      <c r="I6" s="21">
        <f>Input!I177</f>
        <v>2.845225681513508E-2</v>
      </c>
      <c r="J6" s="21">
        <f>Input!J177</f>
        <v>3.3893395133255844E-2</v>
      </c>
      <c r="K6" s="21">
        <f>Input!K177</f>
        <v>1.76278015613196E-2</v>
      </c>
      <c r="L6" s="21">
        <f>Input!L177</f>
        <v>2.4498886414253906E-2</v>
      </c>
      <c r="M6" s="21">
        <f>Input!M177</f>
        <v>0</v>
      </c>
      <c r="N6" s="21">
        <f>Input!N177</f>
        <v>0</v>
      </c>
      <c r="O6" s="21">
        <f>Input!O177</f>
        <v>0</v>
      </c>
      <c r="P6" s="21">
        <f>Input!P177</f>
        <v>0</v>
      </c>
      <c r="Q6" s="21">
        <f>Input!Q177</f>
        <v>0</v>
      </c>
      <c r="R6" s="21"/>
      <c r="S6" s="87"/>
      <c r="T6" s="87"/>
      <c r="U6" s="87"/>
      <c r="V6" s="87"/>
      <c r="W6" s="87"/>
      <c r="X6" s="87"/>
      <c r="Y6" s="87"/>
      <c r="Z6" s="87"/>
      <c r="AA6" s="87"/>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87"/>
      <c r="BE6" s="87"/>
      <c r="BF6" s="87"/>
      <c r="BG6" s="87"/>
      <c r="BH6" s="87"/>
      <c r="BI6" s="87"/>
      <c r="BJ6" s="87"/>
      <c r="BK6" s="12"/>
      <c r="BL6" s="12"/>
    </row>
    <row r="7" spans="1:256">
      <c r="A7" s="9"/>
      <c r="B7" s="9"/>
      <c r="C7" s="9" t="s">
        <v>77</v>
      </c>
      <c r="D7" s="9"/>
      <c r="E7" s="9"/>
      <c r="F7" s="9"/>
      <c r="G7" s="204">
        <f>Input!G178</f>
        <v>1</v>
      </c>
      <c r="H7" s="242">
        <f>Input!H178</f>
        <v>1.0435264324153211</v>
      </c>
      <c r="I7" s="243">
        <f>Input!I178</f>
        <v>1.0625197847420067</v>
      </c>
      <c r="J7" s="243">
        <f>Input!J178</f>
        <v>1.0927508705286484</v>
      </c>
      <c r="K7" s="243">
        <f>Input!K178</f>
        <v>1.1297879075656851</v>
      </c>
      <c r="L7" s="243">
        <f>Input!L178</f>
        <v>1.1497035846066315</v>
      </c>
      <c r="M7" s="243">
        <f>Input!M178</f>
        <v>1.1778700421359698</v>
      </c>
      <c r="N7" s="243">
        <f>Input!N178</f>
        <v>1.1778700421359698</v>
      </c>
      <c r="O7" s="243">
        <f>Input!O178</f>
        <v>1.1778700421359698</v>
      </c>
      <c r="P7" s="243">
        <f>Input!P178</f>
        <v>1.1778700421359698</v>
      </c>
      <c r="Q7" s="243">
        <f>Input!Q178</f>
        <v>1.1778700421359698</v>
      </c>
      <c r="R7" s="22"/>
      <c r="S7" s="101"/>
      <c r="T7" s="101"/>
      <c r="U7" s="101"/>
      <c r="V7" s="101"/>
      <c r="W7" s="101"/>
      <c r="X7" s="101"/>
      <c r="Y7" s="101"/>
      <c r="Z7" s="101"/>
      <c r="AA7" s="101"/>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1"/>
      <c r="BE10" s="101"/>
      <c r="BF10" s="101"/>
      <c r="BG10" s="101"/>
      <c r="BH10" s="101"/>
      <c r="BI10" s="101"/>
      <c r="BJ10" s="101"/>
      <c r="BK10" s="12"/>
      <c r="BL10" s="12"/>
    </row>
    <row r="11" spans="1:256">
      <c r="A11" s="9"/>
      <c r="B11" s="9"/>
      <c r="C11" s="46" t="s">
        <v>34</v>
      </c>
      <c r="D11" s="9"/>
      <c r="E11" s="9"/>
      <c r="F11" s="9"/>
      <c r="G11" s="37"/>
      <c r="H11" s="37">
        <f t="shared" ref="H11:P11" si="1">SUM(H12:H41)</f>
        <v>51.272022640100154</v>
      </c>
      <c r="I11" s="37">
        <f t="shared" si="1"/>
        <v>54.095246367499406</v>
      </c>
      <c r="J11" s="37">
        <f t="shared" si="1"/>
        <v>44.99877252463385</v>
      </c>
      <c r="K11" s="37">
        <f t="shared" si="1"/>
        <v>39.863254212401642</v>
      </c>
      <c r="L11" s="37">
        <f t="shared" si="1"/>
        <v>57.904085712485333</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2"/>
      <c r="BE11" s="102"/>
      <c r="BF11" s="102"/>
      <c r="BG11" s="102"/>
      <c r="BH11" s="102"/>
      <c r="BI11" s="102"/>
      <c r="BJ11" s="102"/>
      <c r="BK11" s="12"/>
      <c r="BL11" s="12"/>
    </row>
    <row r="12" spans="1:256" hidden="1" outlineLevel="1">
      <c r="A12" s="9"/>
      <c r="B12" s="9"/>
      <c r="C12" s="46"/>
      <c r="D12" s="132" t="str">
        <f>Asset1</f>
        <v>Opening Distribution Assets</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2"/>
      <c r="BE12" s="102"/>
      <c r="BF12" s="102"/>
      <c r="BG12" s="102"/>
      <c r="BH12" s="102"/>
      <c r="BI12" s="102"/>
      <c r="BJ12" s="102"/>
      <c r="BK12" s="12"/>
      <c r="BL12" s="12"/>
    </row>
    <row r="13" spans="1:256" hidden="1" outlineLevel="1">
      <c r="A13" s="9"/>
      <c r="B13" s="9"/>
      <c r="C13" s="46"/>
      <c r="D13" s="132" t="str">
        <f>Asset2</f>
        <v>Sub-transmission Overhead</v>
      </c>
      <c r="E13" s="9"/>
      <c r="F13" s="9"/>
      <c r="G13" s="126"/>
      <c r="H13" s="113">
        <f>Input!H144*(1+vanilla1)^0.5</f>
        <v>0</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2"/>
      <c r="BE13" s="102"/>
      <c r="BF13" s="102"/>
      <c r="BG13" s="102"/>
      <c r="BH13" s="102"/>
      <c r="BI13" s="102"/>
      <c r="BJ13" s="102"/>
      <c r="BK13" s="12"/>
      <c r="BL13" s="12"/>
    </row>
    <row r="14" spans="1:256" hidden="1" outlineLevel="1">
      <c r="A14" s="9"/>
      <c r="B14" s="9"/>
      <c r="C14" s="46"/>
      <c r="D14" s="132" t="str">
        <f>Asset3</f>
        <v>Sub-transmission Underground</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2"/>
      <c r="BE14" s="102"/>
      <c r="BF14" s="102"/>
      <c r="BG14" s="102"/>
      <c r="BH14" s="102"/>
      <c r="BI14" s="102"/>
      <c r="BJ14" s="102"/>
      <c r="BK14" s="12"/>
      <c r="BL14" s="12"/>
    </row>
    <row r="15" spans="1:256" hidden="1" outlineLevel="1">
      <c r="A15" s="9"/>
      <c r="B15" s="9"/>
      <c r="C15" s="46"/>
      <c r="D15" s="132" t="str">
        <f>Asset4</f>
        <v>Zone Substation</v>
      </c>
      <c r="E15" s="9"/>
      <c r="F15" s="9"/>
      <c r="G15" s="126"/>
      <c r="H15" s="113">
        <f>Input!H146*(1+vanilla1)^0.5</f>
        <v>0.79008281112332457</v>
      </c>
      <c r="I15" s="113">
        <f>Input!I146*(1+vanilla2)^0.5</f>
        <v>7.957689071102737E-3</v>
      </c>
      <c r="J15" s="113">
        <f>Input!J146*(1+vanilla3)^0.5</f>
        <v>0</v>
      </c>
      <c r="K15" s="113">
        <f>Input!K146*(1+vanilla4)^0.5</f>
        <v>0.70283336750711811</v>
      </c>
      <c r="L15" s="113">
        <f>Input!L146*(1+vanilla5)^0.5</f>
        <v>0.14580765349036676</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2"/>
      <c r="BE15" s="102"/>
      <c r="BF15" s="102"/>
      <c r="BG15" s="102"/>
      <c r="BH15" s="102"/>
      <c r="BI15" s="102"/>
      <c r="BJ15" s="102"/>
      <c r="BK15" s="12"/>
      <c r="BL15" s="12"/>
    </row>
    <row r="16" spans="1:256" hidden="1" outlineLevel="1">
      <c r="A16" s="9"/>
      <c r="B16" s="9"/>
      <c r="C16" s="46"/>
      <c r="D16" s="132" t="str">
        <f>Asset5</f>
        <v>Distribution Substations</v>
      </c>
      <c r="E16" s="9"/>
      <c r="F16" s="9"/>
      <c r="G16" s="126"/>
      <c r="H16" s="113">
        <f>Input!H147*(1+vanilla1)^0.5</f>
        <v>9.9231122765235895</v>
      </c>
      <c r="I16" s="113">
        <f>Input!I147*(1+vanilla2)^0.5</f>
        <v>11.52595040931061</v>
      </c>
      <c r="J16" s="113">
        <f>Input!J147*(1+vanilla3)^0.5</f>
        <v>9.9178999836475086</v>
      </c>
      <c r="K16" s="113">
        <f>Input!K147*(1+vanilla4)^0.5</f>
        <v>6.7744985745545225</v>
      </c>
      <c r="L16" s="113">
        <f>Input!L147*(1+vanilla5)^0.5</f>
        <v>8.8826445727493919</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2"/>
      <c r="BE16" s="102"/>
      <c r="BF16" s="102"/>
      <c r="BG16" s="102"/>
      <c r="BH16" s="102"/>
      <c r="BI16" s="102"/>
      <c r="BJ16" s="102"/>
      <c r="BK16" s="12"/>
      <c r="BL16" s="12"/>
    </row>
    <row r="17" spans="1:64" hidden="1" outlineLevel="1">
      <c r="A17" s="9"/>
      <c r="B17" s="9"/>
      <c r="C17" s="46"/>
      <c r="D17" s="132" t="str">
        <f>Asset6</f>
        <v>Distribution Overhead Lines</v>
      </c>
      <c r="E17" s="9"/>
      <c r="F17" s="9"/>
      <c r="G17" s="126"/>
      <c r="H17" s="113">
        <f>Input!H148*(1+vanilla1)^0.5</f>
        <v>10.784504343792682</v>
      </c>
      <c r="I17" s="113">
        <f>Input!I148*(1+vanilla2)^0.5</f>
        <v>12.23807264725461</v>
      </c>
      <c r="J17" s="113">
        <f>Input!J148*(1+vanilla3)^0.5</f>
        <v>13.124359615085758</v>
      </c>
      <c r="K17" s="113">
        <f>Input!K148*(1+vanilla4)^0.5</f>
        <v>10.051703575616425</v>
      </c>
      <c r="L17" s="113">
        <f>Input!L148*(1+vanilla5)^0.5</f>
        <v>8.7901587770661429</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2"/>
      <c r="BE17" s="102"/>
      <c r="BF17" s="102"/>
      <c r="BG17" s="102"/>
      <c r="BH17" s="102"/>
      <c r="BI17" s="102"/>
      <c r="BJ17" s="102"/>
      <c r="BK17" s="12"/>
      <c r="BL17" s="12"/>
    </row>
    <row r="18" spans="1:64" hidden="1" outlineLevel="1">
      <c r="A18" s="9"/>
      <c r="B18" s="9"/>
      <c r="C18" s="46"/>
      <c r="D18" s="132" t="str">
        <f>Asset7</f>
        <v>Distribution Underground Lines</v>
      </c>
      <c r="E18" s="9"/>
      <c r="F18" s="9"/>
      <c r="G18" s="126"/>
      <c r="H18" s="113">
        <f>Input!H149*(1+vanilla1)^0.5</f>
        <v>14.737536433828074</v>
      </c>
      <c r="I18" s="113">
        <f>Input!I149*(1+vanilla2)^0.5</f>
        <v>15.987172346888229</v>
      </c>
      <c r="J18" s="113">
        <f>Input!J149*(1+vanilla3)^0.5</f>
        <v>16.130939307698011</v>
      </c>
      <c r="K18" s="113">
        <f>Input!K149*(1+vanilla4)^0.5</f>
        <v>8.0480543210225139</v>
      </c>
      <c r="L18" s="113">
        <f>Input!L149*(1+vanilla5)^0.5</f>
        <v>11.821234795390328</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2"/>
      <c r="BE18" s="102"/>
      <c r="BF18" s="102"/>
      <c r="BG18" s="102"/>
      <c r="BH18" s="102"/>
      <c r="BI18" s="102"/>
      <c r="BJ18" s="102"/>
      <c r="BK18" s="12"/>
      <c r="BL18" s="12"/>
    </row>
    <row r="19" spans="1:64" hidden="1" outlineLevel="1">
      <c r="A19" s="9"/>
      <c r="B19" s="9"/>
      <c r="C19" s="46"/>
      <c r="D19" s="132" t="str">
        <f>Asset8</f>
        <v>IT &amp; Communication Systems (Networks)</v>
      </c>
      <c r="E19" s="9"/>
      <c r="F19" s="9"/>
      <c r="G19" s="126"/>
      <c r="H19" s="113">
        <f>Input!H150*(1+vanilla1)^0.5</f>
        <v>1.2004850917885757</v>
      </c>
      <c r="I19" s="113">
        <f>Input!I150*(1+vanilla2)^0.5</f>
        <v>0.83300807443801794</v>
      </c>
      <c r="J19" s="113">
        <f>Input!J150*(1+vanilla3)^0.5</f>
        <v>2.2821375439054639</v>
      </c>
      <c r="K19" s="113">
        <f>Input!K150*(1+vanilla4)^0.5</f>
        <v>5.8159680637118942</v>
      </c>
      <c r="L19" s="113">
        <f>Input!L150*(1+vanilla5)^0.5</f>
        <v>17.633654982403051</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2"/>
      <c r="BE19" s="102"/>
      <c r="BF19" s="102"/>
      <c r="BG19" s="102"/>
      <c r="BH19" s="102"/>
      <c r="BI19" s="102"/>
      <c r="BJ19" s="102"/>
      <c r="BK19" s="12"/>
      <c r="BL19" s="12"/>
    </row>
    <row r="20" spans="1:64" hidden="1" outlineLevel="1">
      <c r="A20" s="9"/>
      <c r="B20" s="9"/>
      <c r="C20" s="46"/>
      <c r="D20" s="132" t="str">
        <f>Asset9</f>
        <v>Motor Vehicles</v>
      </c>
      <c r="E20" s="9"/>
      <c r="F20" s="9"/>
      <c r="G20" s="126"/>
      <c r="H20" s="113">
        <f>Input!H151*(1+vanilla1)^0.5</f>
        <v>0</v>
      </c>
      <c r="I20" s="113">
        <f>Input!I151*(1+vanilla2)^0.5</f>
        <v>0</v>
      </c>
      <c r="J20" s="113">
        <f>Input!J151*(1+vanilla3)^0.5</f>
        <v>0.54100962381038509</v>
      </c>
      <c r="K20" s="113">
        <f>Input!K151*(1+vanilla4)^0.5</f>
        <v>3.6809692506868696</v>
      </c>
      <c r="L20" s="113">
        <f>Input!L151*(1+vanilla5)^0.5</f>
        <v>1.4806372677539197</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2"/>
      <c r="BE20" s="102"/>
      <c r="BF20" s="102"/>
      <c r="BG20" s="102"/>
      <c r="BH20" s="102"/>
      <c r="BI20" s="102"/>
      <c r="BJ20" s="102"/>
      <c r="BK20" s="12"/>
      <c r="BL20" s="12"/>
    </row>
    <row r="21" spans="1:64" hidden="1" outlineLevel="1">
      <c r="A21" s="9"/>
      <c r="B21" s="9"/>
      <c r="C21" s="46"/>
      <c r="D21" s="132" t="str">
        <f>Asset10</f>
        <v>Other Non-System Assets (Networks)</v>
      </c>
      <c r="E21" s="9"/>
      <c r="F21" s="9"/>
      <c r="G21" s="126"/>
      <c r="H21" s="113">
        <f>Input!H152*(1+vanilla1)^0.5</f>
        <v>0.93757947125764385</v>
      </c>
      <c r="I21" s="113">
        <f>Input!I152*(1+vanilla2)^0.5</f>
        <v>0.46943438963182682</v>
      </c>
      <c r="J21" s="113">
        <f>Input!J152*(1+vanilla3)^0.5</f>
        <v>0.36523341106675522</v>
      </c>
      <c r="K21" s="113">
        <f>Input!K152*(1+vanilla4)^0.5</f>
        <v>0.53295210495140199</v>
      </c>
      <c r="L21" s="113">
        <f>Input!L152*(1+vanilla5)^0.5</f>
        <v>0.55892875964786282</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2"/>
      <c r="BE21" s="102"/>
      <c r="BF21" s="102"/>
      <c r="BG21" s="102"/>
      <c r="BH21" s="102"/>
      <c r="BI21" s="102"/>
      <c r="BJ21" s="102"/>
      <c r="BK21" s="12"/>
      <c r="BL21" s="12"/>
    </row>
    <row r="22" spans="1:64" hidden="1" outlineLevel="1">
      <c r="A22" s="9"/>
      <c r="B22" s="9"/>
      <c r="C22" s="46"/>
      <c r="D22" s="132" t="str">
        <f>Asset11</f>
        <v>IT Systems (Corporate)</v>
      </c>
      <c r="E22" s="9"/>
      <c r="F22" s="9"/>
      <c r="G22" s="126"/>
      <c r="H22" s="113">
        <f>Input!H153*(1+vanilla1)^0.5</f>
        <v>0.88731277583044077</v>
      </c>
      <c r="I22" s="113">
        <f>Input!I153*(1+vanilla2)^0.5</f>
        <v>0.26569831243511272</v>
      </c>
      <c r="J22" s="113">
        <f>Input!J153*(1+vanilla3)^0.5</f>
        <v>1.3344424011469511</v>
      </c>
      <c r="K22" s="113">
        <f>Input!K153*(1+vanilla4)^0.5</f>
        <v>2.5663018397409307</v>
      </c>
      <c r="L22" s="113">
        <f>Input!L153*(1+vanilla5)^0.5</f>
        <v>6.0069315638194505</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2"/>
      <c r="BE22" s="102"/>
      <c r="BF22" s="102"/>
      <c r="BG22" s="102"/>
      <c r="BH22" s="102"/>
      <c r="BI22" s="102"/>
      <c r="BJ22" s="102"/>
      <c r="BK22" s="12"/>
      <c r="BL22" s="12"/>
    </row>
    <row r="23" spans="1:64" hidden="1" outlineLevel="1">
      <c r="A23" s="9"/>
      <c r="B23" s="9"/>
      <c r="C23" s="46"/>
      <c r="D23" s="132" t="str">
        <f>Asset12</f>
        <v>Telecommunications (Corporate)</v>
      </c>
      <c r="E23" s="9"/>
      <c r="F23" s="9"/>
      <c r="G23" s="126"/>
      <c r="H23" s="113">
        <f>Input!H154*(1+vanilla1)^0.5</f>
        <v>0.24476145188576812</v>
      </c>
      <c r="I23" s="113">
        <f>Input!I154*(1+vanilla2)^0.5</f>
        <v>8.0849968664979691E-2</v>
      </c>
      <c r="J23" s="113">
        <f>Input!J154*(1+vanilla3)^0.5</f>
        <v>3.7543097729480515E-2</v>
      </c>
      <c r="K23" s="113">
        <f>Input!K154*(1+vanilla4)^0.5</f>
        <v>4.7418060005765462E-2</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2"/>
      <c r="BE23" s="102"/>
      <c r="BF23" s="102"/>
      <c r="BG23" s="102"/>
      <c r="BH23" s="102"/>
      <c r="BI23" s="102"/>
      <c r="BJ23" s="102"/>
      <c r="BK23" s="12"/>
      <c r="BL23" s="12"/>
    </row>
    <row r="24" spans="1:64" hidden="1" outlineLevel="1">
      <c r="A24" s="9"/>
      <c r="B24" s="9"/>
      <c r="C24" s="46"/>
      <c r="D24" s="132" t="str">
        <f>Asset13</f>
        <v>Other Non-System Assets (Corporate)</v>
      </c>
      <c r="E24" s="9"/>
      <c r="F24" s="9"/>
      <c r="G24" s="126"/>
      <c r="H24" s="113">
        <f>Input!H155*(1+vanilla1)^0.5</f>
        <v>3.2409991674591767</v>
      </c>
      <c r="I24" s="113">
        <f>Input!I155*(1+vanilla2)^0.5</f>
        <v>3.8287041470945757</v>
      </c>
      <c r="J24" s="113">
        <f>Input!J155*(1+vanilla3)^0.5</f>
        <v>0.56526942338857111</v>
      </c>
      <c r="K24" s="113">
        <f>Input!K155*(1+vanilla4)^0.5</f>
        <v>0.60665755641585573</v>
      </c>
      <c r="L24" s="113">
        <f>Input!L155*(1+vanilla5)^0.5</f>
        <v>1.0441945564997217</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2"/>
      <c r="BE24" s="102"/>
      <c r="BF24" s="102"/>
      <c r="BG24" s="102"/>
      <c r="BH24" s="102"/>
      <c r="BI24" s="102"/>
      <c r="BJ24" s="102"/>
      <c r="BK24" s="12"/>
      <c r="BL24" s="12"/>
    </row>
    <row r="25" spans="1:64" hidden="1" outlineLevel="1">
      <c r="A25" s="9"/>
      <c r="B25" s="9"/>
      <c r="C25" s="46"/>
      <c r="D25" s="132" t="str">
        <f>Asset14</f>
        <v>Land</v>
      </c>
      <c r="E25" s="9"/>
      <c r="F25" s="9"/>
      <c r="G25" s="126"/>
      <c r="H25" s="113">
        <f>Input!H156*(1+vanilla1)^0.5</f>
        <v>2.3258218098558459</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2"/>
      <c r="BE25" s="102"/>
      <c r="BF25" s="102"/>
      <c r="BG25" s="102"/>
      <c r="BH25" s="102"/>
      <c r="BI25" s="102"/>
      <c r="BJ25" s="102"/>
      <c r="BK25" s="12"/>
      <c r="BL25" s="12"/>
    </row>
    <row r="26" spans="1:64" hidden="1" outlineLevel="1">
      <c r="A26" s="9"/>
      <c r="B26" s="9"/>
      <c r="C26" s="46"/>
      <c r="D26" s="132" t="str">
        <f>Asset15</f>
        <v>Buildings</v>
      </c>
      <c r="E26" s="9"/>
      <c r="F26" s="9"/>
      <c r="G26" s="126"/>
      <c r="H26" s="113">
        <f>Input!H157*(1+vanilla1)^0.5</f>
        <v>5.9693169805723763</v>
      </c>
      <c r="I26" s="113">
        <f>Input!I157*(1+vanilla2)^0.5</f>
        <v>8.8583983827103321</v>
      </c>
      <c r="J26" s="113">
        <f>Input!J157*(1+vanilla3)^0.5</f>
        <v>0.69993811715496379</v>
      </c>
      <c r="K26" s="113">
        <f>Input!K157*(1+vanilla4)^0.5</f>
        <v>1.0358974981883453</v>
      </c>
      <c r="L26" s="113">
        <f>Input!L157*(1+vanilla5)^0.5</f>
        <v>1.5398927836650984</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2"/>
      <c r="BE26" s="102"/>
      <c r="BF26" s="102"/>
      <c r="BG26" s="102"/>
      <c r="BH26" s="102"/>
      <c r="BI26" s="102"/>
      <c r="BJ26" s="102"/>
      <c r="BK26" s="12"/>
      <c r="BL26" s="12"/>
    </row>
    <row r="27" spans="1:64" hidden="1" outlineLevel="1">
      <c r="A27" s="9"/>
      <c r="B27" s="9"/>
      <c r="C27" s="46"/>
      <c r="D27" s="132" t="str">
        <f>Asset16</f>
        <v>Equity raising costs</v>
      </c>
      <c r="E27" s="9"/>
      <c r="F27" s="9"/>
      <c r="G27" s="126"/>
      <c r="H27" s="113">
        <f>Input!H158*(1+vanilla1)^0.5</f>
        <v>0.23051002618266622</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2"/>
      <c r="BE40" s="102"/>
      <c r="BF40" s="102"/>
      <c r="BG40" s="102"/>
      <c r="BH40" s="102"/>
      <c r="BI40" s="102"/>
      <c r="BJ40" s="102"/>
      <c r="BK40" s="12"/>
      <c r="BL40" s="12"/>
    </row>
    <row r="41" spans="1:256" hidden="1"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-25.548809057416904</v>
      </c>
      <c r="I43" s="119">
        <f t="shared" ref="I43:Q43" si="2">I56+I69+I82+I95+I108+I121+I134+I147+I160+I173+I186+I199+I212+I225+I238+I251+I264+I277+I290+I303+I316+I329+I342+I355+I368+I381+I394+I407+I420+I433</f>
        <v>-27.564796594088264</v>
      </c>
      <c r="J43" s="119">
        <f t="shared" si="2"/>
        <v>-29.524236765995305</v>
      </c>
      <c r="K43" s="119">
        <f t="shared" si="2"/>
        <v>-31.081184591808427</v>
      </c>
      <c r="L43" s="119">
        <f t="shared" si="2"/>
        <v>-33.478666627551249</v>
      </c>
      <c r="M43" s="119">
        <f t="shared" si="2"/>
        <v>0</v>
      </c>
      <c r="N43" s="119">
        <f t="shared" si="2"/>
        <v>0</v>
      </c>
      <c r="O43" s="119">
        <f t="shared" si="2"/>
        <v>0</v>
      </c>
      <c r="P43" s="119">
        <f t="shared" si="2"/>
        <v>0</v>
      </c>
      <c r="Q43" s="119">
        <f t="shared" si="2"/>
        <v>0</v>
      </c>
      <c r="R43" s="9"/>
      <c r="S43" s="9"/>
      <c r="T43" s="9"/>
      <c r="U43" s="9"/>
      <c r="V43" s="9"/>
      <c r="W43" s="9"/>
      <c r="X43" s="9"/>
      <c r="Y43" s="9"/>
      <c r="Z43" s="9"/>
      <c r="AA43" s="9"/>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9"/>
      <c r="BE43" s="9"/>
      <c r="BF43" s="9"/>
      <c r="BG43" s="9"/>
      <c r="BH43" s="9"/>
      <c r="BI43" s="9"/>
      <c r="BJ43" s="9"/>
      <c r="BK43" s="9"/>
      <c r="BL43" s="9"/>
    </row>
    <row r="44" spans="1:256" s="5" customFormat="1" ht="12.75" hidden="1" customHeight="1" outlineLevel="2">
      <c r="A44" s="9"/>
      <c r="B44" s="9"/>
      <c r="C44" s="32" t="str">
        <f>Asset1</f>
        <v>Opening Distribution Assets</v>
      </c>
      <c r="D44" s="33"/>
      <c r="E44" s="34" t="s">
        <v>28</v>
      </c>
      <c r="F44" s="33"/>
      <c r="G44" s="35"/>
      <c r="H44" s="69">
        <f>IF(H$3&gt;A1remlife,A1value-SUM($G44:G44),IF(A1remlife="N/A","n/a",A1value/A1remlife))</f>
        <v>25.548809057416904</v>
      </c>
      <c r="I44" s="69">
        <f>IF(I$3&gt;A1remlife,A1value-SUM($G44:H44),IF(A1remlife="N/A","n/a",A1value/A1remlife))</f>
        <v>25.548809057416904</v>
      </c>
      <c r="J44" s="69">
        <f>IF(J$3&gt;A1remlife,A1value-SUM($G44:I44),IF(A1remlife="N/A","n/a",A1value/A1remlife))</f>
        <v>25.548809057416904</v>
      </c>
      <c r="K44" s="69">
        <f>IF(K$3&gt;A1remlife,A1value-SUM($G44:J44),IF(A1remlife="N/A","n/a",A1value/A1remlife))</f>
        <v>25.548809057416904</v>
      </c>
      <c r="L44" s="69">
        <f>IF(L$3&gt;A1remlife,A1value-SUM($G44:K44),IF(A1remlife="N/A","n/a",A1value/A1remlife))</f>
        <v>25.548809057416904</v>
      </c>
      <c r="M44" s="69">
        <f>IF(M$3&gt;A1remlife,A1value-SUM($G44:L44),IF(A1remlife="N/A","n/a",A1value/A1remlife))</f>
        <v>25.548809057416904</v>
      </c>
      <c r="N44" s="69">
        <f>IF(N$3&gt;A1remlife,A1value-SUM($G44:M44),IF(A1remlife="N/A","n/a",A1value/A1remlife))</f>
        <v>25.548809057416904</v>
      </c>
      <c r="O44" s="69">
        <f>IF(O$3&gt;A1remlife,A1value-SUM($G44:N44),IF(A1remlife="N/A","n/a",A1value/A1remlife))</f>
        <v>25.548809057416904</v>
      </c>
      <c r="P44" s="69">
        <f>IF(P$3&gt;A1remlife,A1value-SUM($G44:O44),IF(A1remlife="N/A","n/a",A1value/A1remlife))</f>
        <v>25.548809057416904</v>
      </c>
      <c r="Q44" s="69">
        <f>IF(Q$3&gt;A1remlife,A1value-SUM($G44:P44),IF(A1remlife="N/A","n/a",A1value/A1remlife))</f>
        <v>25.548809057416904</v>
      </c>
      <c r="R44" s="36"/>
      <c r="S44" s="103"/>
      <c r="T44" s="103"/>
      <c r="U44" s="103"/>
      <c r="V44" s="103"/>
      <c r="W44" s="103"/>
      <c r="X44" s="103"/>
      <c r="Y44" s="103"/>
      <c r="Z44" s="103"/>
      <c r="AA44" s="103"/>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33"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34"/>
      <c r="F46" s="88">
        <v>1</v>
      </c>
      <c r="G46" s="27"/>
      <c r="H46" s="149"/>
      <c r="I46" s="70">
        <f>IF(A1stdlife="n/a","n/a",IF(I$3&gt;(A1stdlife+$F46),(Input!$H$143*(1+vanilla1)^0.5)-SUM($H46:H46),(Input!$H$143*(1+vanilla1)^0.5)/A1stdlife))</f>
        <v>0</v>
      </c>
      <c r="J46" s="70">
        <f>IF(A1stdlife="n/a","n/a",IF(J$3&gt;(A1stdlife+$F46),(Input!$H$143*(1+vanilla1)^0.5)-SUM($H46:I46),(Input!$H$143*(1+vanilla1)^0.5)/A1stdlife))</f>
        <v>0</v>
      </c>
      <c r="K46" s="70">
        <f>IF(A1stdlife="n/a","n/a",IF(K$3&gt;(A1stdlife+$F46),(Input!$H$143*(1+vanilla1)^0.5)-SUM($H46:J46),(Input!$H$143*(1+vanilla1)^0.5)/A1stdlife))</f>
        <v>0</v>
      </c>
      <c r="L46" s="70">
        <f>IF(A1stdlife="n/a","n/a",IF(L$3&gt;(A1stdlife+$F46),(Input!$H$143*(1+vanilla1)^0.5)-SUM($H46:K46),(Input!$H$143*(1+vanilla1)^0.5)/A1stdlife))</f>
        <v>0</v>
      </c>
      <c r="M46" s="70">
        <f>IF(A1stdlife="n/a","n/a",IF(M$3&gt;(A1stdlife+$F46),(Input!$H$143*(1+vanilla1)^0.5)-SUM($H46:L46),(Input!$H$143*(1+vanilla1)^0.5)/A1stdlife))</f>
        <v>0</v>
      </c>
      <c r="N46" s="70">
        <f>IF(A1stdlife="n/a","n/a",IF(N$3&gt;(A1stdlife+$F46),(Input!$H$143*(1+vanilla1)^0.5)-SUM($H46:M46),(Input!$H$143*(1+vanilla1)^0.5)/A1stdlife))</f>
        <v>0</v>
      </c>
      <c r="O46" s="70">
        <f>IF(A1stdlife="n/a","n/a",IF(O$3&gt;(A1stdlife+$F46),(Input!$H$143*(1+vanilla1)^0.5)-SUM($H46:N46),(Input!$H$143*(1+vanilla1)^0.5)/A1stdlife))</f>
        <v>0</v>
      </c>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34"/>
      <c r="F47" s="88">
        <v>2</v>
      </c>
      <c r="G47" s="27"/>
      <c r="H47" s="150"/>
      <c r="I47" s="151"/>
      <c r="J47" s="70">
        <f>IF(A1stdlife="n/a","n/a",IF(J$3&gt;(A1stdlife+$F47),(Input!$I$143*(1+vanilla2)^0.5)-SUM($I47:I47),(Input!$I$143*(1+vanilla2)^0.5)/A1stdlife))</f>
        <v>0</v>
      </c>
      <c r="K47" s="70">
        <f>IF(A1stdlife="n/a","n/a",IF(K$3&gt;(A1stdlife+$F47),(Input!$I$143*(1+vanilla2)^0.5)-SUM($I47:J47),(Input!$I$143*(1+vanilla2)^0.5)/A1stdlife))</f>
        <v>0</v>
      </c>
      <c r="L47" s="70">
        <f>IF(A1stdlife="n/a","n/a",IF(L$3&gt;(A1stdlife+$F47),(Input!$I$143*(1+vanilla2)^0.5)-SUM($I47:K47),(Input!$I$143*(1+vanilla2)^0.5)/A1stdlife))</f>
        <v>0</v>
      </c>
      <c r="M47" s="70">
        <f>IF(A1stdlife="n/a","n/a",IF(M$3&gt;(A1stdlife+$F47),(Input!$I$143*(1+vanilla2)^0.5)-SUM($I47:L47),(Input!$I$143*(1+vanilla2)^0.5)/A1stdlife))</f>
        <v>0</v>
      </c>
      <c r="N47" s="70">
        <f>IF(A1stdlife="n/a","n/a",IF(N$3&gt;(A1stdlife+$F47),(Input!$I$143*(1+vanilla2)^0.5)-SUM($I47:M47),(Input!$I$143*(1+vanilla2)^0.5)/A1stdlife))</f>
        <v>0</v>
      </c>
      <c r="O47" s="70">
        <f>IF(A1stdlife="n/a","n/a",IF(O$3&gt;(A1stdlife+$F47),(Input!$I$143*(1+vanilla2)^0.5)-SUM($I47:N47),(Input!$I$143*(1+vanilla2)^0.5)/A1stdlife))</f>
        <v>0</v>
      </c>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34"/>
      <c r="F48" s="88">
        <v>3</v>
      </c>
      <c r="G48" s="27"/>
      <c r="H48" s="150"/>
      <c r="I48" s="152"/>
      <c r="J48" s="151"/>
      <c r="K48" s="70">
        <f>IF(A1stdlife="n/a","n/a",IF(K$3&gt;(A1stdlife+$F48),(Input!$J$143*(1+vanilla3)^0.5)-SUM($J48:J48),(Input!$J$143*(1+vanilla3)^0.5)/A1stdlife))</f>
        <v>0</v>
      </c>
      <c r="L48" s="70">
        <f>IF(A1stdlife="n/a","n/a",IF(L$3&gt;(A1stdlife+$F48),(Input!$J$143*(1+vanilla3)^0.5)-SUM($J48:K48),(Input!$J$143*(1+vanilla3)^0.5)/A1stdlife))</f>
        <v>0</v>
      </c>
      <c r="M48" s="70">
        <f>IF(A1stdlife="n/a","n/a",IF(M$3&gt;(A1stdlife+$F48),(Input!$J$143*(1+vanilla3)^0.5)-SUM($J48:L48),(Input!$J$143*(1+vanilla3)^0.5)/A1stdlife))</f>
        <v>0</v>
      </c>
      <c r="N48" s="70">
        <f>IF(A1stdlife="n/a","n/a",IF(N$3&gt;(A1stdlife+$F48),(Input!$J$143*(1+vanilla3)^0.5)-SUM($J48:M48),(Input!$J$143*(1+vanilla3)^0.5)/A1stdlife))</f>
        <v>0</v>
      </c>
      <c r="O48" s="70">
        <f>IF(A1stdlife="n/a","n/a",IF(O$3&gt;(A1stdlife+$F48),(Input!$J$143*(1+vanilla3)^0.5)-SUM($J48:N48),(Input!$J$143*(1+vanilla3)^0.5)/A1stdlife))</f>
        <v>0</v>
      </c>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34"/>
      <c r="F49" s="88">
        <v>4</v>
      </c>
      <c r="G49" s="27"/>
      <c r="H49" s="150"/>
      <c r="I49" s="152"/>
      <c r="J49" s="152"/>
      <c r="K49" s="151"/>
      <c r="L49" s="70">
        <f>IF(A1stdlife="n/a","n/a",IF(L$3&gt;(A1stdlife+$F49),(Input!$K$143*(1+vanilla4)^0.5)-SUM($K49:K49),(Input!$K$143*(1+vanilla4)^0.5)/A1stdlife))</f>
        <v>0</v>
      </c>
      <c r="M49" s="70">
        <f>IF(A1stdlife="n/a","n/a",IF(M$3&gt;(A1stdlife+$F49),(Input!$K$143*(1+vanilla4)^0.5)-SUM($K49:L49),(Input!$K$143*(1+vanilla4)^0.5)/A1stdlife))</f>
        <v>0</v>
      </c>
      <c r="N49" s="70">
        <f>IF(A1stdlife="n/a","n/a",IF(N$3&gt;(A1stdlife+$F49),(Input!$K$143*(1+vanilla4)^0.5)-SUM($K49:M49),(Input!$K$143*(1+vanilla4)^0.5)/A1stdlife))</f>
        <v>0</v>
      </c>
      <c r="O49" s="70">
        <f>IF(A1stdlife="n/a","n/a",IF(O$3&gt;(A1stdlife+$F49),(Input!$K$143*(1+vanilla4)^0.5)-SUM($K49:N49),(Input!$K$143*(1+vanilla4)^0.5)/A1stdlife))</f>
        <v>0</v>
      </c>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34"/>
      <c r="F50" s="88">
        <v>5</v>
      </c>
      <c r="G50" s="27"/>
      <c r="H50" s="226"/>
      <c r="I50" s="227"/>
      <c r="J50" s="227"/>
      <c r="K50" s="227"/>
      <c r="L50" s="228"/>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34"/>
      <c r="F51" s="88">
        <v>6</v>
      </c>
      <c r="G51" s="27"/>
      <c r="H51" s="226"/>
      <c r="I51" s="227"/>
      <c r="J51" s="227"/>
      <c r="K51" s="227"/>
      <c r="L51" s="227"/>
      <c r="M51" s="228"/>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34"/>
      <c r="F52" s="88">
        <v>7</v>
      </c>
      <c r="G52" s="27"/>
      <c r="H52" s="226"/>
      <c r="I52" s="227"/>
      <c r="J52" s="227"/>
      <c r="K52" s="227"/>
      <c r="L52" s="227"/>
      <c r="M52" s="227"/>
      <c r="N52" s="228"/>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34"/>
      <c r="F53" s="88">
        <v>8</v>
      </c>
      <c r="G53" s="27"/>
      <c r="H53" s="226"/>
      <c r="I53" s="227"/>
      <c r="J53" s="227"/>
      <c r="K53" s="227"/>
      <c r="L53" s="227"/>
      <c r="M53" s="227"/>
      <c r="N53" s="227"/>
      <c r="O53" s="228"/>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34"/>
      <c r="F54" s="88">
        <v>9</v>
      </c>
      <c r="G54" s="27"/>
      <c r="H54" s="226"/>
      <c r="I54" s="227"/>
      <c r="J54" s="227"/>
      <c r="K54" s="227"/>
      <c r="L54" s="227"/>
      <c r="M54" s="227"/>
      <c r="N54" s="227"/>
      <c r="O54" s="227"/>
      <c r="P54" s="228"/>
      <c r="Q54" s="30">
        <f>IF(A1stdlife="n/a","n/a",IF(Q$3&gt;(A1stdlife+$F54),(Input!$P$143*(1+vanilla9)^0.5)-SUM($P54:P54),(Input!$P$143*(1+vanilla9)^0.5)/A1stdlife))</f>
        <v>0</v>
      </c>
      <c r="R54" s="30"/>
      <c r="S54" s="103"/>
      <c r="T54" s="103"/>
      <c r="U54" s="103"/>
      <c r="V54" s="103"/>
      <c r="W54" s="103"/>
      <c r="X54" s="103"/>
      <c r="Y54" s="103"/>
      <c r="Z54" s="103"/>
      <c r="AA54" s="103"/>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34"/>
      <c r="F55" s="89">
        <v>10</v>
      </c>
      <c r="G55" s="27"/>
      <c r="H55" s="226"/>
      <c r="I55" s="227"/>
      <c r="J55" s="227"/>
      <c r="K55" s="227"/>
      <c r="L55" s="227"/>
      <c r="M55" s="227"/>
      <c r="N55" s="227"/>
      <c r="O55" s="227"/>
      <c r="P55" s="227"/>
      <c r="Q55" s="228"/>
      <c r="R55" s="30"/>
      <c r="S55" s="103"/>
      <c r="T55" s="103"/>
      <c r="U55" s="103"/>
      <c r="V55" s="103"/>
      <c r="W55" s="103"/>
      <c r="X55" s="103"/>
      <c r="Y55" s="103"/>
      <c r="Z55" s="103"/>
      <c r="AA55" s="103"/>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Opening Distribution Assets</v>
      </c>
      <c r="E56" s="9"/>
      <c r="F56" s="9"/>
      <c r="G56" s="126"/>
      <c r="H56" s="168">
        <f>-SUM(H44:H55)</f>
        <v>-25.548809057416904</v>
      </c>
      <c r="I56" s="168">
        <f>-SUM(I44:I55)</f>
        <v>-25.548809057416904</v>
      </c>
      <c r="J56" s="168">
        <f>-SUM(J44:J55)</f>
        <v>-25.548809057416904</v>
      </c>
      <c r="K56" s="168">
        <f>-SUM(K44:K55)</f>
        <v>-25.548809057416904</v>
      </c>
      <c r="L56" s="168">
        <f>-SUM(L44:L55)</f>
        <v>-25.548809057416904</v>
      </c>
      <c r="M56" s="168">
        <f>IF(Input!M173&gt;0, -SUM(M44:M55), 0)</f>
        <v>0</v>
      </c>
      <c r="N56" s="168">
        <f>IF(Input!N173&gt;0, -SUM(N44:N55), 0)</f>
        <v>0</v>
      </c>
      <c r="O56" s="168">
        <f>IF(Input!O173&gt;0, -SUM(O44:O55), 0)</f>
        <v>0</v>
      </c>
      <c r="P56" s="168">
        <f>IF(Input!P173&gt;0, -SUM(P44:P55), 0)</f>
        <v>0</v>
      </c>
      <c r="Q56" s="168">
        <f>IF(Input!Q173&gt;0, -SUM(Q44:Q55), 0)</f>
        <v>0</v>
      </c>
      <c r="R56" s="66"/>
      <c r="S56" s="104"/>
      <c r="T56" s="104"/>
      <c r="U56" s="104"/>
      <c r="V56" s="104"/>
      <c r="W56" s="104"/>
      <c r="X56" s="104"/>
      <c r="Y56" s="104"/>
      <c r="Z56" s="104"/>
      <c r="AA56" s="104"/>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Sub-transmission Overhead</v>
      </c>
      <c r="D57" s="165"/>
      <c r="E57" s="34" t="s">
        <v>28</v>
      </c>
      <c r="F57" s="33"/>
      <c r="G57" s="181"/>
      <c r="H57" s="69" t="str">
        <f>IF(H$3&gt;A2remlife,A2value-SUM($G57:G57),IF(A2remlife="N/A","n/a",A2value/A2remlife))</f>
        <v>n/a</v>
      </c>
      <c r="I57" s="69" t="str">
        <f>IF(I$3&gt;A2remlife,A2value-SUM($G57:H57),IF(A2remlife="N/A","n/a",A2value/A2remlife))</f>
        <v>n/a</v>
      </c>
      <c r="J57" s="69" t="str">
        <f>IF(J$3&gt;A2remlife,A2value-SUM($G57:I57),IF(A2remlife="N/A","n/a",A2value/A2remlife))</f>
        <v>n/a</v>
      </c>
      <c r="K57" s="69" t="str">
        <f>IF(K$3&gt;A2remlife,A2value-SUM($G57:J57),IF(A2remlife="N/A","n/a",A2value/A2remlife))</f>
        <v>n/a</v>
      </c>
      <c r="L57" s="69" t="str">
        <f>IF(L$3&gt;A2remlife,A2value-SUM($G57:K57),IF(A2remlife="N/A","n/a",A2value/A2remlife))</f>
        <v>n/a</v>
      </c>
      <c r="M57" s="69" t="str">
        <f>IF(M$3&gt;A2remlife,A2value-SUM($G57:L57),IF(A2remlife="N/A","n/a",A2value/A2remlife))</f>
        <v>n/a</v>
      </c>
      <c r="N57" s="69" t="str">
        <f>IF(N$3&gt;A2remlife,A2value-SUM($G57:M57),IF(A2remlife="N/A","n/a",A2value/A2remlife))</f>
        <v>n/a</v>
      </c>
      <c r="O57" s="69" t="str">
        <f>IF(O$3&gt;A2remlife,A2value-SUM($G57:N57),IF(A2remlife="N/A","n/a",A2value/A2remlife))</f>
        <v>n/a</v>
      </c>
      <c r="P57" s="69" t="str">
        <f>IF(P$3&gt;A2remlife,A2value-SUM($G57:O57),IF(A2remlife="N/A","n/a",A2value/A2remlife))</f>
        <v>n/a</v>
      </c>
      <c r="Q57" s="69" t="str">
        <f>IF(Q$3&gt;A2remlife,A2value-SUM($G57:P57),IF(A2remlife="N/A","n/a",A2value/A2remlife))</f>
        <v>n/a</v>
      </c>
      <c r="R57" s="69"/>
      <c r="S57" s="105"/>
      <c r="T57" s="105"/>
      <c r="U57" s="105"/>
      <c r="V57" s="105"/>
      <c r="W57" s="105"/>
      <c r="X57" s="105"/>
      <c r="Y57" s="105"/>
      <c r="Z57" s="105"/>
      <c r="AA57" s="105"/>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33" t="s">
        <v>87</v>
      </c>
      <c r="F58" s="88">
        <v>0</v>
      </c>
      <c r="G58" s="126"/>
      <c r="H58" s="70"/>
      <c r="I58" s="70"/>
      <c r="J58" s="70"/>
      <c r="K58" s="70"/>
      <c r="L58" s="70"/>
      <c r="M58" s="167"/>
      <c r="N58" s="115"/>
      <c r="O58" s="70"/>
      <c r="P58" s="70"/>
      <c r="Q58" s="70"/>
      <c r="R58" s="70"/>
      <c r="S58" s="105"/>
      <c r="T58" s="105"/>
      <c r="U58" s="105"/>
      <c r="V58" s="105"/>
      <c r="W58" s="105"/>
      <c r="X58" s="105"/>
      <c r="Y58" s="105"/>
      <c r="Z58" s="105"/>
      <c r="AA58" s="105"/>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34"/>
      <c r="F59" s="88">
        <v>1</v>
      </c>
      <c r="G59" s="126"/>
      <c r="H59" s="149"/>
      <c r="I59" s="70">
        <f>IF(A2stdlife="n/a","n/a",IF(I$3&gt;(A2stdlife+$F59),(Input!$H$144*(1+vanilla1)^0.5)-SUM($H59:H59),(Input!$H$144*(1+vanilla1)^0.5)/A2stdlife))</f>
        <v>0</v>
      </c>
      <c r="J59" s="70">
        <f>IF(A2stdlife="n/a","n/a",IF(J$3&gt;(A2stdlife+$F59),(Input!$H$144*(1+vanilla1)^0.5)-SUM($H59:I59),(Input!$H$144*(1+vanilla1)^0.5)/A2stdlife))</f>
        <v>0</v>
      </c>
      <c r="K59" s="70">
        <f>IF(A2stdlife="n/a","n/a",IF(K$3&gt;(A2stdlife+$F59),(Input!$H$144*(1+vanilla1)^0.5)-SUM($H59:J59),(Input!$H$144*(1+vanilla1)^0.5)/A2stdlife))</f>
        <v>0</v>
      </c>
      <c r="L59" s="70">
        <f>IF(A2stdlife="n/a","n/a",IF(L$3&gt;(A2stdlife+$F59),(Input!$H$144*(1+vanilla1)^0.5)-SUM($H59:K59),(Input!$H$144*(1+vanilla1)^0.5)/A2stdlife))</f>
        <v>0</v>
      </c>
      <c r="M59" s="70">
        <f>IF(A2stdlife="n/a","n/a",IF(M$3&gt;(A2stdlife+$F59),(Input!$H$144*(1+vanilla1)^0.5)-SUM($H59:L59),(Input!$H$144*(1+vanilla1)^0.5)/A2stdlife))</f>
        <v>0</v>
      </c>
      <c r="N59" s="70">
        <f>IF(A2stdlife="n/a","n/a",IF(N$3&gt;(A2stdlife+$F59),(Input!$H$144*(1+vanilla1)^0.5)-SUM($H59:M59),(Input!$H$144*(1+vanilla1)^0.5)/A2stdlife))</f>
        <v>0</v>
      </c>
      <c r="O59" s="70">
        <f>IF(A2stdlife="n/a","n/a",IF(O$3&gt;(A2stdlife+$F59),(Input!$H$144*(1+vanilla1)^0.5)-SUM($H59:N59),(Input!$H$144*(1+vanilla1)^0.5)/A2stdlife))</f>
        <v>0</v>
      </c>
      <c r="P59" s="70">
        <f>IF(A2stdlife="n/a","n/a",IF(P$3&gt;(A2stdlife+$F59),(Input!$H$144*(1+vanilla1)^0.5)-SUM($H59:O59),(Input!$H$144*(1+vanilla1)^0.5)/A2stdlife))</f>
        <v>0</v>
      </c>
      <c r="Q59" s="70">
        <f>IF(A2stdlife="n/a","n/a",IF(Q$3&gt;(A2stdlife+$F59),(Input!$H$144*(1+vanilla1)^0.5)-SUM($H59:P59),(Input!$H$144*(1+vanilla1)^0.5)/A2stdlife))</f>
        <v>0</v>
      </c>
      <c r="R59" s="70"/>
      <c r="S59" s="105"/>
      <c r="T59" s="105"/>
      <c r="U59" s="105"/>
      <c r="V59" s="105"/>
      <c r="W59" s="105"/>
      <c r="X59" s="105"/>
      <c r="Y59" s="105"/>
      <c r="Z59" s="105"/>
      <c r="AA59" s="105"/>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34"/>
      <c r="F60" s="88">
        <v>2</v>
      </c>
      <c r="G60" s="126"/>
      <c r="H60" s="150"/>
      <c r="I60" s="151"/>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34"/>
      <c r="F61" s="88">
        <v>3</v>
      </c>
      <c r="G61" s="126"/>
      <c r="H61" s="150"/>
      <c r="I61" s="152"/>
      <c r="J61" s="151"/>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34"/>
      <c r="F62" s="88">
        <v>4</v>
      </c>
      <c r="G62" s="126"/>
      <c r="H62" s="150"/>
      <c r="I62" s="152"/>
      <c r="J62" s="152"/>
      <c r="K62" s="151"/>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34"/>
      <c r="F63" s="88">
        <v>5</v>
      </c>
      <c r="G63" s="126"/>
      <c r="H63" s="150"/>
      <c r="I63" s="152"/>
      <c r="J63" s="152"/>
      <c r="K63" s="152"/>
      <c r="L63" s="151"/>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34"/>
      <c r="F64" s="88">
        <v>6</v>
      </c>
      <c r="G64" s="126"/>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34"/>
      <c r="F65" s="88">
        <v>7</v>
      </c>
      <c r="G65" s="126"/>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34"/>
      <c r="F66" s="88">
        <v>8</v>
      </c>
      <c r="G66" s="126"/>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34"/>
      <c r="F67" s="88">
        <v>9</v>
      </c>
      <c r="G67" s="126"/>
      <c r="H67" s="150"/>
      <c r="I67" s="152"/>
      <c r="J67" s="152"/>
      <c r="K67" s="152"/>
      <c r="L67" s="152"/>
      <c r="M67" s="152"/>
      <c r="N67" s="152"/>
      <c r="O67" s="152"/>
      <c r="P67" s="151"/>
      <c r="Q67" s="70">
        <f>IF(A2stdlife="n/a","n/a",IF(Q$3&gt;(A2stdlife+$F67),(Input!$P$144*(1+vanilla9)^0.5)-SUM($P67:P67),(Input!$P$144*(1+vanilla9)^0.5)/A2stdlife))</f>
        <v>0</v>
      </c>
      <c r="R67" s="70"/>
      <c r="S67" s="105"/>
      <c r="T67" s="105"/>
      <c r="U67" s="105"/>
      <c r="V67" s="105"/>
      <c r="W67" s="105"/>
      <c r="X67" s="105"/>
      <c r="Y67" s="105"/>
      <c r="Z67" s="105"/>
      <c r="AA67" s="105"/>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34"/>
      <c r="F68" s="89">
        <v>10</v>
      </c>
      <c r="G68" s="126"/>
      <c r="H68" s="150"/>
      <c r="I68" s="152"/>
      <c r="J68" s="152"/>
      <c r="K68" s="152"/>
      <c r="L68" s="152"/>
      <c r="M68" s="152"/>
      <c r="N68" s="152"/>
      <c r="O68" s="152"/>
      <c r="P68" s="152"/>
      <c r="Q68" s="151"/>
      <c r="R68" s="70"/>
      <c r="S68" s="105"/>
      <c r="T68" s="105"/>
      <c r="U68" s="105"/>
      <c r="V68" s="105"/>
      <c r="W68" s="105"/>
      <c r="X68" s="105"/>
      <c r="Y68" s="105"/>
      <c r="Z68" s="105"/>
      <c r="AA68" s="105"/>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Sub-transmission Overhead</v>
      </c>
      <c r="E69" s="9"/>
      <c r="F69" s="9"/>
      <c r="G69" s="126"/>
      <c r="H69" s="70">
        <f>-SUM(H57:H68)</f>
        <v>0</v>
      </c>
      <c r="I69" s="70">
        <f>-SUM(I57:I68)</f>
        <v>0</v>
      </c>
      <c r="J69" s="70">
        <f>-SUM(J57:J68)</f>
        <v>0</v>
      </c>
      <c r="K69" s="70">
        <f>-SUM(K57:K68)</f>
        <v>0</v>
      </c>
      <c r="L69" s="70">
        <f>-SUM(L57:L68)</f>
        <v>0</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Sub-transmission Underground</v>
      </c>
      <c r="D70" s="165"/>
      <c r="E70" s="34" t="s">
        <v>28</v>
      </c>
      <c r="F70" s="33"/>
      <c r="G70" s="181"/>
      <c r="H70" s="69" t="str">
        <f>IF(H$3&gt;A3remlife,A3value-SUM($G70:G70),IF(A3remlife="N/A","n/a",A3value/A3remlife))</f>
        <v>n/a</v>
      </c>
      <c r="I70" s="69" t="str">
        <f>IF(I$3&gt;A3remlife,A3value-SUM($G70:H70),IF(A3remlife="N/A","n/a",A3value/A3remlife))</f>
        <v>n/a</v>
      </c>
      <c r="J70" s="69" t="str">
        <f>IF(J$3&gt;A3remlife,A3value-SUM($G70:I70),IF(A3remlife="N/A","n/a",A3value/A3remlife))</f>
        <v>n/a</v>
      </c>
      <c r="K70" s="69" t="str">
        <f>IF(K$3&gt;A3remlife,A3value-SUM($G70:J70),IF(A3remlife="N/A","n/a",A3value/A3remlife))</f>
        <v>n/a</v>
      </c>
      <c r="L70" s="69" t="str">
        <f>IF(L$3&gt;A3remlife,A3value-SUM($G70:K70),IF(A3remlife="N/A","n/a",A3value/A3remlife))</f>
        <v>n/a</v>
      </c>
      <c r="M70" s="69" t="str">
        <f>IF(M$3&gt;A3remlife,A3value-SUM($G70:L70),IF(A3remlife="N/A","n/a",A3value/A3remlife))</f>
        <v>n/a</v>
      </c>
      <c r="N70" s="69" t="str">
        <f>IF(N$3&gt;A3remlife,A3value-SUM($G70:M70),IF(A3remlife="N/A","n/a",A3value/A3remlife))</f>
        <v>n/a</v>
      </c>
      <c r="O70" s="69" t="str">
        <f>IF(O$3&gt;A3remlife,A3value-SUM($G70:N70),IF(A3remlife="N/A","n/a",A3value/A3remlife))</f>
        <v>n/a</v>
      </c>
      <c r="P70" s="69" t="str">
        <f>IF(P$3&gt;A3remlife,A3value-SUM($G70:O70),IF(A3remlife="N/A","n/a",A3value/A3remlife))</f>
        <v>n/a</v>
      </c>
      <c r="Q70" s="69" t="str">
        <f>IF(Q$3&gt;A3remlife,A3value-SUM($G70:P70),IF(A3remlife="N/A","n/a",A3value/A3remlife))</f>
        <v>n/a</v>
      </c>
      <c r="R70" s="69"/>
      <c r="S70" s="105"/>
      <c r="T70" s="105"/>
      <c r="U70" s="105"/>
      <c r="V70" s="105"/>
      <c r="W70" s="105"/>
      <c r="X70" s="105"/>
      <c r="Y70" s="105"/>
      <c r="Z70" s="105"/>
      <c r="AA70" s="105"/>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33" t="s">
        <v>87</v>
      </c>
      <c r="F71" s="88">
        <v>0</v>
      </c>
      <c r="G71" s="126"/>
      <c r="H71" s="70"/>
      <c r="I71" s="70"/>
      <c r="J71" s="70"/>
      <c r="K71" s="70"/>
      <c r="L71" s="70"/>
      <c r="M71" s="167"/>
      <c r="N71" s="115"/>
      <c r="O71" s="70"/>
      <c r="P71" s="70"/>
      <c r="Q71" s="70"/>
      <c r="R71" s="70"/>
      <c r="S71" s="105"/>
      <c r="T71" s="105"/>
      <c r="U71" s="105"/>
      <c r="V71" s="105"/>
      <c r="W71" s="105"/>
      <c r="X71" s="105"/>
      <c r="Y71" s="105"/>
      <c r="Z71" s="105"/>
      <c r="AA71" s="105"/>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34"/>
      <c r="F72" s="88">
        <v>1</v>
      </c>
      <c r="G72" s="126"/>
      <c r="H72" s="149"/>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34"/>
      <c r="F73" s="88">
        <v>2</v>
      </c>
      <c r="G73" s="126"/>
      <c r="H73" s="150"/>
      <c r="I73" s="151"/>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34"/>
      <c r="F74" s="88">
        <v>3</v>
      </c>
      <c r="G74" s="126"/>
      <c r="H74" s="150"/>
      <c r="I74" s="152"/>
      <c r="J74" s="151"/>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34"/>
      <c r="F75" s="88">
        <v>4</v>
      </c>
      <c r="G75" s="126"/>
      <c r="H75" s="150"/>
      <c r="I75" s="152"/>
      <c r="J75" s="152"/>
      <c r="K75" s="151"/>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34"/>
      <c r="F76" s="88">
        <v>5</v>
      </c>
      <c r="G76" s="126"/>
      <c r="H76" s="150"/>
      <c r="I76" s="152"/>
      <c r="J76" s="152"/>
      <c r="K76" s="152"/>
      <c r="L76" s="151"/>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34"/>
      <c r="F77" s="88">
        <v>6</v>
      </c>
      <c r="G77" s="126"/>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34"/>
      <c r="F78" s="88">
        <v>7</v>
      </c>
      <c r="G78" s="126"/>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34"/>
      <c r="F79" s="88">
        <v>8</v>
      </c>
      <c r="G79" s="126"/>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34"/>
      <c r="F80" s="88">
        <v>9</v>
      </c>
      <c r="G80" s="126"/>
      <c r="H80" s="150"/>
      <c r="I80" s="152"/>
      <c r="J80" s="152"/>
      <c r="K80" s="152"/>
      <c r="L80" s="152"/>
      <c r="M80" s="152"/>
      <c r="N80" s="152"/>
      <c r="O80" s="152"/>
      <c r="P80" s="151"/>
      <c r="Q80" s="70">
        <f>IF(A3stdlife="n/a","n/a",IF(Q$3&gt;(A3stdlife+$F80),(Input!$P$145*(1+vanilla9)^0.5)-SUM($P80:P80),(Input!$P$145*(1+vanilla9)^0.5)/A3stdlife))</f>
        <v>0</v>
      </c>
      <c r="R80" s="70"/>
      <c r="S80" s="105"/>
      <c r="T80" s="105"/>
      <c r="U80" s="105"/>
      <c r="V80" s="105"/>
      <c r="W80" s="105"/>
      <c r="X80" s="105"/>
      <c r="Y80" s="105"/>
      <c r="Z80" s="105"/>
      <c r="AA80" s="105"/>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34"/>
      <c r="F81" s="89">
        <v>10</v>
      </c>
      <c r="G81" s="126"/>
      <c r="H81" s="150"/>
      <c r="I81" s="152"/>
      <c r="J81" s="152"/>
      <c r="K81" s="152"/>
      <c r="L81" s="152"/>
      <c r="M81" s="152"/>
      <c r="N81" s="152"/>
      <c r="O81" s="152"/>
      <c r="P81" s="152"/>
      <c r="Q81" s="151"/>
      <c r="R81" s="70"/>
      <c r="S81" s="105"/>
      <c r="T81" s="105"/>
      <c r="U81" s="105"/>
      <c r="V81" s="105"/>
      <c r="W81" s="105"/>
      <c r="X81" s="105"/>
      <c r="Y81" s="105"/>
      <c r="Z81" s="105"/>
      <c r="AA81" s="105"/>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Sub-transmission Underground</v>
      </c>
      <c r="E82" s="9"/>
      <c r="F82" s="9"/>
      <c r="G82" s="126"/>
      <c r="H82" s="169">
        <f>-SUM(H70:H81)</f>
        <v>0</v>
      </c>
      <c r="I82" s="169">
        <f>-SUM(I70:I81)</f>
        <v>0</v>
      </c>
      <c r="J82" s="169">
        <f>-SUM(J70:J81)</f>
        <v>0</v>
      </c>
      <c r="K82" s="169">
        <f>-SUM(K70:K81)</f>
        <v>0</v>
      </c>
      <c r="L82" s="169">
        <f>-SUM(L70:L81)</f>
        <v>0</v>
      </c>
      <c r="M82" s="169">
        <f>IF(Input!M173&gt;0, -SUM(M70:M81), 0)</f>
        <v>0</v>
      </c>
      <c r="N82" s="169">
        <f>IF(Input!N173&gt;0, -SUM(N70:N81), 0)</f>
        <v>0</v>
      </c>
      <c r="O82" s="169">
        <f>IF(Input!O173&gt;0, -SUM(O70:O81), 0)</f>
        <v>0</v>
      </c>
      <c r="P82" s="169">
        <f>IF(Input!P173&gt;0, -SUM(P70:P81), 0)</f>
        <v>0</v>
      </c>
      <c r="Q82" s="169">
        <f>IF(Input!Q173&gt;0, -SUM(Q70:Q81), 0)</f>
        <v>0</v>
      </c>
      <c r="R82" s="68"/>
      <c r="S82" s="107"/>
      <c r="T82" s="107"/>
      <c r="U82" s="107"/>
      <c r="V82" s="107"/>
      <c r="W82" s="107"/>
      <c r="X82" s="107"/>
      <c r="Y82" s="107"/>
      <c r="Z82" s="107"/>
      <c r="AA82" s="107"/>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Zone Substation</v>
      </c>
      <c r="D83" s="165"/>
      <c r="E83" s="34" t="s">
        <v>28</v>
      </c>
      <c r="F83" s="33"/>
      <c r="G83" s="181"/>
      <c r="H83" s="69" t="str">
        <f>IF(H$3&gt;A4remlife,A4value-SUM($G83:G83),IF(A4remlife="N/A","n/a",A4value/A4remlife))</f>
        <v>n/a</v>
      </c>
      <c r="I83" s="69" t="str">
        <f>IF(I$3&gt;A4remlife,A4value-SUM($G83:H83),IF(A4remlife="N/A","n/a",A4value/A4remlife))</f>
        <v>n/a</v>
      </c>
      <c r="J83" s="69" t="str">
        <f>IF(J$3&gt;A4remlife,A4value-SUM($G83:I83),IF(A4remlife="N/A","n/a",A4value/A4remlife))</f>
        <v>n/a</v>
      </c>
      <c r="K83" s="69" t="str">
        <f>IF(K$3&gt;A4remlife,A4value-SUM($G83:J83),IF(A4remlife="N/A","n/a",A4value/A4remlife))</f>
        <v>n/a</v>
      </c>
      <c r="L83" s="69" t="str">
        <f>IF(L$3&gt;A4remlife,A4value-SUM($G83:K83),IF(A4remlife="N/A","n/a",A4value/A4remlife))</f>
        <v>n/a</v>
      </c>
      <c r="M83" s="69" t="str">
        <f>IF(M$3&gt;A4remlife,A4value-SUM($G83:L83),IF(A4remlife="N/A","n/a",A4value/A4remlife))</f>
        <v>n/a</v>
      </c>
      <c r="N83" s="69" t="str">
        <f>IF(N$3&gt;A4remlife,A4value-SUM($G83:M83),IF(A4remlife="N/A","n/a",A4value/A4remlife))</f>
        <v>n/a</v>
      </c>
      <c r="O83" s="69" t="str">
        <f>IF(O$3&gt;A4remlife,A4value-SUM($G83:N83),IF(A4remlife="N/A","n/a",A4value/A4remlife))</f>
        <v>n/a</v>
      </c>
      <c r="P83" s="69" t="str">
        <f>IF(P$3&gt;A4remlife,A4value-SUM($G83:O83),IF(A4remlife="N/A","n/a",A4value/A4remlife))</f>
        <v>n/a</v>
      </c>
      <c r="Q83" s="69" t="str">
        <f>IF(Q$3&gt;A4remlife,A4value-SUM($G83:P83),IF(A4remlife="N/A","n/a",A4value/A4remlife))</f>
        <v>n/a</v>
      </c>
      <c r="R83" s="69"/>
      <c r="S83" s="105"/>
      <c r="T83" s="105"/>
      <c r="U83" s="105"/>
      <c r="V83" s="105"/>
      <c r="W83" s="105"/>
      <c r="X83" s="105"/>
      <c r="Y83" s="105"/>
      <c r="Z83" s="105"/>
      <c r="AA83" s="105"/>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33" t="s">
        <v>87</v>
      </c>
      <c r="F84" s="88">
        <v>0</v>
      </c>
      <c r="G84" s="126"/>
      <c r="H84" s="70"/>
      <c r="I84" s="70"/>
      <c r="J84" s="70"/>
      <c r="K84" s="70"/>
      <c r="L84" s="70"/>
      <c r="M84" s="167"/>
      <c r="N84" s="115"/>
      <c r="O84" s="70"/>
      <c r="P84" s="70"/>
      <c r="Q84" s="70"/>
      <c r="R84" s="70"/>
      <c r="S84" s="105"/>
      <c r="T84" s="105"/>
      <c r="U84" s="105"/>
      <c r="V84" s="105"/>
      <c r="W84" s="105"/>
      <c r="X84" s="105"/>
      <c r="Y84" s="105"/>
      <c r="Z84" s="105"/>
      <c r="AA84" s="105"/>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34"/>
      <c r="F85" s="88">
        <v>1</v>
      </c>
      <c r="G85" s="126"/>
      <c r="H85" s="149"/>
      <c r="I85" s="70">
        <f>IF(A4stdlife="n/a","n/a",IF(I$3&gt;(A4stdlife+$F85),(Input!$H$146*(1+vanilla1)^0.5)-SUM($H85:H85),(Input!$H$146*(1+vanilla1)^0.5)/A4stdlife))</f>
        <v>1.9752070278083116E-2</v>
      </c>
      <c r="J85" s="70">
        <f>IF(A4stdlife="n/a","n/a",IF(J$3&gt;(A4stdlife+$F85),(Input!$H$146*(1+vanilla1)^0.5)-SUM($H85:I85),(Input!$H$146*(1+vanilla1)^0.5)/A4stdlife))</f>
        <v>1.9752070278083116E-2</v>
      </c>
      <c r="K85" s="70">
        <f>IF(A4stdlife="n/a","n/a",IF(K$3&gt;(A4stdlife+$F85),(Input!$H$146*(1+vanilla1)^0.5)-SUM($H85:J85),(Input!$H$146*(1+vanilla1)^0.5)/A4stdlife))</f>
        <v>1.9752070278083116E-2</v>
      </c>
      <c r="L85" s="70">
        <f>IF(A4stdlife="n/a","n/a",IF(L$3&gt;(A4stdlife+$F85),(Input!$H$146*(1+vanilla1)^0.5)-SUM($H85:K85),(Input!$H$146*(1+vanilla1)^0.5)/A4stdlife))</f>
        <v>1.9752070278083116E-2</v>
      </c>
      <c r="M85" s="70">
        <f>IF(A4stdlife="n/a","n/a",IF(M$3&gt;(A4stdlife+$F85),(Input!$H$146*(1+vanilla1)^0.5)-SUM($H85:L85),(Input!$H$146*(1+vanilla1)^0.5)/A4stdlife))</f>
        <v>1.9752070278083116E-2</v>
      </c>
      <c r="N85" s="70">
        <f>IF(A4stdlife="n/a","n/a",IF(N$3&gt;(A4stdlife+$F85),(Input!$H$146*(1+vanilla1)^0.5)-SUM($H85:M85),(Input!$H$146*(1+vanilla1)^0.5)/A4stdlife))</f>
        <v>1.9752070278083116E-2</v>
      </c>
      <c r="O85" s="70">
        <f>IF(A4stdlife="n/a","n/a",IF(O$3&gt;(A4stdlife+$F85),(Input!$H$146*(1+vanilla1)^0.5)-SUM($H85:N85),(Input!$H$146*(1+vanilla1)^0.5)/A4stdlife))</f>
        <v>1.9752070278083116E-2</v>
      </c>
      <c r="P85" s="70">
        <f>IF(A4stdlife="n/a","n/a",IF(P$3&gt;(A4stdlife+$F85),(Input!$H$146*(1+vanilla1)^0.5)-SUM($H85:O85),(Input!$H$146*(1+vanilla1)^0.5)/A4stdlife))</f>
        <v>1.9752070278083116E-2</v>
      </c>
      <c r="Q85" s="70">
        <f>IF(A4stdlife="n/a","n/a",IF(Q$3&gt;(A4stdlife+$F85),(Input!$H$146*(1+vanilla1)^0.5)-SUM($H85:P85),(Input!$H$146*(1+vanilla1)^0.5)/A4stdlife))</f>
        <v>1.9752070278083116E-2</v>
      </c>
      <c r="R85" s="70"/>
      <c r="S85" s="105"/>
      <c r="T85" s="105"/>
      <c r="U85" s="105"/>
      <c r="V85" s="105"/>
      <c r="W85" s="105"/>
      <c r="X85" s="105"/>
      <c r="Y85" s="105"/>
      <c r="Z85" s="105"/>
      <c r="AA85" s="105"/>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34"/>
      <c r="F86" s="88">
        <v>2</v>
      </c>
      <c r="G86" s="126"/>
      <c r="H86" s="150"/>
      <c r="I86" s="151"/>
      <c r="J86" s="70">
        <f>IF(A4stdlife="n/a","n/a",IF(J$3&gt;(A4stdlife+$F86),(Input!$I$146*(1+vanilla2)^0.5)-SUM($I86:I86),(Input!$I$146*(1+vanilla2)^0.5)/A4stdlife))</f>
        <v>1.9894222677756842E-4</v>
      </c>
      <c r="K86" s="70">
        <f>IF(A4stdlife="n/a","n/a",IF(K$3&gt;(A4stdlife+$F86),(Input!$I$146*(1+vanilla2)^0.5)-SUM($I86:J86),(Input!$I$146*(1+vanilla2)^0.5)/A4stdlife))</f>
        <v>1.9894222677756842E-4</v>
      </c>
      <c r="L86" s="70">
        <f>IF(A4stdlife="n/a","n/a",IF(L$3&gt;(A4stdlife+$F86),(Input!$I$146*(1+vanilla2)^0.5)-SUM($I86:K86),(Input!$I$146*(1+vanilla2)^0.5)/A4stdlife))</f>
        <v>1.9894222677756842E-4</v>
      </c>
      <c r="M86" s="70">
        <f>IF(A4stdlife="n/a","n/a",IF(M$3&gt;(A4stdlife+$F86),(Input!$I$146*(1+vanilla2)^0.5)-SUM($I86:L86),(Input!$I$146*(1+vanilla2)^0.5)/A4stdlife))</f>
        <v>1.9894222677756842E-4</v>
      </c>
      <c r="N86" s="70">
        <f>IF(A4stdlife="n/a","n/a",IF(N$3&gt;(A4stdlife+$F86),(Input!$I$146*(1+vanilla2)^0.5)-SUM($I86:M86),(Input!$I$146*(1+vanilla2)^0.5)/A4stdlife))</f>
        <v>1.9894222677756842E-4</v>
      </c>
      <c r="O86" s="70">
        <f>IF(A4stdlife="n/a","n/a",IF(O$3&gt;(A4stdlife+$F86),(Input!$I$146*(1+vanilla2)^0.5)-SUM($I86:N86),(Input!$I$146*(1+vanilla2)^0.5)/A4stdlife))</f>
        <v>1.9894222677756842E-4</v>
      </c>
      <c r="P86" s="70">
        <f>IF(A4stdlife="n/a","n/a",IF(P$3&gt;(A4stdlife+$F86),(Input!$I$146*(1+vanilla2)^0.5)-SUM($I86:O86),(Input!$I$146*(1+vanilla2)^0.5)/A4stdlife))</f>
        <v>1.9894222677756842E-4</v>
      </c>
      <c r="Q86" s="70">
        <f>IF(A4stdlife="n/a","n/a",IF(Q$3&gt;(A4stdlife+$F86),(Input!$I$146*(1+vanilla2)^0.5)-SUM($I86:P86),(Input!$I$146*(1+vanilla2)^0.5)/A4stdlife))</f>
        <v>1.9894222677756842E-4</v>
      </c>
      <c r="R86" s="70"/>
      <c r="S86" s="105"/>
      <c r="T86" s="105"/>
      <c r="U86" s="105"/>
      <c r="V86" s="105"/>
      <c r="W86" s="105"/>
      <c r="X86" s="105"/>
      <c r="Y86" s="105"/>
      <c r="Z86" s="105"/>
      <c r="AA86" s="105"/>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34"/>
      <c r="F87" s="88">
        <v>3</v>
      </c>
      <c r="G87" s="126"/>
      <c r="H87" s="150"/>
      <c r="I87" s="152"/>
      <c r="J87" s="151"/>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34"/>
      <c r="F88" s="88">
        <v>4</v>
      </c>
      <c r="G88" s="126"/>
      <c r="H88" s="150"/>
      <c r="I88" s="152"/>
      <c r="J88" s="152"/>
      <c r="K88" s="151"/>
      <c r="L88" s="70">
        <f>IF(A4stdlife="n/a","n/a",IF(L$3&gt;(A4stdlife+$F88),(Input!$K$146*(1+vanilla4)^0.5)-SUM($K88:K88),(Input!$K$146*(1+vanilla4)^0.5)/A4stdlife))</f>
        <v>1.7570834187677953E-2</v>
      </c>
      <c r="M88" s="70">
        <f>IF(A4stdlife="n/a","n/a",IF(M$3&gt;(A4stdlife+$F88),(Input!$K$146*(1+vanilla4)^0.5)-SUM($K88:L88),(Input!$K$146*(1+vanilla4)^0.5)/A4stdlife))</f>
        <v>1.7570834187677953E-2</v>
      </c>
      <c r="N88" s="70">
        <f>IF(A4stdlife="n/a","n/a",IF(N$3&gt;(A4stdlife+$F88),(Input!$K$146*(1+vanilla4)^0.5)-SUM($K88:M88),(Input!$K$146*(1+vanilla4)^0.5)/A4stdlife))</f>
        <v>1.7570834187677953E-2</v>
      </c>
      <c r="O88" s="70">
        <f>IF(A4stdlife="n/a","n/a",IF(O$3&gt;(A4stdlife+$F88),(Input!$K$146*(1+vanilla4)^0.5)-SUM($K88:N88),(Input!$K$146*(1+vanilla4)^0.5)/A4stdlife))</f>
        <v>1.7570834187677953E-2</v>
      </c>
      <c r="P88" s="70">
        <f>IF(A4stdlife="n/a","n/a",IF(P$3&gt;(A4stdlife+$F88),(Input!$K$146*(1+vanilla4)^0.5)-SUM($K88:O88),(Input!$K$146*(1+vanilla4)^0.5)/A4stdlife))</f>
        <v>1.7570834187677953E-2</v>
      </c>
      <c r="Q88" s="70">
        <f>IF(A4stdlife="n/a","n/a",IF(Q$3&gt;(A4stdlife+$F88),(Input!$K$146*(1+vanilla4)^0.5)-SUM($K88:P88),(Input!$K$146*(1+vanilla4)^0.5)/A4stdlife))</f>
        <v>1.7570834187677953E-2</v>
      </c>
      <c r="R88" s="70"/>
      <c r="S88" s="105"/>
      <c r="T88" s="105"/>
      <c r="U88" s="105"/>
      <c r="V88" s="105"/>
      <c r="W88" s="105"/>
      <c r="X88" s="105"/>
      <c r="Y88" s="105"/>
      <c r="Z88" s="105"/>
      <c r="AA88" s="105"/>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34"/>
      <c r="F89" s="88">
        <v>5</v>
      </c>
      <c r="G89" s="126"/>
      <c r="H89" s="150"/>
      <c r="I89" s="152"/>
      <c r="J89" s="152"/>
      <c r="K89" s="152"/>
      <c r="L89" s="151"/>
      <c r="M89" s="70">
        <f>IF(A4stdlife="n/a","n/a",IF(M$3&gt;(A4stdlife+$F89),(Input!$L$146*(1+vanilla5)^0.5)-SUM($L89:L89),(Input!$L$146*(1+vanilla5)^0.5)/A4stdlife))</f>
        <v>3.6451913372591688E-3</v>
      </c>
      <c r="N89" s="70">
        <f>IF(A4stdlife="n/a","n/a",IF(N$3&gt;(A4stdlife+$F89),(Input!$L$146*(1+vanilla5)^0.5)-SUM($L89:M89),(Input!$L$146*(1+vanilla5)^0.5)/A4stdlife))</f>
        <v>3.6451913372591688E-3</v>
      </c>
      <c r="O89" s="70">
        <f>IF(A4stdlife="n/a","n/a",IF(O$3&gt;(A4stdlife+$F89),(Input!$L$146*(1+vanilla5)^0.5)-SUM($L89:N89),(Input!$L$146*(1+vanilla5)^0.5)/A4stdlife))</f>
        <v>3.6451913372591688E-3</v>
      </c>
      <c r="P89" s="70">
        <f>IF(A4stdlife="n/a","n/a",IF(P$3&gt;(A4stdlife+$F89),(Input!$L$146*(1+vanilla5)^0.5)-SUM($L89:O89),(Input!$L$146*(1+vanilla5)^0.5)/A4stdlife))</f>
        <v>3.6451913372591688E-3</v>
      </c>
      <c r="Q89" s="70">
        <f>IF(A4stdlife="n/a","n/a",IF(Q$3&gt;(A4stdlife+$F89),(Input!$L$146*(1+vanilla5)^0.5)-SUM($L89:P89),(Input!$L$146*(1+vanilla5)^0.5)/A4stdlife))</f>
        <v>3.6451913372591688E-3</v>
      </c>
      <c r="R89" s="70"/>
      <c r="S89" s="105"/>
      <c r="T89" s="105"/>
      <c r="U89" s="105"/>
      <c r="V89" s="105"/>
      <c r="W89" s="105"/>
      <c r="X89" s="105"/>
      <c r="Y89" s="105"/>
      <c r="Z89" s="105"/>
      <c r="AA89" s="105"/>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34"/>
      <c r="F90" s="88">
        <v>6</v>
      </c>
      <c r="G90" s="126"/>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34"/>
      <c r="F91" s="88">
        <v>7</v>
      </c>
      <c r="G91" s="126"/>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34"/>
      <c r="F92" s="88">
        <v>8</v>
      </c>
      <c r="G92" s="126"/>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34"/>
      <c r="F93" s="88">
        <v>9</v>
      </c>
      <c r="G93" s="126"/>
      <c r="H93" s="150"/>
      <c r="I93" s="152"/>
      <c r="J93" s="152"/>
      <c r="K93" s="152"/>
      <c r="L93" s="152"/>
      <c r="M93" s="152"/>
      <c r="N93" s="152"/>
      <c r="O93" s="152"/>
      <c r="P93" s="151"/>
      <c r="Q93" s="70">
        <f>IF(A4stdlife="n/a","n/a",IF(Q$3&gt;(A4stdlife+$F93),(Input!$P$146*(1+vanilla9)^0.5)-SUM($P93:P93),(Input!$P$146*(1+vanilla9)^0.5)/A4stdlife))</f>
        <v>0</v>
      </c>
      <c r="R93" s="70"/>
      <c r="S93" s="105"/>
      <c r="T93" s="105"/>
      <c r="U93" s="105"/>
      <c r="V93" s="105"/>
      <c r="W93" s="105"/>
      <c r="X93" s="105"/>
      <c r="Y93" s="105"/>
      <c r="Z93" s="105"/>
      <c r="AA93" s="105"/>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34"/>
      <c r="F94" s="89">
        <v>10</v>
      </c>
      <c r="G94" s="126"/>
      <c r="H94" s="150"/>
      <c r="I94" s="152"/>
      <c r="J94" s="152"/>
      <c r="K94" s="152"/>
      <c r="L94" s="152"/>
      <c r="M94" s="152"/>
      <c r="N94" s="152"/>
      <c r="O94" s="152"/>
      <c r="P94" s="152"/>
      <c r="Q94" s="151"/>
      <c r="R94" s="70"/>
      <c r="S94" s="105"/>
      <c r="T94" s="105"/>
      <c r="U94" s="105"/>
      <c r="V94" s="105"/>
      <c r="W94" s="105"/>
      <c r="X94" s="105"/>
      <c r="Y94" s="105"/>
      <c r="Z94" s="105"/>
      <c r="AA94" s="105"/>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Zone Substation</v>
      </c>
      <c r="E95" s="9"/>
      <c r="F95" s="9"/>
      <c r="G95" s="126"/>
      <c r="H95" s="169">
        <f>-SUM(H83:H94)</f>
        <v>0</v>
      </c>
      <c r="I95" s="169">
        <f>-SUM(I83:I94)</f>
        <v>-1.9752070278083116E-2</v>
      </c>
      <c r="J95" s="169">
        <f>-SUM(J83:J94)</f>
        <v>-1.9951012504860685E-2</v>
      </c>
      <c r="K95" s="169">
        <f>-SUM(K83:K94)</f>
        <v>-1.9951012504860685E-2</v>
      </c>
      <c r="L95" s="169">
        <f>-SUM(L83:L94)</f>
        <v>-3.7521846692538635E-2</v>
      </c>
      <c r="M95" s="169">
        <f>IF(Input!M173&gt;0, -SUM(M83:M94), 0)</f>
        <v>0</v>
      </c>
      <c r="N95" s="169">
        <f>IF(Input!N173&gt;0, -SUM(N83:N94), 0)</f>
        <v>0</v>
      </c>
      <c r="O95" s="169">
        <f>IF(Input!O173&gt;0, -SUM(O83:O94), 0)</f>
        <v>0</v>
      </c>
      <c r="P95" s="169">
        <f>IF(Input!P173&gt;0, -SUM(P83:P94), 0)</f>
        <v>0</v>
      </c>
      <c r="Q95" s="169">
        <f>IF(Input!Q173&gt;0, -SUM(Q83:Q94), 0)</f>
        <v>0</v>
      </c>
      <c r="R95" s="68"/>
      <c r="S95" s="107"/>
      <c r="T95" s="107"/>
      <c r="U95" s="107"/>
      <c r="V95" s="107"/>
      <c r="W95" s="107"/>
      <c r="X95" s="107"/>
      <c r="Y95" s="107"/>
      <c r="Z95" s="107"/>
      <c r="AA95" s="107"/>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Distribution Substations</v>
      </c>
      <c r="D96" s="165"/>
      <c r="E96" s="34" t="s">
        <v>28</v>
      </c>
      <c r="F96" s="33"/>
      <c r="G96" s="181"/>
      <c r="H96" s="69" t="str">
        <f>IF(H$3&gt;A5remlife,A5value-SUM($G96:G96),IF(A5remlife="N/A","n/a",A5value/A5remlife))</f>
        <v>n/a</v>
      </c>
      <c r="I96" s="69" t="str">
        <f>IF(I$3&gt;A5remlife,A5value-SUM($G96:H96),IF(A5remlife="N/A","n/a",A5value/A5remlife))</f>
        <v>n/a</v>
      </c>
      <c r="J96" s="69" t="str">
        <f>IF(J$3&gt;A5remlife,A5value-SUM($G96:I96),IF(A5remlife="N/A","n/a",A5value/A5remlife))</f>
        <v>n/a</v>
      </c>
      <c r="K96" s="69" t="str">
        <f>IF(K$3&gt;A5remlife,A5value-SUM($G96:J96),IF(A5remlife="N/A","n/a",A5value/A5remlife))</f>
        <v>n/a</v>
      </c>
      <c r="L96" s="69" t="str">
        <f>IF(L$3&gt;A5remlife,A5value-SUM($G96:K96),IF(A5remlife="N/A","n/a",A5value/A5remlife))</f>
        <v>n/a</v>
      </c>
      <c r="M96" s="69" t="str">
        <f>IF(M$3&gt;A5remlife,A5value-SUM($G96:L96),IF(A5remlife="N/A","n/a",A5value/A5remlife))</f>
        <v>n/a</v>
      </c>
      <c r="N96" s="69" t="str">
        <f>IF(N$3&gt;A5remlife,A5value-SUM($G96:M96),IF(A5remlife="N/A","n/a",A5value/A5remlife))</f>
        <v>n/a</v>
      </c>
      <c r="O96" s="69" t="str">
        <f>IF(O$3&gt;A5remlife,A5value-SUM($G96:N96),IF(A5remlife="N/A","n/a",A5value/A5remlife))</f>
        <v>n/a</v>
      </c>
      <c r="P96" s="69" t="str">
        <f>IF(P$3&gt;A5remlife,A5value-SUM($G96:O96),IF(A5remlife="N/A","n/a",A5value/A5remlife))</f>
        <v>n/a</v>
      </c>
      <c r="Q96" s="69" t="str">
        <f>IF(Q$3&gt;A5remlife,A5value-SUM($G96:P96),IF(A5remlife="N/A","n/a",A5value/A5remlife))</f>
        <v>n/a</v>
      </c>
      <c r="R96" s="69"/>
      <c r="S96" s="105"/>
      <c r="T96" s="105"/>
      <c r="U96" s="105"/>
      <c r="V96" s="105"/>
      <c r="W96" s="105"/>
      <c r="X96" s="105"/>
      <c r="Y96" s="105"/>
      <c r="Z96" s="105"/>
      <c r="AA96" s="105"/>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33" t="s">
        <v>87</v>
      </c>
      <c r="F97" s="88">
        <v>0</v>
      </c>
      <c r="G97" s="126"/>
      <c r="H97" s="70"/>
      <c r="I97" s="70"/>
      <c r="J97" s="70"/>
      <c r="K97" s="70"/>
      <c r="L97" s="70"/>
      <c r="M97" s="167"/>
      <c r="N97" s="115"/>
      <c r="O97" s="70"/>
      <c r="P97" s="70"/>
      <c r="Q97" s="70"/>
      <c r="R97" s="70"/>
      <c r="S97" s="105"/>
      <c r="T97" s="105"/>
      <c r="U97" s="105"/>
      <c r="V97" s="105"/>
      <c r="W97" s="105"/>
      <c r="X97" s="105"/>
      <c r="Y97" s="105"/>
      <c r="Z97" s="105"/>
      <c r="AA97" s="105"/>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34"/>
      <c r="F98" s="88">
        <v>1</v>
      </c>
      <c r="G98" s="126"/>
      <c r="H98" s="149"/>
      <c r="I98" s="70">
        <f>IF(A5stdlife="n/a","n/a",IF(I$3&gt;(A5stdlife+$F98),(Input!$H$147*(1+vanilla1)^0.5)-SUM($H98:H98),(Input!$H$147*(1+vanilla1)^0.5)/A5stdlife))</f>
        <v>0.24807780691308973</v>
      </c>
      <c r="J98" s="70">
        <f>IF(A5stdlife="n/a","n/a",IF(J$3&gt;(A5stdlife+$F98),(Input!$H$147*(1+vanilla1)^0.5)-SUM($H98:I98),(Input!$H$147*(1+vanilla1)^0.5)/A5stdlife))</f>
        <v>0.24807780691308973</v>
      </c>
      <c r="K98" s="70">
        <f>IF(A5stdlife="n/a","n/a",IF(K$3&gt;(A5stdlife+$F98),(Input!$H$147*(1+vanilla1)^0.5)-SUM($H98:J98),(Input!$H$147*(1+vanilla1)^0.5)/A5stdlife))</f>
        <v>0.24807780691308973</v>
      </c>
      <c r="L98" s="70">
        <f>IF(A5stdlife="n/a","n/a",IF(L$3&gt;(A5stdlife+$F98),(Input!$H$147*(1+vanilla1)^0.5)-SUM($H98:K98),(Input!$H$147*(1+vanilla1)^0.5)/A5stdlife))</f>
        <v>0.24807780691308973</v>
      </c>
      <c r="M98" s="70">
        <f>IF(A5stdlife="n/a","n/a",IF(M$3&gt;(A5stdlife+$F98),(Input!$H$147*(1+vanilla1)^0.5)-SUM($H98:L98),(Input!$H$147*(1+vanilla1)^0.5)/A5stdlife))</f>
        <v>0.24807780691308973</v>
      </c>
      <c r="N98" s="70">
        <f>IF(A5stdlife="n/a","n/a",IF(N$3&gt;(A5stdlife+$F98),(Input!$H$147*(1+vanilla1)^0.5)-SUM($H98:M98),(Input!$H$147*(1+vanilla1)^0.5)/A5stdlife))</f>
        <v>0.24807780691308973</v>
      </c>
      <c r="O98" s="70">
        <f>IF(A5stdlife="n/a","n/a",IF(O$3&gt;(A5stdlife+$F98),(Input!$H$147*(1+vanilla1)^0.5)-SUM($H98:N98),(Input!$H$147*(1+vanilla1)^0.5)/A5stdlife))</f>
        <v>0.24807780691308973</v>
      </c>
      <c r="P98" s="70">
        <f>IF(A5stdlife="n/a","n/a",IF(P$3&gt;(A5stdlife+$F98),(Input!$H$147*(1+vanilla1)^0.5)-SUM($H98:O98),(Input!$H$147*(1+vanilla1)^0.5)/A5stdlife))</f>
        <v>0.24807780691308973</v>
      </c>
      <c r="Q98" s="70">
        <f>IF(A5stdlife="n/a","n/a",IF(Q$3&gt;(A5stdlife+$F98),(Input!$H$147*(1+vanilla1)^0.5)-SUM($H98:P98),(Input!$H$147*(1+vanilla1)^0.5)/A5stdlife))</f>
        <v>0.24807780691308973</v>
      </c>
      <c r="R98" s="70"/>
      <c r="S98" s="105"/>
      <c r="T98" s="105"/>
      <c r="U98" s="105"/>
      <c r="V98" s="105"/>
      <c r="W98" s="105"/>
      <c r="X98" s="105"/>
      <c r="Y98" s="105"/>
      <c r="Z98" s="105"/>
      <c r="AA98" s="105"/>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34"/>
      <c r="F99" s="88">
        <v>2</v>
      </c>
      <c r="G99" s="126"/>
      <c r="H99" s="150"/>
      <c r="I99" s="151"/>
      <c r="J99" s="70">
        <f>IF(A5stdlife="n/a","n/a",IF(J$3&gt;(A5stdlife+$F99),(Input!$I$147*(1+vanilla2)^0.5)-SUM($I99:I99),(Input!$I$147*(1+vanilla2)^0.5)/A5stdlife))</f>
        <v>0.28814876023276526</v>
      </c>
      <c r="K99" s="70">
        <f>IF(A5stdlife="n/a","n/a",IF(K$3&gt;(A5stdlife+$F99),(Input!$I$147*(1+vanilla2)^0.5)-SUM($I99:J99),(Input!$I$147*(1+vanilla2)^0.5)/A5stdlife))</f>
        <v>0.28814876023276526</v>
      </c>
      <c r="L99" s="70">
        <f>IF(A5stdlife="n/a","n/a",IF(L$3&gt;(A5stdlife+$F99),(Input!$I$147*(1+vanilla2)^0.5)-SUM($I99:K99),(Input!$I$147*(1+vanilla2)^0.5)/A5stdlife))</f>
        <v>0.28814876023276526</v>
      </c>
      <c r="M99" s="70">
        <f>IF(A5stdlife="n/a","n/a",IF(M$3&gt;(A5stdlife+$F99),(Input!$I$147*(1+vanilla2)^0.5)-SUM($I99:L99),(Input!$I$147*(1+vanilla2)^0.5)/A5stdlife))</f>
        <v>0.28814876023276526</v>
      </c>
      <c r="N99" s="70">
        <f>IF(A5stdlife="n/a","n/a",IF(N$3&gt;(A5stdlife+$F99),(Input!$I$147*(1+vanilla2)^0.5)-SUM($I99:M99),(Input!$I$147*(1+vanilla2)^0.5)/A5stdlife))</f>
        <v>0.28814876023276526</v>
      </c>
      <c r="O99" s="70">
        <f>IF(A5stdlife="n/a","n/a",IF(O$3&gt;(A5stdlife+$F99),(Input!$I$147*(1+vanilla2)^0.5)-SUM($I99:N99),(Input!$I$147*(1+vanilla2)^0.5)/A5stdlife))</f>
        <v>0.28814876023276526</v>
      </c>
      <c r="P99" s="70">
        <f>IF(A5stdlife="n/a","n/a",IF(P$3&gt;(A5stdlife+$F99),(Input!$I$147*(1+vanilla2)^0.5)-SUM($I99:O99),(Input!$I$147*(1+vanilla2)^0.5)/A5stdlife))</f>
        <v>0.28814876023276526</v>
      </c>
      <c r="Q99" s="70">
        <f>IF(A5stdlife="n/a","n/a",IF(Q$3&gt;(A5stdlife+$F99),(Input!$I$147*(1+vanilla2)^0.5)-SUM($I99:P99),(Input!$I$147*(1+vanilla2)^0.5)/A5stdlife))</f>
        <v>0.28814876023276526</v>
      </c>
      <c r="R99" s="70"/>
      <c r="S99" s="105"/>
      <c r="T99" s="105"/>
      <c r="U99" s="105"/>
      <c r="V99" s="105"/>
      <c r="W99" s="105"/>
      <c r="X99" s="105"/>
      <c r="Y99" s="105"/>
      <c r="Z99" s="105"/>
      <c r="AA99" s="105"/>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34"/>
      <c r="F100" s="88">
        <v>3</v>
      </c>
      <c r="G100" s="126"/>
      <c r="H100" s="150"/>
      <c r="I100" s="152"/>
      <c r="J100" s="151"/>
      <c r="K100" s="70">
        <f>IF(A5stdlife="n/a","n/a",IF(K$3&gt;(A5stdlife+$F100),(Input!$J$147*(1+vanilla3)^0.5)-SUM($J100:J100),(Input!$J$147*(1+vanilla3)^0.5)/A5stdlife))</f>
        <v>0.24794749959118773</v>
      </c>
      <c r="L100" s="70">
        <f>IF(A5stdlife="n/a","n/a",IF(L$3&gt;(A5stdlife+$F100),(Input!$J$147*(1+vanilla3)^0.5)-SUM($J100:K100),(Input!$J$147*(1+vanilla3)^0.5)/A5stdlife))</f>
        <v>0.24794749959118773</v>
      </c>
      <c r="M100" s="70">
        <f>IF(A5stdlife="n/a","n/a",IF(M$3&gt;(A5stdlife+$F100),(Input!$J$147*(1+vanilla3)^0.5)-SUM($J100:L100),(Input!$J$147*(1+vanilla3)^0.5)/A5stdlife))</f>
        <v>0.24794749959118773</v>
      </c>
      <c r="N100" s="70">
        <f>IF(A5stdlife="n/a","n/a",IF(N$3&gt;(A5stdlife+$F100),(Input!$J$147*(1+vanilla3)^0.5)-SUM($J100:M100),(Input!$J$147*(1+vanilla3)^0.5)/A5stdlife))</f>
        <v>0.24794749959118773</v>
      </c>
      <c r="O100" s="70">
        <f>IF(A5stdlife="n/a","n/a",IF(O$3&gt;(A5stdlife+$F100),(Input!$J$147*(1+vanilla3)^0.5)-SUM($J100:N100),(Input!$J$147*(1+vanilla3)^0.5)/A5stdlife))</f>
        <v>0.24794749959118773</v>
      </c>
      <c r="P100" s="70">
        <f>IF(A5stdlife="n/a","n/a",IF(P$3&gt;(A5stdlife+$F100),(Input!$J$147*(1+vanilla3)^0.5)-SUM($J100:O100),(Input!$J$147*(1+vanilla3)^0.5)/A5stdlife))</f>
        <v>0.24794749959118773</v>
      </c>
      <c r="Q100" s="70">
        <f>IF(A5stdlife="n/a","n/a",IF(Q$3&gt;(A5stdlife+$F100),(Input!$J$147*(1+vanilla3)^0.5)-SUM($J100:P100),(Input!$J$147*(1+vanilla3)^0.5)/A5stdlife))</f>
        <v>0.24794749959118773</v>
      </c>
      <c r="R100" s="70"/>
      <c r="S100" s="105"/>
      <c r="T100" s="105"/>
      <c r="U100" s="105"/>
      <c r="V100" s="105"/>
      <c r="W100" s="105"/>
      <c r="X100" s="105"/>
      <c r="Y100" s="105"/>
      <c r="Z100" s="105"/>
      <c r="AA100" s="105"/>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34"/>
      <c r="F101" s="88">
        <v>4</v>
      </c>
      <c r="G101" s="126"/>
      <c r="H101" s="150"/>
      <c r="I101" s="152"/>
      <c r="J101" s="152"/>
      <c r="K101" s="151"/>
      <c r="L101" s="70">
        <f>IF(A5stdlife="n/a","n/a",IF(L$3&gt;(A5stdlife+$F101),(Input!$K$147*(1+vanilla4)^0.5)-SUM($K101:K101),(Input!$K$147*(1+vanilla4)^0.5)/A5stdlife))</f>
        <v>0.16936246436386307</v>
      </c>
      <c r="M101" s="70">
        <f>IF(A5stdlife="n/a","n/a",IF(M$3&gt;(A5stdlife+$F101),(Input!$K$147*(1+vanilla4)^0.5)-SUM($K101:L101),(Input!$K$147*(1+vanilla4)^0.5)/A5stdlife))</f>
        <v>0.16936246436386307</v>
      </c>
      <c r="N101" s="70">
        <f>IF(A5stdlife="n/a","n/a",IF(N$3&gt;(A5stdlife+$F101),(Input!$K$147*(1+vanilla4)^0.5)-SUM($K101:M101),(Input!$K$147*(1+vanilla4)^0.5)/A5stdlife))</f>
        <v>0.16936246436386307</v>
      </c>
      <c r="O101" s="70">
        <f>IF(A5stdlife="n/a","n/a",IF(O$3&gt;(A5stdlife+$F101),(Input!$K$147*(1+vanilla4)^0.5)-SUM($K101:N101),(Input!$K$147*(1+vanilla4)^0.5)/A5stdlife))</f>
        <v>0.16936246436386307</v>
      </c>
      <c r="P101" s="70">
        <f>IF(A5stdlife="n/a","n/a",IF(P$3&gt;(A5stdlife+$F101),(Input!$K$147*(1+vanilla4)^0.5)-SUM($K101:O101),(Input!$K$147*(1+vanilla4)^0.5)/A5stdlife))</f>
        <v>0.16936246436386307</v>
      </c>
      <c r="Q101" s="70">
        <f>IF(A5stdlife="n/a","n/a",IF(Q$3&gt;(A5stdlife+$F101),(Input!$K$147*(1+vanilla4)^0.5)-SUM($K101:P101),(Input!$K$147*(1+vanilla4)^0.5)/A5stdlife))</f>
        <v>0.16936246436386307</v>
      </c>
      <c r="R101" s="70"/>
      <c r="S101" s="105"/>
      <c r="T101" s="105"/>
      <c r="U101" s="105"/>
      <c r="V101" s="105"/>
      <c r="W101" s="105"/>
      <c r="X101" s="105"/>
      <c r="Y101" s="105"/>
      <c r="Z101" s="105"/>
      <c r="AA101" s="105"/>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34"/>
      <c r="F102" s="88">
        <v>5</v>
      </c>
      <c r="G102" s="126"/>
      <c r="H102" s="150"/>
      <c r="I102" s="152"/>
      <c r="J102" s="152"/>
      <c r="K102" s="152"/>
      <c r="L102" s="151"/>
      <c r="M102" s="70">
        <f>IF(A5stdlife="n/a","n/a",IF(M$3&gt;(A5stdlife+$F102),(Input!$L$147*(1+vanilla5)^0.5)-SUM($L102:L102),(Input!$L$147*(1+vanilla5)^0.5)/A5stdlife))</f>
        <v>0.2220661143187348</v>
      </c>
      <c r="N102" s="70">
        <f>IF(A5stdlife="n/a","n/a",IF(N$3&gt;(A5stdlife+$F102),(Input!$L$147*(1+vanilla5)^0.5)-SUM($L102:M102),(Input!$L$147*(1+vanilla5)^0.5)/A5stdlife))</f>
        <v>0.2220661143187348</v>
      </c>
      <c r="O102" s="70">
        <f>IF(A5stdlife="n/a","n/a",IF(O$3&gt;(A5stdlife+$F102),(Input!$L$147*(1+vanilla5)^0.5)-SUM($L102:N102),(Input!$L$147*(1+vanilla5)^0.5)/A5stdlife))</f>
        <v>0.2220661143187348</v>
      </c>
      <c r="P102" s="70">
        <f>IF(A5stdlife="n/a","n/a",IF(P$3&gt;(A5stdlife+$F102),(Input!$L$147*(1+vanilla5)^0.5)-SUM($L102:O102),(Input!$L$147*(1+vanilla5)^0.5)/A5stdlife))</f>
        <v>0.2220661143187348</v>
      </c>
      <c r="Q102" s="70">
        <f>IF(A5stdlife="n/a","n/a",IF(Q$3&gt;(A5stdlife+$F102),(Input!$L$147*(1+vanilla5)^0.5)-SUM($L102:P102),(Input!$L$147*(1+vanilla5)^0.5)/A5stdlife))</f>
        <v>0.2220661143187348</v>
      </c>
      <c r="R102" s="70"/>
      <c r="S102" s="105"/>
      <c r="T102" s="105"/>
      <c r="U102" s="105"/>
      <c r="V102" s="105"/>
      <c r="W102" s="105"/>
      <c r="X102" s="105"/>
      <c r="Y102" s="105"/>
      <c r="Z102" s="105"/>
      <c r="AA102" s="105"/>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34"/>
      <c r="F103" s="88">
        <v>6</v>
      </c>
      <c r="G103" s="126"/>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34"/>
      <c r="F104" s="88">
        <v>7</v>
      </c>
      <c r="G104" s="126"/>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34"/>
      <c r="F105" s="88">
        <v>8</v>
      </c>
      <c r="G105" s="126"/>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34"/>
      <c r="F106" s="88">
        <v>9</v>
      </c>
      <c r="G106" s="126"/>
      <c r="H106" s="150"/>
      <c r="I106" s="152"/>
      <c r="J106" s="152"/>
      <c r="K106" s="152"/>
      <c r="L106" s="152"/>
      <c r="M106" s="152"/>
      <c r="N106" s="152"/>
      <c r="O106" s="152"/>
      <c r="P106" s="151"/>
      <c r="Q106" s="70">
        <f>IF(A5stdlife="n/a","n/a",IF(Q$3&gt;(A5stdlife+$F106),(Input!$P$147*(1+vanilla9)^0.5)-SUM($P106:P106),(Input!$P$147*(1+vanilla9)^0.5)/A5stdlife))</f>
        <v>0</v>
      </c>
      <c r="R106" s="70"/>
      <c r="S106" s="105"/>
      <c r="T106" s="105"/>
      <c r="U106" s="105"/>
      <c r="V106" s="105"/>
      <c r="W106" s="105"/>
      <c r="X106" s="105"/>
      <c r="Y106" s="105"/>
      <c r="Z106" s="105"/>
      <c r="AA106" s="105"/>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34"/>
      <c r="F107" s="89">
        <v>10</v>
      </c>
      <c r="G107" s="126"/>
      <c r="H107" s="150"/>
      <c r="I107" s="152"/>
      <c r="J107" s="152"/>
      <c r="K107" s="152"/>
      <c r="L107" s="152"/>
      <c r="M107" s="152"/>
      <c r="N107" s="152"/>
      <c r="O107" s="152"/>
      <c r="P107" s="152"/>
      <c r="Q107" s="151"/>
      <c r="R107" s="70"/>
      <c r="S107" s="105"/>
      <c r="T107" s="105"/>
      <c r="U107" s="105"/>
      <c r="V107" s="105"/>
      <c r="W107" s="105"/>
      <c r="X107" s="105"/>
      <c r="Y107" s="105"/>
      <c r="Z107" s="105"/>
      <c r="AA107" s="105"/>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Distribution Substations</v>
      </c>
      <c r="E108" s="9"/>
      <c r="F108" s="9"/>
      <c r="G108" s="126"/>
      <c r="H108" s="169">
        <f>-SUM(H96:H107)</f>
        <v>0</v>
      </c>
      <c r="I108" s="169">
        <f>-SUM(I96:I107)</f>
        <v>-0.24807780691308973</v>
      </c>
      <c r="J108" s="169">
        <f>-SUM(J96:J107)</f>
        <v>-0.53622656714585504</v>
      </c>
      <c r="K108" s="169">
        <f>-SUM(K96:K107)</f>
        <v>-0.78417406673704271</v>
      </c>
      <c r="L108" s="169">
        <f>-SUM(L96:L107)</f>
        <v>-0.95353653110090575</v>
      </c>
      <c r="M108" s="169">
        <f>IF(Input!M173&gt;0, -SUM(M96:M107), 0)</f>
        <v>0</v>
      </c>
      <c r="N108" s="169">
        <f>IF(Input!N173&gt;0, -SUM(N96:N107), 0)</f>
        <v>0</v>
      </c>
      <c r="O108" s="169">
        <f>IF(Input!O173&gt;0, -SUM(O96:O107), 0)</f>
        <v>0</v>
      </c>
      <c r="P108" s="169">
        <f>IF(Input!P173&gt;0, -SUM(P96:P107), 0)</f>
        <v>0</v>
      </c>
      <c r="Q108" s="169">
        <f>IF(Input!Q173&gt;0, -SUM(Q96:Q107), 0)</f>
        <v>0</v>
      </c>
      <c r="R108" s="68"/>
      <c r="S108" s="107"/>
      <c r="T108" s="107"/>
      <c r="U108" s="107"/>
      <c r="V108" s="107"/>
      <c r="W108" s="107"/>
      <c r="X108" s="107"/>
      <c r="Y108" s="107"/>
      <c r="Z108" s="107"/>
      <c r="AA108" s="107"/>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Distribution Overhead Lines</v>
      </c>
      <c r="D109" s="165"/>
      <c r="E109" s="34" t="s">
        <v>28</v>
      </c>
      <c r="F109" s="33"/>
      <c r="G109" s="181"/>
      <c r="H109" s="69" t="str">
        <f>IF(H$3&gt;A6remlife,A6value-SUM($G109:G109),IF(A6remlife="N/A","n/a",A6value/A6remlife))</f>
        <v>n/a</v>
      </c>
      <c r="I109" s="69" t="str">
        <f>IF(I$3&gt;A6remlife,A6value-SUM($G109:H109),IF(A6remlife="N/A","n/a",A6value/A6remlife))</f>
        <v>n/a</v>
      </c>
      <c r="J109" s="69" t="str">
        <f>IF(J$3&gt;A6remlife,A6value-SUM($G109:I109),IF(A6remlife="N/A","n/a",A6value/A6remlife))</f>
        <v>n/a</v>
      </c>
      <c r="K109" s="69" t="str">
        <f>IF(K$3&gt;A6remlife,A6value-SUM($G109:J109),IF(A6remlife="N/A","n/a",A6value/A6remlife))</f>
        <v>n/a</v>
      </c>
      <c r="L109" s="69" t="str">
        <f>IF(L$3&gt;A6remlife,A6value-SUM($G109:K109),IF(A6remlife="N/A","n/a",A6value/A6remlife))</f>
        <v>n/a</v>
      </c>
      <c r="M109" s="69" t="str">
        <f>IF(M$3&gt;A6remlife,A6value-SUM($G109:L109),IF(A6remlife="N/A","n/a",A6value/A6remlife))</f>
        <v>n/a</v>
      </c>
      <c r="N109" s="69" t="str">
        <f>IF(N$3&gt;A6remlife,A6value-SUM($G109:M109),IF(A6remlife="N/A","n/a",A6value/A6remlife))</f>
        <v>n/a</v>
      </c>
      <c r="O109" s="69" t="str">
        <f>IF(O$3&gt;A6remlife,A6value-SUM($G109:N109),IF(A6remlife="N/A","n/a",A6value/A6remlife))</f>
        <v>n/a</v>
      </c>
      <c r="P109" s="69" t="str">
        <f>IF(P$3&gt;A6remlife,A6value-SUM($G109:O109),IF(A6remlife="N/A","n/a",A6value/A6remlife))</f>
        <v>n/a</v>
      </c>
      <c r="Q109" s="69" t="str">
        <f>IF(Q$3&gt;A6remlife,A6value-SUM($G109:P109),IF(A6remlife="N/A","n/a",A6value/A6remlife))</f>
        <v>n/a</v>
      </c>
      <c r="R109" s="69"/>
      <c r="S109" s="105"/>
      <c r="T109" s="105"/>
      <c r="U109" s="105"/>
      <c r="V109" s="105"/>
      <c r="W109" s="105"/>
      <c r="X109" s="105"/>
      <c r="Y109" s="105"/>
      <c r="Z109" s="105"/>
      <c r="AA109" s="105"/>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33" t="s">
        <v>87</v>
      </c>
      <c r="F110" s="88">
        <v>0</v>
      </c>
      <c r="G110" s="126"/>
      <c r="H110" s="70"/>
      <c r="I110" s="70"/>
      <c r="J110" s="70"/>
      <c r="K110" s="70"/>
      <c r="L110" s="70"/>
      <c r="M110" s="167"/>
      <c r="N110" s="115"/>
      <c r="O110" s="70"/>
      <c r="P110" s="70"/>
      <c r="Q110" s="70"/>
      <c r="R110" s="70"/>
      <c r="S110" s="105"/>
      <c r="T110" s="105"/>
      <c r="U110" s="105"/>
      <c r="V110" s="105"/>
      <c r="W110" s="105"/>
      <c r="X110" s="105"/>
      <c r="Y110" s="105"/>
      <c r="Z110" s="105"/>
      <c r="AA110" s="105"/>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34"/>
      <c r="F111" s="88">
        <v>1</v>
      </c>
      <c r="G111" s="126"/>
      <c r="H111" s="149"/>
      <c r="I111" s="70">
        <f>IF(A6stdlife="n/a","n/a",IF(I$3&gt;(A6stdlife+$F111),(Input!$H$148*(1+vanilla1)^0.5)-SUM($H111:H111),(Input!$H$148*(1+vanilla1)^0.5)/A6stdlife))</f>
        <v>0.21569008687585364</v>
      </c>
      <c r="J111" s="70">
        <f>IF(A6stdlife="n/a","n/a",IF(J$3&gt;(A6stdlife+$F111),(Input!$H$148*(1+vanilla1)^0.5)-SUM($H111:I111),(Input!$H$148*(1+vanilla1)^0.5)/A6stdlife))</f>
        <v>0.21569008687585364</v>
      </c>
      <c r="K111" s="70">
        <f>IF(A6stdlife="n/a","n/a",IF(K$3&gt;(A6stdlife+$F111),(Input!$H$148*(1+vanilla1)^0.5)-SUM($H111:J111),(Input!$H$148*(1+vanilla1)^0.5)/A6stdlife))</f>
        <v>0.21569008687585364</v>
      </c>
      <c r="L111" s="70">
        <f>IF(A6stdlife="n/a","n/a",IF(L$3&gt;(A6stdlife+$F111),(Input!$H$148*(1+vanilla1)^0.5)-SUM($H111:K111),(Input!$H$148*(1+vanilla1)^0.5)/A6stdlife))</f>
        <v>0.21569008687585364</v>
      </c>
      <c r="M111" s="70">
        <f>IF(A6stdlife="n/a","n/a",IF(M$3&gt;(A6stdlife+$F111),(Input!$H$148*(1+vanilla1)^0.5)-SUM($H111:L111),(Input!$H$148*(1+vanilla1)^0.5)/A6stdlife))</f>
        <v>0.21569008687585364</v>
      </c>
      <c r="N111" s="70">
        <f>IF(A6stdlife="n/a","n/a",IF(N$3&gt;(A6stdlife+$F111),(Input!$H$148*(1+vanilla1)^0.5)-SUM($H111:M111),(Input!$H$148*(1+vanilla1)^0.5)/A6stdlife))</f>
        <v>0.21569008687585364</v>
      </c>
      <c r="O111" s="70">
        <f>IF(A6stdlife="n/a","n/a",IF(O$3&gt;(A6stdlife+$F111),(Input!$H$148*(1+vanilla1)^0.5)-SUM($H111:N111),(Input!$H$148*(1+vanilla1)^0.5)/A6stdlife))</f>
        <v>0.21569008687585364</v>
      </c>
      <c r="P111" s="70">
        <f>IF(A6stdlife="n/a","n/a",IF(P$3&gt;(A6stdlife+$F111),(Input!$H$148*(1+vanilla1)^0.5)-SUM($H111:O111),(Input!$H$148*(1+vanilla1)^0.5)/A6stdlife))</f>
        <v>0.21569008687585364</v>
      </c>
      <c r="Q111" s="70">
        <f>IF(A6stdlife="n/a","n/a",IF(Q$3&gt;(A6stdlife+$F111),(Input!$H$148*(1+vanilla1)^0.5)-SUM($H111:P111),(Input!$H$148*(1+vanilla1)^0.5)/A6stdlife))</f>
        <v>0.21569008687585364</v>
      </c>
      <c r="R111" s="70"/>
      <c r="S111" s="105"/>
      <c r="T111" s="105"/>
      <c r="U111" s="105"/>
      <c r="V111" s="105"/>
      <c r="W111" s="105"/>
      <c r="X111" s="105"/>
      <c r="Y111" s="105"/>
      <c r="Z111" s="105"/>
      <c r="AA111" s="105"/>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34"/>
      <c r="F112" s="88">
        <v>2</v>
      </c>
      <c r="G112" s="126"/>
      <c r="H112" s="150"/>
      <c r="I112" s="151"/>
      <c r="J112" s="70">
        <f>IF(A6stdlife="n/a","n/a",IF(J$3&gt;(A6stdlife+$F112),(Input!$I$148*(1+vanilla2)^0.5)-SUM($I112:I112),(Input!$I$148*(1+vanilla2)^0.5)/A6stdlife))</f>
        <v>0.24476145294509219</v>
      </c>
      <c r="K112" s="70">
        <f>IF(A6stdlife="n/a","n/a",IF(K$3&gt;(A6stdlife+$F112),(Input!$I$148*(1+vanilla2)^0.5)-SUM($I112:J112),(Input!$I$148*(1+vanilla2)^0.5)/A6stdlife))</f>
        <v>0.24476145294509219</v>
      </c>
      <c r="L112" s="70">
        <f>IF(A6stdlife="n/a","n/a",IF(L$3&gt;(A6stdlife+$F112),(Input!$I$148*(1+vanilla2)^0.5)-SUM($I112:K112),(Input!$I$148*(1+vanilla2)^0.5)/A6stdlife))</f>
        <v>0.24476145294509219</v>
      </c>
      <c r="M112" s="70">
        <f>IF(A6stdlife="n/a","n/a",IF(M$3&gt;(A6stdlife+$F112),(Input!$I$148*(1+vanilla2)^0.5)-SUM($I112:L112),(Input!$I$148*(1+vanilla2)^0.5)/A6stdlife))</f>
        <v>0.24476145294509219</v>
      </c>
      <c r="N112" s="70">
        <f>IF(A6stdlife="n/a","n/a",IF(N$3&gt;(A6stdlife+$F112),(Input!$I$148*(1+vanilla2)^0.5)-SUM($I112:M112),(Input!$I$148*(1+vanilla2)^0.5)/A6stdlife))</f>
        <v>0.24476145294509219</v>
      </c>
      <c r="O112" s="70">
        <f>IF(A6stdlife="n/a","n/a",IF(O$3&gt;(A6stdlife+$F112),(Input!$I$148*(1+vanilla2)^0.5)-SUM($I112:N112),(Input!$I$148*(1+vanilla2)^0.5)/A6stdlife))</f>
        <v>0.24476145294509219</v>
      </c>
      <c r="P112" s="70">
        <f>IF(A6stdlife="n/a","n/a",IF(P$3&gt;(A6stdlife+$F112),(Input!$I$148*(1+vanilla2)^0.5)-SUM($I112:O112),(Input!$I$148*(1+vanilla2)^0.5)/A6stdlife))</f>
        <v>0.24476145294509219</v>
      </c>
      <c r="Q112" s="70">
        <f>IF(A6stdlife="n/a","n/a",IF(Q$3&gt;(A6stdlife+$F112),(Input!$I$148*(1+vanilla2)^0.5)-SUM($I112:P112),(Input!$I$148*(1+vanilla2)^0.5)/A6stdlife))</f>
        <v>0.24476145294509219</v>
      </c>
      <c r="R112" s="70"/>
      <c r="S112" s="105"/>
      <c r="T112" s="105"/>
      <c r="U112" s="105"/>
      <c r="V112" s="105"/>
      <c r="W112" s="105"/>
      <c r="X112" s="105"/>
      <c r="Y112" s="105"/>
      <c r="Z112" s="105"/>
      <c r="AA112" s="105"/>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34"/>
      <c r="F113" s="88">
        <v>3</v>
      </c>
      <c r="G113" s="126"/>
      <c r="H113" s="150"/>
      <c r="I113" s="152"/>
      <c r="J113" s="151"/>
      <c r="K113" s="70">
        <f>IF(A6stdlife="n/a","n/a",IF(K$3&gt;(A6stdlife+$F113),(Input!$J$148*(1+vanilla3)^0.5)-SUM($J113:J113),(Input!$J$148*(1+vanilla3)^0.5)/A6stdlife))</f>
        <v>0.26248719230171519</v>
      </c>
      <c r="L113" s="70">
        <f>IF(A6stdlife="n/a","n/a",IF(L$3&gt;(A6stdlife+$F113),(Input!$J$148*(1+vanilla3)^0.5)-SUM($J113:K113),(Input!$J$148*(1+vanilla3)^0.5)/A6stdlife))</f>
        <v>0.26248719230171519</v>
      </c>
      <c r="M113" s="70">
        <f>IF(A6stdlife="n/a","n/a",IF(M$3&gt;(A6stdlife+$F113),(Input!$J$148*(1+vanilla3)^0.5)-SUM($J113:L113),(Input!$J$148*(1+vanilla3)^0.5)/A6stdlife))</f>
        <v>0.26248719230171519</v>
      </c>
      <c r="N113" s="70">
        <f>IF(A6stdlife="n/a","n/a",IF(N$3&gt;(A6stdlife+$F113),(Input!$J$148*(1+vanilla3)^0.5)-SUM($J113:M113),(Input!$J$148*(1+vanilla3)^0.5)/A6stdlife))</f>
        <v>0.26248719230171519</v>
      </c>
      <c r="O113" s="70">
        <f>IF(A6stdlife="n/a","n/a",IF(O$3&gt;(A6stdlife+$F113),(Input!$J$148*(1+vanilla3)^0.5)-SUM($J113:N113),(Input!$J$148*(1+vanilla3)^0.5)/A6stdlife))</f>
        <v>0.26248719230171519</v>
      </c>
      <c r="P113" s="70">
        <f>IF(A6stdlife="n/a","n/a",IF(P$3&gt;(A6stdlife+$F113),(Input!$J$148*(1+vanilla3)^0.5)-SUM($J113:O113),(Input!$J$148*(1+vanilla3)^0.5)/A6stdlife))</f>
        <v>0.26248719230171519</v>
      </c>
      <c r="Q113" s="70">
        <f>IF(A6stdlife="n/a","n/a",IF(Q$3&gt;(A6stdlife+$F113),(Input!$J$148*(1+vanilla3)^0.5)-SUM($J113:P113),(Input!$J$148*(1+vanilla3)^0.5)/A6stdlife))</f>
        <v>0.26248719230171519</v>
      </c>
      <c r="R113" s="70"/>
      <c r="S113" s="105"/>
      <c r="T113" s="105"/>
      <c r="U113" s="105"/>
      <c r="V113" s="105"/>
      <c r="W113" s="105"/>
      <c r="X113" s="105"/>
      <c r="Y113" s="105"/>
      <c r="Z113" s="105"/>
      <c r="AA113" s="105"/>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34"/>
      <c r="F114" s="88">
        <v>4</v>
      </c>
      <c r="G114" s="126"/>
      <c r="H114" s="150"/>
      <c r="I114" s="152"/>
      <c r="J114" s="152"/>
      <c r="K114" s="151"/>
      <c r="L114" s="70">
        <f>IF(A6stdlife="n/a","n/a",IF(L$3&gt;(A6stdlife+$F114),(Input!$K$148*(1+vanilla4)^0.5)-SUM($K114:K114),(Input!$K$148*(1+vanilla4)^0.5)/A6stdlife))</f>
        <v>0.20103407151232852</v>
      </c>
      <c r="M114" s="70">
        <f>IF(A6stdlife="n/a","n/a",IF(M$3&gt;(A6stdlife+$F114),(Input!$K$148*(1+vanilla4)^0.5)-SUM($K114:L114),(Input!$K$148*(1+vanilla4)^0.5)/A6stdlife))</f>
        <v>0.20103407151232852</v>
      </c>
      <c r="N114" s="70">
        <f>IF(A6stdlife="n/a","n/a",IF(N$3&gt;(A6stdlife+$F114),(Input!$K$148*(1+vanilla4)^0.5)-SUM($K114:M114),(Input!$K$148*(1+vanilla4)^0.5)/A6stdlife))</f>
        <v>0.20103407151232852</v>
      </c>
      <c r="O114" s="70">
        <f>IF(A6stdlife="n/a","n/a",IF(O$3&gt;(A6stdlife+$F114),(Input!$K$148*(1+vanilla4)^0.5)-SUM($K114:N114),(Input!$K$148*(1+vanilla4)^0.5)/A6stdlife))</f>
        <v>0.20103407151232852</v>
      </c>
      <c r="P114" s="70">
        <f>IF(A6stdlife="n/a","n/a",IF(P$3&gt;(A6stdlife+$F114),(Input!$K$148*(1+vanilla4)^0.5)-SUM($K114:O114),(Input!$K$148*(1+vanilla4)^0.5)/A6stdlife))</f>
        <v>0.20103407151232852</v>
      </c>
      <c r="Q114" s="70">
        <f>IF(A6stdlife="n/a","n/a",IF(Q$3&gt;(A6stdlife+$F114),(Input!$K$148*(1+vanilla4)^0.5)-SUM($K114:P114),(Input!$K$148*(1+vanilla4)^0.5)/A6stdlife))</f>
        <v>0.20103407151232852</v>
      </c>
      <c r="R114" s="70"/>
      <c r="S114" s="105"/>
      <c r="T114" s="105"/>
      <c r="U114" s="105"/>
      <c r="V114" s="105"/>
      <c r="W114" s="105"/>
      <c r="X114" s="105"/>
      <c r="Y114" s="105"/>
      <c r="Z114" s="105"/>
      <c r="AA114" s="105"/>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34"/>
      <c r="F115" s="88">
        <v>5</v>
      </c>
      <c r="G115" s="126"/>
      <c r="H115" s="150"/>
      <c r="I115" s="152"/>
      <c r="J115" s="152"/>
      <c r="K115" s="152"/>
      <c r="L115" s="151"/>
      <c r="M115" s="70">
        <f>IF(A6stdlife="n/a","n/a",IF(M$3&gt;(A6stdlife+$F115),(Input!$L$148*(1+vanilla5)^0.5)-SUM($L115:L115),(Input!$L$148*(1+vanilla5)^0.5)/A6stdlife))</f>
        <v>0.17580317554132285</v>
      </c>
      <c r="N115" s="70">
        <f>IF(A6stdlife="n/a","n/a",IF(N$3&gt;(A6stdlife+$F115),(Input!$L$148*(1+vanilla5)^0.5)-SUM($L115:M115),(Input!$L$148*(1+vanilla5)^0.5)/A6stdlife))</f>
        <v>0.17580317554132285</v>
      </c>
      <c r="O115" s="70">
        <f>IF(A6stdlife="n/a","n/a",IF(O$3&gt;(A6stdlife+$F115),(Input!$L$148*(1+vanilla5)^0.5)-SUM($L115:N115),(Input!$L$148*(1+vanilla5)^0.5)/A6stdlife))</f>
        <v>0.17580317554132285</v>
      </c>
      <c r="P115" s="70">
        <f>IF(A6stdlife="n/a","n/a",IF(P$3&gt;(A6stdlife+$F115),(Input!$L$148*(1+vanilla5)^0.5)-SUM($L115:O115),(Input!$L$148*(1+vanilla5)^0.5)/A6stdlife))</f>
        <v>0.17580317554132285</v>
      </c>
      <c r="Q115" s="70">
        <f>IF(A6stdlife="n/a","n/a",IF(Q$3&gt;(A6stdlife+$F115),(Input!$L$148*(1+vanilla5)^0.5)-SUM($L115:P115),(Input!$L$148*(1+vanilla5)^0.5)/A6stdlife))</f>
        <v>0.17580317554132285</v>
      </c>
      <c r="R115" s="70"/>
      <c r="S115" s="105"/>
      <c r="T115" s="105"/>
      <c r="U115" s="105"/>
      <c r="V115" s="105"/>
      <c r="W115" s="105"/>
      <c r="X115" s="105"/>
      <c r="Y115" s="105"/>
      <c r="Z115" s="105"/>
      <c r="AA115" s="105"/>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34"/>
      <c r="F116" s="88">
        <v>6</v>
      </c>
      <c r="G116" s="126"/>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34"/>
      <c r="F117" s="88">
        <v>7</v>
      </c>
      <c r="G117" s="126"/>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34"/>
      <c r="F118" s="88">
        <v>8</v>
      </c>
      <c r="G118" s="126"/>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34"/>
      <c r="F119" s="88">
        <v>9</v>
      </c>
      <c r="G119" s="126"/>
      <c r="H119" s="150"/>
      <c r="I119" s="152"/>
      <c r="J119" s="152"/>
      <c r="K119" s="152"/>
      <c r="L119" s="152"/>
      <c r="M119" s="152"/>
      <c r="N119" s="152"/>
      <c r="O119" s="152"/>
      <c r="P119" s="151"/>
      <c r="Q119" s="70">
        <f>IF(A6stdlife="n/a","n/a",IF(Q$3&gt;(A6stdlife+$F119),(Input!$P$148*(1+vanilla9)^0.5)-SUM($P119:P119),(Input!$P$148*(1+vanilla9)^0.5)/A6stdlife))</f>
        <v>0</v>
      </c>
      <c r="R119" s="70"/>
      <c r="S119" s="105"/>
      <c r="T119" s="105"/>
      <c r="U119" s="105"/>
      <c r="V119" s="105"/>
      <c r="W119" s="105"/>
      <c r="X119" s="105"/>
      <c r="Y119" s="105"/>
      <c r="Z119" s="105"/>
      <c r="AA119" s="105"/>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34"/>
      <c r="F120" s="89">
        <v>10</v>
      </c>
      <c r="G120" s="126"/>
      <c r="H120" s="150"/>
      <c r="I120" s="152"/>
      <c r="J120" s="152"/>
      <c r="K120" s="152"/>
      <c r="L120" s="152"/>
      <c r="M120" s="152"/>
      <c r="N120" s="152"/>
      <c r="O120" s="152"/>
      <c r="P120" s="152"/>
      <c r="Q120" s="151"/>
      <c r="R120" s="70"/>
      <c r="S120" s="105"/>
      <c r="T120" s="105"/>
      <c r="U120" s="105"/>
      <c r="V120" s="105"/>
      <c r="W120" s="105"/>
      <c r="X120" s="105"/>
      <c r="Y120" s="105"/>
      <c r="Z120" s="105"/>
      <c r="AA120" s="105"/>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Distribution Overhead Lines</v>
      </c>
      <c r="E121" s="9"/>
      <c r="F121" s="9"/>
      <c r="G121" s="126"/>
      <c r="H121" s="169">
        <f>-SUM(H109:H120)</f>
        <v>0</v>
      </c>
      <c r="I121" s="169">
        <f>-SUM(I109:I120)</f>
        <v>-0.21569008687585364</v>
      </c>
      <c r="J121" s="169">
        <f>-SUM(J109:J120)</f>
        <v>-0.46045153982094583</v>
      </c>
      <c r="K121" s="169">
        <f>-SUM(K109:K120)</f>
        <v>-0.72293873212266102</v>
      </c>
      <c r="L121" s="169">
        <f>-SUM(L109:L120)</f>
        <v>-0.92397280363498957</v>
      </c>
      <c r="M121" s="169">
        <f>IF(Input!M173&gt;0, -SUM(M109:M120), 0)</f>
        <v>0</v>
      </c>
      <c r="N121" s="169">
        <f>IF(Input!N173&gt;0, -SUM(N109:N120), 0)</f>
        <v>0</v>
      </c>
      <c r="O121" s="169">
        <f>IF(Input!O173&gt;0, -SUM(O109:O120), 0)</f>
        <v>0</v>
      </c>
      <c r="P121" s="169">
        <f>IF(Input!P173&gt;0, -SUM(P109:P120), 0)</f>
        <v>0</v>
      </c>
      <c r="Q121" s="169">
        <f>IF(Input!Q173&gt;0, -SUM(Q109:Q120), 0)</f>
        <v>0</v>
      </c>
      <c r="R121" s="68"/>
      <c r="S121" s="107"/>
      <c r="T121" s="107"/>
      <c r="U121" s="107"/>
      <c r="V121" s="107"/>
      <c r="W121" s="107"/>
      <c r="X121" s="107"/>
      <c r="Y121" s="107"/>
      <c r="Z121" s="107"/>
      <c r="AA121" s="107"/>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Distribution Underground Lines</v>
      </c>
      <c r="D122" s="165"/>
      <c r="E122" s="34" t="s">
        <v>28</v>
      </c>
      <c r="F122" s="33"/>
      <c r="G122" s="181"/>
      <c r="H122" s="69" t="str">
        <f>IF(H$3&gt;A7remlife,A7value-SUM($G122:G122),IF(A7remlife="N/A","n/a",A7value/A7remlife))</f>
        <v>n/a</v>
      </c>
      <c r="I122" s="69" t="str">
        <f>IF(I$3&gt;A7remlife,A7value-SUM($G122:H122),IF(A7remlife="N/A","n/a",A7value/A7remlife))</f>
        <v>n/a</v>
      </c>
      <c r="J122" s="69" t="str">
        <f>IF(J$3&gt;A7remlife,A7value-SUM($G122:I122),IF(A7remlife="N/A","n/a",A7value/A7remlife))</f>
        <v>n/a</v>
      </c>
      <c r="K122" s="69" t="str">
        <f>IF(K$3&gt;A7remlife,A7value-SUM($G122:J122),IF(A7remlife="N/A","n/a",A7value/A7remlife))</f>
        <v>n/a</v>
      </c>
      <c r="L122" s="69" t="str">
        <f>IF(L$3&gt;A7remlife,A7value-SUM($G122:K122),IF(A7remlife="N/A","n/a",A7value/A7remlife))</f>
        <v>n/a</v>
      </c>
      <c r="M122" s="69" t="str">
        <f>IF(M$3&gt;A7remlife,A7value-SUM($G122:L122),IF(A7remlife="N/A","n/a",A7value/A7remlife))</f>
        <v>n/a</v>
      </c>
      <c r="N122" s="69" t="str">
        <f>IF(N$3&gt;A7remlife,A7value-SUM($G122:M122),IF(A7remlife="N/A","n/a",A7value/A7remlife))</f>
        <v>n/a</v>
      </c>
      <c r="O122" s="69" t="str">
        <f>IF(O$3&gt;A7remlife,A7value-SUM($G122:N122),IF(A7remlife="N/A","n/a",A7value/A7remlife))</f>
        <v>n/a</v>
      </c>
      <c r="P122" s="69" t="str">
        <f>IF(P$3&gt;A7remlife,A7value-SUM($G122:O122),IF(A7remlife="N/A","n/a",A7value/A7remlife))</f>
        <v>n/a</v>
      </c>
      <c r="Q122" s="69" t="str">
        <f>IF(Q$3&gt;A7remlife,A7value-SUM($G122:P122),IF(A7remlife="N/A","n/a",A7value/A7remlife))</f>
        <v>n/a</v>
      </c>
      <c r="R122" s="69"/>
      <c r="S122" s="105"/>
      <c r="T122" s="105"/>
      <c r="U122" s="105"/>
      <c r="V122" s="105"/>
      <c r="W122" s="105"/>
      <c r="X122" s="105"/>
      <c r="Y122" s="105"/>
      <c r="Z122" s="105"/>
      <c r="AA122" s="105"/>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33" t="s">
        <v>87</v>
      </c>
      <c r="F123" s="88">
        <v>0</v>
      </c>
      <c r="G123" s="126"/>
      <c r="H123" s="70"/>
      <c r="I123" s="70"/>
      <c r="J123" s="70"/>
      <c r="K123" s="70"/>
      <c r="L123" s="70"/>
      <c r="M123" s="167"/>
      <c r="N123" s="115"/>
      <c r="O123" s="70"/>
      <c r="P123" s="70"/>
      <c r="Q123" s="70"/>
      <c r="R123" s="70"/>
      <c r="S123" s="105"/>
      <c r="T123" s="105"/>
      <c r="U123" s="105"/>
      <c r="V123" s="105"/>
      <c r="W123" s="105"/>
      <c r="X123" s="105"/>
      <c r="Y123" s="105"/>
      <c r="Z123" s="105"/>
      <c r="AA123" s="105"/>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34"/>
      <c r="F124" s="88">
        <v>1</v>
      </c>
      <c r="G124" s="126"/>
      <c r="H124" s="149"/>
      <c r="I124" s="70">
        <f>IF(A7stdlife="n/a","n/a",IF(I$3&gt;(A7stdlife+$F124),(Input!$H$149*(1+vanilla1)^0.5)-SUM($H124:H124),(Input!$H$149*(1+vanilla1)^0.5)/A7stdlife))</f>
        <v>0.24562560723046792</v>
      </c>
      <c r="J124" s="70">
        <f>IF(A7stdlife="n/a","n/a",IF(J$3&gt;(A7stdlife+$F124),(Input!$H$149*(1+vanilla1)^0.5)-SUM($H124:I124),(Input!$H$149*(1+vanilla1)^0.5)/A7stdlife))</f>
        <v>0.24562560723046792</v>
      </c>
      <c r="K124" s="70">
        <f>IF(A7stdlife="n/a","n/a",IF(K$3&gt;(A7stdlife+$F124),(Input!$H$149*(1+vanilla1)^0.5)-SUM($H124:J124),(Input!$H$149*(1+vanilla1)^0.5)/A7stdlife))</f>
        <v>0.24562560723046792</v>
      </c>
      <c r="L124" s="70">
        <f>IF(A7stdlife="n/a","n/a",IF(L$3&gt;(A7stdlife+$F124),(Input!$H$149*(1+vanilla1)^0.5)-SUM($H124:K124),(Input!$H$149*(1+vanilla1)^0.5)/A7stdlife))</f>
        <v>0.24562560723046792</v>
      </c>
      <c r="M124" s="70">
        <f>IF(A7stdlife="n/a","n/a",IF(M$3&gt;(A7stdlife+$F124),(Input!$H$149*(1+vanilla1)^0.5)-SUM($H124:L124),(Input!$H$149*(1+vanilla1)^0.5)/A7stdlife))</f>
        <v>0.24562560723046792</v>
      </c>
      <c r="N124" s="70">
        <f>IF(A7stdlife="n/a","n/a",IF(N$3&gt;(A7stdlife+$F124),(Input!$H$149*(1+vanilla1)^0.5)-SUM($H124:M124),(Input!$H$149*(1+vanilla1)^0.5)/A7stdlife))</f>
        <v>0.24562560723046792</v>
      </c>
      <c r="O124" s="70">
        <f>IF(A7stdlife="n/a","n/a",IF(O$3&gt;(A7stdlife+$F124),(Input!$H$149*(1+vanilla1)^0.5)-SUM($H124:N124),(Input!$H$149*(1+vanilla1)^0.5)/A7stdlife))</f>
        <v>0.24562560723046792</v>
      </c>
      <c r="P124" s="70">
        <f>IF(A7stdlife="n/a","n/a",IF(P$3&gt;(A7stdlife+$F124),(Input!$H$149*(1+vanilla1)^0.5)-SUM($H124:O124),(Input!$H$149*(1+vanilla1)^0.5)/A7stdlife))</f>
        <v>0.24562560723046792</v>
      </c>
      <c r="Q124" s="70">
        <f>IF(A7stdlife="n/a","n/a",IF(Q$3&gt;(A7stdlife+$F124),(Input!$H$149*(1+vanilla1)^0.5)-SUM($H124:P124),(Input!$H$149*(1+vanilla1)^0.5)/A7stdlife))</f>
        <v>0.24562560723046792</v>
      </c>
      <c r="R124" s="70"/>
      <c r="S124" s="105"/>
      <c r="T124" s="105"/>
      <c r="U124" s="105"/>
      <c r="V124" s="105"/>
      <c r="W124" s="105"/>
      <c r="X124" s="105"/>
      <c r="Y124" s="105"/>
      <c r="Z124" s="105"/>
      <c r="AA124" s="105"/>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34"/>
      <c r="F125" s="88">
        <v>2</v>
      </c>
      <c r="G125" s="126"/>
      <c r="H125" s="150"/>
      <c r="I125" s="151"/>
      <c r="J125" s="70">
        <f>IF(A7stdlife="n/a","n/a",IF(J$3&gt;(A7stdlife+$F125),(Input!$I$149*(1+vanilla2)^0.5)-SUM($I125:I125),(Input!$I$149*(1+vanilla2)^0.5)/A7stdlife))</f>
        <v>0.26645287244813715</v>
      </c>
      <c r="K125" s="70">
        <f>IF(A7stdlife="n/a","n/a",IF(K$3&gt;(A7stdlife+$F125),(Input!$I$149*(1+vanilla2)^0.5)-SUM($I125:J125),(Input!$I$149*(1+vanilla2)^0.5)/A7stdlife))</f>
        <v>0.26645287244813715</v>
      </c>
      <c r="L125" s="70">
        <f>IF(A7stdlife="n/a","n/a",IF(L$3&gt;(A7stdlife+$F125),(Input!$I$149*(1+vanilla2)^0.5)-SUM($I125:K125),(Input!$I$149*(1+vanilla2)^0.5)/A7stdlife))</f>
        <v>0.26645287244813715</v>
      </c>
      <c r="M125" s="70">
        <f>IF(A7stdlife="n/a","n/a",IF(M$3&gt;(A7stdlife+$F125),(Input!$I$149*(1+vanilla2)^0.5)-SUM($I125:L125),(Input!$I$149*(1+vanilla2)^0.5)/A7stdlife))</f>
        <v>0.26645287244813715</v>
      </c>
      <c r="N125" s="70">
        <f>IF(A7stdlife="n/a","n/a",IF(N$3&gt;(A7stdlife+$F125),(Input!$I$149*(1+vanilla2)^0.5)-SUM($I125:M125),(Input!$I$149*(1+vanilla2)^0.5)/A7stdlife))</f>
        <v>0.26645287244813715</v>
      </c>
      <c r="O125" s="70">
        <f>IF(A7stdlife="n/a","n/a",IF(O$3&gt;(A7stdlife+$F125),(Input!$I$149*(1+vanilla2)^0.5)-SUM($I125:N125),(Input!$I$149*(1+vanilla2)^0.5)/A7stdlife))</f>
        <v>0.26645287244813715</v>
      </c>
      <c r="P125" s="70">
        <f>IF(A7stdlife="n/a","n/a",IF(P$3&gt;(A7stdlife+$F125),(Input!$I$149*(1+vanilla2)^0.5)-SUM($I125:O125),(Input!$I$149*(1+vanilla2)^0.5)/A7stdlife))</f>
        <v>0.26645287244813715</v>
      </c>
      <c r="Q125" s="70">
        <f>IF(A7stdlife="n/a","n/a",IF(Q$3&gt;(A7stdlife+$F125),(Input!$I$149*(1+vanilla2)^0.5)-SUM($I125:P125),(Input!$I$149*(1+vanilla2)^0.5)/A7stdlife))</f>
        <v>0.26645287244813715</v>
      </c>
      <c r="R125" s="70"/>
      <c r="S125" s="105"/>
      <c r="T125" s="105"/>
      <c r="U125" s="105"/>
      <c r="V125" s="105"/>
      <c r="W125" s="105"/>
      <c r="X125" s="105"/>
      <c r="Y125" s="105"/>
      <c r="Z125" s="105"/>
      <c r="AA125" s="105"/>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34"/>
      <c r="F126" s="88">
        <v>3</v>
      </c>
      <c r="G126" s="126"/>
      <c r="H126" s="150"/>
      <c r="I126" s="152"/>
      <c r="J126" s="151"/>
      <c r="K126" s="70">
        <f>IF(A7stdlife="n/a","n/a",IF(K$3&gt;(A7stdlife+$F126),(Input!$J$149*(1+vanilla3)^0.5)-SUM($J126:J126),(Input!$J$149*(1+vanilla3)^0.5)/A7stdlife))</f>
        <v>0.26884898846163352</v>
      </c>
      <c r="L126" s="70">
        <f>IF(A7stdlife="n/a","n/a",IF(L$3&gt;(A7stdlife+$F126),(Input!$J$149*(1+vanilla3)^0.5)-SUM($J126:K126),(Input!$J$149*(1+vanilla3)^0.5)/A7stdlife))</f>
        <v>0.26884898846163352</v>
      </c>
      <c r="M126" s="70">
        <f>IF(A7stdlife="n/a","n/a",IF(M$3&gt;(A7stdlife+$F126),(Input!$J$149*(1+vanilla3)^0.5)-SUM($J126:L126),(Input!$J$149*(1+vanilla3)^0.5)/A7stdlife))</f>
        <v>0.26884898846163352</v>
      </c>
      <c r="N126" s="70">
        <f>IF(A7stdlife="n/a","n/a",IF(N$3&gt;(A7stdlife+$F126),(Input!$J$149*(1+vanilla3)^0.5)-SUM($J126:M126),(Input!$J$149*(1+vanilla3)^0.5)/A7stdlife))</f>
        <v>0.26884898846163352</v>
      </c>
      <c r="O126" s="70">
        <f>IF(A7stdlife="n/a","n/a",IF(O$3&gt;(A7stdlife+$F126),(Input!$J$149*(1+vanilla3)^0.5)-SUM($J126:N126),(Input!$J$149*(1+vanilla3)^0.5)/A7stdlife))</f>
        <v>0.26884898846163352</v>
      </c>
      <c r="P126" s="70">
        <f>IF(A7stdlife="n/a","n/a",IF(P$3&gt;(A7stdlife+$F126),(Input!$J$149*(1+vanilla3)^0.5)-SUM($J126:O126),(Input!$J$149*(1+vanilla3)^0.5)/A7stdlife))</f>
        <v>0.26884898846163352</v>
      </c>
      <c r="Q126" s="70">
        <f>IF(A7stdlife="n/a","n/a",IF(Q$3&gt;(A7stdlife+$F126),(Input!$J$149*(1+vanilla3)^0.5)-SUM($J126:P126),(Input!$J$149*(1+vanilla3)^0.5)/A7stdlife))</f>
        <v>0.26884898846163352</v>
      </c>
      <c r="R126" s="70"/>
      <c r="S126" s="105"/>
      <c r="T126" s="105"/>
      <c r="U126" s="105"/>
      <c r="V126" s="105"/>
      <c r="W126" s="105"/>
      <c r="X126" s="105"/>
      <c r="Y126" s="105"/>
      <c r="Z126" s="105"/>
      <c r="AA126" s="105"/>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34"/>
      <c r="F127" s="88">
        <v>4</v>
      </c>
      <c r="G127" s="126"/>
      <c r="H127" s="150"/>
      <c r="I127" s="152"/>
      <c r="J127" s="152"/>
      <c r="K127" s="151"/>
      <c r="L127" s="70">
        <f>IF(A7stdlife="n/a","n/a",IF(L$3&gt;(A7stdlife+$F127),(Input!$K$149*(1+vanilla4)^0.5)-SUM($K127:K127),(Input!$K$149*(1+vanilla4)^0.5)/A7stdlife))</f>
        <v>0.13413423868370858</v>
      </c>
      <c r="M127" s="70">
        <f>IF(A7stdlife="n/a","n/a",IF(M$3&gt;(A7stdlife+$F127),(Input!$K$149*(1+vanilla4)^0.5)-SUM($K127:L127),(Input!$K$149*(1+vanilla4)^0.5)/A7stdlife))</f>
        <v>0.13413423868370858</v>
      </c>
      <c r="N127" s="70">
        <f>IF(A7stdlife="n/a","n/a",IF(N$3&gt;(A7stdlife+$F127),(Input!$K$149*(1+vanilla4)^0.5)-SUM($K127:M127),(Input!$K$149*(1+vanilla4)^0.5)/A7stdlife))</f>
        <v>0.13413423868370858</v>
      </c>
      <c r="O127" s="70">
        <f>IF(A7stdlife="n/a","n/a",IF(O$3&gt;(A7stdlife+$F127),(Input!$K$149*(1+vanilla4)^0.5)-SUM($K127:N127),(Input!$K$149*(1+vanilla4)^0.5)/A7stdlife))</f>
        <v>0.13413423868370858</v>
      </c>
      <c r="P127" s="70">
        <f>IF(A7stdlife="n/a","n/a",IF(P$3&gt;(A7stdlife+$F127),(Input!$K$149*(1+vanilla4)^0.5)-SUM($K127:O127),(Input!$K$149*(1+vanilla4)^0.5)/A7stdlife))</f>
        <v>0.13413423868370858</v>
      </c>
      <c r="Q127" s="70">
        <f>IF(A7stdlife="n/a","n/a",IF(Q$3&gt;(A7stdlife+$F127),(Input!$K$149*(1+vanilla4)^0.5)-SUM($K127:P127),(Input!$K$149*(1+vanilla4)^0.5)/A7stdlife))</f>
        <v>0.13413423868370858</v>
      </c>
      <c r="R127" s="70"/>
      <c r="S127" s="105"/>
      <c r="T127" s="105"/>
      <c r="U127" s="105"/>
      <c r="V127" s="105"/>
      <c r="W127" s="105"/>
      <c r="X127" s="105"/>
      <c r="Y127" s="105"/>
      <c r="Z127" s="105"/>
      <c r="AA127" s="105"/>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34"/>
      <c r="F128" s="88">
        <v>5</v>
      </c>
      <c r="G128" s="126"/>
      <c r="H128" s="150"/>
      <c r="I128" s="152"/>
      <c r="J128" s="152"/>
      <c r="K128" s="152"/>
      <c r="L128" s="151"/>
      <c r="M128" s="70">
        <f>IF(A7stdlife="n/a","n/a",IF(M$3&gt;(A7stdlife+$F128),(Input!$L$149*(1+vanilla5)^0.5)-SUM($L128:L128),(Input!$L$149*(1+vanilla5)^0.5)/A7stdlife))</f>
        <v>0.19702057992317215</v>
      </c>
      <c r="N128" s="70">
        <f>IF(A7stdlife="n/a","n/a",IF(N$3&gt;(A7stdlife+$F128),(Input!$L$149*(1+vanilla5)^0.5)-SUM($L128:M128),(Input!$L$149*(1+vanilla5)^0.5)/A7stdlife))</f>
        <v>0.19702057992317215</v>
      </c>
      <c r="O128" s="70">
        <f>IF(A7stdlife="n/a","n/a",IF(O$3&gt;(A7stdlife+$F128),(Input!$L$149*(1+vanilla5)^0.5)-SUM($L128:N128),(Input!$L$149*(1+vanilla5)^0.5)/A7stdlife))</f>
        <v>0.19702057992317215</v>
      </c>
      <c r="P128" s="70">
        <f>IF(A7stdlife="n/a","n/a",IF(P$3&gt;(A7stdlife+$F128),(Input!$L$149*(1+vanilla5)^0.5)-SUM($L128:O128),(Input!$L$149*(1+vanilla5)^0.5)/A7stdlife))</f>
        <v>0.19702057992317215</v>
      </c>
      <c r="Q128" s="70">
        <f>IF(A7stdlife="n/a","n/a",IF(Q$3&gt;(A7stdlife+$F128),(Input!$L$149*(1+vanilla5)^0.5)-SUM($L128:P128),(Input!$L$149*(1+vanilla5)^0.5)/A7stdlife))</f>
        <v>0.19702057992317215</v>
      </c>
      <c r="R128" s="70"/>
      <c r="S128" s="105"/>
      <c r="T128" s="105"/>
      <c r="U128" s="105"/>
      <c r="V128" s="105"/>
      <c r="W128" s="105"/>
      <c r="X128" s="105"/>
      <c r="Y128" s="105"/>
      <c r="Z128" s="105"/>
      <c r="AA128" s="105"/>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34"/>
      <c r="F129" s="88">
        <v>6</v>
      </c>
      <c r="G129" s="126"/>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34"/>
      <c r="F130" s="88">
        <v>7</v>
      </c>
      <c r="G130" s="126"/>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34"/>
      <c r="F131" s="88">
        <v>8</v>
      </c>
      <c r="G131" s="126"/>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34"/>
      <c r="F132" s="88">
        <v>9</v>
      </c>
      <c r="G132" s="126"/>
      <c r="H132" s="150"/>
      <c r="I132" s="152"/>
      <c r="J132" s="152"/>
      <c r="K132" s="152"/>
      <c r="L132" s="152"/>
      <c r="M132" s="152"/>
      <c r="N132" s="152"/>
      <c r="O132" s="152"/>
      <c r="P132" s="151"/>
      <c r="Q132" s="70">
        <f>IF(A7stdlife="n/a","n/a",IF(Q$3&gt;(A7stdlife+$F132),(Input!$P$149*(1+vanilla9)^0.5)-SUM($P132:P132),(Input!$P$149*(1+vanilla9)^0.5)/A7stdlife))</f>
        <v>0</v>
      </c>
      <c r="R132" s="70"/>
      <c r="S132" s="105"/>
      <c r="T132" s="105"/>
      <c r="U132" s="105"/>
      <c r="V132" s="105"/>
      <c r="W132" s="105"/>
      <c r="X132" s="105"/>
      <c r="Y132" s="105"/>
      <c r="Z132" s="105"/>
      <c r="AA132" s="105"/>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34"/>
      <c r="F133" s="89">
        <v>10</v>
      </c>
      <c r="G133" s="126"/>
      <c r="H133" s="150"/>
      <c r="I133" s="152"/>
      <c r="J133" s="152"/>
      <c r="K133" s="152"/>
      <c r="L133" s="152"/>
      <c r="M133" s="152"/>
      <c r="N133" s="152"/>
      <c r="O133" s="152"/>
      <c r="P133" s="152"/>
      <c r="Q133" s="151"/>
      <c r="R133" s="70"/>
      <c r="S133" s="105"/>
      <c r="T133" s="105"/>
      <c r="U133" s="105"/>
      <c r="V133" s="105"/>
      <c r="W133" s="105"/>
      <c r="X133" s="105"/>
      <c r="Y133" s="105"/>
      <c r="Z133" s="105"/>
      <c r="AA133" s="105"/>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Distribution Underground Lines</v>
      </c>
      <c r="E134" s="9"/>
      <c r="F134" s="9"/>
      <c r="G134" s="126"/>
      <c r="H134" s="169">
        <f>-SUM(H122:H133)</f>
        <v>0</v>
      </c>
      <c r="I134" s="169">
        <f>-SUM(I122:I133)</f>
        <v>-0.24562560723046792</v>
      </c>
      <c r="J134" s="169">
        <f>-SUM(J122:J133)</f>
        <v>-0.51207847967860509</v>
      </c>
      <c r="K134" s="169">
        <f>-SUM(K122:K133)</f>
        <v>-0.78092746814023861</v>
      </c>
      <c r="L134" s="169">
        <f>-SUM(L122:L133)</f>
        <v>-0.91506170682394716</v>
      </c>
      <c r="M134" s="169">
        <f>IF(Input!M173&gt;0, -SUM(M122:M133), 0)</f>
        <v>0</v>
      </c>
      <c r="N134" s="169">
        <f>IF(Input!N173&gt;0, -SUM(N122:N133), 0)</f>
        <v>0</v>
      </c>
      <c r="O134" s="169">
        <f>IF(Input!O173&gt;0, -SUM(O122:O133), 0)</f>
        <v>0</v>
      </c>
      <c r="P134" s="169">
        <f>IF(Input!P173&gt;0, -SUM(P122:P133), 0)</f>
        <v>0</v>
      </c>
      <c r="Q134" s="169">
        <f>IF(Input!Q173&gt;0, -SUM(Q122:Q133), 0)</f>
        <v>0</v>
      </c>
      <c r="R134" s="68"/>
      <c r="S134" s="107"/>
      <c r="T134" s="107"/>
      <c r="U134" s="107"/>
      <c r="V134" s="107"/>
      <c r="W134" s="107"/>
      <c r="X134" s="107"/>
      <c r="Y134" s="107"/>
      <c r="Z134" s="107"/>
      <c r="AA134" s="107"/>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IT &amp; Communication Systems (Networks)</v>
      </c>
      <c r="D135" s="165"/>
      <c r="E135" s="34" t="s">
        <v>28</v>
      </c>
      <c r="F135" s="33"/>
      <c r="G135" s="181"/>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5"/>
      <c r="T135" s="105"/>
      <c r="U135" s="105"/>
      <c r="V135" s="105"/>
      <c r="W135" s="105"/>
      <c r="X135" s="105"/>
      <c r="Y135" s="105"/>
      <c r="Z135" s="105"/>
      <c r="AA135" s="105"/>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33" t="s">
        <v>87</v>
      </c>
      <c r="F136" s="88">
        <v>0</v>
      </c>
      <c r="G136" s="126"/>
      <c r="H136" s="70"/>
      <c r="I136" s="70"/>
      <c r="J136" s="70"/>
      <c r="K136" s="70"/>
      <c r="L136" s="70"/>
      <c r="M136" s="167"/>
      <c r="N136" s="115"/>
      <c r="O136" s="70"/>
      <c r="P136" s="70"/>
      <c r="Q136" s="70"/>
      <c r="R136" s="70"/>
      <c r="S136" s="105"/>
      <c r="T136" s="105"/>
      <c r="U136" s="105"/>
      <c r="V136" s="105"/>
      <c r="W136" s="105"/>
      <c r="X136" s="105"/>
      <c r="Y136" s="105"/>
      <c r="Z136" s="105"/>
      <c r="AA136" s="105"/>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34"/>
      <c r="F137" s="88">
        <v>1</v>
      </c>
      <c r="G137" s="126"/>
      <c r="H137" s="149"/>
      <c r="I137" s="70">
        <f>IF(A8stdlife="n/a","n/a",IF(I$3&gt;(A8stdlife+$F137),(Input!$H$150*(1+vanilla1)^0.5)-SUM($H137:H137),(Input!$H$150*(1+vanilla1)^0.5)/A8stdlife))</f>
        <v>0.12004850917885757</v>
      </c>
      <c r="J137" s="70">
        <f>IF(A8stdlife="n/a","n/a",IF(J$3&gt;(A8stdlife+$F137),(Input!$H$150*(1+vanilla1)^0.5)-SUM($H137:I137),(Input!$H$150*(1+vanilla1)^0.5)/A8stdlife))</f>
        <v>0.12004850917885757</v>
      </c>
      <c r="K137" s="70">
        <f>IF(A8stdlife="n/a","n/a",IF(K$3&gt;(A8stdlife+$F137),(Input!$H$150*(1+vanilla1)^0.5)-SUM($H137:J137),(Input!$H$150*(1+vanilla1)^0.5)/A8stdlife))</f>
        <v>0.12004850917885757</v>
      </c>
      <c r="L137" s="70">
        <f>IF(A8stdlife="n/a","n/a",IF(L$3&gt;(A8stdlife+$F137),(Input!$H$150*(1+vanilla1)^0.5)-SUM($H137:K137),(Input!$H$150*(1+vanilla1)^0.5)/A8stdlife))</f>
        <v>0.12004850917885757</v>
      </c>
      <c r="M137" s="70">
        <f>IF(A8stdlife="n/a","n/a",IF(M$3&gt;(A8stdlife+$F137),(Input!$H$150*(1+vanilla1)^0.5)-SUM($H137:L137),(Input!$H$150*(1+vanilla1)^0.5)/A8stdlife))</f>
        <v>0.12004850917885757</v>
      </c>
      <c r="N137" s="70">
        <f>IF(A8stdlife="n/a","n/a",IF(N$3&gt;(A8stdlife+$F137),(Input!$H$150*(1+vanilla1)^0.5)-SUM($H137:M137),(Input!$H$150*(1+vanilla1)^0.5)/A8stdlife))</f>
        <v>0.12004850917885757</v>
      </c>
      <c r="O137" s="70">
        <f>IF(A8stdlife="n/a","n/a",IF(O$3&gt;(A8stdlife+$F137),(Input!$H$150*(1+vanilla1)^0.5)-SUM($H137:N137),(Input!$H$150*(1+vanilla1)^0.5)/A8stdlife))</f>
        <v>0.12004850917885757</v>
      </c>
      <c r="P137" s="70">
        <f>IF(A8stdlife="n/a","n/a",IF(P$3&gt;(A8stdlife+$F137),(Input!$H$150*(1+vanilla1)^0.5)-SUM($H137:O137),(Input!$H$150*(1+vanilla1)^0.5)/A8stdlife))</f>
        <v>0.12004850917885757</v>
      </c>
      <c r="Q137" s="70">
        <f>IF(A8stdlife="n/a","n/a",IF(Q$3&gt;(A8stdlife+$F137),(Input!$H$150*(1+vanilla1)^0.5)-SUM($H137:P137),(Input!$H$150*(1+vanilla1)^0.5)/A8stdlife))</f>
        <v>0.12004850917885757</v>
      </c>
      <c r="R137" s="70"/>
      <c r="S137" s="105"/>
      <c r="T137" s="105"/>
      <c r="U137" s="105"/>
      <c r="V137" s="105"/>
      <c r="W137" s="105"/>
      <c r="X137" s="105"/>
      <c r="Y137" s="105"/>
      <c r="Z137" s="105"/>
      <c r="AA137" s="105"/>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34"/>
      <c r="F138" s="88">
        <v>2</v>
      </c>
      <c r="G138" s="126"/>
      <c r="H138" s="150"/>
      <c r="I138" s="151"/>
      <c r="J138" s="70">
        <f>IF(A8stdlife="n/a","n/a",IF(J$3&gt;(A8stdlife+$F138),(Input!$I$150*(1+vanilla2)^0.5)-SUM($I138:I138),(Input!$I$150*(1+vanilla2)^0.5)/A8stdlife))</f>
        <v>8.3300807443801791E-2</v>
      </c>
      <c r="K138" s="70">
        <f>IF(A8stdlife="n/a","n/a",IF(K$3&gt;(A8stdlife+$F138),(Input!$I$150*(1+vanilla2)^0.5)-SUM($I138:J138),(Input!$I$150*(1+vanilla2)^0.5)/A8stdlife))</f>
        <v>8.3300807443801791E-2</v>
      </c>
      <c r="L138" s="70">
        <f>IF(A8stdlife="n/a","n/a",IF(L$3&gt;(A8stdlife+$F138),(Input!$I$150*(1+vanilla2)^0.5)-SUM($I138:K138),(Input!$I$150*(1+vanilla2)^0.5)/A8stdlife))</f>
        <v>8.3300807443801791E-2</v>
      </c>
      <c r="M138" s="70">
        <f>IF(A8stdlife="n/a","n/a",IF(M$3&gt;(A8stdlife+$F138),(Input!$I$150*(1+vanilla2)^0.5)-SUM($I138:L138),(Input!$I$150*(1+vanilla2)^0.5)/A8stdlife))</f>
        <v>8.3300807443801791E-2</v>
      </c>
      <c r="N138" s="70">
        <f>IF(A8stdlife="n/a","n/a",IF(N$3&gt;(A8stdlife+$F138),(Input!$I$150*(1+vanilla2)^0.5)-SUM($I138:M138),(Input!$I$150*(1+vanilla2)^0.5)/A8stdlife))</f>
        <v>8.3300807443801791E-2</v>
      </c>
      <c r="O138" s="70">
        <f>IF(A8stdlife="n/a","n/a",IF(O$3&gt;(A8stdlife+$F138),(Input!$I$150*(1+vanilla2)^0.5)-SUM($I138:N138),(Input!$I$150*(1+vanilla2)^0.5)/A8stdlife))</f>
        <v>8.3300807443801791E-2</v>
      </c>
      <c r="P138" s="70">
        <f>IF(A8stdlife="n/a","n/a",IF(P$3&gt;(A8stdlife+$F138),(Input!$I$150*(1+vanilla2)^0.5)-SUM($I138:O138),(Input!$I$150*(1+vanilla2)^0.5)/A8stdlife))</f>
        <v>8.3300807443801791E-2</v>
      </c>
      <c r="Q138" s="70">
        <f>IF(A8stdlife="n/a","n/a",IF(Q$3&gt;(A8stdlife+$F138),(Input!$I$150*(1+vanilla2)^0.5)-SUM($I138:P138),(Input!$I$150*(1+vanilla2)^0.5)/A8stdlife))</f>
        <v>8.3300807443801791E-2</v>
      </c>
      <c r="R138" s="70"/>
      <c r="S138" s="105"/>
      <c r="T138" s="105"/>
      <c r="U138" s="105"/>
      <c r="V138" s="105"/>
      <c r="W138" s="105"/>
      <c r="X138" s="105"/>
      <c r="Y138" s="105"/>
      <c r="Z138" s="105"/>
      <c r="AA138" s="105"/>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34"/>
      <c r="F139" s="88">
        <v>3</v>
      </c>
      <c r="G139" s="126"/>
      <c r="H139" s="150"/>
      <c r="I139" s="152"/>
      <c r="J139" s="151"/>
      <c r="K139" s="70">
        <f>IF(A8stdlife="n/a","n/a",IF(K$3&gt;(A8stdlife+$F139),(Input!$J$150*(1+vanilla3)^0.5)-SUM($J139:J139),(Input!$J$150*(1+vanilla3)^0.5)/A8stdlife))</f>
        <v>0.22821375439054639</v>
      </c>
      <c r="L139" s="70">
        <f>IF(A8stdlife="n/a","n/a",IF(L$3&gt;(A8stdlife+$F139),(Input!$J$150*(1+vanilla3)^0.5)-SUM($J139:K139),(Input!$J$150*(1+vanilla3)^0.5)/A8stdlife))</f>
        <v>0.22821375439054639</v>
      </c>
      <c r="M139" s="70">
        <f>IF(A8stdlife="n/a","n/a",IF(M$3&gt;(A8stdlife+$F139),(Input!$J$150*(1+vanilla3)^0.5)-SUM($J139:L139),(Input!$J$150*(1+vanilla3)^0.5)/A8stdlife))</f>
        <v>0.22821375439054639</v>
      </c>
      <c r="N139" s="70">
        <f>IF(A8stdlife="n/a","n/a",IF(N$3&gt;(A8stdlife+$F139),(Input!$J$150*(1+vanilla3)^0.5)-SUM($J139:M139),(Input!$J$150*(1+vanilla3)^0.5)/A8stdlife))</f>
        <v>0.22821375439054639</v>
      </c>
      <c r="O139" s="70">
        <f>IF(A8stdlife="n/a","n/a",IF(O$3&gt;(A8stdlife+$F139),(Input!$J$150*(1+vanilla3)^0.5)-SUM($J139:N139),(Input!$J$150*(1+vanilla3)^0.5)/A8stdlife))</f>
        <v>0.22821375439054639</v>
      </c>
      <c r="P139" s="70">
        <f>IF(A8stdlife="n/a","n/a",IF(P$3&gt;(A8stdlife+$F139),(Input!$J$150*(1+vanilla3)^0.5)-SUM($J139:O139),(Input!$J$150*(1+vanilla3)^0.5)/A8stdlife))</f>
        <v>0.22821375439054639</v>
      </c>
      <c r="Q139" s="70">
        <f>IF(A8stdlife="n/a","n/a",IF(Q$3&gt;(A8stdlife+$F139),(Input!$J$150*(1+vanilla3)^0.5)-SUM($J139:P139),(Input!$J$150*(1+vanilla3)^0.5)/A8stdlife))</f>
        <v>0.22821375439054639</v>
      </c>
      <c r="R139" s="70"/>
      <c r="S139" s="105"/>
      <c r="T139" s="105"/>
      <c r="U139" s="105"/>
      <c r="V139" s="105"/>
      <c r="W139" s="105"/>
      <c r="X139" s="105"/>
      <c r="Y139" s="105"/>
      <c r="Z139" s="105"/>
      <c r="AA139" s="105"/>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34"/>
      <c r="F140" s="88">
        <v>4</v>
      </c>
      <c r="G140" s="126"/>
      <c r="H140" s="150"/>
      <c r="I140" s="152"/>
      <c r="J140" s="152"/>
      <c r="K140" s="151"/>
      <c r="L140" s="70">
        <f>IF(A8stdlife="n/a","n/a",IF(L$3&gt;(A8stdlife+$F140),(Input!$K$150*(1+vanilla4)^0.5)-SUM($K140:K140),(Input!$K$150*(1+vanilla4)^0.5)/A8stdlife))</f>
        <v>0.58159680637118938</v>
      </c>
      <c r="M140" s="70">
        <f>IF(A8stdlife="n/a","n/a",IF(M$3&gt;(A8stdlife+$F140),(Input!$K$150*(1+vanilla4)^0.5)-SUM($K140:L140),(Input!$K$150*(1+vanilla4)^0.5)/A8stdlife))</f>
        <v>0.58159680637118938</v>
      </c>
      <c r="N140" s="70">
        <f>IF(A8stdlife="n/a","n/a",IF(N$3&gt;(A8stdlife+$F140),(Input!$K$150*(1+vanilla4)^0.5)-SUM($K140:M140),(Input!$K$150*(1+vanilla4)^0.5)/A8stdlife))</f>
        <v>0.58159680637118938</v>
      </c>
      <c r="O140" s="70">
        <f>IF(A8stdlife="n/a","n/a",IF(O$3&gt;(A8stdlife+$F140),(Input!$K$150*(1+vanilla4)^0.5)-SUM($K140:N140),(Input!$K$150*(1+vanilla4)^0.5)/A8stdlife))</f>
        <v>0.58159680637118938</v>
      </c>
      <c r="P140" s="70">
        <f>IF(A8stdlife="n/a","n/a",IF(P$3&gt;(A8stdlife+$F140),(Input!$K$150*(1+vanilla4)^0.5)-SUM($K140:O140),(Input!$K$150*(1+vanilla4)^0.5)/A8stdlife))</f>
        <v>0.58159680637118938</v>
      </c>
      <c r="Q140" s="70">
        <f>IF(A8stdlife="n/a","n/a",IF(Q$3&gt;(A8stdlife+$F140),(Input!$K$150*(1+vanilla4)^0.5)-SUM($K140:P140),(Input!$K$150*(1+vanilla4)^0.5)/A8stdlife))</f>
        <v>0.58159680637118938</v>
      </c>
      <c r="R140" s="70"/>
      <c r="S140" s="105"/>
      <c r="T140" s="105"/>
      <c r="U140" s="105"/>
      <c r="V140" s="105"/>
      <c r="W140" s="105"/>
      <c r="X140" s="105"/>
      <c r="Y140" s="105"/>
      <c r="Z140" s="105"/>
      <c r="AA140" s="105"/>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34"/>
      <c r="F141" s="88">
        <v>5</v>
      </c>
      <c r="G141" s="126"/>
      <c r="H141" s="150"/>
      <c r="I141" s="152"/>
      <c r="J141" s="152"/>
      <c r="K141" s="152"/>
      <c r="L141" s="151"/>
      <c r="M141" s="70">
        <f>IF(A8stdlife="n/a","n/a",IF(M$3&gt;(A8stdlife+$F141),(Input!$L$150*(1+vanilla5)^0.5)-SUM($L141:L141),(Input!$L$150*(1+vanilla5)^0.5)/A8stdlife))</f>
        <v>1.7633654982403051</v>
      </c>
      <c r="N141" s="70">
        <f>IF(A8stdlife="n/a","n/a",IF(N$3&gt;(A8stdlife+$F141),(Input!$L$150*(1+vanilla5)^0.5)-SUM($L141:M141),(Input!$L$150*(1+vanilla5)^0.5)/A8stdlife))</f>
        <v>1.7633654982403051</v>
      </c>
      <c r="O141" s="70">
        <f>IF(A8stdlife="n/a","n/a",IF(O$3&gt;(A8stdlife+$F141),(Input!$L$150*(1+vanilla5)^0.5)-SUM($L141:N141),(Input!$L$150*(1+vanilla5)^0.5)/A8stdlife))</f>
        <v>1.7633654982403051</v>
      </c>
      <c r="P141" s="70">
        <f>IF(A8stdlife="n/a","n/a",IF(P$3&gt;(A8stdlife+$F141),(Input!$L$150*(1+vanilla5)^0.5)-SUM($L141:O141),(Input!$L$150*(1+vanilla5)^0.5)/A8stdlife))</f>
        <v>1.7633654982403051</v>
      </c>
      <c r="Q141" s="70">
        <f>IF(A8stdlife="n/a","n/a",IF(Q$3&gt;(A8stdlife+$F141),(Input!$L$150*(1+vanilla5)^0.5)-SUM($L141:P141),(Input!$L$150*(1+vanilla5)^0.5)/A8stdlife))</f>
        <v>1.7633654982403051</v>
      </c>
      <c r="R141" s="70"/>
      <c r="S141" s="105"/>
      <c r="T141" s="105"/>
      <c r="U141" s="105"/>
      <c r="V141" s="105"/>
      <c r="W141" s="105"/>
      <c r="X141" s="105"/>
      <c r="Y141" s="105"/>
      <c r="Z141" s="105"/>
      <c r="AA141" s="105"/>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34"/>
      <c r="F142" s="88">
        <v>6</v>
      </c>
      <c r="G142" s="126"/>
      <c r="H142" s="150"/>
      <c r="I142" s="152"/>
      <c r="J142" s="152"/>
      <c r="K142" s="152"/>
      <c r="L142" s="152"/>
      <c r="M142" s="151"/>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34"/>
      <c r="F143" s="88">
        <v>7</v>
      </c>
      <c r="G143" s="126"/>
      <c r="H143" s="150"/>
      <c r="I143" s="152"/>
      <c r="J143" s="152"/>
      <c r="K143" s="152"/>
      <c r="L143" s="152"/>
      <c r="M143" s="152"/>
      <c r="N143" s="151"/>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34"/>
      <c r="F144" s="88">
        <v>8</v>
      </c>
      <c r="G144" s="126"/>
      <c r="H144" s="150"/>
      <c r="I144" s="152"/>
      <c r="J144" s="152"/>
      <c r="K144" s="152"/>
      <c r="L144" s="152"/>
      <c r="M144" s="152"/>
      <c r="N144" s="152"/>
      <c r="O144" s="151"/>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34"/>
      <c r="F145" s="88">
        <v>9</v>
      </c>
      <c r="G145" s="126"/>
      <c r="H145" s="150"/>
      <c r="I145" s="152"/>
      <c r="J145" s="152"/>
      <c r="K145" s="152"/>
      <c r="L145" s="152"/>
      <c r="M145" s="152"/>
      <c r="N145" s="152"/>
      <c r="O145" s="152"/>
      <c r="P145" s="151"/>
      <c r="Q145" s="70">
        <f>IF(A8stdlife="n/a","n/a",IF(Q$3&gt;(A8stdlife+$F145),(Input!$P$150*(1+vanilla9)^0.5)-SUM($P145:P145),(Input!$P$150*(1+vanilla9)^0.5)/A8stdlife))</f>
        <v>0</v>
      </c>
      <c r="R145" s="70"/>
      <c r="S145" s="105"/>
      <c r="T145" s="105"/>
      <c r="U145" s="105"/>
      <c r="V145" s="105"/>
      <c r="W145" s="105"/>
      <c r="X145" s="105"/>
      <c r="Y145" s="105"/>
      <c r="Z145" s="105"/>
      <c r="AA145" s="105"/>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34"/>
      <c r="F146" s="89">
        <v>10</v>
      </c>
      <c r="G146" s="126"/>
      <c r="H146" s="150"/>
      <c r="I146" s="152"/>
      <c r="J146" s="152"/>
      <c r="K146" s="152"/>
      <c r="L146" s="152"/>
      <c r="M146" s="152"/>
      <c r="N146" s="152"/>
      <c r="O146" s="152"/>
      <c r="P146" s="152"/>
      <c r="Q146" s="151"/>
      <c r="R146" s="70"/>
      <c r="S146" s="105"/>
      <c r="T146" s="105"/>
      <c r="U146" s="105"/>
      <c r="V146" s="105"/>
      <c r="W146" s="105"/>
      <c r="X146" s="105"/>
      <c r="Y146" s="105"/>
      <c r="Z146" s="105"/>
      <c r="AA146" s="105"/>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IT &amp; Communication Systems (Networks)</v>
      </c>
      <c r="E147" s="9"/>
      <c r="F147" s="9"/>
      <c r="G147" s="126"/>
      <c r="H147" s="169">
        <f>-SUM(H135:H146)</f>
        <v>0</v>
      </c>
      <c r="I147" s="169">
        <f>-SUM(I135:I146)</f>
        <v>-0.12004850917885757</v>
      </c>
      <c r="J147" s="169">
        <f>-SUM(J135:J146)</f>
        <v>-0.20334931662265937</v>
      </c>
      <c r="K147" s="169">
        <f>-SUM(K135:K146)</f>
        <v>-0.43156307101320579</v>
      </c>
      <c r="L147" s="169">
        <f>-SUM(L135:L146)</f>
        <v>-1.0131598773843953</v>
      </c>
      <c r="M147" s="169">
        <f>IF(Input!M173&gt;0, -SUM(M135:M146), 0)</f>
        <v>0</v>
      </c>
      <c r="N147" s="169">
        <f>IF(Input!N173&gt;0, -SUM(N135:N146), 0)</f>
        <v>0</v>
      </c>
      <c r="O147" s="169">
        <f>IF(Input!O173&gt;0, -SUM(O135:O146), 0)</f>
        <v>0</v>
      </c>
      <c r="P147" s="169">
        <f>IF(Input!P173&gt;0, -SUM(P135:P146), 0)</f>
        <v>0</v>
      </c>
      <c r="Q147" s="169">
        <f>IF(Input!Q173&gt;0, -SUM(Q135:Q146), 0)</f>
        <v>0</v>
      </c>
      <c r="R147" s="68"/>
      <c r="S147" s="107"/>
      <c r="T147" s="107"/>
      <c r="U147" s="107"/>
      <c r="V147" s="107"/>
      <c r="W147" s="107"/>
      <c r="X147" s="107"/>
      <c r="Y147" s="107"/>
      <c r="Z147" s="107"/>
      <c r="AA147" s="107"/>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Motor Vehicles</v>
      </c>
      <c r="D148" s="165"/>
      <c r="E148" s="34" t="s">
        <v>28</v>
      </c>
      <c r="F148" s="33"/>
      <c r="G148" s="181"/>
      <c r="H148" s="69" t="str">
        <f>IF(H$3&gt;A9remlife,A9value-SUM($G148:G148),IF(A9remlife="N/A","n/a",A9value/A9remlife))</f>
        <v>n/a</v>
      </c>
      <c r="I148" s="69" t="str">
        <f>IF(I$3&gt;A9remlife,A9value-SUM($G148:H148),IF(A9remlife="N/A","n/a",A9value/A9remlife))</f>
        <v>n/a</v>
      </c>
      <c r="J148" s="69" t="str">
        <f>IF(J$3&gt;A9remlife,A9value-SUM($G148:I148),IF(A9remlife="N/A","n/a",A9value/A9remlife))</f>
        <v>n/a</v>
      </c>
      <c r="K148" s="69" t="str">
        <f>IF(K$3&gt;A9remlife,A9value-SUM($G148:J148),IF(A9remlife="N/A","n/a",A9value/A9remlife))</f>
        <v>n/a</v>
      </c>
      <c r="L148" s="69" t="str">
        <f>IF(L$3&gt;A9remlife,A9value-SUM($G148:K148),IF(A9remlife="N/A","n/a",A9value/A9remlife))</f>
        <v>n/a</v>
      </c>
      <c r="M148" s="69" t="str">
        <f>IF(M$3&gt;A9remlife,A9value-SUM($G148:L148),IF(A9remlife="N/A","n/a",A9value/A9remlife))</f>
        <v>n/a</v>
      </c>
      <c r="N148" s="69" t="str">
        <f>IF(N$3&gt;A9remlife,A9value-SUM($G148:M148),IF(A9remlife="N/A","n/a",A9value/A9remlife))</f>
        <v>n/a</v>
      </c>
      <c r="O148" s="69" t="str">
        <f>IF(O$3&gt;A9remlife,A9value-SUM($G148:N148),IF(A9remlife="N/A","n/a",A9value/A9remlife))</f>
        <v>n/a</v>
      </c>
      <c r="P148" s="69" t="str">
        <f>IF(P$3&gt;A9remlife,A9value-SUM($G148:O148),IF(A9remlife="N/A","n/a",A9value/A9remlife))</f>
        <v>n/a</v>
      </c>
      <c r="Q148" s="69" t="str">
        <f>IF(Q$3&gt;A9remlife,A9value-SUM($G148:P148),IF(A9remlife="N/A","n/a",A9value/A9remlife))</f>
        <v>n/a</v>
      </c>
      <c r="R148" s="69"/>
      <c r="S148" s="105"/>
      <c r="T148" s="105"/>
      <c r="U148" s="105"/>
      <c r="V148" s="105"/>
      <c r="W148" s="105"/>
      <c r="X148" s="105"/>
      <c r="Y148" s="105"/>
      <c r="Z148" s="105"/>
      <c r="AA148" s="105"/>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33" t="s">
        <v>87</v>
      </c>
      <c r="F149" s="88">
        <v>0</v>
      </c>
      <c r="G149" s="126"/>
      <c r="H149" s="70"/>
      <c r="I149" s="70"/>
      <c r="J149" s="70"/>
      <c r="K149" s="70"/>
      <c r="L149" s="70"/>
      <c r="M149" s="167"/>
      <c r="N149" s="115"/>
      <c r="O149" s="70"/>
      <c r="P149" s="70"/>
      <c r="Q149" s="70"/>
      <c r="R149" s="70"/>
      <c r="S149" s="105"/>
      <c r="T149" s="105"/>
      <c r="U149" s="105"/>
      <c r="V149" s="105"/>
      <c r="W149" s="105"/>
      <c r="X149" s="105"/>
      <c r="Y149" s="105"/>
      <c r="Z149" s="105"/>
      <c r="AA149" s="105"/>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34"/>
      <c r="F150" s="88">
        <v>1</v>
      </c>
      <c r="G150" s="126"/>
      <c r="H150" s="149"/>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34"/>
      <c r="F151" s="88">
        <v>2</v>
      </c>
      <c r="G151" s="126"/>
      <c r="H151" s="150"/>
      <c r="I151" s="151"/>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34"/>
      <c r="F152" s="88">
        <v>3</v>
      </c>
      <c r="G152" s="126"/>
      <c r="H152" s="150"/>
      <c r="I152" s="152"/>
      <c r="J152" s="151"/>
      <c r="K152" s="70">
        <f>IF(A9stdlife="n/a","n/a",IF(K$3&gt;(A9stdlife+$F152),(Input!$J$151*(1+vanilla3)^0.5)-SUM($J152:J152),(Input!$J$151*(1+vanilla3)^0.5)/A9stdlife))</f>
        <v>7.72870891157693E-2</v>
      </c>
      <c r="L152" s="70">
        <f>IF(A9stdlife="n/a","n/a",IF(L$3&gt;(A9stdlife+$F152),(Input!$J$151*(1+vanilla3)^0.5)-SUM($J152:K152),(Input!$J$151*(1+vanilla3)^0.5)/A9stdlife))</f>
        <v>7.72870891157693E-2</v>
      </c>
      <c r="M152" s="70">
        <f>IF(A9stdlife="n/a","n/a",IF(M$3&gt;(A9stdlife+$F152),(Input!$J$151*(1+vanilla3)^0.5)-SUM($J152:L152),(Input!$J$151*(1+vanilla3)^0.5)/A9stdlife))</f>
        <v>7.72870891157693E-2</v>
      </c>
      <c r="N152" s="70">
        <f>IF(A9stdlife="n/a","n/a",IF(N$3&gt;(A9stdlife+$F152),(Input!$J$151*(1+vanilla3)^0.5)-SUM($J152:M152),(Input!$J$151*(1+vanilla3)^0.5)/A9stdlife))</f>
        <v>7.72870891157693E-2</v>
      </c>
      <c r="O152" s="70">
        <f>IF(A9stdlife="n/a","n/a",IF(O$3&gt;(A9stdlife+$F152),(Input!$J$151*(1+vanilla3)^0.5)-SUM($J152:N152),(Input!$J$151*(1+vanilla3)^0.5)/A9stdlife))</f>
        <v>7.72870891157693E-2</v>
      </c>
      <c r="P152" s="70">
        <f>IF(A9stdlife="n/a","n/a",IF(P$3&gt;(A9stdlife+$F152),(Input!$J$151*(1+vanilla3)^0.5)-SUM($J152:O152),(Input!$J$151*(1+vanilla3)^0.5)/A9stdlife))</f>
        <v>7.72870891157693E-2</v>
      </c>
      <c r="Q152" s="70">
        <f>IF(A9stdlife="n/a","n/a",IF(Q$3&gt;(A9stdlife+$F152),(Input!$J$151*(1+vanilla3)^0.5)-SUM($J152:P152),(Input!$J$151*(1+vanilla3)^0.5)/A9stdlife))</f>
        <v>7.72870891157693E-2</v>
      </c>
      <c r="R152" s="70"/>
      <c r="S152" s="105"/>
      <c r="T152" s="105"/>
      <c r="U152" s="105"/>
      <c r="V152" s="105"/>
      <c r="W152" s="105"/>
      <c r="X152" s="105"/>
      <c r="Y152" s="105"/>
      <c r="Z152" s="105"/>
      <c r="AA152" s="105"/>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34"/>
      <c r="F153" s="88">
        <v>4</v>
      </c>
      <c r="G153" s="126"/>
      <c r="H153" s="150"/>
      <c r="I153" s="152"/>
      <c r="J153" s="152"/>
      <c r="K153" s="151"/>
      <c r="L153" s="70">
        <f>IF(A9stdlife="n/a","n/a",IF(L$3&gt;(A9stdlife+$F153),(Input!$K$151*(1+vanilla4)^0.5)-SUM($K153:K153),(Input!$K$151*(1+vanilla4)^0.5)/A9stdlife))</f>
        <v>0.52585275009812427</v>
      </c>
      <c r="M153" s="70">
        <f>IF(A9stdlife="n/a","n/a",IF(M$3&gt;(A9stdlife+$F153),(Input!$K$151*(1+vanilla4)^0.5)-SUM($K153:L153),(Input!$K$151*(1+vanilla4)^0.5)/A9stdlife))</f>
        <v>0.52585275009812427</v>
      </c>
      <c r="N153" s="70">
        <f>IF(A9stdlife="n/a","n/a",IF(N$3&gt;(A9stdlife+$F153),(Input!$K$151*(1+vanilla4)^0.5)-SUM($K153:M153),(Input!$K$151*(1+vanilla4)^0.5)/A9stdlife))</f>
        <v>0.52585275009812427</v>
      </c>
      <c r="O153" s="70">
        <f>IF(A9stdlife="n/a","n/a",IF(O$3&gt;(A9stdlife+$F153),(Input!$K$151*(1+vanilla4)^0.5)-SUM($K153:N153),(Input!$K$151*(1+vanilla4)^0.5)/A9stdlife))</f>
        <v>0.52585275009812427</v>
      </c>
      <c r="P153" s="70">
        <f>IF(A9stdlife="n/a","n/a",IF(P$3&gt;(A9stdlife+$F153),(Input!$K$151*(1+vanilla4)^0.5)-SUM($K153:O153),(Input!$K$151*(1+vanilla4)^0.5)/A9stdlife))</f>
        <v>0.52585275009812427</v>
      </c>
      <c r="Q153" s="70">
        <f>IF(A9stdlife="n/a","n/a",IF(Q$3&gt;(A9stdlife+$F153),(Input!$K$151*(1+vanilla4)^0.5)-SUM($K153:P153),(Input!$K$151*(1+vanilla4)^0.5)/A9stdlife))</f>
        <v>0.52585275009812427</v>
      </c>
      <c r="R153" s="70"/>
      <c r="S153" s="105"/>
      <c r="T153" s="105"/>
      <c r="U153" s="105"/>
      <c r="V153" s="105"/>
      <c r="W153" s="105"/>
      <c r="X153" s="105"/>
      <c r="Y153" s="105"/>
      <c r="Z153" s="105"/>
      <c r="AA153" s="105"/>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34"/>
      <c r="F154" s="88">
        <v>5</v>
      </c>
      <c r="G154" s="126"/>
      <c r="H154" s="150"/>
      <c r="I154" s="152"/>
      <c r="J154" s="152"/>
      <c r="K154" s="152"/>
      <c r="L154" s="151"/>
      <c r="M154" s="70">
        <f>IF(A9stdlife="n/a","n/a",IF(M$3&gt;(A9stdlife+$F154),(Input!$L$151*(1+vanilla5)^0.5)-SUM($L154:L154),(Input!$L$151*(1+vanilla5)^0.5)/A9stdlife))</f>
        <v>0.21151960967913139</v>
      </c>
      <c r="N154" s="70">
        <f>IF(A9stdlife="n/a","n/a",IF(N$3&gt;(A9stdlife+$F154),(Input!$L$151*(1+vanilla5)^0.5)-SUM($L154:M154),(Input!$L$151*(1+vanilla5)^0.5)/A9stdlife))</f>
        <v>0.21151960967913139</v>
      </c>
      <c r="O154" s="70">
        <f>IF(A9stdlife="n/a","n/a",IF(O$3&gt;(A9stdlife+$F154),(Input!$L$151*(1+vanilla5)^0.5)-SUM($L154:N154),(Input!$L$151*(1+vanilla5)^0.5)/A9stdlife))</f>
        <v>0.21151960967913139</v>
      </c>
      <c r="P154" s="70">
        <f>IF(A9stdlife="n/a","n/a",IF(P$3&gt;(A9stdlife+$F154),(Input!$L$151*(1+vanilla5)^0.5)-SUM($L154:O154),(Input!$L$151*(1+vanilla5)^0.5)/A9stdlife))</f>
        <v>0.21151960967913139</v>
      </c>
      <c r="Q154" s="70">
        <f>IF(A9stdlife="n/a","n/a",IF(Q$3&gt;(A9stdlife+$F154),(Input!$L$151*(1+vanilla5)^0.5)-SUM($L154:P154),(Input!$L$151*(1+vanilla5)^0.5)/A9stdlife))</f>
        <v>0.21151960967913139</v>
      </c>
      <c r="R154" s="70"/>
      <c r="S154" s="105"/>
      <c r="T154" s="105"/>
      <c r="U154" s="105"/>
      <c r="V154" s="105"/>
      <c r="W154" s="105"/>
      <c r="X154" s="105"/>
      <c r="Y154" s="105"/>
      <c r="Z154" s="105"/>
      <c r="AA154" s="105"/>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34"/>
      <c r="F155" s="88">
        <v>6</v>
      </c>
      <c r="G155" s="126"/>
      <c r="H155" s="150"/>
      <c r="I155" s="152"/>
      <c r="J155" s="152"/>
      <c r="K155" s="152"/>
      <c r="L155" s="152"/>
      <c r="M155" s="151"/>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34"/>
      <c r="F156" s="88">
        <v>7</v>
      </c>
      <c r="G156" s="126"/>
      <c r="H156" s="150"/>
      <c r="I156" s="152"/>
      <c r="J156" s="152"/>
      <c r="K156" s="152"/>
      <c r="L156" s="152"/>
      <c r="M156" s="152"/>
      <c r="N156" s="151"/>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34"/>
      <c r="F157" s="88">
        <v>8</v>
      </c>
      <c r="G157" s="126"/>
      <c r="H157" s="150"/>
      <c r="I157" s="152"/>
      <c r="J157" s="152"/>
      <c r="K157" s="152"/>
      <c r="L157" s="152"/>
      <c r="M157" s="152"/>
      <c r="N157" s="152"/>
      <c r="O157" s="151"/>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34"/>
      <c r="F158" s="88">
        <v>9</v>
      </c>
      <c r="G158" s="126"/>
      <c r="H158" s="150"/>
      <c r="I158" s="152"/>
      <c r="J158" s="152"/>
      <c r="K158" s="152"/>
      <c r="L158" s="152"/>
      <c r="M158" s="152"/>
      <c r="N158" s="152"/>
      <c r="O158" s="152"/>
      <c r="P158" s="151"/>
      <c r="Q158" s="70">
        <f>IF(A9stdlife="n/a","n/a",IF(Q$3&gt;(A9stdlife+$F158),(Input!$P$151*(1+vanilla9)^0.5)-SUM($P158:P158),(Input!$P$151*(1+vanilla9)^0.5)/A9stdlife))</f>
        <v>0</v>
      </c>
      <c r="R158" s="70"/>
      <c r="S158" s="105"/>
      <c r="T158" s="105"/>
      <c r="U158" s="105"/>
      <c r="V158" s="105"/>
      <c r="W158" s="105"/>
      <c r="X158" s="105"/>
      <c r="Y158" s="105"/>
      <c r="Z158" s="105"/>
      <c r="AA158" s="105"/>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34"/>
      <c r="F159" s="89">
        <v>10</v>
      </c>
      <c r="G159" s="126"/>
      <c r="H159" s="150"/>
      <c r="I159" s="152"/>
      <c r="J159" s="152"/>
      <c r="K159" s="152"/>
      <c r="L159" s="152"/>
      <c r="M159" s="152"/>
      <c r="N159" s="152"/>
      <c r="O159" s="152"/>
      <c r="P159" s="152"/>
      <c r="Q159" s="151"/>
      <c r="R159" s="70"/>
      <c r="S159" s="105"/>
      <c r="T159" s="105"/>
      <c r="U159" s="105"/>
      <c r="V159" s="105"/>
      <c r="W159" s="105"/>
      <c r="X159" s="105"/>
      <c r="Y159" s="105"/>
      <c r="Z159" s="105"/>
      <c r="AA159" s="105"/>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t="str">
        <f>Asset9</f>
        <v>Motor Vehicles</v>
      </c>
      <c r="E160" s="9"/>
      <c r="F160" s="9"/>
      <c r="G160" s="126"/>
      <c r="H160" s="169">
        <f>-SUM(H148:H159)</f>
        <v>0</v>
      </c>
      <c r="I160" s="169">
        <f>-SUM(I148:I159)</f>
        <v>0</v>
      </c>
      <c r="J160" s="169">
        <f>-SUM(J148:J159)</f>
        <v>0</v>
      </c>
      <c r="K160" s="169">
        <f>-SUM(K148:K159)</f>
        <v>-7.72870891157693E-2</v>
      </c>
      <c r="L160" s="169">
        <f>-SUM(L148:L159)</f>
        <v>-0.60313983921389358</v>
      </c>
      <c r="M160" s="169">
        <f>IF(Input!M173&gt;0, -SUM(M148:M159), 0)</f>
        <v>0</v>
      </c>
      <c r="N160" s="169">
        <f>IF(Input!N173&gt;0, -SUM(N148:N159), 0)</f>
        <v>0</v>
      </c>
      <c r="O160" s="169">
        <f>IF(Input!O173&gt;0, -SUM(O148:O159), 0)</f>
        <v>0</v>
      </c>
      <c r="P160" s="169">
        <f>IF(Input!P173&gt;0, -SUM(P148:P159), 0)</f>
        <v>0</v>
      </c>
      <c r="Q160" s="169">
        <f>IF(Input!Q173&gt;0, -SUM(Q148:Q159), 0)</f>
        <v>0</v>
      </c>
      <c r="R160" s="68"/>
      <c r="S160" s="107"/>
      <c r="T160" s="107"/>
      <c r="U160" s="107"/>
      <c r="V160" s="107"/>
      <c r="W160" s="107"/>
      <c r="X160" s="107"/>
      <c r="Y160" s="107"/>
      <c r="Z160" s="107"/>
      <c r="AA160" s="107"/>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Other Non-System Assets (Networks)</v>
      </c>
      <c r="D161" s="165"/>
      <c r="E161" s="34" t="s">
        <v>28</v>
      </c>
      <c r="F161" s="33"/>
      <c r="G161" s="181"/>
      <c r="H161" s="69" t="str">
        <f>IF(H$3&gt;A10remlife,A10value-SUM($G161:G161),IF(A10remlife="N/A","n/a",A10value/A10remlife))</f>
        <v>n/a</v>
      </c>
      <c r="I161" s="69" t="str">
        <f>IF(I$3&gt;A10remlife,A10value-SUM($G161:H161),IF(A10remlife="N/A","n/a",A10value/A10remlife))</f>
        <v>n/a</v>
      </c>
      <c r="J161" s="69" t="str">
        <f>IF(J$3&gt;A10remlife,A10value-SUM($G161:I161),IF(A10remlife="N/A","n/a",A10value/A10remlife))</f>
        <v>n/a</v>
      </c>
      <c r="K161" s="69" t="str">
        <f>IF(K$3&gt;A10remlife,A10value-SUM($G161:J161),IF(A10remlife="N/A","n/a",A10value/A10remlife))</f>
        <v>n/a</v>
      </c>
      <c r="L161" s="69" t="str">
        <f>IF(L$3&gt;A10remlife,A10value-SUM($G161:K161),IF(A10remlife="N/A","n/a",A10value/A10remlife))</f>
        <v>n/a</v>
      </c>
      <c r="M161" s="69" t="str">
        <f>IF(M$3&gt;A10remlife,A10value-SUM($G161:L161),IF(A10remlife="N/A","n/a",A10value/A10remlife))</f>
        <v>n/a</v>
      </c>
      <c r="N161" s="69" t="str">
        <f>IF(N$3&gt;A10remlife,A10value-SUM($G161:M161),IF(A10remlife="N/A","n/a",A10value/A10remlife))</f>
        <v>n/a</v>
      </c>
      <c r="O161" s="69" t="str">
        <f>IF(O$3&gt;A10remlife,A10value-SUM($G161:N161),IF(A10remlife="N/A","n/a",A10value/A10remlife))</f>
        <v>n/a</v>
      </c>
      <c r="P161" s="69" t="str">
        <f>IF(P$3&gt;A10remlife,A10value-SUM($G161:O161),IF(A10remlife="N/A","n/a",A10value/A10remlife))</f>
        <v>n/a</v>
      </c>
      <c r="Q161" s="69" t="str">
        <f>IF(Q$3&gt;A10remlife,A10value-SUM($G161:P161),IF(A10remlife="N/A","n/a",A10value/A10remlife))</f>
        <v>n/a</v>
      </c>
      <c r="R161" s="69"/>
      <c r="S161" s="105"/>
      <c r="T161" s="105"/>
      <c r="U161" s="105"/>
      <c r="V161" s="105"/>
      <c r="W161" s="105"/>
      <c r="X161" s="105"/>
      <c r="Y161" s="105"/>
      <c r="Z161" s="105"/>
      <c r="AA161" s="105"/>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6"/>
      <c r="E162" s="333" t="s">
        <v>87</v>
      </c>
      <c r="F162" s="88">
        <v>0</v>
      </c>
      <c r="G162" s="126"/>
      <c r="H162" s="70"/>
      <c r="I162" s="70"/>
      <c r="J162" s="70"/>
      <c r="K162" s="70"/>
      <c r="L162" s="70"/>
      <c r="M162" s="167"/>
      <c r="N162" s="115"/>
      <c r="O162" s="70"/>
      <c r="P162" s="70"/>
      <c r="Q162" s="70"/>
      <c r="R162" s="70"/>
      <c r="S162" s="105"/>
      <c r="T162" s="105"/>
      <c r="U162" s="105"/>
      <c r="V162" s="105"/>
      <c r="W162" s="105"/>
      <c r="X162" s="105"/>
      <c r="Y162" s="105"/>
      <c r="Z162" s="105"/>
      <c r="AA162" s="105"/>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34"/>
      <c r="F163" s="88">
        <v>1</v>
      </c>
      <c r="G163" s="126"/>
      <c r="H163" s="149"/>
      <c r="I163" s="70">
        <f>IF(A10stdlife="n/a","n/a",IF(I$3&gt;(A10stdlife+$F163),(Input!$H$152*(1+vanilla1)^0.5)-SUM($H163:H163),(Input!$H$152*(1+vanilla1)^0.5)/A10stdlife))</f>
        <v>0.18751589425152876</v>
      </c>
      <c r="J163" s="70">
        <f>IF(A10stdlife="n/a","n/a",IF(J$3&gt;(A10stdlife+$F163),(Input!$H$152*(1+vanilla1)^0.5)-SUM($H163:I163),(Input!$H$152*(1+vanilla1)^0.5)/A10stdlife))</f>
        <v>0.18751589425152876</v>
      </c>
      <c r="K163" s="70">
        <f>IF(A10stdlife="n/a","n/a",IF(K$3&gt;(A10stdlife+$F163),(Input!$H$152*(1+vanilla1)^0.5)-SUM($H163:J163),(Input!$H$152*(1+vanilla1)^0.5)/A10stdlife))</f>
        <v>0.18751589425152876</v>
      </c>
      <c r="L163" s="70">
        <f>IF(A10stdlife="n/a","n/a",IF(L$3&gt;(A10stdlife+$F163),(Input!$H$152*(1+vanilla1)^0.5)-SUM($H163:K163),(Input!$H$152*(1+vanilla1)^0.5)/A10stdlife))</f>
        <v>0.18751589425152876</v>
      </c>
      <c r="M163" s="70">
        <f>IF(A10stdlife="n/a","n/a",IF(M$3&gt;(A10stdlife+$F163),(Input!$H$152*(1+vanilla1)^0.5)-SUM($H163:L163),(Input!$H$152*(1+vanilla1)^0.5)/A10stdlife))</f>
        <v>0.18751589425152876</v>
      </c>
      <c r="N163" s="70">
        <f>IF(A10stdlife="n/a","n/a",IF(N$3&gt;(A10stdlife+$F163),(Input!$H$152*(1+vanilla1)^0.5)-SUM($H163:M163),(Input!$H$152*(1+vanilla1)^0.5)/A10stdlife))</f>
        <v>1.1102230246251565E-16</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34"/>
      <c r="F164" s="88">
        <v>2</v>
      </c>
      <c r="G164" s="126"/>
      <c r="H164" s="150"/>
      <c r="I164" s="151"/>
      <c r="J164" s="70">
        <f>IF(A10stdlife="n/a","n/a",IF(J$3&gt;(A10stdlife+$F164),(Input!$I$152*(1+vanilla2)^0.5)-SUM($I164:I164),(Input!$I$152*(1+vanilla2)^0.5)/A10stdlife))</f>
        <v>9.3886877926365367E-2</v>
      </c>
      <c r="K164" s="70">
        <f>IF(A10stdlife="n/a","n/a",IF(K$3&gt;(A10stdlife+$F164),(Input!$I$152*(1+vanilla2)^0.5)-SUM($I164:J164),(Input!$I$152*(1+vanilla2)^0.5)/A10stdlife))</f>
        <v>9.3886877926365367E-2</v>
      </c>
      <c r="L164" s="70">
        <f>IF(A10stdlife="n/a","n/a",IF(L$3&gt;(A10stdlife+$F164),(Input!$I$152*(1+vanilla2)^0.5)-SUM($I164:K164),(Input!$I$152*(1+vanilla2)^0.5)/A10stdlife))</f>
        <v>9.3886877926365367E-2</v>
      </c>
      <c r="M164" s="70">
        <f>IF(A10stdlife="n/a","n/a",IF(M$3&gt;(A10stdlife+$F164),(Input!$I$152*(1+vanilla2)^0.5)-SUM($I164:L164),(Input!$I$152*(1+vanilla2)^0.5)/A10stdlife))</f>
        <v>9.3886877926365367E-2</v>
      </c>
      <c r="N164" s="70">
        <f>IF(A10stdlife="n/a","n/a",IF(N$3&gt;(A10stdlife+$F164),(Input!$I$152*(1+vanilla2)^0.5)-SUM($I164:M164),(Input!$I$152*(1+vanilla2)^0.5)/A10stdlife))</f>
        <v>9.3886877926365367E-2</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34"/>
      <c r="F165" s="88">
        <v>3</v>
      </c>
      <c r="G165" s="126"/>
      <c r="H165" s="150"/>
      <c r="I165" s="152"/>
      <c r="J165" s="151"/>
      <c r="K165" s="70">
        <f>IF(A10stdlife="n/a","n/a",IF(K$3&gt;(A10stdlife+$F165),(Input!$J$152*(1+vanilla3)^0.5)-SUM($J165:J165),(Input!$J$152*(1+vanilla3)^0.5)/A10stdlife))</f>
        <v>7.3046682213351047E-2</v>
      </c>
      <c r="L165" s="70">
        <f>IF(A10stdlife="n/a","n/a",IF(L$3&gt;(A10stdlife+$F165),(Input!$J$152*(1+vanilla3)^0.5)-SUM($J165:K165),(Input!$J$152*(1+vanilla3)^0.5)/A10stdlife))</f>
        <v>7.3046682213351047E-2</v>
      </c>
      <c r="M165" s="70">
        <f>IF(A10stdlife="n/a","n/a",IF(M$3&gt;(A10stdlife+$F165),(Input!$J$152*(1+vanilla3)^0.5)-SUM($J165:L165),(Input!$J$152*(1+vanilla3)^0.5)/A10stdlife))</f>
        <v>7.3046682213351047E-2</v>
      </c>
      <c r="N165" s="70">
        <f>IF(A10stdlife="n/a","n/a",IF(N$3&gt;(A10stdlife+$F165),(Input!$J$152*(1+vanilla3)^0.5)-SUM($J165:M165),(Input!$J$152*(1+vanilla3)^0.5)/A10stdlife))</f>
        <v>7.3046682213351047E-2</v>
      </c>
      <c r="O165" s="70">
        <f>IF(A10stdlife="n/a","n/a",IF(O$3&gt;(A10stdlife+$F165),(Input!$J$152*(1+vanilla3)^0.5)-SUM($J165:N165),(Input!$J$152*(1+vanilla3)^0.5)/A10stdlife))</f>
        <v>7.3046682213351047E-2</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34"/>
      <c r="F166" s="88">
        <v>4</v>
      </c>
      <c r="G166" s="126"/>
      <c r="H166" s="150"/>
      <c r="I166" s="152"/>
      <c r="J166" s="152"/>
      <c r="K166" s="151"/>
      <c r="L166" s="70">
        <f>IF(A10stdlife="n/a","n/a",IF(L$3&gt;(A10stdlife+$F166),(Input!$K$152*(1+vanilla4)^0.5)-SUM($K166:K166),(Input!$K$152*(1+vanilla4)^0.5)/A10stdlife))</f>
        <v>0.1065904209902804</v>
      </c>
      <c r="M166" s="70">
        <f>IF(A10stdlife="n/a","n/a",IF(M$3&gt;(A10stdlife+$F166),(Input!$K$152*(1+vanilla4)^0.5)-SUM($K166:L166),(Input!$K$152*(1+vanilla4)^0.5)/A10stdlife))</f>
        <v>0.1065904209902804</v>
      </c>
      <c r="N166" s="70">
        <f>IF(A10stdlife="n/a","n/a",IF(N$3&gt;(A10stdlife+$F166),(Input!$K$152*(1+vanilla4)^0.5)-SUM($K166:M166),(Input!$K$152*(1+vanilla4)^0.5)/A10stdlife))</f>
        <v>0.1065904209902804</v>
      </c>
      <c r="O166" s="70">
        <f>IF(A10stdlife="n/a","n/a",IF(O$3&gt;(A10stdlife+$F166),(Input!$K$152*(1+vanilla4)^0.5)-SUM($K166:N166),(Input!$K$152*(1+vanilla4)^0.5)/A10stdlife))</f>
        <v>0.1065904209902804</v>
      </c>
      <c r="P166" s="70">
        <f>IF(A10stdlife="n/a","n/a",IF(P$3&gt;(A10stdlife+$F166),(Input!$K$152*(1+vanilla4)^0.5)-SUM($K166:O166),(Input!$K$152*(1+vanilla4)^0.5)/A10stdlife))</f>
        <v>0.1065904209902804</v>
      </c>
      <c r="Q166" s="70">
        <f>IF(A10stdlife="n/a","n/a",IF(Q$3&gt;(A10stdlife+$F166),(Input!$K$152*(1+vanilla4)^0.5)-SUM($K166:P166),(Input!$K$152*(1+vanilla4)^0.5)/A10stdlife))</f>
        <v>0</v>
      </c>
      <c r="R166" s="70"/>
      <c r="S166" s="105"/>
      <c r="T166" s="105"/>
      <c r="U166" s="105"/>
      <c r="V166" s="105"/>
      <c r="W166" s="105"/>
      <c r="X166" s="105"/>
      <c r="Y166" s="105"/>
      <c r="Z166" s="105"/>
      <c r="AA166" s="105"/>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34"/>
      <c r="F167" s="88">
        <v>5</v>
      </c>
      <c r="G167" s="27"/>
      <c r="H167" s="150"/>
      <c r="I167" s="152"/>
      <c r="J167" s="152"/>
      <c r="K167" s="152"/>
      <c r="L167" s="151"/>
      <c r="M167" s="70">
        <f>IF(A10stdlife="n/a","n/a",IF(M$3&gt;(A10stdlife+$F167),(Input!$L$152*(1+vanilla5)^0.5)-SUM($L167:L167),(Input!$L$152*(1+vanilla5)^0.5)/A10stdlife))</f>
        <v>0.11178575192957256</v>
      </c>
      <c r="N167" s="70">
        <f>IF(A10stdlife="n/a","n/a",IF(N$3&gt;(A10stdlife+$F167),(Input!$L$152*(1+vanilla5)^0.5)-SUM($L167:M167),(Input!$L$152*(1+vanilla5)^0.5)/A10stdlife))</f>
        <v>0.11178575192957256</v>
      </c>
      <c r="O167" s="70">
        <f>IF(A10stdlife="n/a","n/a",IF(O$3&gt;(A10stdlife+$F167),(Input!$L$152*(1+vanilla5)^0.5)-SUM($L167:N167),(Input!$L$152*(1+vanilla5)^0.5)/A10stdlife))</f>
        <v>0.11178575192957256</v>
      </c>
      <c r="P167" s="70">
        <f>IF(A10stdlife="n/a","n/a",IF(P$3&gt;(A10stdlife+$F167),(Input!$L$152*(1+vanilla5)^0.5)-SUM($L167:O167),(Input!$L$152*(1+vanilla5)^0.5)/A10stdlife))</f>
        <v>0.11178575192957256</v>
      </c>
      <c r="Q167" s="70">
        <f>IF(A10stdlife="n/a","n/a",IF(Q$3&gt;(A10stdlife+$F167),(Input!$L$152*(1+vanilla5)^0.5)-SUM($L167:P167),(Input!$L$152*(1+vanilla5)^0.5)/A10stdlife))</f>
        <v>0.11178575192957256</v>
      </c>
      <c r="R167" s="70"/>
      <c r="S167" s="105"/>
      <c r="T167" s="105"/>
      <c r="U167" s="105"/>
      <c r="V167" s="105"/>
      <c r="W167" s="105"/>
      <c r="X167" s="105"/>
      <c r="Y167" s="105"/>
      <c r="Z167" s="105"/>
      <c r="AA167" s="105"/>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34"/>
      <c r="F168" s="88">
        <v>6</v>
      </c>
      <c r="G168" s="27"/>
      <c r="H168" s="150"/>
      <c r="I168" s="152"/>
      <c r="J168" s="152"/>
      <c r="K168" s="152"/>
      <c r="L168" s="152"/>
      <c r="M168" s="151"/>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34"/>
      <c r="F169" s="88">
        <v>7</v>
      </c>
      <c r="G169" s="27"/>
      <c r="H169" s="150"/>
      <c r="I169" s="152"/>
      <c r="J169" s="152"/>
      <c r="K169" s="152"/>
      <c r="L169" s="152"/>
      <c r="M169" s="152"/>
      <c r="N169" s="151"/>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34"/>
      <c r="F170" s="88">
        <v>8</v>
      </c>
      <c r="G170" s="27"/>
      <c r="H170" s="150"/>
      <c r="I170" s="152"/>
      <c r="J170" s="152"/>
      <c r="K170" s="152"/>
      <c r="L170" s="152"/>
      <c r="M170" s="152"/>
      <c r="N170" s="152"/>
      <c r="O170" s="151"/>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34"/>
      <c r="F171" s="88">
        <v>9</v>
      </c>
      <c r="G171" s="27"/>
      <c r="H171" s="150"/>
      <c r="I171" s="152"/>
      <c r="J171" s="152"/>
      <c r="K171" s="152"/>
      <c r="L171" s="152"/>
      <c r="M171" s="152"/>
      <c r="N171" s="152"/>
      <c r="O171" s="152"/>
      <c r="P171" s="151"/>
      <c r="Q171" s="70">
        <f>IF(A10stdlife="n/a","n/a",IF(Q$3&gt;(A10stdlife+$F171),(Input!$P$152*(1+vanilla9)^0.5)-SUM($P171:P171),(Input!$P$152*(1+vanilla9)^0.5)/A10stdlife))</f>
        <v>0</v>
      </c>
      <c r="R171" s="70"/>
      <c r="S171" s="105"/>
      <c r="T171" s="105"/>
      <c r="U171" s="105"/>
      <c r="V171" s="105"/>
      <c r="W171" s="105"/>
      <c r="X171" s="105"/>
      <c r="Y171" s="105"/>
      <c r="Z171" s="105"/>
      <c r="AA171" s="105"/>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34"/>
      <c r="F172" s="89">
        <v>10</v>
      </c>
      <c r="G172" s="27"/>
      <c r="H172" s="150"/>
      <c r="I172" s="152"/>
      <c r="J172" s="152"/>
      <c r="K172" s="152"/>
      <c r="L172" s="152"/>
      <c r="M172" s="152"/>
      <c r="N172" s="152"/>
      <c r="O172" s="152"/>
      <c r="P172" s="152"/>
      <c r="Q172" s="151"/>
      <c r="R172" s="70"/>
      <c r="S172" s="105"/>
      <c r="T172" s="105"/>
      <c r="U172" s="105"/>
      <c r="V172" s="105"/>
      <c r="W172" s="105"/>
      <c r="X172" s="105"/>
      <c r="Y172" s="105"/>
      <c r="Z172" s="105"/>
      <c r="AA172" s="105"/>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Other Non-System Assets (Networks)</v>
      </c>
      <c r="E173" s="9"/>
      <c r="F173" s="9"/>
      <c r="G173" s="126"/>
      <c r="H173" s="169">
        <f>-SUM(H161:H172)</f>
        <v>0</v>
      </c>
      <c r="I173" s="169">
        <f>-SUM(I161:I172)</f>
        <v>-0.18751589425152876</v>
      </c>
      <c r="J173" s="169">
        <f>-SUM(J161:J172)</f>
        <v>-0.28140277217789411</v>
      </c>
      <c r="K173" s="169">
        <f>-SUM(K161:K172)</f>
        <v>-0.35444945439124514</v>
      </c>
      <c r="L173" s="169">
        <f>-SUM(L161:L172)</f>
        <v>-0.46103987538152558</v>
      </c>
      <c r="M173" s="169">
        <f>IF(Input!M173&gt;0, -SUM(M161:M172), 0)</f>
        <v>0</v>
      </c>
      <c r="N173" s="169">
        <f>IF(Input!N173&gt;0, -SUM(N161:N172), 0)</f>
        <v>0</v>
      </c>
      <c r="O173" s="169">
        <f>IF(Input!O173&gt;0, -SUM(O161:O172), 0)</f>
        <v>0</v>
      </c>
      <c r="P173" s="169">
        <f>IF(Input!P173&gt;0, -SUM(P161:P172), 0)</f>
        <v>0</v>
      </c>
      <c r="Q173" s="169">
        <f>IF(Input!Q173&gt;0, -SUM(Q161:Q172), 0)</f>
        <v>0</v>
      </c>
      <c r="R173" s="68"/>
      <c r="S173" s="107"/>
      <c r="T173" s="107"/>
      <c r="U173" s="107"/>
      <c r="V173" s="107"/>
      <c r="W173" s="107"/>
      <c r="X173" s="107"/>
      <c r="Y173" s="107"/>
      <c r="Z173" s="107"/>
      <c r="AA173" s="107"/>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IT Systems (Corporate)</v>
      </c>
      <c r="D174" s="165"/>
      <c r="E174" s="34" t="s">
        <v>28</v>
      </c>
      <c r="F174" s="33"/>
      <c r="G174" s="181"/>
      <c r="H174" s="69" t="str">
        <f>IF(H$3&gt;A11remlife,A11value-SUM($G174:G174),IF(A11remlife="N/A","n/a",A11value/A11remlife))</f>
        <v>n/a</v>
      </c>
      <c r="I174" s="69" t="str">
        <f>IF(I$3&gt;A11remlife,A11value-SUM($G174:H174),IF(A11remlife="N/A","n/a",A11value/A11remlife))</f>
        <v>n/a</v>
      </c>
      <c r="J174" s="69" t="str">
        <f>IF(J$3&gt;A11remlife,A11value-SUM($G174:I174),IF(A11remlife="N/A","n/a",A11value/A11remlife))</f>
        <v>n/a</v>
      </c>
      <c r="K174" s="69" t="str">
        <f>IF(K$3&gt;A11remlife,A11value-SUM($G174:J174),IF(A11remlife="N/A","n/a",A11value/A11remlife))</f>
        <v>n/a</v>
      </c>
      <c r="L174" s="69" t="str">
        <f>IF(L$3&gt;A11remlife,A11value-SUM($G174:K174),IF(A11remlife="N/A","n/a",A11value/A11remlife))</f>
        <v>n/a</v>
      </c>
      <c r="M174" s="69" t="str">
        <f>IF(M$3&gt;A11remlife,A11value-SUM($G174:L174),IF(A11remlife="N/A","n/a",A11value/A11remlife))</f>
        <v>n/a</v>
      </c>
      <c r="N174" s="69" t="str">
        <f>IF(N$3&gt;A11remlife,A11value-SUM($G174:M174),IF(A11remlife="N/A","n/a",A11value/A11remlife))</f>
        <v>n/a</v>
      </c>
      <c r="O174" s="69" t="str">
        <f>IF(O$3&gt;A11remlife,A11value-SUM($G174:N174),IF(A11remlife="N/A","n/a",A11value/A11remlife))</f>
        <v>n/a</v>
      </c>
      <c r="P174" s="69" t="str">
        <f>IF(P$3&gt;A11remlife,A11value-SUM($G174:O174),IF(A11remlife="N/A","n/a",A11value/A11remlife))</f>
        <v>n/a</v>
      </c>
      <c r="Q174" s="69" t="str">
        <f>IF(Q$3&gt;A11remlife,A11value-SUM($G174:P174),IF(A11remlife="N/A","n/a",A11value/A11remlife))</f>
        <v>n/a</v>
      </c>
      <c r="R174" s="69"/>
      <c r="S174" s="105"/>
      <c r="T174" s="105"/>
      <c r="U174" s="105"/>
      <c r="V174" s="105"/>
      <c r="W174" s="105"/>
      <c r="X174" s="105"/>
      <c r="Y174" s="105"/>
      <c r="Z174" s="105"/>
      <c r="AA174" s="105"/>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33" t="s">
        <v>87</v>
      </c>
      <c r="F175" s="88">
        <v>0</v>
      </c>
      <c r="G175" s="126"/>
      <c r="H175" s="70"/>
      <c r="I175" s="70"/>
      <c r="J175" s="70"/>
      <c r="K175" s="70"/>
      <c r="L175" s="70"/>
      <c r="M175" s="167"/>
      <c r="N175" s="115"/>
      <c r="O175" s="70"/>
      <c r="P175" s="70"/>
      <c r="Q175" s="70"/>
      <c r="R175" s="70"/>
      <c r="S175" s="105"/>
      <c r="T175" s="105"/>
      <c r="U175" s="105"/>
      <c r="V175" s="105"/>
      <c r="W175" s="105"/>
      <c r="X175" s="105"/>
      <c r="Y175" s="105"/>
      <c r="Z175" s="105"/>
      <c r="AA175" s="105"/>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34"/>
      <c r="F176" s="88">
        <v>1</v>
      </c>
      <c r="G176" s="126"/>
      <c r="H176" s="149"/>
      <c r="I176" s="70">
        <f>IF(A11stdlife="n/a","n/a",IF(I$3&gt;(A11stdlife+$F176),(Input!$H$153*(1+vanilla1)^0.5)-SUM($H176:H176),(Input!$H$153*(1+vanilla1)^0.5)/A11stdlife))</f>
        <v>0.17746255516608817</v>
      </c>
      <c r="J176" s="70">
        <f>IF(A11stdlife="n/a","n/a",IF(J$3&gt;(A11stdlife+$F176),(Input!$H$153*(1+vanilla1)^0.5)-SUM($H176:I176),(Input!$H$153*(1+vanilla1)^0.5)/A11stdlife))</f>
        <v>0.17746255516608817</v>
      </c>
      <c r="K176" s="70">
        <f>IF(A11stdlife="n/a","n/a",IF(K$3&gt;(A11stdlife+$F176),(Input!$H$153*(1+vanilla1)^0.5)-SUM($H176:J176),(Input!$H$153*(1+vanilla1)^0.5)/A11stdlife))</f>
        <v>0.17746255516608817</v>
      </c>
      <c r="L176" s="70">
        <f>IF(A11stdlife="n/a","n/a",IF(L$3&gt;(A11stdlife+$F176),(Input!$H$153*(1+vanilla1)^0.5)-SUM($H176:K176),(Input!$H$153*(1+vanilla1)^0.5)/A11stdlife))</f>
        <v>0.17746255516608817</v>
      </c>
      <c r="M176" s="70">
        <f>IF(A11stdlife="n/a","n/a",IF(M$3&gt;(A11stdlife+$F176),(Input!$H$153*(1+vanilla1)^0.5)-SUM($H176:L176),(Input!$H$153*(1+vanilla1)^0.5)/A11stdlife))</f>
        <v>0.17746255516608817</v>
      </c>
      <c r="N176" s="70">
        <f>IF(A11stdlife="n/a","n/a",IF(N$3&gt;(A11stdlife+$F176),(Input!$H$153*(1+vanilla1)^0.5)-SUM($H176:M176),(Input!$H$153*(1+vanilla1)^0.5)/A11stdlife))</f>
        <v>-1.1102230246251565E-16</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34"/>
      <c r="F177" s="88">
        <v>2</v>
      </c>
      <c r="G177" s="126"/>
      <c r="H177" s="150"/>
      <c r="I177" s="151"/>
      <c r="J177" s="70">
        <f>IF(A11stdlife="n/a","n/a",IF(J$3&gt;(A11stdlife+$F177),(Input!$I$153*(1+vanilla2)^0.5)-SUM($I177:I177),(Input!$I$153*(1+vanilla2)^0.5)/A11stdlife))</f>
        <v>5.3139662487022545E-2</v>
      </c>
      <c r="K177" s="70">
        <f>IF(A11stdlife="n/a","n/a",IF(K$3&gt;(A11stdlife+$F177),(Input!$I$153*(1+vanilla2)^0.5)-SUM($I177:J177),(Input!$I$153*(1+vanilla2)^0.5)/A11stdlife))</f>
        <v>5.3139662487022545E-2</v>
      </c>
      <c r="L177" s="70">
        <f>IF(A11stdlife="n/a","n/a",IF(L$3&gt;(A11stdlife+$F177),(Input!$I$153*(1+vanilla2)^0.5)-SUM($I177:K177),(Input!$I$153*(1+vanilla2)^0.5)/A11stdlife))</f>
        <v>5.3139662487022545E-2</v>
      </c>
      <c r="M177" s="70">
        <f>IF(A11stdlife="n/a","n/a",IF(M$3&gt;(A11stdlife+$F177),(Input!$I$153*(1+vanilla2)^0.5)-SUM($I177:L177),(Input!$I$153*(1+vanilla2)^0.5)/A11stdlife))</f>
        <v>5.3139662487022545E-2</v>
      </c>
      <c r="N177" s="70">
        <f>IF(A11stdlife="n/a","n/a",IF(N$3&gt;(A11stdlife+$F177),(Input!$I$153*(1+vanilla2)^0.5)-SUM($I177:M177),(Input!$I$153*(1+vanilla2)^0.5)/A11stdlife))</f>
        <v>5.3139662487022545E-2</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34"/>
      <c r="F178" s="88">
        <v>3</v>
      </c>
      <c r="G178" s="126"/>
      <c r="H178" s="150"/>
      <c r="I178" s="152"/>
      <c r="J178" s="151"/>
      <c r="K178" s="70">
        <f>IF(A11stdlife="n/a","n/a",IF(K$3&gt;(A11stdlife+$F178),(Input!$J$153*(1+vanilla3)^0.5)-SUM($J178:J178),(Input!$J$153*(1+vanilla3)^0.5)/A11stdlife))</f>
        <v>0.26688848022939021</v>
      </c>
      <c r="L178" s="70">
        <f>IF(A11stdlife="n/a","n/a",IF(L$3&gt;(A11stdlife+$F178),(Input!$J$153*(1+vanilla3)^0.5)-SUM($J178:K178),(Input!$J$153*(1+vanilla3)^0.5)/A11stdlife))</f>
        <v>0.26688848022939021</v>
      </c>
      <c r="M178" s="70">
        <f>IF(A11stdlife="n/a","n/a",IF(M$3&gt;(A11stdlife+$F178),(Input!$J$153*(1+vanilla3)^0.5)-SUM($J178:L178),(Input!$J$153*(1+vanilla3)^0.5)/A11stdlife))</f>
        <v>0.26688848022939021</v>
      </c>
      <c r="N178" s="70">
        <f>IF(A11stdlife="n/a","n/a",IF(N$3&gt;(A11stdlife+$F178),(Input!$J$153*(1+vanilla3)^0.5)-SUM($J178:M178),(Input!$J$153*(1+vanilla3)^0.5)/A11stdlife))</f>
        <v>0.26688848022939021</v>
      </c>
      <c r="O178" s="70">
        <f>IF(A11stdlife="n/a","n/a",IF(O$3&gt;(A11stdlife+$F178),(Input!$J$153*(1+vanilla3)^0.5)-SUM($J178:N178),(Input!$J$153*(1+vanilla3)^0.5)/A11stdlife))</f>
        <v>0.26688848022939021</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34"/>
      <c r="F179" s="88">
        <v>4</v>
      </c>
      <c r="G179" s="126"/>
      <c r="H179" s="150"/>
      <c r="I179" s="152"/>
      <c r="J179" s="152"/>
      <c r="K179" s="151"/>
      <c r="L179" s="70">
        <f>IF(A11stdlife="n/a","n/a",IF(L$3&gt;(A11stdlife+$F179),(Input!$K$153*(1+vanilla4)^0.5)-SUM($K179:K179),(Input!$K$153*(1+vanilla4)^0.5)/A11stdlife))</f>
        <v>0.51326036794818619</v>
      </c>
      <c r="M179" s="70">
        <f>IF(A11stdlife="n/a","n/a",IF(M$3&gt;(A11stdlife+$F179),(Input!$K$153*(1+vanilla4)^0.5)-SUM($K179:L179),(Input!$K$153*(1+vanilla4)^0.5)/A11stdlife))</f>
        <v>0.51326036794818619</v>
      </c>
      <c r="N179" s="70">
        <f>IF(A11stdlife="n/a","n/a",IF(N$3&gt;(A11stdlife+$F179),(Input!$K$153*(1+vanilla4)^0.5)-SUM($K179:M179),(Input!$K$153*(1+vanilla4)^0.5)/A11stdlife))</f>
        <v>0.51326036794818619</v>
      </c>
      <c r="O179" s="70">
        <f>IF(A11stdlife="n/a","n/a",IF(O$3&gt;(A11stdlife+$F179),(Input!$K$153*(1+vanilla4)^0.5)-SUM($K179:N179),(Input!$K$153*(1+vanilla4)^0.5)/A11stdlife))</f>
        <v>0.51326036794818619</v>
      </c>
      <c r="P179" s="70">
        <f>IF(A11stdlife="n/a","n/a",IF(P$3&gt;(A11stdlife+$F179),(Input!$K$153*(1+vanilla4)^0.5)-SUM($K179:O179),(Input!$K$153*(1+vanilla4)^0.5)/A11stdlife))</f>
        <v>0.51326036794818619</v>
      </c>
      <c r="Q179" s="70">
        <f>IF(A11stdlife="n/a","n/a",IF(Q$3&gt;(A11stdlife+$F179),(Input!$K$153*(1+vanilla4)^0.5)-SUM($K179:P179),(Input!$K$153*(1+vanilla4)^0.5)/A11stdlife))</f>
        <v>-4.4408920985006262E-16</v>
      </c>
      <c r="R179" s="70"/>
      <c r="S179" s="105"/>
      <c r="T179" s="105"/>
      <c r="U179" s="105"/>
      <c r="V179" s="105"/>
      <c r="W179" s="105"/>
      <c r="X179" s="105"/>
      <c r="Y179" s="105"/>
      <c r="Z179" s="105"/>
      <c r="AA179" s="105"/>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34"/>
      <c r="F180" s="88">
        <v>5</v>
      </c>
      <c r="G180" s="27"/>
      <c r="H180" s="150"/>
      <c r="I180" s="152"/>
      <c r="J180" s="152"/>
      <c r="K180" s="152"/>
      <c r="L180" s="151"/>
      <c r="M180" s="70">
        <f>IF(A11stdlife="n/a","n/a",IF(M$3&gt;(A11stdlife+$F180),(Input!$L$153*(1+vanilla5)^0.5)-SUM($L180:L180),(Input!$L153*(1+vanilla5)^0.5)/A11stdlife))</f>
        <v>1.2013863127638902</v>
      </c>
      <c r="N180" s="70">
        <f>IF(A11stdlife="n/a","n/a",IF(N$3&gt;(A11stdlife+$F180),(Input!$L$153*(1+vanilla5)^0.5)-SUM($L180:M180),(Input!$L153*(1+vanilla5)^0.5)/A11stdlife))</f>
        <v>1.2013863127638902</v>
      </c>
      <c r="O180" s="70">
        <f>IF(A11stdlife="n/a","n/a",IF(O$3&gt;(A11stdlife+$F180),(Input!$L$153*(1+vanilla5)^0.5)-SUM($L180:N180),(Input!$L153*(1+vanilla5)^0.5)/A11stdlife))</f>
        <v>1.2013863127638902</v>
      </c>
      <c r="P180" s="70">
        <f>IF(A11stdlife="n/a","n/a",IF(P$3&gt;(A11stdlife+$F180),(Input!$L$153*(1+vanilla5)^0.5)-SUM($L180:O180),(Input!$L153*(1+vanilla5)^0.5)/A11stdlife))</f>
        <v>1.2013863127638902</v>
      </c>
      <c r="Q180" s="70">
        <f>IF(A11stdlife="n/a","n/a",IF(Q$3&gt;(A11stdlife+$F180),(Input!$L$153*(1+vanilla5)^0.5)-SUM($L180:P180),(Input!$L153*(1+vanilla5)^0.5)/A11stdlife))</f>
        <v>1.2013863127638902</v>
      </c>
      <c r="R180" s="70"/>
      <c r="S180" s="105"/>
      <c r="T180" s="105"/>
      <c r="U180" s="105"/>
      <c r="V180" s="105"/>
      <c r="W180" s="105"/>
      <c r="X180" s="105"/>
      <c r="Y180" s="105"/>
      <c r="Z180" s="105"/>
      <c r="AA180" s="105"/>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34"/>
      <c r="F181" s="88">
        <v>6</v>
      </c>
      <c r="G181" s="27"/>
      <c r="H181" s="150"/>
      <c r="I181" s="152"/>
      <c r="J181" s="152"/>
      <c r="K181" s="152"/>
      <c r="L181" s="152"/>
      <c r="M181" s="151"/>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34"/>
      <c r="F182" s="88">
        <v>7</v>
      </c>
      <c r="G182" s="27"/>
      <c r="H182" s="150"/>
      <c r="I182" s="152"/>
      <c r="J182" s="152"/>
      <c r="K182" s="152"/>
      <c r="L182" s="152"/>
      <c r="M182" s="152"/>
      <c r="N182" s="151"/>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34"/>
      <c r="F183" s="88">
        <v>8</v>
      </c>
      <c r="G183" s="27"/>
      <c r="H183" s="150"/>
      <c r="I183" s="152"/>
      <c r="J183" s="152"/>
      <c r="K183" s="152"/>
      <c r="L183" s="152"/>
      <c r="M183" s="152"/>
      <c r="N183" s="152"/>
      <c r="O183" s="151"/>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34"/>
      <c r="F184" s="88">
        <v>9</v>
      </c>
      <c r="G184" s="27"/>
      <c r="H184" s="150"/>
      <c r="I184" s="152"/>
      <c r="J184" s="152"/>
      <c r="K184" s="152"/>
      <c r="L184" s="152"/>
      <c r="M184" s="152"/>
      <c r="N184" s="152"/>
      <c r="O184" s="152"/>
      <c r="P184" s="151"/>
      <c r="Q184" s="70">
        <f>IF(A11stdlife="n/a","n/a",IF(Q$3&gt;(A11stdlife+$F184),(Input!$P$153*(1+vanilla9)^0.5)-SUM($P184:P184),(Input!$P$153*(1+vanilla9)^0.5)/A11stdlife))</f>
        <v>0</v>
      </c>
      <c r="R184" s="70"/>
      <c r="S184" s="105"/>
      <c r="T184" s="105"/>
      <c r="U184" s="105"/>
      <c r="V184" s="105"/>
      <c r="W184" s="105"/>
      <c r="X184" s="105"/>
      <c r="Y184" s="105"/>
      <c r="Z184" s="105"/>
      <c r="AA184" s="105"/>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34"/>
      <c r="F185" s="89">
        <v>10</v>
      </c>
      <c r="G185" s="27"/>
      <c r="H185" s="150"/>
      <c r="I185" s="152"/>
      <c r="J185" s="152"/>
      <c r="K185" s="152"/>
      <c r="L185" s="152"/>
      <c r="M185" s="152"/>
      <c r="N185" s="152"/>
      <c r="O185" s="152"/>
      <c r="P185" s="152"/>
      <c r="Q185" s="151"/>
      <c r="R185" s="70"/>
      <c r="S185" s="105"/>
      <c r="T185" s="105"/>
      <c r="U185" s="105"/>
      <c r="V185" s="105"/>
      <c r="W185" s="105"/>
      <c r="X185" s="105"/>
      <c r="Y185" s="105"/>
      <c r="Z185" s="105"/>
      <c r="AA185" s="105"/>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IT Systems (Corporate)</v>
      </c>
      <c r="E186" s="9"/>
      <c r="F186" s="9"/>
      <c r="G186" s="126"/>
      <c r="H186" s="169">
        <f>-SUM(H174:H185)</f>
        <v>0</v>
      </c>
      <c r="I186" s="169">
        <f>-SUM(I174:I185)</f>
        <v>-0.17746255516608817</v>
      </c>
      <c r="J186" s="169">
        <f>-SUM(J174:J185)</f>
        <v>-0.2306022176531107</v>
      </c>
      <c r="K186" s="169">
        <f>-SUM(K174:K185)</f>
        <v>-0.49749069788250089</v>
      </c>
      <c r="L186" s="169">
        <f>-SUM(L174:L185)</f>
        <v>-1.0107510658306871</v>
      </c>
      <c r="M186" s="169">
        <f>IF(Input!M173&gt;0, -SUM(M174:M185), 0)</f>
        <v>0</v>
      </c>
      <c r="N186" s="169">
        <f>IF(Input!N173&gt;0, -SUM(N174:N185), 0)</f>
        <v>0</v>
      </c>
      <c r="O186" s="169">
        <f>IF(Input!O173&gt;0, -SUM(O174:O185), 0)</f>
        <v>0</v>
      </c>
      <c r="P186" s="169">
        <f>IF(Input!P173&gt;0, -SUM(P174:P185), 0)</f>
        <v>0</v>
      </c>
      <c r="Q186" s="169">
        <f>IF(Input!Q173&gt;0, -SUM(Q174:Q185), 0)</f>
        <v>0</v>
      </c>
      <c r="R186" s="68"/>
      <c r="S186" s="107"/>
      <c r="T186" s="107"/>
      <c r="U186" s="107"/>
      <c r="V186" s="107"/>
      <c r="W186" s="107"/>
      <c r="X186" s="107"/>
      <c r="Y186" s="107"/>
      <c r="Z186" s="107"/>
      <c r="AA186" s="107"/>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Telecommunications (Corporate)</v>
      </c>
      <c r="D187" s="165"/>
      <c r="E187" s="34" t="s">
        <v>28</v>
      </c>
      <c r="F187" s="33"/>
      <c r="G187" s="181"/>
      <c r="H187" s="69" t="str">
        <f>IF(H$3&gt;A12remlife,A12value-SUM($G187:G187),IF(A12remlife="N/A","n/a",A12value/A12remlife))</f>
        <v>n/a</v>
      </c>
      <c r="I187" s="69" t="str">
        <f>IF(I$3&gt;A12remlife,A12value-SUM($G187:H187),IF(A12remlife="N/A","n/a",A12value/A12remlife))</f>
        <v>n/a</v>
      </c>
      <c r="J187" s="69" t="str">
        <f>IF(J$3&gt;A12remlife,A12value-SUM($G187:I187),IF(A12remlife="N/A","n/a",A12value/A12remlife))</f>
        <v>n/a</v>
      </c>
      <c r="K187" s="69" t="str">
        <f>IF(K$3&gt;A12remlife,A12value-SUM($G187:J187),IF(A12remlife="N/A","n/a",A12value/A12remlife))</f>
        <v>n/a</v>
      </c>
      <c r="L187" s="69" t="str">
        <f>IF(L$3&gt;A12remlife,A12value-SUM($G187:K187),IF(A12remlife="N/A","n/a",A12value/A12remlife))</f>
        <v>n/a</v>
      </c>
      <c r="M187" s="69" t="str">
        <f>IF(M$3&gt;A12remlife,A12value-SUM($G187:L187),IF(A12remlife="N/A","n/a",A12value/A12remlife))</f>
        <v>n/a</v>
      </c>
      <c r="N187" s="69" t="str">
        <f>IF(N$3&gt;A12remlife,A12value-SUM($G187:M187),IF(A12remlife="N/A","n/a",A12value/A12remlife))</f>
        <v>n/a</v>
      </c>
      <c r="O187" s="69" t="str">
        <f>IF(O$3&gt;A12remlife,A12value-SUM($G187:N187),IF(A12remlife="N/A","n/a",A12value/A12remlife))</f>
        <v>n/a</v>
      </c>
      <c r="P187" s="69" t="str">
        <f>IF(P$3&gt;A12remlife,A12value-SUM($G187:O187),IF(A12remlife="N/A","n/a",A12value/A12remlife))</f>
        <v>n/a</v>
      </c>
      <c r="Q187" s="69" t="str">
        <f>IF(Q$3&gt;A12remlife,A12value-SUM($G187:P187),IF(A12remlife="N/A","n/a",A12value/A12remlife))</f>
        <v>n/a</v>
      </c>
      <c r="R187" s="69"/>
      <c r="S187" s="105"/>
      <c r="T187" s="105"/>
      <c r="U187" s="105"/>
      <c r="V187" s="105"/>
      <c r="W187" s="105"/>
      <c r="X187" s="105"/>
      <c r="Y187" s="105"/>
      <c r="Z187" s="105"/>
      <c r="AA187" s="105"/>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33" t="s">
        <v>87</v>
      </c>
      <c r="F188" s="88">
        <v>0</v>
      </c>
      <c r="G188" s="126"/>
      <c r="H188" s="70"/>
      <c r="I188" s="70"/>
      <c r="J188" s="70"/>
      <c r="K188" s="70"/>
      <c r="L188" s="70"/>
      <c r="M188" s="167"/>
      <c r="N188" s="115"/>
      <c r="O188" s="70"/>
      <c r="P188" s="70"/>
      <c r="Q188" s="70"/>
      <c r="R188" s="70"/>
      <c r="S188" s="105"/>
      <c r="T188" s="105"/>
      <c r="U188" s="105"/>
      <c r="V188" s="105"/>
      <c r="W188" s="105"/>
      <c r="X188" s="105"/>
      <c r="Y188" s="105"/>
      <c r="Z188" s="105"/>
      <c r="AA188" s="105"/>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34"/>
      <c r="F189" s="88">
        <v>1</v>
      </c>
      <c r="G189" s="126"/>
      <c r="H189" s="149"/>
      <c r="I189" s="70">
        <f>IF(A12stdlife="n/a","n/a",IF(I$3&gt;(A12stdlife+$F189),(Input!$H$154*(1+vanilla1)^0.5)-SUM($H189:H189),(Input!$H$154*(1+vanilla1)^0.5)/A12stdlife))</f>
        <v>4.8952290377153623E-2</v>
      </c>
      <c r="J189" s="70">
        <f>IF(A12stdlife="n/a","n/a",IF(J$3&gt;(A12stdlife+$F189),(Input!$H$154*(1+vanilla1)^0.5)-SUM($H189:I189),(Input!$H$154*(1+vanilla1)^0.5)/A12stdlife))</f>
        <v>4.8952290377153623E-2</v>
      </c>
      <c r="K189" s="70">
        <f>IF(A12stdlife="n/a","n/a",IF(K$3&gt;(A12stdlife+$F189),(Input!$H$154*(1+vanilla1)^0.5)-SUM($H189:J189),(Input!$H$154*(1+vanilla1)^0.5)/A12stdlife))</f>
        <v>4.8952290377153623E-2</v>
      </c>
      <c r="L189" s="70">
        <f>IF(A12stdlife="n/a","n/a",IF(L$3&gt;(A12stdlife+$F189),(Input!$H$154*(1+vanilla1)^0.5)-SUM($H189:K189),(Input!$H$154*(1+vanilla1)^0.5)/A12stdlife))</f>
        <v>4.8952290377153623E-2</v>
      </c>
      <c r="M189" s="70">
        <f>IF(A12stdlife="n/a","n/a",IF(M$3&gt;(A12stdlife+$F189),(Input!$H$154*(1+vanilla1)^0.5)-SUM($H189:L189),(Input!$H$154*(1+vanilla1)^0.5)/A12stdlife))</f>
        <v>4.8952290377153623E-2</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34"/>
      <c r="F190" s="88">
        <v>2</v>
      </c>
      <c r="G190" s="126"/>
      <c r="H190" s="150"/>
      <c r="I190" s="151"/>
      <c r="J190" s="70">
        <f>IF(A12stdlife="n/a","n/a",IF(J$3&gt;(A12stdlife+$F190),(Input!$I$154*(1+vanilla2)^0.5)-SUM($I190:I190),(Input!$I$154*(1+vanilla2)^0.5)/A12stdlife))</f>
        <v>1.6169993732995939E-2</v>
      </c>
      <c r="K190" s="70">
        <f>IF(A12stdlife="n/a","n/a",IF(K$3&gt;(A12stdlife+$F190),(Input!$I$154*(1+vanilla2)^0.5)-SUM($I190:J190),(Input!$I$154*(1+vanilla2)^0.5)/A12stdlife))</f>
        <v>1.6169993732995939E-2</v>
      </c>
      <c r="L190" s="70">
        <f>IF(A12stdlife="n/a","n/a",IF(L$3&gt;(A12stdlife+$F190),(Input!$I$154*(1+vanilla2)^0.5)-SUM($I190:K190),(Input!$I$154*(1+vanilla2)^0.5)/A12stdlife))</f>
        <v>1.6169993732995939E-2</v>
      </c>
      <c r="M190" s="70">
        <f>IF(A12stdlife="n/a","n/a",IF(M$3&gt;(A12stdlife+$F190),(Input!$I$154*(1+vanilla2)^0.5)-SUM($I190:L190),(Input!$I$154*(1+vanilla2)^0.5)/A12stdlife))</f>
        <v>1.6169993732995939E-2</v>
      </c>
      <c r="N190" s="70">
        <f>IF(A12stdlife="n/a","n/a",IF(N$3&gt;(A12stdlife+$F190),(Input!$I$154*(1+vanilla2)^0.5)-SUM($I190:M190),(Input!$I$154*(1+vanilla2)^0.5)/A12stdlife))</f>
        <v>1.6169993732995939E-2</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34"/>
      <c r="F191" s="88">
        <v>3</v>
      </c>
      <c r="G191" s="126"/>
      <c r="H191" s="150"/>
      <c r="I191" s="152"/>
      <c r="J191" s="151"/>
      <c r="K191" s="70">
        <f>IF(A12stdlife="n/a","n/a",IF(K$3&gt;(A12stdlife+$F191),(Input!$J$154*(1+vanilla3)^0.5)-SUM($J191:J191),(Input!$J$154*(1+vanilla3)^0.5)/A12stdlife))</f>
        <v>7.5086195458961029E-3</v>
      </c>
      <c r="L191" s="70">
        <f>IF(A12stdlife="n/a","n/a",IF(L$3&gt;(A12stdlife+$F191),(Input!$J$154*(1+vanilla3)^0.5)-SUM($J191:K191),(Input!$J$154*(1+vanilla3)^0.5)/A12stdlife))</f>
        <v>7.5086195458961029E-3</v>
      </c>
      <c r="M191" s="70">
        <f>IF(A12stdlife="n/a","n/a",IF(M$3&gt;(A12stdlife+$F191),(Input!$J$154*(1+vanilla3)^0.5)-SUM($J191:L191),(Input!$J$154*(1+vanilla3)^0.5)/A12stdlife))</f>
        <v>7.5086195458961029E-3</v>
      </c>
      <c r="N191" s="70">
        <f>IF(A12stdlife="n/a","n/a",IF(N$3&gt;(A12stdlife+$F191),(Input!$J$154*(1+vanilla3)^0.5)-SUM($J191:M191),(Input!$J$154*(1+vanilla3)^0.5)/A12stdlife))</f>
        <v>7.5086195458961029E-3</v>
      </c>
      <c r="O191" s="70">
        <f>IF(A12stdlife="n/a","n/a",IF(O$3&gt;(A12stdlife+$F191),(Input!$J$154*(1+vanilla3)^0.5)-SUM($J191:N191),(Input!$J$154*(1+vanilla3)^0.5)/A12stdlife))</f>
        <v>7.5086195458961029E-3</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34"/>
      <c r="F192" s="88">
        <v>4</v>
      </c>
      <c r="G192" s="126"/>
      <c r="H192" s="150"/>
      <c r="I192" s="152"/>
      <c r="J192" s="152"/>
      <c r="K192" s="151"/>
      <c r="L192" s="70">
        <f>IF(A12stdlife="n/a","n/a",IF(L$3&gt;(A12stdlife+$F192),(Input!$K$154*(1+vanilla4)^0.5)-SUM($K192:K192),(Input!$K$154*(1+vanilla4)^0.5)/A12stdlife))</f>
        <v>9.4836120011530921E-3</v>
      </c>
      <c r="M192" s="70">
        <f>IF(A12stdlife="n/a","n/a",IF(M$3&gt;(A12stdlife+$F192),(Input!$K$154*(1+vanilla4)^0.5)-SUM($K192:L192),(Input!$K$154*(1+vanilla4)^0.5)/A12stdlife))</f>
        <v>9.4836120011530921E-3</v>
      </c>
      <c r="N192" s="70">
        <f>IF(A12stdlife="n/a","n/a",IF(N$3&gt;(A12stdlife+$F192),(Input!$K$154*(1+vanilla4)^0.5)-SUM($K192:M192),(Input!$K$154*(1+vanilla4)^0.5)/A12stdlife))</f>
        <v>9.4836120011530921E-3</v>
      </c>
      <c r="O192" s="70">
        <f>IF(A12stdlife="n/a","n/a",IF(O$3&gt;(A12stdlife+$F192),(Input!$K$154*(1+vanilla4)^0.5)-SUM($K192:N192),(Input!$K$154*(1+vanilla4)^0.5)/A12stdlife))</f>
        <v>9.4836120011530921E-3</v>
      </c>
      <c r="P192" s="70">
        <f>IF(A12stdlife="n/a","n/a",IF(P$3&gt;(A12stdlife+$F192),(Input!$K$154*(1+vanilla4)^0.5)-SUM($K192:O192),(Input!$K$154*(1+vanilla4)^0.5)/A12stdlife))</f>
        <v>9.4836120011530921E-3</v>
      </c>
      <c r="Q192" s="70">
        <f>IF(A12stdlife="n/a","n/a",IF(Q$3&gt;(A12stdlife+$F192),(Input!$K$154*(1+vanilla4)^0.5)-SUM($K192:P192),(Input!$K$154*(1+vanilla4)^0.5)/A12stdlife))</f>
        <v>0</v>
      </c>
      <c r="R192" s="70"/>
      <c r="S192" s="105"/>
      <c r="T192" s="105"/>
      <c r="U192" s="105"/>
      <c r="V192" s="105"/>
      <c r="W192" s="105"/>
      <c r="X192" s="105"/>
      <c r="Y192" s="105"/>
      <c r="Z192" s="105"/>
      <c r="AA192" s="105"/>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34"/>
      <c r="F193" s="88">
        <v>5</v>
      </c>
      <c r="G193" s="27"/>
      <c r="H193" s="150"/>
      <c r="I193" s="152"/>
      <c r="J193" s="152"/>
      <c r="K193" s="152"/>
      <c r="L193" s="151"/>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34"/>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34"/>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34"/>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34"/>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5"/>
      <c r="T197" s="105"/>
      <c r="U197" s="105"/>
      <c r="V197" s="105"/>
      <c r="W197" s="105"/>
      <c r="X197" s="105"/>
      <c r="Y197" s="105"/>
      <c r="Z197" s="105"/>
      <c r="AA197" s="105"/>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34"/>
      <c r="F198" s="89">
        <v>10</v>
      </c>
      <c r="G198" s="27"/>
      <c r="H198" s="150"/>
      <c r="I198" s="152"/>
      <c r="J198" s="152"/>
      <c r="K198" s="152"/>
      <c r="L198" s="152"/>
      <c r="M198" s="152"/>
      <c r="N198" s="152"/>
      <c r="O198" s="152"/>
      <c r="P198" s="152"/>
      <c r="Q198" s="151"/>
      <c r="R198" s="70"/>
      <c r="S198" s="105"/>
      <c r="T198" s="105"/>
      <c r="U198" s="105"/>
      <c r="V198" s="105"/>
      <c r="W198" s="105"/>
      <c r="X198" s="105"/>
      <c r="Y198" s="105"/>
      <c r="Z198" s="105"/>
      <c r="AA198" s="105"/>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Telecommunications (Corporate)</v>
      </c>
      <c r="E199" s="9"/>
      <c r="F199" s="9"/>
      <c r="G199" s="126"/>
      <c r="H199" s="169">
        <f>-SUM(H187:H198)</f>
        <v>0</v>
      </c>
      <c r="I199" s="169">
        <f>-SUM(I187:I198)</f>
        <v>-4.8952290377153623E-2</v>
      </c>
      <c r="J199" s="169">
        <f>-SUM(J187:J198)</f>
        <v>-6.5122284110149559E-2</v>
      </c>
      <c r="K199" s="169">
        <f>-SUM(K187:K198)</f>
        <v>-7.2630903656045659E-2</v>
      </c>
      <c r="L199" s="169">
        <f>-SUM(L187:L198)</f>
        <v>-8.2114515657198753E-2</v>
      </c>
      <c r="M199" s="169">
        <f>IF(Input!M173&gt;0, -SUM(M187:M198), 0)</f>
        <v>0</v>
      </c>
      <c r="N199" s="169">
        <f>IF(Input!N173&gt;0, -SUM(N187:N198), 0)</f>
        <v>0</v>
      </c>
      <c r="O199" s="169">
        <f>IF(Input!O173&gt;0, -SUM(O187:O198), 0)</f>
        <v>0</v>
      </c>
      <c r="P199" s="169">
        <f>IF(Input!P173&gt;0, -SUM(P187:P198), 0)</f>
        <v>0</v>
      </c>
      <c r="Q199" s="169">
        <f>IF(Input!Q173&gt;0, -SUM(Q187:Q198), 0)</f>
        <v>0</v>
      </c>
      <c r="R199" s="68"/>
      <c r="S199" s="107"/>
      <c r="T199" s="107"/>
      <c r="U199" s="107"/>
      <c r="V199" s="107"/>
      <c r="W199" s="107"/>
      <c r="X199" s="107"/>
      <c r="Y199" s="107"/>
      <c r="Z199" s="107"/>
      <c r="AA199" s="107"/>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Other Non-System Assets (Corporate)</v>
      </c>
      <c r="D200" s="165"/>
      <c r="E200" s="34" t="s">
        <v>28</v>
      </c>
      <c r="F200" s="33"/>
      <c r="G200" s="181"/>
      <c r="H200" s="69" t="str">
        <f>IF(H$3&gt;A13remlife,A13value-SUM($G200:G200),IF(A13remlife="N/A","n/a",A13value/A13remlife))</f>
        <v>n/a</v>
      </c>
      <c r="I200" s="69" t="str">
        <f>IF(I$3&gt;A13remlife,A13value-SUM($G200:H200),IF(A13remlife="N/A","n/a",A13value/A13remlife))</f>
        <v>n/a</v>
      </c>
      <c r="J200" s="69" t="str">
        <f>IF(J$3&gt;A13remlife,A13value-SUM($G200:I200),IF(A13remlife="N/A","n/a",A13value/A13remlife))</f>
        <v>n/a</v>
      </c>
      <c r="K200" s="69" t="str">
        <f>IF(K$3&gt;A13remlife,A13value-SUM($G200:J200),IF(A13remlife="N/A","n/a",A13value/A13remlife))</f>
        <v>n/a</v>
      </c>
      <c r="L200" s="69" t="str">
        <f>IF(L$3&gt;A13remlife,A13value-SUM($G200:K200),IF(A13remlife="N/A","n/a",A13value/A13remlife))</f>
        <v>n/a</v>
      </c>
      <c r="M200" s="69" t="str">
        <f>IF(M$3&gt;A13remlife,A13value-SUM($G200:L200),IF(A13remlife="N/A","n/a",A13value/A13remlife))</f>
        <v>n/a</v>
      </c>
      <c r="N200" s="69" t="str">
        <f>IF(N$3&gt;A13remlife,A13value-SUM($G200:M200),IF(A13remlife="N/A","n/a",A13value/A13remlife))</f>
        <v>n/a</v>
      </c>
      <c r="O200" s="69" t="str">
        <f>IF(O$3&gt;A13remlife,A13value-SUM($G200:N200),IF(A13remlife="N/A","n/a",A13value/A13remlife))</f>
        <v>n/a</v>
      </c>
      <c r="P200" s="69" t="str">
        <f>IF(P$3&gt;A13remlife,A13value-SUM($G200:O200),IF(A13remlife="N/A","n/a",A13value/A13remlife))</f>
        <v>n/a</v>
      </c>
      <c r="Q200" s="69" t="str">
        <f>IF(Q$3&gt;A13remlife,A13value-SUM($G200:P200),IF(A13remlife="N/A","n/a",A13value/A13remlife))</f>
        <v>n/a</v>
      </c>
      <c r="R200" s="69"/>
      <c r="S200" s="105"/>
      <c r="T200" s="105"/>
      <c r="U200" s="105"/>
      <c r="V200" s="105"/>
      <c r="W200" s="105"/>
      <c r="X200" s="105"/>
      <c r="Y200" s="105"/>
      <c r="Z200" s="105"/>
      <c r="AA200" s="105"/>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33" t="s">
        <v>87</v>
      </c>
      <c r="F201" s="88">
        <v>0</v>
      </c>
      <c r="G201" s="126"/>
      <c r="H201" s="70"/>
      <c r="I201" s="70"/>
      <c r="J201" s="70"/>
      <c r="K201" s="70"/>
      <c r="L201" s="70"/>
      <c r="M201" s="167"/>
      <c r="N201" s="115"/>
      <c r="O201" s="70"/>
      <c r="P201" s="70"/>
      <c r="Q201" s="70"/>
      <c r="R201" s="70"/>
      <c r="S201" s="105"/>
      <c r="T201" s="105"/>
      <c r="U201" s="105"/>
      <c r="V201" s="105"/>
      <c r="W201" s="105"/>
      <c r="X201" s="105"/>
      <c r="Y201" s="105"/>
      <c r="Z201" s="105"/>
      <c r="AA201" s="105"/>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34"/>
      <c r="F202" s="88">
        <v>1</v>
      </c>
      <c r="G202" s="126"/>
      <c r="H202" s="149"/>
      <c r="I202" s="70">
        <f>IF(A13stdlife="n/a","n/a",IF(I$3&gt;(A13stdlife+$F202),(Input!$H$155*(1+vanilla1)^0.5)-SUM($H202:H202),(Input!$H$155*(1+vanilla1)^0.5)/A13stdlife))</f>
        <v>0.6481998334918353</v>
      </c>
      <c r="J202" s="70">
        <f>IF(A13stdlife="n/a","n/a",IF(J$3&gt;(A13stdlife+$F202),(Input!$H$155*(1+vanilla1)^0.5)-SUM($H202:I202),(Input!$H$155*(1+vanilla1)^0.5)/A13stdlife))</f>
        <v>0.6481998334918353</v>
      </c>
      <c r="K202" s="70">
        <f>IF(A13stdlife="n/a","n/a",IF(K$3&gt;(A13stdlife+$F202),(Input!$H$155*(1+vanilla1)^0.5)-SUM($H202:J202),(Input!$H$155*(1+vanilla1)^0.5)/A13stdlife))</f>
        <v>0.6481998334918353</v>
      </c>
      <c r="L202" s="70">
        <f>IF(A13stdlife="n/a","n/a",IF(L$3&gt;(A13stdlife+$F202),(Input!$H$155*(1+vanilla1)^0.5)-SUM($H202:K202),(Input!$H$155*(1+vanilla1)^0.5)/A13stdlife))</f>
        <v>0.6481998334918353</v>
      </c>
      <c r="M202" s="70">
        <f>IF(A13stdlife="n/a","n/a",IF(M$3&gt;(A13stdlife+$F202),(Input!$H$155*(1+vanilla1)^0.5)-SUM($H202:L202),(Input!$H$155*(1+vanilla1)^0.5)/A13stdlife))</f>
        <v>0.6481998334918353</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34"/>
      <c r="F203" s="88">
        <v>2</v>
      </c>
      <c r="G203" s="126"/>
      <c r="H203" s="150"/>
      <c r="I203" s="151"/>
      <c r="J203" s="70">
        <f>IF(A13stdlife="n/a","n/a",IF(J$3&gt;(A13stdlife+$F203),(Input!$I$155*(1+vanilla2)^0.5)-SUM($I203:I203),(Input!$I$155*(1+vanilla2)^0.5)/A13stdlife))</f>
        <v>0.76574082941891519</v>
      </c>
      <c r="K203" s="70">
        <f>IF(A13stdlife="n/a","n/a",IF(K$3&gt;(A13stdlife+$F203),(Input!$I$155*(1+vanilla2)^0.5)-SUM($I203:J203),(Input!$I$155*(1+vanilla2)^0.5)/A13stdlife))</f>
        <v>0.76574082941891519</v>
      </c>
      <c r="L203" s="70">
        <f>IF(A13stdlife="n/a","n/a",IF(L$3&gt;(A13stdlife+$F203),(Input!$I$155*(1+vanilla2)^0.5)-SUM($I203:K203),(Input!$I$155*(1+vanilla2)^0.5)/A13stdlife))</f>
        <v>0.76574082941891519</v>
      </c>
      <c r="M203" s="70">
        <f>IF(A13stdlife="n/a","n/a",IF(M$3&gt;(A13stdlife+$F203),(Input!$I$155*(1+vanilla2)^0.5)-SUM($I203:L203),(Input!$I$155*(1+vanilla2)^0.5)/A13stdlife))</f>
        <v>0.76574082941891519</v>
      </c>
      <c r="N203" s="70">
        <f>IF(A13stdlife="n/a","n/a",IF(N$3&gt;(A13stdlife+$F203),(Input!$I$155*(1+vanilla2)^0.5)-SUM($I203:M203),(Input!$I$155*(1+vanilla2)^0.5)/A13stdlife))</f>
        <v>0.76574082941891519</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34"/>
      <c r="F204" s="88">
        <v>3</v>
      </c>
      <c r="G204" s="126"/>
      <c r="H204" s="150"/>
      <c r="I204" s="152"/>
      <c r="J204" s="151"/>
      <c r="K204" s="70">
        <f>IF(A13stdlife="n/a","n/a",IF(K$3&gt;(A13stdlife+$F204),(Input!$J$155*(1+vanilla3)^0.5)-SUM($J204:J204),(Input!$J$155*(1+vanilla3)^0.5)/A13stdlife))</f>
        <v>0.11305388467771423</v>
      </c>
      <c r="L204" s="70">
        <f>IF(A13stdlife="n/a","n/a",IF(L$3&gt;(A13stdlife+$F204),(Input!$J$155*(1+vanilla3)^0.5)-SUM($J204:K204),(Input!$J$155*(1+vanilla3)^0.5)/A13stdlife))</f>
        <v>0.11305388467771423</v>
      </c>
      <c r="M204" s="70">
        <f>IF(A13stdlife="n/a","n/a",IF(M$3&gt;(A13stdlife+$F204),(Input!$J$155*(1+vanilla3)^0.5)-SUM($J204:L204),(Input!$J$155*(1+vanilla3)^0.5)/A13stdlife))</f>
        <v>0.11305388467771423</v>
      </c>
      <c r="N204" s="70">
        <f>IF(A13stdlife="n/a","n/a",IF(N$3&gt;(A13stdlife+$F204),(Input!$J$155*(1+vanilla3)^0.5)-SUM($J204:M204),(Input!$J$155*(1+vanilla3)^0.5)/A13stdlife))</f>
        <v>0.11305388467771423</v>
      </c>
      <c r="O204" s="70">
        <f>IF(A13stdlife="n/a","n/a",IF(O$3&gt;(A13stdlife+$F204),(Input!$J$155*(1+vanilla3)^0.5)-SUM($J204:N204),(Input!$J$155*(1+vanilla3)^0.5)/A13stdlife))</f>
        <v>0.11305388467771423</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34"/>
      <c r="F205" s="88">
        <v>4</v>
      </c>
      <c r="G205" s="126"/>
      <c r="H205" s="150"/>
      <c r="I205" s="152"/>
      <c r="J205" s="152"/>
      <c r="K205" s="151"/>
      <c r="L205" s="70">
        <f>IF(A13stdlife="n/a","n/a",IF(L$3&gt;(A13stdlife+$F205),(Input!$K$155*(1+vanilla4)^0.5)-SUM($K205:K205),(Input!$K$155*(1+vanilla4)^0.5)/A13stdlife))</f>
        <v>0.12133151128317114</v>
      </c>
      <c r="M205" s="70">
        <f>IF(A13stdlife="n/a","n/a",IF(M$3&gt;(A13stdlife+$F205),(Input!$K$155*(1+vanilla4)^0.5)-SUM($K205:L205),(Input!$K$155*(1+vanilla4)^0.5)/A13stdlife))</f>
        <v>0.12133151128317114</v>
      </c>
      <c r="N205" s="70">
        <f>IF(A13stdlife="n/a","n/a",IF(N$3&gt;(A13stdlife+$F205),(Input!$K$155*(1+vanilla4)^0.5)-SUM($K205:M205),(Input!$K$155*(1+vanilla4)^0.5)/A13stdlife))</f>
        <v>0.12133151128317114</v>
      </c>
      <c r="O205" s="70">
        <f>IF(A13stdlife="n/a","n/a",IF(O$3&gt;(A13stdlife+$F205),(Input!$K$155*(1+vanilla4)^0.5)-SUM($K205:N205),(Input!$K$155*(1+vanilla4)^0.5)/A13stdlife))</f>
        <v>0.12133151128317114</v>
      </c>
      <c r="P205" s="70">
        <f>IF(A13stdlife="n/a","n/a",IF(P$3&gt;(A13stdlife+$F205),(Input!$K$155*(1+vanilla4)^0.5)-SUM($K205:O205),(Input!$K$155*(1+vanilla4)^0.5)/A13stdlife))</f>
        <v>0.12133151128317114</v>
      </c>
      <c r="Q205" s="70">
        <f>IF(A13stdlife="n/a","n/a",IF(Q$3&gt;(A13stdlife+$F205),(Input!$K$155*(1+vanilla4)^0.5)-SUM($K205:P205),(Input!$K$155*(1+vanilla4)^0.5)/A13stdlife))</f>
        <v>0</v>
      </c>
      <c r="R205" s="70"/>
      <c r="S205" s="105"/>
      <c r="T205" s="105"/>
      <c r="U205" s="105"/>
      <c r="V205" s="105"/>
      <c r="W205" s="105"/>
      <c r="X205" s="105"/>
      <c r="Y205" s="105"/>
      <c r="Z205" s="105"/>
      <c r="AA205" s="105"/>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34"/>
      <c r="F206" s="88">
        <v>5</v>
      </c>
      <c r="G206" s="27"/>
      <c r="H206" s="150"/>
      <c r="I206" s="152"/>
      <c r="J206" s="152"/>
      <c r="K206" s="152"/>
      <c r="L206" s="151"/>
      <c r="M206" s="70">
        <f>IF(A13stdlife="n/a","n/a",IF(M$3&gt;(A13stdlife+$F206),(Input!$L$155*(1+vanilla5)^0.5)-SUM($L206:L206),(Input!$L$155*(1+vanilla5)^0.5)/A13stdlife))</f>
        <v>0.20883891129994434</v>
      </c>
      <c r="N206" s="70">
        <f>IF(A13stdlife="n/a","n/a",IF(N$3&gt;(A13stdlife+$F206),(Input!$L$155*(1+vanilla5)^0.5)-SUM($L206:M206),(Input!$L$155*(1+vanilla5)^0.5)/A13stdlife))</f>
        <v>0.20883891129994434</v>
      </c>
      <c r="O206" s="70">
        <f>IF(A13stdlife="n/a","n/a",IF(O$3&gt;(A13stdlife+$F206),(Input!$L$155*(1+vanilla5)^0.5)-SUM($L206:N206),(Input!$L$155*(1+vanilla5)^0.5)/A13stdlife))</f>
        <v>0.20883891129994434</v>
      </c>
      <c r="P206" s="70">
        <f>IF(A13stdlife="n/a","n/a",IF(P$3&gt;(A13stdlife+$F206),(Input!$L$155*(1+vanilla5)^0.5)-SUM($L206:O206),(Input!$L$155*(1+vanilla5)^0.5)/A13stdlife))</f>
        <v>0.20883891129994434</v>
      </c>
      <c r="Q206" s="70">
        <f>IF(A13stdlife="n/a","n/a",IF(Q$3&gt;(A13stdlife+$F206),(Input!$L$155*(1+vanilla5)^0.5)-SUM($L206:P206),(Input!$L$155*(1+vanilla5)^0.5)/A13stdlife))</f>
        <v>0.20883891129994434</v>
      </c>
      <c r="R206" s="70"/>
      <c r="S206" s="105"/>
      <c r="T206" s="105"/>
      <c r="U206" s="105"/>
      <c r="V206" s="105"/>
      <c r="W206" s="105"/>
      <c r="X206" s="105"/>
      <c r="Y206" s="105"/>
      <c r="Z206" s="105"/>
      <c r="AA206" s="105"/>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34"/>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34"/>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34"/>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34"/>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5"/>
      <c r="T210" s="105"/>
      <c r="U210" s="105"/>
      <c r="V210" s="105"/>
      <c r="W210" s="105"/>
      <c r="X210" s="105"/>
      <c r="Y210" s="105"/>
      <c r="Z210" s="105"/>
      <c r="AA210" s="105"/>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34"/>
      <c r="F211" s="89">
        <v>10</v>
      </c>
      <c r="G211" s="27"/>
      <c r="H211" s="150"/>
      <c r="I211" s="152"/>
      <c r="J211" s="152"/>
      <c r="K211" s="152"/>
      <c r="L211" s="152"/>
      <c r="M211" s="152"/>
      <c r="N211" s="152"/>
      <c r="O211" s="152"/>
      <c r="P211" s="152"/>
      <c r="Q211" s="151"/>
      <c r="R211" s="70"/>
      <c r="S211" s="105"/>
      <c r="T211" s="105"/>
      <c r="U211" s="105"/>
      <c r="V211" s="105"/>
      <c r="W211" s="105"/>
      <c r="X211" s="105"/>
      <c r="Y211" s="105"/>
      <c r="Z211" s="105"/>
      <c r="AA211" s="105"/>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Other Non-System Assets (Corporate)</v>
      </c>
      <c r="E212" s="9"/>
      <c r="F212" s="9"/>
      <c r="G212" s="126"/>
      <c r="H212" s="169">
        <f>-SUM(H200:H211)</f>
        <v>0</v>
      </c>
      <c r="I212" s="169">
        <f>-SUM(I200:I211)</f>
        <v>-0.6481998334918353</v>
      </c>
      <c r="J212" s="169">
        <f>-SUM(J200:J211)</f>
        <v>-1.4139406629107505</v>
      </c>
      <c r="K212" s="169">
        <f>-SUM(K200:K211)</f>
        <v>-1.5269945475884648</v>
      </c>
      <c r="L212" s="169">
        <f>-SUM(L200:L211)</f>
        <v>-1.648326058871636</v>
      </c>
      <c r="M212" s="169">
        <f>IF(Input!M173&gt;0, -SUM(M200:M211), 0)</f>
        <v>0</v>
      </c>
      <c r="N212" s="169">
        <f>IF(Input!N173&gt;0, -SUM(N200:N211), 0)</f>
        <v>0</v>
      </c>
      <c r="O212" s="169">
        <f>IF(Input!O173&gt;0, -SUM(O200:O211), 0)</f>
        <v>0</v>
      </c>
      <c r="P212" s="169">
        <f>IF(Input!P173&gt;0, -SUM(P200:P211), 0)</f>
        <v>0</v>
      </c>
      <c r="Q212" s="169">
        <f>IF(Input!Q173&gt;0, -SUM(Q200:Q211), 0)</f>
        <v>0</v>
      </c>
      <c r="R212" s="68"/>
      <c r="S212" s="107"/>
      <c r="T212" s="107"/>
      <c r="U212" s="107"/>
      <c r="V212" s="107"/>
      <c r="W212" s="107"/>
      <c r="X212" s="107"/>
      <c r="Y212" s="107"/>
      <c r="Z212" s="107"/>
      <c r="AA212" s="107"/>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Land</v>
      </c>
      <c r="D213" s="165"/>
      <c r="E213" s="34" t="s">
        <v>28</v>
      </c>
      <c r="F213" s="33"/>
      <c r="G213" s="181"/>
      <c r="H213" s="69" t="str">
        <f>IF(H$3&gt;A14remlife,A14value-SUM($G213:G213),IF(A14remlife="N/A","n/a",A14value/A14remlife))</f>
        <v>n/a</v>
      </c>
      <c r="I213" s="69" t="str">
        <f>IF(I$3&gt;A14remlife,A14value-SUM($G213:H213),IF(A14remlife="N/A","n/a",A14value/A14remlife))</f>
        <v>n/a</v>
      </c>
      <c r="J213" s="69" t="str">
        <f>IF(J$3&gt;A14remlife,A14value-SUM($G213:I213),IF(A14remlife="N/A","n/a",A14value/A14remlife))</f>
        <v>n/a</v>
      </c>
      <c r="K213" s="69" t="str">
        <f>IF(K$3&gt;A14remlife,A14value-SUM($G213:J213),IF(A14remlife="N/A","n/a",A14value/A14remlife))</f>
        <v>n/a</v>
      </c>
      <c r="L213" s="69" t="str">
        <f>IF(L$3&gt;A14remlife,A14value-SUM($G213:K213),IF(A14remlife="N/A","n/a",A14value/A14remlife))</f>
        <v>n/a</v>
      </c>
      <c r="M213" s="69" t="str">
        <f>IF(M$3&gt;A14remlife,A14value-SUM($G213:L213),IF(A14remlife="N/A","n/a",A14value/A14remlife))</f>
        <v>n/a</v>
      </c>
      <c r="N213" s="69" t="str">
        <f>IF(N$3&gt;A14remlife,A14value-SUM($G213:M213),IF(A14remlife="N/A","n/a",A14value/A14remlife))</f>
        <v>n/a</v>
      </c>
      <c r="O213" s="69" t="str">
        <f>IF(O$3&gt;A14remlife,A14value-SUM($G213:N213),IF(A14remlife="N/A","n/a",A14value/A14remlife))</f>
        <v>n/a</v>
      </c>
      <c r="P213" s="69" t="str">
        <f>IF(P$3&gt;A14remlife,A14value-SUM($G213:O213),IF(A14remlife="N/A","n/a",A14value/A14remlife))</f>
        <v>n/a</v>
      </c>
      <c r="Q213" s="69" t="str">
        <f>IF(Q$3&gt;A14remlife,A14value-SUM($G213:P213),IF(A14remlife="N/A","n/a",A14value/A14remlife))</f>
        <v>n/a</v>
      </c>
      <c r="R213" s="69"/>
      <c r="S213" s="105"/>
      <c r="T213" s="105"/>
      <c r="U213" s="105"/>
      <c r="V213" s="105"/>
      <c r="W213" s="105"/>
      <c r="X213" s="105"/>
      <c r="Y213" s="105"/>
      <c r="Z213" s="105"/>
      <c r="AA213" s="105"/>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33" t="s">
        <v>87</v>
      </c>
      <c r="F214" s="88">
        <v>0</v>
      </c>
      <c r="G214" s="126"/>
      <c r="H214" s="70"/>
      <c r="I214" s="70"/>
      <c r="J214" s="70"/>
      <c r="K214" s="70"/>
      <c r="L214" s="70"/>
      <c r="M214" s="167"/>
      <c r="N214" s="115"/>
      <c r="O214" s="70"/>
      <c r="P214" s="70"/>
      <c r="Q214" s="70"/>
      <c r="R214" s="70"/>
      <c r="S214" s="105"/>
      <c r="T214" s="105"/>
      <c r="U214" s="105"/>
      <c r="V214" s="105"/>
      <c r="W214" s="105"/>
      <c r="X214" s="105"/>
      <c r="Y214" s="105"/>
      <c r="Z214" s="105"/>
      <c r="AA214" s="105"/>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34"/>
      <c r="F215" s="88">
        <v>1</v>
      </c>
      <c r="G215" s="126"/>
      <c r="H215" s="149"/>
      <c r="I215" s="70" t="str">
        <f>IF(A14stdlife="n/a","n/a",IF(I$3&gt;(A14stdlife+$F215),(Input!$H$156*(1+vanilla1)^0.5)-SUM($H215:H215),(Input!$H$156*(1+vanilla1)^0.5)/A14stdlife))</f>
        <v>n/a</v>
      </c>
      <c r="J215" s="70" t="str">
        <f>IF(A14stdlife="n/a","n/a",IF(J$3&gt;(A14stdlife+$F215),(Input!$H$156*(1+vanilla1)^0.5)-SUM($H215:I215),(Input!$H$156*(1+vanilla1)^0.5)/A14stdlife))</f>
        <v>n/a</v>
      </c>
      <c r="K215" s="70" t="str">
        <f>IF(A14stdlife="n/a","n/a",IF(K$3&gt;(A14stdlife+$F215),(Input!$H$156*(1+vanilla1)^0.5)-SUM($H215:J215),(Input!$H$156*(1+vanilla1)^0.5)/A14stdlife))</f>
        <v>n/a</v>
      </c>
      <c r="L215" s="70" t="str">
        <f>IF(A14stdlife="n/a","n/a",IF(L$3&gt;(A14stdlife+$F215),(Input!$H$156*(1+vanilla1)^0.5)-SUM($H215:K215),(Input!$H$156*(1+vanilla1)^0.5)/A14stdlife))</f>
        <v>n/a</v>
      </c>
      <c r="M215" s="70" t="str">
        <f>IF(A14stdlife="n/a","n/a",IF(M$3&gt;(A14stdlife+$F215),(Input!$H$156*(1+vanilla1)^0.5)-SUM($H215:L215),(Input!$H$156*(1+vanilla1)^0.5)/A14stdlife))</f>
        <v>n/a</v>
      </c>
      <c r="N215" s="70" t="str">
        <f>IF(A14stdlife="n/a","n/a",IF(N$3&gt;(A14stdlife+$F215),(Input!$H$156*(1+vanilla1)^0.5)-SUM($H215:M215),(Input!$H$156*(1+vanilla1)^0.5)/A14stdlife))</f>
        <v>n/a</v>
      </c>
      <c r="O215" s="70" t="str">
        <f>IF(A14stdlife="n/a","n/a",IF(O$3&gt;(A14stdlife+$F215),(Input!$H$156*(1+vanilla1)^0.5)-SUM($H215:N215),(Input!$H$156*(1+vanilla1)^0.5)/A14stdlife))</f>
        <v>n/a</v>
      </c>
      <c r="P215" s="70" t="str">
        <f>IF(A14stdlife="n/a","n/a",IF(P$3&gt;(A14stdlife+$F215),(Input!$H$156*(1+vanilla1)^0.5)-SUM($H215:O215),(Input!$H$156*(1+vanilla1)^0.5)/A14stdlife))</f>
        <v>n/a</v>
      </c>
      <c r="Q215" s="70" t="str">
        <f>IF(A14stdlife="n/a","n/a",IF(Q$3&gt;(A14stdlife+$F215),(Input!$H$156*(1+vanilla1)^0.5)-SUM($H215:P215),(Input!$H$156*(1+vanilla1)^0.5)/A14stdlife))</f>
        <v>n/a</v>
      </c>
      <c r="R215" s="70"/>
      <c r="S215" s="105"/>
      <c r="T215" s="105"/>
      <c r="U215" s="105"/>
      <c r="V215" s="105"/>
      <c r="W215" s="105"/>
      <c r="X215" s="105"/>
      <c r="Y215" s="105"/>
      <c r="Z215" s="105"/>
      <c r="AA215" s="105"/>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34"/>
      <c r="F216" s="88">
        <v>2</v>
      </c>
      <c r="G216" s="126"/>
      <c r="H216" s="150"/>
      <c r="I216" s="151"/>
      <c r="J216" s="70" t="str">
        <f>IF(A14stdlife="n/a","n/a",IF(J$3&gt;(A14stdlife+$F216),(Input!$I$156*(1+vanilla2)^0.5)-SUM($I216:I216),(Input!$I$156*(1+vanilla2)^0.5)/A14stdlife))</f>
        <v>n/a</v>
      </c>
      <c r="K216" s="70" t="str">
        <f>IF(A14stdlife="n/a","n/a",IF(K$3&gt;(A14stdlife+$F216),(Input!$I$156*(1+vanilla2)^0.5)-SUM($I216:J216),(Input!$I$156*(1+vanilla2)^0.5)/A14stdlife))</f>
        <v>n/a</v>
      </c>
      <c r="L216" s="70" t="str">
        <f>IF(A14stdlife="n/a","n/a",IF(L$3&gt;(A14stdlife+$F216),(Input!$I$156*(1+vanilla2)^0.5)-SUM($I216:K216),(Input!$I$156*(1+vanilla2)^0.5)/A14stdlife))</f>
        <v>n/a</v>
      </c>
      <c r="M216" s="70" t="str">
        <f>IF(A14stdlife="n/a","n/a",IF(M$3&gt;(A14stdlife+$F216),(Input!$I$156*(1+vanilla2)^0.5)-SUM($I216:L216),(Input!$I$156*(1+vanilla2)^0.5)/A14stdlife))</f>
        <v>n/a</v>
      </c>
      <c r="N216" s="70" t="str">
        <f>IF(A14stdlife="n/a","n/a",IF(N$3&gt;(A14stdlife+$F216),(Input!$I$156*(1+vanilla2)^0.5)-SUM($I216:M216),(Input!$I$156*(1+vanilla2)^0.5)/A14stdlife))</f>
        <v>n/a</v>
      </c>
      <c r="O216" s="70" t="str">
        <f>IF(A14stdlife="n/a","n/a",IF(O$3&gt;(A14stdlife+$F216),(Input!$I$156*(1+vanilla2)^0.5)-SUM($I216:N216),(Input!$I$156*(1+vanilla2)^0.5)/A14stdlife))</f>
        <v>n/a</v>
      </c>
      <c r="P216" s="70" t="str">
        <f>IF(A14stdlife="n/a","n/a",IF(P$3&gt;(A14stdlife+$F216),(Input!$I$156*(1+vanilla2)^0.5)-SUM($I216:O216),(Input!$I$156*(1+vanilla2)^0.5)/A14stdlife))</f>
        <v>n/a</v>
      </c>
      <c r="Q216" s="70" t="str">
        <f>IF(A14stdlife="n/a","n/a",IF(Q$3&gt;(A14stdlife+$F216),(Input!$I$156*(1+vanilla2)^0.5)-SUM($I216:P216),(Input!$I$156*(1+vanilla2)^0.5)/A14stdlife))</f>
        <v>n/a</v>
      </c>
      <c r="R216" s="70"/>
      <c r="S216" s="105"/>
      <c r="T216" s="105"/>
      <c r="U216" s="105"/>
      <c r="V216" s="105"/>
      <c r="W216" s="105"/>
      <c r="X216" s="105"/>
      <c r="Y216" s="105"/>
      <c r="Z216" s="105"/>
      <c r="AA216" s="105"/>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34"/>
      <c r="F217" s="88">
        <v>3</v>
      </c>
      <c r="G217" s="126"/>
      <c r="H217" s="150"/>
      <c r="I217" s="152"/>
      <c r="J217" s="151"/>
      <c r="K217" s="70" t="str">
        <f>IF(A14stdlife="n/a","n/a",IF(K$3&gt;(A14stdlife+$F217),(Input!$J$156*(1+vanilla3)^0.5)-SUM($J217:J217),(Input!$J$156*(1+vanilla3)^0.5)/A14stdlife))</f>
        <v>n/a</v>
      </c>
      <c r="L217" s="70" t="str">
        <f>IF(A14stdlife="n/a","n/a",IF(L$3&gt;(A14stdlife+$F217),(Input!$J$156*(1+vanilla3)^0.5)-SUM($J217:K217),(Input!$J$156*(1+vanilla3)^0.5)/A14stdlife))</f>
        <v>n/a</v>
      </c>
      <c r="M217" s="70" t="str">
        <f>IF(A14stdlife="n/a","n/a",IF(M$3&gt;(A14stdlife+$F217),(Input!$J$156*(1+vanilla3)^0.5)-SUM($J217:L217),(Input!$J$156*(1+vanilla3)^0.5)/A14stdlife))</f>
        <v>n/a</v>
      </c>
      <c r="N217" s="70" t="str">
        <f>IF(A14stdlife="n/a","n/a",IF(N$3&gt;(A14stdlife+$F217),(Input!$J$156*(1+vanilla3)^0.5)-SUM($J217:M217),(Input!$J$156*(1+vanilla3)^0.5)/A14stdlife))</f>
        <v>n/a</v>
      </c>
      <c r="O217" s="70" t="str">
        <f>IF(A14stdlife="n/a","n/a",IF(O$3&gt;(A14stdlife+$F217),(Input!$J$156*(1+vanilla3)^0.5)-SUM($J217:N217),(Input!$J$156*(1+vanilla3)^0.5)/A14stdlife))</f>
        <v>n/a</v>
      </c>
      <c r="P217" s="70" t="str">
        <f>IF(A14stdlife="n/a","n/a",IF(P$3&gt;(A14stdlife+$F217),(Input!$J$156*(1+vanilla3)^0.5)-SUM($J217:O217),(Input!$J$156*(1+vanilla3)^0.5)/A14stdlife))</f>
        <v>n/a</v>
      </c>
      <c r="Q217" s="70" t="str">
        <f>IF(A14stdlife="n/a","n/a",IF(Q$3&gt;(A14stdlife+$F217),(Input!$J$156*(1+vanilla3)^0.5)-SUM($J217:P217),(Input!$J$156*(1+vanilla3)^0.5)/A14stdlife))</f>
        <v>n/a</v>
      </c>
      <c r="R217" s="70"/>
      <c r="S217" s="105"/>
      <c r="T217" s="105"/>
      <c r="U217" s="105"/>
      <c r="V217" s="105"/>
      <c r="W217" s="105"/>
      <c r="X217" s="105"/>
      <c r="Y217" s="105"/>
      <c r="Z217" s="105"/>
      <c r="AA217" s="105"/>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34"/>
      <c r="F218" s="88">
        <v>4</v>
      </c>
      <c r="G218" s="126"/>
      <c r="H218" s="150"/>
      <c r="I218" s="152"/>
      <c r="J218" s="152"/>
      <c r="K218" s="151"/>
      <c r="L218" s="70" t="str">
        <f>IF(A14stdlife="n/a","n/a",IF(L$3&gt;(A14stdlife+$F218),(Input!$K$156*(1+vanilla4)^0.5)-SUM($K218:K218),(Input!$K$156*(1+vanilla4)^0.5)/A14stdlife))</f>
        <v>n/a</v>
      </c>
      <c r="M218" s="70" t="str">
        <f>IF(A14stdlife="n/a","n/a",IF(M$3&gt;(A14stdlife+$F218),(Input!$K$156*(1+vanilla4)^0.5)-SUM($K218:L218),(Input!$K$156*(1+vanilla4)^0.5)/A14stdlife))</f>
        <v>n/a</v>
      </c>
      <c r="N218" s="70" t="str">
        <f>IF(A14stdlife="n/a","n/a",IF(N$3&gt;(A14stdlife+$F218),(Input!$K$156*(1+vanilla4)^0.5)-SUM($K218:M218),(Input!$K$156*(1+vanilla4)^0.5)/A14stdlife))</f>
        <v>n/a</v>
      </c>
      <c r="O218" s="70" t="str">
        <f>IF(A14stdlife="n/a","n/a",IF(O$3&gt;(A14stdlife+$F218),(Input!$K$156*(1+vanilla4)^0.5)-SUM($K218:N218),(Input!$K$156*(1+vanilla4)^0.5)/A14stdlife))</f>
        <v>n/a</v>
      </c>
      <c r="P218" s="70" t="str">
        <f>IF(A14stdlife="n/a","n/a",IF(P$3&gt;(A14stdlife+$F218),(Input!$K$156*(1+vanilla4)^0.5)-SUM($K218:O218),(Input!$K$156*(1+vanilla4)^0.5)/A14stdlife))</f>
        <v>n/a</v>
      </c>
      <c r="Q218" s="70" t="str">
        <f>IF(A14stdlife="n/a","n/a",IF(Q$3&gt;(A14stdlife+$F218),(Input!$K$156*(1+vanilla4)^0.5)-SUM($K218:P218),(Input!$K$156*(1+vanilla4)^0.5)/A14stdlife))</f>
        <v>n/a</v>
      </c>
      <c r="R218" s="70"/>
      <c r="S218" s="105"/>
      <c r="T218" s="105"/>
      <c r="U218" s="105"/>
      <c r="V218" s="105"/>
      <c r="W218" s="105"/>
      <c r="X218" s="105"/>
      <c r="Y218" s="105"/>
      <c r="Z218" s="105"/>
      <c r="AA218" s="105"/>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34"/>
      <c r="F219" s="88">
        <v>5</v>
      </c>
      <c r="G219" s="27"/>
      <c r="H219" s="150"/>
      <c r="I219" s="152"/>
      <c r="J219" s="152"/>
      <c r="K219" s="152"/>
      <c r="L219" s="151"/>
      <c r="M219" s="70" t="str">
        <f>IF(A14stdlife="n/a","n/a",IF(M$3&gt;(A14stdlife+$F219),(Input!$L$156*(1+vanilla5)^0.5)-SUM($L219:L219),(Input!$L$156*(1+vanilla5)^0.5)/A14stdlife))</f>
        <v>n/a</v>
      </c>
      <c r="N219" s="70" t="str">
        <f>IF(A14stdlife="n/a","n/a",IF(N$3&gt;(A14stdlife+$F219),(Input!$L$156*(1+vanilla5)^0.5)-SUM($L219:M219),(Input!$L$156*(1+vanilla5)^0.5)/A14stdlife))</f>
        <v>n/a</v>
      </c>
      <c r="O219" s="70" t="str">
        <f>IF(A14stdlife="n/a","n/a",IF(O$3&gt;(A14stdlife+$F219),(Input!$L$156*(1+vanilla5)^0.5)-SUM($L219:N219),(Input!$L$156*(1+vanilla5)^0.5)/A14stdlife))</f>
        <v>n/a</v>
      </c>
      <c r="P219" s="70" t="str">
        <f>IF(A14stdlife="n/a","n/a",IF(P$3&gt;(A14stdlife+$F219),(Input!$L$156*(1+vanilla5)^0.5)-SUM($L219:O219),(Input!$L$156*(1+vanilla5)^0.5)/A14stdlife))</f>
        <v>n/a</v>
      </c>
      <c r="Q219" s="70" t="str">
        <f>IF(A14stdlife="n/a","n/a",IF(Q$3&gt;(A14stdlife+$F219),(Input!$L$156*(1+vanilla5)^0.5)-SUM($L219:P219),(Input!$L$156*(1+vanilla5)^0.5)/A14stdlife))</f>
        <v>n/a</v>
      </c>
      <c r="R219" s="70"/>
      <c r="S219" s="105"/>
      <c r="T219" s="105"/>
      <c r="U219" s="105"/>
      <c r="V219" s="105"/>
      <c r="W219" s="105"/>
      <c r="X219" s="105"/>
      <c r="Y219" s="105"/>
      <c r="Z219" s="105"/>
      <c r="AA219" s="105"/>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34"/>
      <c r="F220" s="88">
        <v>6</v>
      </c>
      <c r="G220" s="27"/>
      <c r="H220" s="150"/>
      <c r="I220" s="152"/>
      <c r="J220" s="152"/>
      <c r="K220" s="152"/>
      <c r="L220" s="152"/>
      <c r="M220" s="151"/>
      <c r="N220" s="70" t="str">
        <f>IF(A14stdlife="n/a","n/a",IF(N$3&gt;(A14stdlife+$F220),(Input!$M$156*(1+vanilla6)^0.5)-SUM($M220:M220),(Input!$IL$156*(1+vanilla6)^0.5)/A14stdlife))</f>
        <v>n/a</v>
      </c>
      <c r="O220" s="70" t="str">
        <f>IF(A14stdlife="n/a","n/a",IF(O$3&gt;(A14stdlife+$F220),(Input!$M$156*(1+vanilla6)^0.5)-SUM($M220:N220),(Input!$IL$156*(1+vanilla6)^0.5)/A14stdlife))</f>
        <v>n/a</v>
      </c>
      <c r="P220" s="70" t="str">
        <f>IF(A14stdlife="n/a","n/a",IF(P$3&gt;(A14stdlife+$F220),(Input!$M$156*(1+vanilla6)^0.5)-SUM($M220:O220),(Input!$IL$156*(1+vanilla6)^0.5)/A14stdlife))</f>
        <v>n/a</v>
      </c>
      <c r="Q220" s="70" t="str">
        <f>IF(A14stdlife="n/a","n/a",IF(Q$3&gt;(A14stdlife+$F220),(Input!$M$156*(1+vanilla6)^0.5)-SUM($M220:P220),(Input!$IL$156*(1+vanilla6)^0.5)/A14stdlife))</f>
        <v>n/a</v>
      </c>
      <c r="R220" s="70"/>
      <c r="S220" s="105"/>
      <c r="T220" s="105"/>
      <c r="U220" s="105"/>
      <c r="V220" s="105"/>
      <c r="W220" s="105"/>
      <c r="X220" s="105"/>
      <c r="Y220" s="105"/>
      <c r="Z220" s="105"/>
      <c r="AA220" s="105"/>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34"/>
      <c r="F221" s="88">
        <v>7</v>
      </c>
      <c r="G221" s="27"/>
      <c r="H221" s="150"/>
      <c r="I221" s="152"/>
      <c r="J221" s="152"/>
      <c r="K221" s="152"/>
      <c r="L221" s="152"/>
      <c r="M221" s="152"/>
      <c r="N221" s="151"/>
      <c r="O221" s="70" t="str">
        <f>IF(A14stdlife="n/a","n/a",IF(O$3&gt;(A14stdlife+$F221),(Input!$N$156*(1+vanilla7)^0.5)-SUM($N221:N221),(Input!$N$156*(1+vanilla7)^0.5)/A14stdlife))</f>
        <v>n/a</v>
      </c>
      <c r="P221" s="70" t="str">
        <f>IF(A14stdlife="n/a","n/a",IF(P$3&gt;(A14stdlife+$F221),(Input!$N$156*(1+vanilla7)^0.5)-SUM($N221:O221),(Input!$N$156*(1+vanilla7)^0.5)/A14stdlife))</f>
        <v>n/a</v>
      </c>
      <c r="Q221" s="70" t="str">
        <f>IF(A14stdlife="n/a","n/a",IF(Q$3&gt;(A14stdlife+$F221),(Input!$N$156*(1+vanilla7)^0.5)-SUM($N221:P221),(Input!$N$156*(1+vanilla7)^0.5)/A14stdlife))</f>
        <v>n/a</v>
      </c>
      <c r="R221" s="70"/>
      <c r="S221" s="105"/>
      <c r="T221" s="105"/>
      <c r="U221" s="105"/>
      <c r="V221" s="105"/>
      <c r="W221" s="105"/>
      <c r="X221" s="105"/>
      <c r="Y221" s="105"/>
      <c r="Z221" s="105"/>
      <c r="AA221" s="105"/>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34"/>
      <c r="F222" s="88">
        <v>8</v>
      </c>
      <c r="G222" s="27"/>
      <c r="H222" s="150"/>
      <c r="I222" s="152"/>
      <c r="J222" s="152"/>
      <c r="K222" s="152"/>
      <c r="L222" s="152"/>
      <c r="M222" s="152"/>
      <c r="N222" s="152"/>
      <c r="O222" s="151"/>
      <c r="P222" s="70" t="str">
        <f>IF(A14stdlife="n/a","n/a",IF(P$3&gt;(A14stdlife+$F222),(Input!$O$156*(1+vanilla8)^0.5)-SUM($O222:O222),(Input!$O$156*(1+vanilla8)^0.5)/A14stdlife))</f>
        <v>n/a</v>
      </c>
      <c r="Q222" s="70" t="str">
        <f>IF(A14stdlife="n/a","n/a",IF(Q$3&gt;(A14stdlife+$F222),(Input!$O$156*(1+vanilla8)^0.5)-SUM($O222:P222),(Input!$O$156*(1+vanilla8)^0.5)/A14stdlife))</f>
        <v>n/a</v>
      </c>
      <c r="R222" s="70"/>
      <c r="S222" s="105"/>
      <c r="T222" s="105"/>
      <c r="U222" s="105"/>
      <c r="V222" s="105"/>
      <c r="W222" s="105"/>
      <c r="X222" s="105"/>
      <c r="Y222" s="105"/>
      <c r="Z222" s="105"/>
      <c r="AA222" s="105"/>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34"/>
      <c r="F223" s="88">
        <v>9</v>
      </c>
      <c r="G223" s="27"/>
      <c r="H223" s="150"/>
      <c r="I223" s="152"/>
      <c r="J223" s="152"/>
      <c r="K223" s="152"/>
      <c r="L223" s="152"/>
      <c r="M223" s="152"/>
      <c r="N223" s="152"/>
      <c r="O223" s="152"/>
      <c r="P223" s="151"/>
      <c r="Q223" s="70" t="str">
        <f>IF(A14stdlife="n/a","n/a",IF(Q$3&gt;(A14stdlife+$F223),(Input!$P$156*(1+vanilla9)^0.5)-SUM($P223:P223),(Input!$P$156*(1+vanilla9)^0.5)/A14stdlife))</f>
        <v>n/a</v>
      </c>
      <c r="R223" s="70"/>
      <c r="S223" s="105"/>
      <c r="T223" s="105"/>
      <c r="U223" s="105"/>
      <c r="V223" s="105"/>
      <c r="W223" s="105"/>
      <c r="X223" s="105"/>
      <c r="Y223" s="105"/>
      <c r="Z223" s="105"/>
      <c r="AA223" s="105"/>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34"/>
      <c r="F224" s="89">
        <v>10</v>
      </c>
      <c r="G224" s="27"/>
      <c r="H224" s="150"/>
      <c r="I224" s="152"/>
      <c r="J224" s="152"/>
      <c r="K224" s="152"/>
      <c r="L224" s="152"/>
      <c r="M224" s="152"/>
      <c r="N224" s="152"/>
      <c r="O224" s="152"/>
      <c r="P224" s="152"/>
      <c r="Q224" s="151"/>
      <c r="R224" s="70"/>
      <c r="S224" s="105"/>
      <c r="T224" s="105"/>
      <c r="U224" s="105"/>
      <c r="V224" s="105"/>
      <c r="W224" s="105"/>
      <c r="X224" s="105"/>
      <c r="Y224" s="105"/>
      <c r="Z224" s="105"/>
      <c r="AA224" s="105"/>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t="str">
        <f>Asset14</f>
        <v>Land</v>
      </c>
      <c r="E225" s="9"/>
      <c r="F225" s="9"/>
      <c r="G225" s="126"/>
      <c r="H225" s="169">
        <f>-SUM(H213:H224)</f>
        <v>0</v>
      </c>
      <c r="I225" s="169">
        <f>-SUM(I213:I224)</f>
        <v>0</v>
      </c>
      <c r="J225" s="169">
        <f>-SUM(J213:J224)</f>
        <v>0</v>
      </c>
      <c r="K225" s="169">
        <f>-SUM(K213:K224)</f>
        <v>0</v>
      </c>
      <c r="L225" s="169">
        <f>-SUM(L213:L224)</f>
        <v>0</v>
      </c>
      <c r="M225" s="169">
        <f>IF(Input!M173&gt;0, -SUM(M213:M224), 0)</f>
        <v>0</v>
      </c>
      <c r="N225" s="169">
        <f>IF(Input!N173&gt;0, -SUM(N213:N224), 0)</f>
        <v>0</v>
      </c>
      <c r="O225" s="169">
        <f>IF(Input!O173&gt;0, -SUM(O213:O224), 0)</f>
        <v>0</v>
      </c>
      <c r="P225" s="169">
        <f>IF(Input!P173&gt;0, -SUM(P213:P224), 0)</f>
        <v>0</v>
      </c>
      <c r="Q225" s="169">
        <f>IF(Input!Q173&gt;0, -SUM(Q213:Q224), 0)</f>
        <v>0</v>
      </c>
      <c r="R225" s="68"/>
      <c r="S225" s="107"/>
      <c r="T225" s="107"/>
      <c r="U225" s="107"/>
      <c r="V225" s="107"/>
      <c r="W225" s="107"/>
      <c r="X225" s="107"/>
      <c r="Y225" s="107"/>
      <c r="Z225" s="107"/>
      <c r="AA225" s="107"/>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Buildings</v>
      </c>
      <c r="D226" s="165"/>
      <c r="E226" s="34" t="s">
        <v>28</v>
      </c>
      <c r="F226" s="33"/>
      <c r="G226" s="181"/>
      <c r="H226" s="69" t="str">
        <f>IF(H$3&gt;A15remlife,A15value-SUM($G226:G226),IF(A15remlife="N/A","n/a",A15value/A15remlife))</f>
        <v>n/a</v>
      </c>
      <c r="I226" s="69" t="str">
        <f>IF(I$3&gt;A15remlife,A15value-SUM($G226:H226),IF(A15remlife="N/A","n/a",A15value/A15remlife))</f>
        <v>n/a</v>
      </c>
      <c r="J226" s="69" t="str">
        <f>IF(J$3&gt;A15remlife,A15value-SUM($G226:I226),IF(A15remlife="N/A","n/a",A15value/A15remlife))</f>
        <v>n/a</v>
      </c>
      <c r="K226" s="69" t="str">
        <f>IF(K$3&gt;A15remlife,A15value-SUM($G226:J226),IF(A15remlife="N/A","n/a",A15value/A15remlife))</f>
        <v>n/a</v>
      </c>
      <c r="L226" s="69" t="str">
        <f>IF(L$3&gt;A15remlife,A15value-SUM($G226:K226),IF(A15remlife="N/A","n/a",A15value/A15remlife))</f>
        <v>n/a</v>
      </c>
      <c r="M226" s="69" t="str">
        <f>IF(M$3&gt;A15remlife,A15value-SUM($G226:L226),IF(A15remlife="N/A","n/a",A15value/A15remlife))</f>
        <v>n/a</v>
      </c>
      <c r="N226" s="69" t="str">
        <f>IF(N$3&gt;A15remlife,A15value-SUM($G226:M226),IF(A15remlife="N/A","n/a",A15value/A15remlife))</f>
        <v>n/a</v>
      </c>
      <c r="O226" s="69" t="str">
        <f>IF(O$3&gt;A15remlife,A15value-SUM($G226:N226),IF(A15remlife="N/A","n/a",A15value/A15remlife))</f>
        <v>n/a</v>
      </c>
      <c r="P226" s="69" t="str">
        <f>IF(P$3&gt;A15remlife,A15value-SUM($G226:O226),IF(A15remlife="N/A","n/a",A15value/A15remlife))</f>
        <v>n/a</v>
      </c>
      <c r="Q226" s="69" t="str">
        <f>IF(Q$3&gt;A15remlife,A15value-SUM($G226:P226),IF(A15remlife="N/A","n/a",A15value/A15remlife))</f>
        <v>n/a</v>
      </c>
      <c r="R226" s="69"/>
      <c r="S226" s="105"/>
      <c r="T226" s="105"/>
      <c r="U226" s="105"/>
      <c r="V226" s="105"/>
      <c r="W226" s="105"/>
      <c r="X226" s="105"/>
      <c r="Y226" s="105"/>
      <c r="Z226" s="105"/>
      <c r="AA226" s="105"/>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33" t="s">
        <v>87</v>
      </c>
      <c r="F227" s="88">
        <v>0</v>
      </c>
      <c r="G227" s="126"/>
      <c r="H227" s="70"/>
      <c r="I227" s="70"/>
      <c r="J227" s="70"/>
      <c r="K227" s="70"/>
      <c r="L227" s="70"/>
      <c r="M227" s="167"/>
      <c r="N227" s="115"/>
      <c r="O227" s="70"/>
      <c r="P227" s="70"/>
      <c r="Q227" s="70"/>
      <c r="R227" s="70"/>
      <c r="S227" s="105"/>
      <c r="T227" s="105"/>
      <c r="U227" s="105"/>
      <c r="V227" s="105"/>
      <c r="W227" s="105"/>
      <c r="X227" s="105"/>
      <c r="Y227" s="105"/>
      <c r="Z227" s="105"/>
      <c r="AA227" s="105"/>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34"/>
      <c r="F228" s="88">
        <v>1</v>
      </c>
      <c r="G228" s="126"/>
      <c r="H228" s="149"/>
      <c r="I228" s="70">
        <f>IF(A15stdlife="n/a","n/a",IF(I$3&gt;(A15stdlife+$F228),(Input!$H$157*(1+vanilla1)^0.5)-SUM($H228:H228),(Input!$H$157*(1+vanilla1)^0.5)/A15stdlife))</f>
        <v>9.948861634287294E-2</v>
      </c>
      <c r="J228" s="70">
        <f>IF(A15stdlife="n/a","n/a",IF(J$3&gt;(A15stdlife+$F228),(Input!$H$157*(1+vanilla1)^0.5)-SUM($H228:I228),(Input!$H$157*(1+vanilla1)^0.5)/A15stdlife))</f>
        <v>9.948861634287294E-2</v>
      </c>
      <c r="K228" s="70">
        <f>IF(A15stdlife="n/a","n/a",IF(K$3&gt;(A15stdlife+$F228),(Input!$H$157*(1+vanilla1)^0.5)-SUM($H228:J228),(Input!$H$157*(1+vanilla1)^0.5)/A15stdlife))</f>
        <v>9.948861634287294E-2</v>
      </c>
      <c r="L228" s="70">
        <f>IF(A15stdlife="n/a","n/a",IF(L$3&gt;(A15stdlife+$F228),(Input!$H$157*(1+vanilla1)^0.5)-SUM($H228:K228),(Input!$H$157*(1+vanilla1)^0.5)/A15stdlife))</f>
        <v>9.948861634287294E-2</v>
      </c>
      <c r="M228" s="70">
        <f>IF(A15stdlife="n/a","n/a",IF(M$3&gt;(A15stdlife+$F228),(Input!$H$157*(1+vanilla1)^0.5)-SUM($H228:L228),(Input!$H$157*(1+vanilla1)^0.5)/A15stdlife))</f>
        <v>9.948861634287294E-2</v>
      </c>
      <c r="N228" s="70">
        <f>IF(A15stdlife="n/a","n/a",IF(N$3&gt;(A15stdlife+$F228),(Input!$H$157*(1+vanilla1)^0.5)-SUM($H228:M228),(Input!$H$157*(1+vanilla1)^0.5)/A15stdlife))</f>
        <v>9.948861634287294E-2</v>
      </c>
      <c r="O228" s="70">
        <f>IF(A15stdlife="n/a","n/a",IF(O$3&gt;(A15stdlife+$F228),(Input!$H$157*(1+vanilla1)^0.5)-SUM($H228:N228),(Input!$H$157*(1+vanilla1)^0.5)/A15stdlife))</f>
        <v>9.948861634287294E-2</v>
      </c>
      <c r="P228" s="70">
        <f>IF(A15stdlife="n/a","n/a",IF(P$3&gt;(A15stdlife+$F228),(Input!$H$157*(1+vanilla1)^0.5)-SUM($H228:O228),(Input!$H$157*(1+vanilla1)^0.5)/A15stdlife))</f>
        <v>9.948861634287294E-2</v>
      </c>
      <c r="Q228" s="70">
        <f>IF(A15stdlife="n/a","n/a",IF(Q$3&gt;(A15stdlife+$F228),(Input!$H$157*(1+vanilla1)^0.5)-SUM($H228:P228),(Input!$H$157*(1+vanilla1)^0.5)/A15stdlife))</f>
        <v>9.948861634287294E-2</v>
      </c>
      <c r="R228" s="70"/>
      <c r="S228" s="105"/>
      <c r="T228" s="105"/>
      <c r="U228" s="105"/>
      <c r="V228" s="105"/>
      <c r="W228" s="105"/>
      <c r="X228" s="105"/>
      <c r="Y228" s="105"/>
      <c r="Z228" s="105"/>
      <c r="AA228" s="105"/>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34"/>
      <c r="F229" s="88">
        <v>2</v>
      </c>
      <c r="G229" s="126"/>
      <c r="H229" s="150"/>
      <c r="I229" s="151"/>
      <c r="J229" s="70">
        <f>IF(A15stdlife="n/a","n/a",IF(J$3&gt;(A15stdlife+$F229),(Input!$I$157*(1+vanilla2)^0.5)-SUM($I229:I229),(Input!$I$157*(1+vanilla2)^0.5)/A15stdlife))</f>
        <v>0.14763997304517221</v>
      </c>
      <c r="K229" s="70">
        <f>IF(A15stdlife="n/a","n/a",IF(K$3&gt;(A15stdlife+$F229),(Input!$I$157*(1+vanilla2)^0.5)-SUM($I229:J229),(Input!$I$157*(1+vanilla2)^0.5)/A15stdlife))</f>
        <v>0.14763997304517221</v>
      </c>
      <c r="L229" s="70">
        <f>IF(A15stdlife="n/a","n/a",IF(L$3&gt;(A15stdlife+$F229),(Input!$I$157*(1+vanilla2)^0.5)-SUM($I229:K229),(Input!$I$157*(1+vanilla2)^0.5)/A15stdlife))</f>
        <v>0.14763997304517221</v>
      </c>
      <c r="M229" s="70">
        <f>IF(A15stdlife="n/a","n/a",IF(M$3&gt;(A15stdlife+$F229),(Input!$I$157*(1+vanilla2)^0.5)-SUM($I229:L229),(Input!$I$157*(1+vanilla2)^0.5)/A15stdlife))</f>
        <v>0.14763997304517221</v>
      </c>
      <c r="N229" s="70">
        <f>IF(A15stdlife="n/a","n/a",IF(N$3&gt;(A15stdlife+$F229),(Input!$I$157*(1+vanilla2)^0.5)-SUM($I229:M229),(Input!$I$157*(1+vanilla2)^0.5)/A15stdlife))</f>
        <v>0.14763997304517221</v>
      </c>
      <c r="O229" s="70">
        <f>IF(A15stdlife="n/a","n/a",IF(O$3&gt;(A15stdlife+$F229),(Input!$I$157*(1+vanilla2)^0.5)-SUM($I229:N229),(Input!$I$157*(1+vanilla2)^0.5)/A15stdlife))</f>
        <v>0.14763997304517221</v>
      </c>
      <c r="P229" s="70">
        <f>IF(A15stdlife="n/a","n/a",IF(P$3&gt;(A15stdlife+$F229),(Input!$I$157*(1+vanilla2)^0.5)-SUM($I229:O229),(Input!$I$157*(1+vanilla2)^0.5)/A15stdlife))</f>
        <v>0.14763997304517221</v>
      </c>
      <c r="Q229" s="70">
        <f>IF(A15stdlife="n/a","n/a",IF(Q$3&gt;(A15stdlife+$F229),(Input!$I$157*(1+vanilla2)^0.5)-SUM($I229:P229),(Input!$I$157*(1+vanilla2)^0.5)/A15stdlife))</f>
        <v>0.14763997304517221</v>
      </c>
      <c r="R229" s="70"/>
      <c r="S229" s="105"/>
      <c r="T229" s="105"/>
      <c r="U229" s="105"/>
      <c r="V229" s="105"/>
      <c r="W229" s="105"/>
      <c r="X229" s="105"/>
      <c r="Y229" s="105"/>
      <c r="Z229" s="105"/>
      <c r="AA229" s="105"/>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34"/>
      <c r="F230" s="88">
        <v>3</v>
      </c>
      <c r="G230" s="126"/>
      <c r="H230" s="150"/>
      <c r="I230" s="152"/>
      <c r="J230" s="151"/>
      <c r="K230" s="70">
        <f>IF(A15stdlife="n/a","n/a",IF(K$3&gt;(A15stdlife+$F230),(Input!$J$157*(1+vanilla3)^0.5)-SUM($J230:J230),(Input!$J$157*(1+vanilla3)^0.5)/A15stdlife))</f>
        <v>1.1665635285916064E-2</v>
      </c>
      <c r="L230" s="70">
        <f>IF(A15stdlife="n/a","n/a",IF(L$3&gt;(A15stdlife+$F230),(Input!$J$157*(1+vanilla3)^0.5)-SUM($J230:K230),(Input!$J$157*(1+vanilla3)^0.5)/A15stdlife))</f>
        <v>1.1665635285916064E-2</v>
      </c>
      <c r="M230" s="70">
        <f>IF(A15stdlife="n/a","n/a",IF(M$3&gt;(A15stdlife+$F230),(Input!$J$157*(1+vanilla3)^0.5)-SUM($J230:L230),(Input!$J$157*(1+vanilla3)^0.5)/A15stdlife))</f>
        <v>1.1665635285916064E-2</v>
      </c>
      <c r="N230" s="70">
        <f>IF(A15stdlife="n/a","n/a",IF(N$3&gt;(A15stdlife+$F230),(Input!$J$157*(1+vanilla3)^0.5)-SUM($J230:M230),(Input!$J$157*(1+vanilla3)^0.5)/A15stdlife))</f>
        <v>1.1665635285916064E-2</v>
      </c>
      <c r="O230" s="70">
        <f>IF(A15stdlife="n/a","n/a",IF(O$3&gt;(A15stdlife+$F230),(Input!$J$157*(1+vanilla3)^0.5)-SUM($J230:N230),(Input!$J$157*(1+vanilla3)^0.5)/A15stdlife))</f>
        <v>1.1665635285916064E-2</v>
      </c>
      <c r="P230" s="70">
        <f>IF(A15stdlife="n/a","n/a",IF(P$3&gt;(A15stdlife+$F230),(Input!$J$157*(1+vanilla3)^0.5)-SUM($J230:O230),(Input!$J$157*(1+vanilla3)^0.5)/A15stdlife))</f>
        <v>1.1665635285916064E-2</v>
      </c>
      <c r="Q230" s="70">
        <f>IF(A15stdlife="n/a","n/a",IF(Q$3&gt;(A15stdlife+$F230),(Input!$J$157*(1+vanilla3)^0.5)-SUM($J230:P230),(Input!$J$157*(1+vanilla3)^0.5)/A15stdlife))</f>
        <v>1.1665635285916064E-2</v>
      </c>
      <c r="R230" s="70"/>
      <c r="S230" s="105"/>
      <c r="T230" s="105"/>
      <c r="U230" s="105"/>
      <c r="V230" s="105"/>
      <c r="W230" s="105"/>
      <c r="X230" s="105"/>
      <c r="Y230" s="105"/>
      <c r="Z230" s="105"/>
      <c r="AA230" s="105"/>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34"/>
      <c r="F231" s="88">
        <v>4</v>
      </c>
      <c r="G231" s="126"/>
      <c r="H231" s="150"/>
      <c r="I231" s="152"/>
      <c r="J231" s="152"/>
      <c r="K231" s="151"/>
      <c r="L231" s="70">
        <f>IF(A15stdlife="n/a","n/a",IF(L$3&gt;(A15stdlife+$F231),(Input!$K$157*(1+vanilla4)^0.5)-SUM($K231:K231),(Input!$K$157*(1+vanilla4)^0.5)/A15stdlife))</f>
        <v>1.7264958303139087E-2</v>
      </c>
      <c r="M231" s="70">
        <f>IF(A15stdlife="n/a","n/a",IF(M$3&gt;(A15stdlife+$F231),(Input!$K$157*(1+vanilla4)^0.5)-SUM($K231:L231),(Input!$K$157*(1+vanilla4)^0.5)/A15stdlife))</f>
        <v>1.7264958303139087E-2</v>
      </c>
      <c r="N231" s="70">
        <f>IF(A15stdlife="n/a","n/a",IF(N$3&gt;(A15stdlife+$F231),(Input!$K$157*(1+vanilla4)^0.5)-SUM($K231:M231),(Input!$K$157*(1+vanilla4)^0.5)/A15stdlife))</f>
        <v>1.7264958303139087E-2</v>
      </c>
      <c r="O231" s="70">
        <f>IF(A15stdlife="n/a","n/a",IF(O$3&gt;(A15stdlife+$F231),(Input!$K$157*(1+vanilla4)^0.5)-SUM($K231:N231),(Input!$K$157*(1+vanilla4)^0.5)/A15stdlife))</f>
        <v>1.7264958303139087E-2</v>
      </c>
      <c r="P231" s="70">
        <f>IF(A15stdlife="n/a","n/a",IF(P$3&gt;(A15stdlife+$F231),(Input!$K$157*(1+vanilla4)^0.5)-SUM($K231:O231),(Input!$K$157*(1+vanilla4)^0.5)/A15stdlife))</f>
        <v>1.7264958303139087E-2</v>
      </c>
      <c r="Q231" s="70">
        <f>IF(A15stdlife="n/a","n/a",IF(Q$3&gt;(A15stdlife+$F231),(Input!$K$157*(1+vanilla4)^0.5)-SUM($K231:P231),(Input!$K$157*(1+vanilla4)^0.5)/A15stdlife))</f>
        <v>1.7264958303139087E-2</v>
      </c>
      <c r="R231" s="70"/>
      <c r="S231" s="105"/>
      <c r="T231" s="105"/>
      <c r="U231" s="105"/>
      <c r="V231" s="105"/>
      <c r="W231" s="105"/>
      <c r="X231" s="105"/>
      <c r="Y231" s="105"/>
      <c r="Z231" s="105"/>
      <c r="AA231" s="105"/>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34"/>
      <c r="F232" s="88">
        <v>5</v>
      </c>
      <c r="G232" s="27"/>
      <c r="H232" s="150"/>
      <c r="I232" s="152"/>
      <c r="J232" s="152"/>
      <c r="K232" s="152"/>
      <c r="L232" s="151"/>
      <c r="M232" s="70">
        <f>IF(A15stdlife="n/a","n/a",IF(M$3&gt;(A15stdlife+$F232),(Input!$L$157*(1+vanilla5)^0.5)-SUM($L232:L232),(Input!$L$157*(1+vanilla5)^0.5)/A15stdlife))</f>
        <v>2.5664879727751642E-2</v>
      </c>
      <c r="N232" s="70">
        <f>IF(A15stdlife="n/a","n/a",IF(N$3&gt;(A15stdlife+$F232),(Input!$L$157*(1+vanilla5)^0.5)-SUM($L232:M232),(Input!$L$157*(1+vanilla5)^0.5)/A15stdlife))</f>
        <v>2.5664879727751642E-2</v>
      </c>
      <c r="O232" s="70">
        <f>IF(A15stdlife="n/a","n/a",IF(O$3&gt;(A15stdlife+$F232),(Input!$L$157*(1+vanilla5)^0.5)-SUM($L232:N232),(Input!$L$157*(1+vanilla5)^0.5)/A15stdlife))</f>
        <v>2.5664879727751642E-2</v>
      </c>
      <c r="P232" s="70">
        <f>IF(A15stdlife="n/a","n/a",IF(P$3&gt;(A15stdlife+$F232),(Input!$L$157*(1+vanilla5)^0.5)-SUM($L232:O232),(Input!$L$157*(1+vanilla5)^0.5)/A15stdlife))</f>
        <v>2.5664879727751642E-2</v>
      </c>
      <c r="Q232" s="70">
        <f>IF(A15stdlife="n/a","n/a",IF(Q$3&gt;(A15stdlife+$F232),(Input!$L$157*(1+vanilla5)^0.5)-SUM($L232:P232),(Input!$L$157*(1+vanilla5)^0.5)/A15stdlife))</f>
        <v>2.5664879727751642E-2</v>
      </c>
      <c r="R232" s="70"/>
      <c r="S232" s="105"/>
      <c r="T232" s="105"/>
      <c r="U232" s="105"/>
      <c r="V232" s="105"/>
      <c r="W232" s="105"/>
      <c r="X232" s="105"/>
      <c r="Y232" s="105"/>
      <c r="Z232" s="105"/>
      <c r="AA232" s="105"/>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34"/>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34"/>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34"/>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34"/>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5"/>
      <c r="T236" s="105"/>
      <c r="U236" s="105"/>
      <c r="V236" s="105"/>
      <c r="W236" s="105"/>
      <c r="X236" s="105"/>
      <c r="Y236" s="105"/>
      <c r="Z236" s="105"/>
      <c r="AA236" s="105"/>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34"/>
      <c r="F237" s="89">
        <v>10</v>
      </c>
      <c r="G237" s="27"/>
      <c r="H237" s="150"/>
      <c r="I237" s="152"/>
      <c r="J237" s="152"/>
      <c r="K237" s="152"/>
      <c r="L237" s="152"/>
      <c r="M237" s="152"/>
      <c r="N237" s="152"/>
      <c r="O237" s="152"/>
      <c r="P237" s="152"/>
      <c r="Q237" s="151"/>
      <c r="R237" s="70"/>
      <c r="S237" s="105"/>
      <c r="T237" s="105"/>
      <c r="U237" s="105"/>
      <c r="V237" s="105"/>
      <c r="W237" s="105"/>
      <c r="X237" s="105"/>
      <c r="Y237" s="105"/>
      <c r="Z237" s="105"/>
      <c r="AA237" s="105"/>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t="str">
        <f>Asset15</f>
        <v>Buildings</v>
      </c>
      <c r="E238" s="9"/>
      <c r="F238" s="9"/>
      <c r="G238" s="126"/>
      <c r="H238" s="169">
        <f>-SUM(H226:H237)</f>
        <v>0</v>
      </c>
      <c r="I238" s="169">
        <f>-SUM(I226:I237)</f>
        <v>-9.948861634287294E-2</v>
      </c>
      <c r="J238" s="169">
        <f>-SUM(J226:J237)</f>
        <v>-0.24712858938804516</v>
      </c>
      <c r="K238" s="169">
        <f>-SUM(K226:K237)</f>
        <v>-0.25879422467396124</v>
      </c>
      <c r="L238" s="169">
        <f>-SUM(L226:L237)</f>
        <v>-0.2760591829771003</v>
      </c>
      <c r="M238" s="169">
        <f>IF(Input!M173&gt;0, -SUM(M226:M237), 0)</f>
        <v>0</v>
      </c>
      <c r="N238" s="169">
        <f>IF(Input!N173&gt;0, -SUM(N226:N237), 0)</f>
        <v>0</v>
      </c>
      <c r="O238" s="169">
        <f>IF(Input!O173&gt;0, -SUM(O226:O237), 0)</f>
        <v>0</v>
      </c>
      <c r="P238" s="169">
        <f>IF(Input!P173&gt;0, -SUM(P226:P237), 0)</f>
        <v>0</v>
      </c>
      <c r="Q238" s="169">
        <f>IF(Input!Q173&gt;0, -SUM(Q226:Q237), 0)</f>
        <v>0</v>
      </c>
      <c r="R238" s="68"/>
      <c r="S238" s="107"/>
      <c r="T238" s="107"/>
      <c r="U238" s="107"/>
      <c r="V238" s="107"/>
      <c r="W238" s="107"/>
      <c r="X238" s="107"/>
      <c r="Y238" s="107"/>
      <c r="Z238" s="107"/>
      <c r="AA238" s="107"/>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Equity raising costs</v>
      </c>
      <c r="D239" s="165"/>
      <c r="E239" s="34" t="s">
        <v>28</v>
      </c>
      <c r="F239" s="33"/>
      <c r="G239" s="181"/>
      <c r="H239" s="69" t="str">
        <f>IF(H$3&gt;A16remlife,A16value-SUM($G239:G239),IF(A16remlife="N/A","n/a",A16value/A16remlife))</f>
        <v>n/a</v>
      </c>
      <c r="I239" s="69" t="str">
        <f>IF(I$3&gt;A16remlife,A16value-SUM($G239:H239),IF(A16remlife="N/A","n/a",A16value/A16remlife))</f>
        <v>n/a</v>
      </c>
      <c r="J239" s="69" t="str">
        <f>IF(J$3&gt;A16remlife,A16value-SUM($G239:I239),IF(A16remlife="N/A","n/a",A16value/A16remlife))</f>
        <v>n/a</v>
      </c>
      <c r="K239" s="69" t="str">
        <f>IF(K$3&gt;A16remlife,A16value-SUM($G239:J239),IF(A16remlife="N/A","n/a",A16value/A16remlife))</f>
        <v>n/a</v>
      </c>
      <c r="L239" s="69" t="str">
        <f>IF(L$3&gt;A16remlife,A16value-SUM($G239:K239),IF(A16remlife="N/A","n/a",A16value/A16remlife))</f>
        <v>n/a</v>
      </c>
      <c r="M239" s="69" t="str">
        <f>IF(M$3&gt;A16remlife,A16value-SUM($G239:L239),IF(A16remlife="N/A","n/a",A16value/A16remlife))</f>
        <v>n/a</v>
      </c>
      <c r="N239" s="69" t="str">
        <f>IF(N$3&gt;A16remlife,A16value-SUM($G239:M239),IF(A16remlife="N/A","n/a",A16value/A16remlife))</f>
        <v>n/a</v>
      </c>
      <c r="O239" s="69" t="str">
        <f>IF(O$3&gt;A16remlife,A16value-SUM($G239:N239),IF(A16remlife="N/A","n/a",A16value/A16remlife))</f>
        <v>n/a</v>
      </c>
      <c r="P239" s="69" t="str">
        <f>IF(P$3&gt;A16remlife,A16value-SUM($G239:O239),IF(A16remlife="N/A","n/a",A16value/A16remlife))</f>
        <v>n/a</v>
      </c>
      <c r="Q239" s="69" t="str">
        <f>IF(Q$3&gt;A16remlife,A16value-SUM($G239:P239),IF(A16remlife="N/A","n/a",A16value/A16remlife))</f>
        <v>n/a</v>
      </c>
      <c r="R239" s="69"/>
      <c r="S239" s="105"/>
      <c r="T239" s="105"/>
      <c r="U239" s="105"/>
      <c r="V239" s="105"/>
      <c r="W239" s="105"/>
      <c r="X239" s="105"/>
      <c r="Y239" s="105"/>
      <c r="Z239" s="105"/>
      <c r="AA239" s="105"/>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33" t="s">
        <v>87</v>
      </c>
      <c r="F240" s="88">
        <v>0</v>
      </c>
      <c r="G240" s="126"/>
      <c r="H240" s="70"/>
      <c r="I240" s="70"/>
      <c r="J240" s="70"/>
      <c r="K240" s="70"/>
      <c r="L240" s="70"/>
      <c r="M240" s="167"/>
      <c r="N240" s="115"/>
      <c r="O240" s="70"/>
      <c r="P240" s="70"/>
      <c r="Q240" s="70"/>
      <c r="R240" s="70"/>
      <c r="S240" s="105"/>
      <c r="T240" s="105"/>
      <c r="U240" s="105"/>
      <c r="V240" s="105"/>
      <c r="W240" s="105"/>
      <c r="X240" s="105"/>
      <c r="Y240" s="105"/>
      <c r="Z240" s="105"/>
      <c r="AA240" s="105"/>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34"/>
      <c r="F241" s="88">
        <v>1</v>
      </c>
      <c r="G241" s="126"/>
      <c r="H241" s="149"/>
      <c r="I241" s="70">
        <f>IF(A16stdlife="n/a","n/a",IF(I$3&gt;(A16stdlife+$F241),(Input!$H$158*(1+vanilla1)^0.5)-SUM($H241:H241),(Input!$H$158*(1+vanilla1)^0.5)/A16stdlife))</f>
        <v>5.1742665655241599E-3</v>
      </c>
      <c r="J241" s="70">
        <f>IF(A16stdlife="n/a","n/a",IF(J$3&gt;(A16stdlife+$F241),(Input!$H$158*(1+vanilla1)^0.5)-SUM($H241:I241),(Input!$H$158*(1+vanilla1)^0.5)/A16stdlife))</f>
        <v>5.1742665655241599E-3</v>
      </c>
      <c r="K241" s="70">
        <f>IF(A16stdlife="n/a","n/a",IF(K$3&gt;(A16stdlife+$F241),(Input!$H$158*(1+vanilla1)^0.5)-SUM($H241:J241),(Input!$H$158*(1+vanilla1)^0.5)/A16stdlife))</f>
        <v>5.1742665655241599E-3</v>
      </c>
      <c r="L241" s="70">
        <f>IF(A16stdlife="n/a","n/a",IF(L$3&gt;(A16stdlife+$F241),(Input!$H$158*(1+vanilla1)^0.5)-SUM($H241:K241),(Input!$H$158*(1+vanilla1)^0.5)/A16stdlife))</f>
        <v>5.1742665655241599E-3</v>
      </c>
      <c r="M241" s="70">
        <f>IF(A16stdlife="n/a","n/a",IF(M$3&gt;(A16stdlife+$F241),(Input!$H$158*(1+vanilla1)^0.5)-SUM($H241:L241),(Input!$H$158*(1+vanilla1)^0.5)/A16stdlife))</f>
        <v>5.1742665655241599E-3</v>
      </c>
      <c r="N241" s="70">
        <f>IF(A16stdlife="n/a","n/a",IF(N$3&gt;(A16stdlife+$F241),(Input!$H$158*(1+vanilla1)^0.5)-SUM($H241:M241),(Input!$H$158*(1+vanilla1)^0.5)/A16stdlife))</f>
        <v>5.1742665655241599E-3</v>
      </c>
      <c r="O241" s="70">
        <f>IF(A16stdlife="n/a","n/a",IF(O$3&gt;(A16stdlife+$F241),(Input!$H$158*(1+vanilla1)^0.5)-SUM($H241:N241),(Input!$H$158*(1+vanilla1)^0.5)/A16stdlife))</f>
        <v>5.1742665655241599E-3</v>
      </c>
      <c r="P241" s="70">
        <f>IF(A16stdlife="n/a","n/a",IF(P$3&gt;(A16stdlife+$F241),(Input!$H$158*(1+vanilla1)^0.5)-SUM($H241:O241),(Input!$H$158*(1+vanilla1)^0.5)/A16stdlife))</f>
        <v>5.1742665655241599E-3</v>
      </c>
      <c r="Q241" s="70">
        <f>IF(A16stdlife="n/a","n/a",IF(Q$3&gt;(A16stdlife+$F241),(Input!$H$158*(1+vanilla1)^0.5)-SUM($H241:P241),(Input!$H$158*(1+vanilla1)^0.5)/A16stdlife))</f>
        <v>5.1742665655241599E-3</v>
      </c>
      <c r="R241" s="70"/>
      <c r="S241" s="105"/>
      <c r="T241" s="105"/>
      <c r="U241" s="105"/>
      <c r="V241" s="105"/>
      <c r="W241" s="105"/>
      <c r="X241" s="105"/>
      <c r="Y241" s="105"/>
      <c r="Z241" s="105"/>
      <c r="AA241" s="105"/>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34"/>
      <c r="F242" s="88">
        <v>2</v>
      </c>
      <c r="G242" s="126"/>
      <c r="H242" s="150"/>
      <c r="I242" s="151"/>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34"/>
      <c r="F243" s="88">
        <v>3</v>
      </c>
      <c r="G243" s="126"/>
      <c r="H243" s="150"/>
      <c r="I243" s="152"/>
      <c r="J243" s="151"/>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34"/>
      <c r="F244" s="88">
        <v>4</v>
      </c>
      <c r="G244" s="126"/>
      <c r="H244" s="150"/>
      <c r="I244" s="152"/>
      <c r="J244" s="152"/>
      <c r="K244" s="151"/>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34"/>
      <c r="F245" s="88">
        <v>5</v>
      </c>
      <c r="G245" s="27"/>
      <c r="H245" s="150"/>
      <c r="I245" s="152"/>
      <c r="J245" s="152"/>
      <c r="K245" s="152"/>
      <c r="L245" s="151"/>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34"/>
      <c r="F246" s="88">
        <v>6</v>
      </c>
      <c r="G246" s="27"/>
      <c r="H246" s="150"/>
      <c r="I246" s="152"/>
      <c r="J246" s="152"/>
      <c r="K246" s="152"/>
      <c r="L246" s="152"/>
      <c r="M246" s="151"/>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34"/>
      <c r="F247" s="88">
        <v>7</v>
      </c>
      <c r="G247" s="27"/>
      <c r="H247" s="150"/>
      <c r="I247" s="152"/>
      <c r="J247" s="152"/>
      <c r="K247" s="152"/>
      <c r="L247" s="152"/>
      <c r="M247" s="152"/>
      <c r="N247" s="151"/>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34"/>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34"/>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5"/>
      <c r="T249" s="105"/>
      <c r="U249" s="105"/>
      <c r="V249" s="105"/>
      <c r="W249" s="105"/>
      <c r="X249" s="105"/>
      <c r="Y249" s="105"/>
      <c r="Z249" s="105"/>
      <c r="AA249" s="105"/>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34"/>
      <c r="F250" s="89">
        <v>10</v>
      </c>
      <c r="G250" s="27"/>
      <c r="H250" s="150"/>
      <c r="I250" s="152"/>
      <c r="J250" s="152"/>
      <c r="K250" s="152"/>
      <c r="L250" s="152"/>
      <c r="M250" s="152"/>
      <c r="N250" s="152"/>
      <c r="O250" s="152"/>
      <c r="P250" s="152"/>
      <c r="Q250" s="151"/>
      <c r="R250" s="70"/>
      <c r="S250" s="105"/>
      <c r="T250" s="105"/>
      <c r="U250" s="105"/>
      <c r="V250" s="105"/>
      <c r="W250" s="105"/>
      <c r="X250" s="105"/>
      <c r="Y250" s="105"/>
      <c r="Z250" s="105"/>
      <c r="AA250" s="105"/>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t="str">
        <f>Asset16</f>
        <v>Equity raising costs</v>
      </c>
      <c r="E251" s="9"/>
      <c r="F251" s="9"/>
      <c r="G251" s="126"/>
      <c r="H251" s="169">
        <f>-SUM(H239:H250)</f>
        <v>0</v>
      </c>
      <c r="I251" s="169">
        <f>-SUM(I239:I250)</f>
        <v>-5.1742665655241599E-3</v>
      </c>
      <c r="J251" s="169">
        <f>-SUM(J239:J250)</f>
        <v>-5.1742665655241599E-3</v>
      </c>
      <c r="K251" s="169">
        <f>-SUM(K239:K250)</f>
        <v>-5.1742665655241599E-3</v>
      </c>
      <c r="L251" s="169">
        <f>-SUM(L239:L250)</f>
        <v>-5.1742665655241599E-3</v>
      </c>
      <c r="M251" s="169">
        <f>IF(Input!M173&gt;0, -SUM(M239:M250), 0)</f>
        <v>0</v>
      </c>
      <c r="N251" s="169">
        <f>IF(Input!N173&gt;0, -SUM(N239:N250), 0)</f>
        <v>0</v>
      </c>
      <c r="O251" s="169">
        <f>IF(Input!O173&gt;0, -SUM(O239:O250), 0)</f>
        <v>0</v>
      </c>
      <c r="P251" s="169">
        <f>IF(Input!P173&gt;0, -SUM(P239:P250), 0)</f>
        <v>0</v>
      </c>
      <c r="Q251" s="169">
        <f>IF(Input!Q173&gt;0, -SUM(Q239:Q250), 0)</f>
        <v>0</v>
      </c>
      <c r="R251" s="68"/>
      <c r="S251" s="107"/>
      <c r="T251" s="107"/>
      <c r="U251" s="107"/>
      <c r="V251" s="107"/>
      <c r="W251" s="107"/>
      <c r="X251" s="107"/>
      <c r="Y251" s="107"/>
      <c r="Z251" s="107"/>
      <c r="AA251" s="107"/>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5"/>
      <c r="E252" s="34" t="s">
        <v>28</v>
      </c>
      <c r="F252" s="33"/>
      <c r="G252" s="181"/>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33" t="s">
        <v>87</v>
      </c>
      <c r="F253" s="88">
        <v>0</v>
      </c>
      <c r="G253" s="126"/>
      <c r="H253" s="70"/>
      <c r="I253" s="70"/>
      <c r="J253" s="70"/>
      <c r="K253" s="70"/>
      <c r="L253" s="70"/>
      <c r="M253" s="167"/>
      <c r="N253" s="115"/>
      <c r="O253" s="70"/>
      <c r="P253" s="70"/>
      <c r="Q253" s="70"/>
      <c r="R253" s="70"/>
      <c r="S253" s="105"/>
      <c r="T253" s="105"/>
      <c r="U253" s="105"/>
      <c r="V253" s="105"/>
      <c r="W253" s="105"/>
      <c r="X253" s="105"/>
      <c r="Y253" s="105"/>
      <c r="Z253" s="105"/>
      <c r="AA253" s="105"/>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34"/>
      <c r="F254" s="88">
        <v>1</v>
      </c>
      <c r="G254" s="126"/>
      <c r="H254" s="149"/>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34"/>
      <c r="F255" s="88">
        <v>2</v>
      </c>
      <c r="G255" s="126"/>
      <c r="H255" s="150"/>
      <c r="I255" s="151"/>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34"/>
      <c r="F256" s="88">
        <v>3</v>
      </c>
      <c r="G256" s="126"/>
      <c r="H256" s="150"/>
      <c r="I256" s="152"/>
      <c r="J256" s="151"/>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34"/>
      <c r="F257" s="88">
        <v>4</v>
      </c>
      <c r="G257" s="126"/>
      <c r="H257" s="150"/>
      <c r="I257" s="152"/>
      <c r="J257" s="152"/>
      <c r="K257" s="151"/>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34"/>
      <c r="F258" s="88">
        <v>5</v>
      </c>
      <c r="G258" s="27"/>
      <c r="H258" s="150"/>
      <c r="I258" s="152"/>
      <c r="J258" s="152"/>
      <c r="K258" s="152"/>
      <c r="L258" s="151"/>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34"/>
      <c r="F259" s="88">
        <v>6</v>
      </c>
      <c r="G259" s="27"/>
      <c r="H259" s="150"/>
      <c r="I259" s="152"/>
      <c r="J259" s="152"/>
      <c r="K259" s="152"/>
      <c r="L259" s="152"/>
      <c r="M259" s="151"/>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34"/>
      <c r="F260" s="88">
        <v>7</v>
      </c>
      <c r="G260" s="27"/>
      <c r="H260" s="150"/>
      <c r="I260" s="152"/>
      <c r="J260" s="152"/>
      <c r="K260" s="152"/>
      <c r="L260" s="152"/>
      <c r="M260" s="152"/>
      <c r="N260" s="151"/>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34"/>
      <c r="F261" s="88">
        <v>8</v>
      </c>
      <c r="G261" s="27"/>
      <c r="H261" s="150"/>
      <c r="I261" s="152"/>
      <c r="J261" s="152"/>
      <c r="K261" s="152"/>
      <c r="L261" s="152"/>
      <c r="M261" s="152"/>
      <c r="N261" s="152"/>
      <c r="O261" s="151"/>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34"/>
      <c r="F262" s="88">
        <v>9</v>
      </c>
      <c r="G262" s="27"/>
      <c r="H262" s="150"/>
      <c r="I262" s="152"/>
      <c r="J262" s="152"/>
      <c r="K262" s="152"/>
      <c r="L262" s="152"/>
      <c r="M262" s="152"/>
      <c r="N262" s="152"/>
      <c r="O262" s="152"/>
      <c r="P262" s="151"/>
      <c r="Q262" s="70">
        <f>IF(A17stdlife="n/a","n/a",IF(Q$3&gt;(A17stdlife+$F262),(Input!$P$159*(1+vanilla9)^0.5)-SUM($P262:P262),(Input!$P$159*(1+vanilla9)^0.5)/A17stdlife))</f>
        <v>0</v>
      </c>
      <c r="R262" s="70"/>
      <c r="S262" s="105"/>
      <c r="T262" s="105"/>
      <c r="U262" s="105"/>
      <c r="V262" s="105"/>
      <c r="W262" s="105"/>
      <c r="X262" s="105"/>
      <c r="Y262" s="105"/>
      <c r="Z262" s="105"/>
      <c r="AA262" s="105"/>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34"/>
      <c r="F263" s="89">
        <v>10</v>
      </c>
      <c r="G263" s="27"/>
      <c r="H263" s="150"/>
      <c r="I263" s="152"/>
      <c r="J263" s="152"/>
      <c r="K263" s="152"/>
      <c r="L263" s="152"/>
      <c r="M263" s="152"/>
      <c r="N263" s="152"/>
      <c r="O263" s="152"/>
      <c r="P263" s="152"/>
      <c r="Q263" s="151"/>
      <c r="R263" s="70"/>
      <c r="S263" s="105"/>
      <c r="T263" s="105"/>
      <c r="U263" s="105"/>
      <c r="V263" s="105"/>
      <c r="W263" s="105"/>
      <c r="X263" s="105"/>
      <c r="Y263" s="105"/>
      <c r="Z263" s="105"/>
      <c r="AA263" s="105"/>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6"/>
      <c r="H264" s="169">
        <f>-SUM(H252:H263)</f>
        <v>0</v>
      </c>
      <c r="I264" s="169">
        <f>-SUM(I252:I263)</f>
        <v>0</v>
      </c>
      <c r="J264" s="169">
        <f>-SUM(J252:J263)</f>
        <v>0</v>
      </c>
      <c r="K264" s="169">
        <f>-SUM(K252:K263)</f>
        <v>0</v>
      </c>
      <c r="L264" s="169">
        <f>-SUM(L252:L263)</f>
        <v>0</v>
      </c>
      <c r="M264" s="169">
        <f>IF(Input!M173&gt;0, -SUM(M252:M263), 0)</f>
        <v>0</v>
      </c>
      <c r="N264" s="169">
        <f>IF(Input!N173&gt;0, -SUM(N252:N263), 0)</f>
        <v>0</v>
      </c>
      <c r="O264" s="169">
        <f>IF(Input!O173&gt;0, -SUM(O252:O263), 0)</f>
        <v>0</v>
      </c>
      <c r="P264" s="169">
        <f>IF(Input!P173&gt;0, -SUM(P252:P263), 0)</f>
        <v>0</v>
      </c>
      <c r="Q264" s="169">
        <f>IF(Input!Q173&gt;0, -SUM(Q252:Q263), 0)</f>
        <v>0</v>
      </c>
      <c r="R264" s="68"/>
      <c r="S264" s="107"/>
      <c r="T264" s="107"/>
      <c r="U264" s="107"/>
      <c r="V264" s="107"/>
      <c r="W264" s="107"/>
      <c r="X264" s="107"/>
      <c r="Y264" s="107"/>
      <c r="Z264" s="107"/>
      <c r="AA264" s="107"/>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5"/>
      <c r="E265" s="34" t="s">
        <v>28</v>
      </c>
      <c r="F265" s="33"/>
      <c r="G265" s="181"/>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33" t="s">
        <v>87</v>
      </c>
      <c r="F266" s="88">
        <v>0</v>
      </c>
      <c r="G266" s="126"/>
      <c r="H266" s="70"/>
      <c r="I266" s="70"/>
      <c r="J266" s="70"/>
      <c r="K266" s="70"/>
      <c r="L266" s="70"/>
      <c r="M266" s="167"/>
      <c r="N266" s="115"/>
      <c r="O266" s="70"/>
      <c r="P266" s="70"/>
      <c r="Q266" s="70"/>
      <c r="R266" s="70"/>
      <c r="S266" s="105"/>
      <c r="T266" s="105"/>
      <c r="U266" s="105"/>
      <c r="V266" s="105"/>
      <c r="W266" s="105"/>
      <c r="X266" s="105"/>
      <c r="Y266" s="105"/>
      <c r="Z266" s="105"/>
      <c r="AA266" s="105"/>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34"/>
      <c r="F267" s="88">
        <v>1</v>
      </c>
      <c r="G267" s="126"/>
      <c r="H267" s="149"/>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34"/>
      <c r="F268" s="88">
        <v>2</v>
      </c>
      <c r="G268" s="126"/>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34"/>
      <c r="F269" s="88">
        <v>3</v>
      </c>
      <c r="G269" s="126"/>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34"/>
      <c r="F270" s="88">
        <v>4</v>
      </c>
      <c r="G270" s="126"/>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34"/>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34"/>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34"/>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34"/>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34"/>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5"/>
      <c r="T275" s="105"/>
      <c r="U275" s="105"/>
      <c r="V275" s="105"/>
      <c r="W275" s="105"/>
      <c r="X275" s="105"/>
      <c r="Y275" s="105"/>
      <c r="Z275" s="105"/>
      <c r="AA275" s="105"/>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34"/>
      <c r="F276" s="89">
        <v>10</v>
      </c>
      <c r="G276" s="27"/>
      <c r="H276" s="150"/>
      <c r="I276" s="152"/>
      <c r="J276" s="152"/>
      <c r="K276" s="152"/>
      <c r="L276" s="152"/>
      <c r="M276" s="152"/>
      <c r="N276" s="152"/>
      <c r="O276" s="152"/>
      <c r="P276" s="152"/>
      <c r="Q276" s="151"/>
      <c r="R276" s="70"/>
      <c r="S276" s="105"/>
      <c r="T276" s="105"/>
      <c r="U276" s="105"/>
      <c r="V276" s="105"/>
      <c r="W276" s="105"/>
      <c r="X276" s="105"/>
      <c r="Y276" s="105"/>
      <c r="Z276" s="105"/>
      <c r="AA276" s="105"/>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6"/>
      <c r="H277" s="169">
        <f>-SUM(H265:H276)</f>
        <v>0</v>
      </c>
      <c r="I277" s="169">
        <f>-SUM(I265:I276)</f>
        <v>0</v>
      </c>
      <c r="J277" s="169">
        <f>-SUM(J265:J276)</f>
        <v>0</v>
      </c>
      <c r="K277" s="169">
        <f>-SUM(K265:K276)</f>
        <v>0</v>
      </c>
      <c r="L277" s="169">
        <f>-SUM(L265:L276)</f>
        <v>0</v>
      </c>
      <c r="M277" s="169">
        <f>IF(Input!M173&gt;0, -SUM(M265:M276), 0)</f>
        <v>0</v>
      </c>
      <c r="N277" s="169">
        <f>IF(Input!N173&gt;0, -SUM(N265:N276), 0)</f>
        <v>0</v>
      </c>
      <c r="O277" s="169">
        <f>IF(Input!O173&gt;0, -SUM(O265:O276), 0)</f>
        <v>0</v>
      </c>
      <c r="P277" s="169">
        <f>IF(Input!P173&gt;0, -SUM(P265:P276), 0)</f>
        <v>0</v>
      </c>
      <c r="Q277" s="169">
        <f>IF(Input!Q173&gt;0, -SUM(Q265:Q276), 0)</f>
        <v>0</v>
      </c>
      <c r="R277" s="169"/>
      <c r="S277" s="107"/>
      <c r="T277" s="107"/>
      <c r="U277" s="107"/>
      <c r="V277" s="107"/>
      <c r="W277" s="107"/>
      <c r="X277" s="107"/>
      <c r="Y277" s="107"/>
      <c r="Z277" s="107"/>
      <c r="AA277" s="107"/>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5"/>
      <c r="E278" s="34" t="s">
        <v>28</v>
      </c>
      <c r="F278" s="33"/>
      <c r="G278" s="181"/>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33" t="s">
        <v>87</v>
      </c>
      <c r="F279" s="88">
        <v>0</v>
      </c>
      <c r="G279" s="126"/>
      <c r="H279" s="70"/>
      <c r="I279" s="70"/>
      <c r="J279" s="70"/>
      <c r="K279" s="70"/>
      <c r="L279" s="70"/>
      <c r="M279" s="167"/>
      <c r="N279" s="115"/>
      <c r="O279" s="70"/>
      <c r="P279" s="70"/>
      <c r="Q279" s="70"/>
      <c r="R279" s="70"/>
      <c r="S279" s="105"/>
      <c r="T279" s="105"/>
      <c r="U279" s="105"/>
      <c r="V279" s="105"/>
      <c r="W279" s="105"/>
      <c r="X279" s="105"/>
      <c r="Y279" s="105"/>
      <c r="Z279" s="105"/>
      <c r="AA279" s="105"/>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34"/>
      <c r="F280" s="88">
        <v>1</v>
      </c>
      <c r="G280" s="126"/>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34"/>
      <c r="F281" s="88">
        <v>2</v>
      </c>
      <c r="G281" s="126"/>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34"/>
      <c r="F282" s="88">
        <v>3</v>
      </c>
      <c r="G282" s="126"/>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34"/>
      <c r="F283" s="88">
        <v>4</v>
      </c>
      <c r="G283" s="126"/>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34"/>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34"/>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34"/>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34"/>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34"/>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5"/>
      <c r="T288" s="105"/>
      <c r="U288" s="105"/>
      <c r="V288" s="105"/>
      <c r="W288" s="105"/>
      <c r="X288" s="105"/>
      <c r="Y288" s="105"/>
      <c r="Z288" s="105"/>
      <c r="AA288" s="105"/>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34"/>
      <c r="F289" s="89">
        <v>10</v>
      </c>
      <c r="G289" s="27"/>
      <c r="H289" s="150"/>
      <c r="I289" s="152"/>
      <c r="J289" s="152"/>
      <c r="K289" s="152"/>
      <c r="L289" s="152"/>
      <c r="M289" s="152"/>
      <c r="N289" s="152"/>
      <c r="O289" s="152"/>
      <c r="P289" s="152"/>
      <c r="Q289" s="151"/>
      <c r="R289" s="70"/>
      <c r="S289" s="105"/>
      <c r="T289" s="105"/>
      <c r="U289" s="105"/>
      <c r="V289" s="105"/>
      <c r="W289" s="105"/>
      <c r="X289" s="105"/>
      <c r="Y289" s="105"/>
      <c r="Z289" s="105"/>
      <c r="AA289" s="105"/>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6"/>
      <c r="H290" s="169">
        <f>-SUM(H278:H289)</f>
        <v>0</v>
      </c>
      <c r="I290" s="169">
        <f>-SUM(I278:I289)</f>
        <v>0</v>
      </c>
      <c r="J290" s="169">
        <f>-SUM(J278:J289)</f>
        <v>0</v>
      </c>
      <c r="K290" s="169">
        <f>-SUM(K278:K289)</f>
        <v>0</v>
      </c>
      <c r="L290" s="169">
        <f>-SUM(L278:L289)</f>
        <v>0</v>
      </c>
      <c r="M290" s="169">
        <f>IF(Input!M173&gt;0, -SUM(M278:M289), 0)</f>
        <v>0</v>
      </c>
      <c r="N290" s="169">
        <f>IF(Input!N173&gt;0, -SUM(N278:N289), 0)</f>
        <v>0</v>
      </c>
      <c r="O290" s="169">
        <f>IF(Input!O173&gt;0, -SUM(O278:O289), 0)</f>
        <v>0</v>
      </c>
      <c r="P290" s="169">
        <f>IF(Input!P173&gt;0, -SUM(P278:P289), 0)</f>
        <v>0</v>
      </c>
      <c r="Q290" s="169">
        <f>IF(Input!Q173&gt;0, -SUM(Q278:Q289), 0)</f>
        <v>0</v>
      </c>
      <c r="R290" s="68"/>
      <c r="S290" s="107"/>
      <c r="T290" s="107"/>
      <c r="U290" s="107"/>
      <c r="V290" s="107"/>
      <c r="W290" s="107"/>
      <c r="X290" s="107"/>
      <c r="Y290" s="107"/>
      <c r="Z290" s="107"/>
      <c r="AA290" s="107"/>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5"/>
      <c r="E291" s="34" t="s">
        <v>28</v>
      </c>
      <c r="F291" s="33"/>
      <c r="G291" s="181"/>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33" t="s">
        <v>87</v>
      </c>
      <c r="F292" s="88">
        <v>0</v>
      </c>
      <c r="G292" s="126"/>
      <c r="H292" s="70"/>
      <c r="I292" s="70"/>
      <c r="J292" s="70"/>
      <c r="K292" s="70"/>
      <c r="L292" s="70"/>
      <c r="M292" s="167"/>
      <c r="N292" s="115"/>
      <c r="O292" s="70"/>
      <c r="P292" s="70"/>
      <c r="Q292" s="70"/>
      <c r="R292" s="70"/>
      <c r="S292" s="105"/>
      <c r="T292" s="105"/>
      <c r="U292" s="105"/>
      <c r="V292" s="105"/>
      <c r="W292" s="105"/>
      <c r="X292" s="105"/>
      <c r="Y292" s="105"/>
      <c r="Z292" s="105"/>
      <c r="AA292" s="105"/>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34"/>
      <c r="F293" s="88">
        <v>1</v>
      </c>
      <c r="G293" s="126"/>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34"/>
      <c r="F294" s="88">
        <v>2</v>
      </c>
      <c r="G294" s="126"/>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34"/>
      <c r="F295" s="88">
        <v>3</v>
      </c>
      <c r="G295" s="126"/>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34"/>
      <c r="F296" s="88">
        <v>4</v>
      </c>
      <c r="G296" s="126"/>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34"/>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34"/>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34"/>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34"/>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34"/>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5"/>
      <c r="T301" s="105"/>
      <c r="U301" s="105"/>
      <c r="V301" s="105"/>
      <c r="W301" s="105"/>
      <c r="X301" s="105"/>
      <c r="Y301" s="105"/>
      <c r="Z301" s="105"/>
      <c r="AA301" s="105"/>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34"/>
      <c r="F302" s="89">
        <v>10</v>
      </c>
      <c r="G302" s="27"/>
      <c r="H302" s="150"/>
      <c r="I302" s="152"/>
      <c r="J302" s="152"/>
      <c r="K302" s="152"/>
      <c r="L302" s="152"/>
      <c r="M302" s="152"/>
      <c r="N302" s="152"/>
      <c r="O302" s="152"/>
      <c r="P302" s="152"/>
      <c r="Q302" s="151"/>
      <c r="R302" s="70"/>
      <c r="S302" s="105"/>
      <c r="T302" s="105"/>
      <c r="U302" s="105"/>
      <c r="V302" s="105"/>
      <c r="W302" s="105"/>
      <c r="X302" s="105"/>
      <c r="Y302" s="105"/>
      <c r="Z302" s="105"/>
      <c r="AA302" s="105"/>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6"/>
      <c r="H303" s="169">
        <f>-SUM(H291:H302)</f>
        <v>0</v>
      </c>
      <c r="I303" s="169">
        <f>-SUM(I291:I302)</f>
        <v>0</v>
      </c>
      <c r="J303" s="169">
        <f>-SUM(J291:J302)</f>
        <v>0</v>
      </c>
      <c r="K303" s="169">
        <f>-SUM(K291:K302)</f>
        <v>0</v>
      </c>
      <c r="L303" s="169">
        <f>-SUM(L291:L302)</f>
        <v>0</v>
      </c>
      <c r="M303" s="169">
        <f>IF(Input!M173&gt;0, -SUM(M291:M302), 0)</f>
        <v>0</v>
      </c>
      <c r="N303" s="169">
        <f>IF(Input!N173&gt;0, -SUM(N291:N302), 0)</f>
        <v>0</v>
      </c>
      <c r="O303" s="169">
        <f>IF(Input!O173&gt;0, -SUM(O291:O302), 0)</f>
        <v>0</v>
      </c>
      <c r="P303" s="169">
        <f>IF(Input!P173&gt;0, -SUM(P291:P302), 0)</f>
        <v>0</v>
      </c>
      <c r="Q303" s="169">
        <f>IF(Input!Q173&gt;0, -SUM(Q291:Q302), 0)</f>
        <v>0</v>
      </c>
      <c r="R303" s="68"/>
      <c r="S303" s="107"/>
      <c r="T303" s="107"/>
      <c r="U303" s="107"/>
      <c r="V303" s="107"/>
      <c r="W303" s="107"/>
      <c r="X303" s="107"/>
      <c r="Y303" s="107"/>
      <c r="Z303" s="107"/>
      <c r="AA303" s="107"/>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5"/>
      <c r="E304" s="34" t="s">
        <v>28</v>
      </c>
      <c r="F304" s="33"/>
      <c r="G304" s="181"/>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33" t="s">
        <v>87</v>
      </c>
      <c r="F305" s="88">
        <v>0</v>
      </c>
      <c r="G305" s="126"/>
      <c r="H305" s="70"/>
      <c r="I305" s="70"/>
      <c r="J305" s="70"/>
      <c r="K305" s="70"/>
      <c r="L305" s="70"/>
      <c r="M305" s="167"/>
      <c r="N305" s="115"/>
      <c r="O305" s="70"/>
      <c r="P305" s="70"/>
      <c r="Q305" s="70"/>
      <c r="R305" s="70"/>
      <c r="S305" s="105"/>
      <c r="T305" s="105"/>
      <c r="U305" s="105"/>
      <c r="V305" s="105"/>
      <c r="W305" s="105"/>
      <c r="X305" s="105"/>
      <c r="Y305" s="105"/>
      <c r="Z305" s="105"/>
      <c r="AA305" s="105"/>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34"/>
      <c r="F306" s="88">
        <v>1</v>
      </c>
      <c r="G306" s="126"/>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34"/>
      <c r="F307" s="88">
        <v>2</v>
      </c>
      <c r="G307" s="126"/>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34"/>
      <c r="F308" s="88">
        <v>3</v>
      </c>
      <c r="G308" s="126"/>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34"/>
      <c r="F309" s="88">
        <v>4</v>
      </c>
      <c r="G309" s="126"/>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34"/>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34"/>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34"/>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34"/>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34"/>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5"/>
      <c r="T314" s="105"/>
      <c r="U314" s="105"/>
      <c r="V314" s="105"/>
      <c r="W314" s="105"/>
      <c r="X314" s="105"/>
      <c r="Y314" s="105"/>
      <c r="Z314" s="105"/>
      <c r="AA314" s="105"/>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34"/>
      <c r="F315" s="89">
        <v>10</v>
      </c>
      <c r="G315" s="27"/>
      <c r="H315" s="150"/>
      <c r="I315" s="152"/>
      <c r="J315" s="152"/>
      <c r="K315" s="152"/>
      <c r="L315" s="152"/>
      <c r="M315" s="152"/>
      <c r="N315" s="152"/>
      <c r="O315" s="152"/>
      <c r="P315" s="152"/>
      <c r="Q315" s="151"/>
      <c r="R315" s="70"/>
      <c r="S315" s="105"/>
      <c r="T315" s="105"/>
      <c r="U315" s="105"/>
      <c r="V315" s="105"/>
      <c r="W315" s="105"/>
      <c r="X315" s="105"/>
      <c r="Y315" s="105"/>
      <c r="Z315" s="105"/>
      <c r="AA315" s="105"/>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6"/>
      <c r="H316" s="169">
        <f>-SUM(H304:H315)</f>
        <v>0</v>
      </c>
      <c r="I316" s="169">
        <f>-SUM(I304:I315)</f>
        <v>0</v>
      </c>
      <c r="J316" s="169">
        <f>-SUM(J304:J315)</f>
        <v>0</v>
      </c>
      <c r="K316" s="169">
        <f>-SUM(K304:K315)</f>
        <v>0</v>
      </c>
      <c r="L316" s="169">
        <f>-SUM(L304:L315)</f>
        <v>0</v>
      </c>
      <c r="M316" s="169">
        <f>IF(Input!M173&gt;0, -SUM(M304:M315), 0)</f>
        <v>0</v>
      </c>
      <c r="N316" s="169">
        <f>IF(Input!N173&gt;0, -SUM(N304:N315), 0)</f>
        <v>0</v>
      </c>
      <c r="O316" s="169">
        <f>IF(Input!O173&gt;0, -SUM(O304:O315), 0)</f>
        <v>0</v>
      </c>
      <c r="P316" s="169">
        <f>IF(Input!P173&gt;0, -SUM(P304:P315), 0)</f>
        <v>0</v>
      </c>
      <c r="Q316" s="169">
        <f>IF(Input!Q173&gt;0, -SUM(Q304:Q315), 0)</f>
        <v>0</v>
      </c>
      <c r="R316" s="68"/>
      <c r="S316" s="107"/>
      <c r="T316" s="107"/>
      <c r="U316" s="107"/>
      <c r="V316" s="107"/>
      <c r="W316" s="107"/>
      <c r="X316" s="107"/>
      <c r="Y316" s="107"/>
      <c r="Z316" s="107"/>
      <c r="AA316" s="107"/>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5"/>
      <c r="E317" s="34" t="s">
        <v>28</v>
      </c>
      <c r="F317" s="33"/>
      <c r="G317" s="181"/>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33" t="s">
        <v>87</v>
      </c>
      <c r="F318" s="88">
        <v>0</v>
      </c>
      <c r="G318" s="126"/>
      <c r="H318" s="70"/>
      <c r="I318" s="70"/>
      <c r="J318" s="70"/>
      <c r="K318" s="70"/>
      <c r="L318" s="70"/>
      <c r="M318" s="167"/>
      <c r="N318" s="115"/>
      <c r="O318" s="70"/>
      <c r="P318" s="70"/>
      <c r="Q318" s="70"/>
      <c r="R318" s="70"/>
      <c r="S318" s="105"/>
      <c r="T318" s="105"/>
      <c r="U318" s="105"/>
      <c r="V318" s="105"/>
      <c r="W318" s="105"/>
      <c r="X318" s="105"/>
      <c r="Y318" s="105"/>
      <c r="Z318" s="105"/>
      <c r="AA318" s="105"/>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34"/>
      <c r="F319" s="88">
        <v>1</v>
      </c>
      <c r="G319" s="126"/>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34"/>
      <c r="F320" s="88">
        <v>2</v>
      </c>
      <c r="G320" s="126"/>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34"/>
      <c r="F321" s="88">
        <v>3</v>
      </c>
      <c r="G321" s="126"/>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34"/>
      <c r="F322" s="88">
        <v>4</v>
      </c>
      <c r="G322" s="126"/>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34"/>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34"/>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34"/>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34"/>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34"/>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5"/>
      <c r="T327" s="105"/>
      <c r="U327" s="105"/>
      <c r="V327" s="105"/>
      <c r="W327" s="105"/>
      <c r="X327" s="105"/>
      <c r="Y327" s="105"/>
      <c r="Z327" s="105"/>
      <c r="AA327" s="105"/>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34"/>
      <c r="F328" s="89">
        <v>10</v>
      </c>
      <c r="G328" s="27"/>
      <c r="H328" s="150"/>
      <c r="I328" s="152"/>
      <c r="J328" s="152"/>
      <c r="K328" s="152"/>
      <c r="L328" s="152"/>
      <c r="M328" s="152"/>
      <c r="N328" s="152"/>
      <c r="O328" s="152"/>
      <c r="P328" s="152"/>
      <c r="Q328" s="151"/>
      <c r="R328" s="70"/>
      <c r="S328" s="105"/>
      <c r="T328" s="105"/>
      <c r="U328" s="105"/>
      <c r="V328" s="105"/>
      <c r="W328" s="105"/>
      <c r="X328" s="105"/>
      <c r="Y328" s="105"/>
      <c r="Z328" s="105"/>
      <c r="AA328" s="105"/>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6"/>
      <c r="H329" s="169">
        <f>-SUM(H317:H328)</f>
        <v>0</v>
      </c>
      <c r="I329" s="169">
        <f>-SUM(I317:I328)</f>
        <v>0</v>
      </c>
      <c r="J329" s="169">
        <f>-SUM(J317:J328)</f>
        <v>0</v>
      </c>
      <c r="K329" s="169">
        <f>-SUM(K317:K328)</f>
        <v>0</v>
      </c>
      <c r="L329" s="169">
        <f>-SUM(L317:L328)</f>
        <v>0</v>
      </c>
      <c r="M329" s="169">
        <f>IF(Input!M173&gt;0, -SUM(M317:M328), 0)</f>
        <v>0</v>
      </c>
      <c r="N329" s="169">
        <f>IF(Input!N173&gt;0, -SUM(N317:N328), 0)</f>
        <v>0</v>
      </c>
      <c r="O329" s="169">
        <f>IF(Input!O173&gt;0, -SUM(O317:O328), 0)</f>
        <v>0</v>
      </c>
      <c r="P329" s="169">
        <f>IF(Input!P173&gt;0, -SUM(P317:P328), 0)</f>
        <v>0</v>
      </c>
      <c r="Q329" s="169">
        <f>IF(Input!Q173&gt;0, -SUM(Q317:Q328), 0)</f>
        <v>0</v>
      </c>
      <c r="R329" s="68"/>
      <c r="S329" s="107"/>
      <c r="T329" s="107"/>
      <c r="U329" s="107"/>
      <c r="V329" s="107"/>
      <c r="W329" s="107"/>
      <c r="X329" s="107"/>
      <c r="Y329" s="107"/>
      <c r="Z329" s="107"/>
      <c r="AA329" s="107"/>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5"/>
      <c r="E330" s="34" t="s">
        <v>28</v>
      </c>
      <c r="F330" s="33"/>
      <c r="G330" s="181"/>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33" t="s">
        <v>87</v>
      </c>
      <c r="F331" s="88">
        <v>0</v>
      </c>
      <c r="G331" s="126"/>
      <c r="H331" s="70"/>
      <c r="I331" s="70"/>
      <c r="J331" s="70"/>
      <c r="K331" s="70"/>
      <c r="L331" s="70"/>
      <c r="M331" s="167"/>
      <c r="N331" s="115"/>
      <c r="O331" s="70"/>
      <c r="P331" s="70"/>
      <c r="Q331" s="70"/>
      <c r="R331" s="70"/>
      <c r="S331" s="105"/>
      <c r="T331" s="105"/>
      <c r="U331" s="105"/>
      <c r="V331" s="105"/>
      <c r="W331" s="105"/>
      <c r="X331" s="105"/>
      <c r="Y331" s="105"/>
      <c r="Z331" s="105"/>
      <c r="AA331" s="105"/>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34"/>
      <c r="F332" s="88">
        <v>1</v>
      </c>
      <c r="G332" s="126"/>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34"/>
      <c r="F333" s="88">
        <v>2</v>
      </c>
      <c r="G333" s="126"/>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34"/>
      <c r="F334" s="88">
        <v>3</v>
      </c>
      <c r="G334" s="126"/>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34"/>
      <c r="F335" s="88">
        <v>4</v>
      </c>
      <c r="G335" s="126"/>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34"/>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34"/>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34"/>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34"/>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34"/>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5"/>
      <c r="T340" s="105"/>
      <c r="U340" s="105"/>
      <c r="V340" s="105"/>
      <c r="W340" s="105"/>
      <c r="X340" s="105"/>
      <c r="Y340" s="105"/>
      <c r="Z340" s="105"/>
      <c r="AA340" s="105"/>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34"/>
      <c r="F341" s="89">
        <v>10</v>
      </c>
      <c r="G341" s="27"/>
      <c r="H341" s="150"/>
      <c r="I341" s="152"/>
      <c r="J341" s="152"/>
      <c r="K341" s="152"/>
      <c r="L341" s="152"/>
      <c r="M341" s="152"/>
      <c r="N341" s="152"/>
      <c r="O341" s="152"/>
      <c r="P341" s="152"/>
      <c r="Q341" s="151"/>
      <c r="R341" s="70"/>
      <c r="S341" s="105"/>
      <c r="T341" s="105"/>
      <c r="U341" s="105"/>
      <c r="V341" s="105"/>
      <c r="W341" s="105"/>
      <c r="X341" s="105"/>
      <c r="Y341" s="105"/>
      <c r="Z341" s="105"/>
      <c r="AA341" s="105"/>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6"/>
      <c r="H342" s="169">
        <f>-SUM(H330:H341)</f>
        <v>0</v>
      </c>
      <c r="I342" s="169">
        <f>-SUM(I330:I341)</f>
        <v>0</v>
      </c>
      <c r="J342" s="169">
        <f>-SUM(J330:J341)</f>
        <v>0</v>
      </c>
      <c r="K342" s="169">
        <f>-SUM(K330:K341)</f>
        <v>0</v>
      </c>
      <c r="L342" s="169">
        <f>-SUM(L330:L341)</f>
        <v>0</v>
      </c>
      <c r="M342" s="169">
        <f>IF(Input!M173&gt;0, -SUM(M330:M341), 0)</f>
        <v>0</v>
      </c>
      <c r="N342" s="169">
        <f>IF(Input!N173&gt;0, -SUM(N330:N341), 0)</f>
        <v>0</v>
      </c>
      <c r="O342" s="169">
        <f>IF(Input!O173&gt;0, -SUM(O330:O341), 0)</f>
        <v>0</v>
      </c>
      <c r="P342" s="169">
        <f>IF(Input!P173&gt;0, -SUM(P330:P341), 0)</f>
        <v>0</v>
      </c>
      <c r="Q342" s="169">
        <f>IF(Input!Q173&gt;0, -SUM(Q330:Q341), 0)</f>
        <v>0</v>
      </c>
      <c r="R342" s="68"/>
      <c r="S342" s="107"/>
      <c r="T342" s="107"/>
      <c r="U342" s="107"/>
      <c r="V342" s="107"/>
      <c r="W342" s="107"/>
      <c r="X342" s="107"/>
      <c r="Y342" s="107"/>
      <c r="Z342" s="107"/>
      <c r="AA342" s="107"/>
      <c r="AB342" s="236"/>
      <c r="AC342" s="236"/>
      <c r="AD342" s="236"/>
      <c r="AE342" s="236"/>
      <c r="AF342" s="236"/>
      <c r="AG342" s="236"/>
      <c r="AH342" s="236"/>
      <c r="AI342" s="236"/>
      <c r="AJ342" s="236"/>
      <c r="AK342" s="236"/>
      <c r="AL342" s="236"/>
      <c r="AM342" s="236"/>
      <c r="AN342" s="236"/>
      <c r="AO342" s="236"/>
      <c r="AP342" s="236"/>
      <c r="AQ342" s="236"/>
      <c r="AR342" s="236"/>
      <c r="AS342" s="236"/>
      <c r="AT342" s="236"/>
      <c r="AU342" s="236"/>
      <c r="AV342" s="236"/>
      <c r="AW342" s="236"/>
      <c r="AX342" s="236"/>
      <c r="AY342" s="236"/>
      <c r="AZ342" s="236"/>
      <c r="BA342" s="236"/>
      <c r="BB342" s="236"/>
      <c r="BC342" s="236"/>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5"/>
      <c r="E343" s="34" t="s">
        <v>28</v>
      </c>
      <c r="F343" s="33"/>
      <c r="G343" s="181"/>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33" t="s">
        <v>87</v>
      </c>
      <c r="F344" s="88">
        <v>0</v>
      </c>
      <c r="G344" s="126"/>
      <c r="H344" s="70"/>
      <c r="I344" s="70"/>
      <c r="J344" s="70"/>
      <c r="K344" s="70"/>
      <c r="L344" s="70"/>
      <c r="M344" s="167"/>
      <c r="N344" s="115"/>
      <c r="O344" s="70"/>
      <c r="P344" s="70"/>
      <c r="Q344" s="70"/>
      <c r="R344" s="70"/>
      <c r="S344" s="105"/>
      <c r="T344" s="105"/>
      <c r="U344" s="105"/>
      <c r="V344" s="105"/>
      <c r="W344" s="105"/>
      <c r="X344" s="105"/>
      <c r="Y344" s="105"/>
      <c r="Z344" s="105"/>
      <c r="AA344" s="105"/>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34"/>
      <c r="F345" s="88">
        <v>1</v>
      </c>
      <c r="G345" s="126"/>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34"/>
      <c r="F346" s="88">
        <v>2</v>
      </c>
      <c r="G346" s="126"/>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34"/>
      <c r="F347" s="88">
        <v>3</v>
      </c>
      <c r="G347" s="126"/>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34"/>
      <c r="F348" s="88">
        <v>4</v>
      </c>
      <c r="G348" s="126"/>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34"/>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34"/>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34"/>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34"/>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34"/>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5"/>
      <c r="T353" s="105"/>
      <c r="U353" s="105"/>
      <c r="V353" s="105"/>
      <c r="W353" s="105"/>
      <c r="X353" s="105"/>
      <c r="Y353" s="105"/>
      <c r="Z353" s="105"/>
      <c r="AA353" s="105"/>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34"/>
      <c r="F354" s="89">
        <v>10</v>
      </c>
      <c r="G354" s="27"/>
      <c r="H354" s="150"/>
      <c r="I354" s="152"/>
      <c r="J354" s="152"/>
      <c r="K354" s="152"/>
      <c r="L354" s="152"/>
      <c r="M354" s="152"/>
      <c r="N354" s="152"/>
      <c r="O354" s="152"/>
      <c r="P354" s="152"/>
      <c r="Q354" s="151"/>
      <c r="R354" s="70"/>
      <c r="S354" s="105"/>
      <c r="T354" s="105"/>
      <c r="U354" s="105"/>
      <c r="V354" s="105"/>
      <c r="W354" s="105"/>
      <c r="X354" s="105"/>
      <c r="Y354" s="105"/>
      <c r="Z354" s="105"/>
      <c r="AA354" s="105"/>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6"/>
      <c r="H355" s="169">
        <f>-SUM(H343:H354)</f>
        <v>0</v>
      </c>
      <c r="I355" s="169">
        <f>-SUM(I343:I354)</f>
        <v>0</v>
      </c>
      <c r="J355" s="169">
        <f>-SUM(J343:J354)</f>
        <v>0</v>
      </c>
      <c r="K355" s="169">
        <f>-SUM(K343:K354)</f>
        <v>0</v>
      </c>
      <c r="L355" s="169">
        <f>-SUM(L343:L354)</f>
        <v>0</v>
      </c>
      <c r="M355" s="169">
        <f>IF(Input!M173&gt;0, -SUM(M343:M354), 0)</f>
        <v>0</v>
      </c>
      <c r="N355" s="169">
        <f>IF(Input!N173&gt;0, -SUM(N343:N354), 0)</f>
        <v>0</v>
      </c>
      <c r="O355" s="169">
        <f>IF(Input!O173&gt;0, -SUM(O343:O354), 0)</f>
        <v>0</v>
      </c>
      <c r="P355" s="169">
        <f>IF(Input!P173&gt;0, -SUM(P343:P354), 0)</f>
        <v>0</v>
      </c>
      <c r="Q355" s="169">
        <f>IF(Input!Q173&gt;0, -SUM(Q343:Q354), 0)</f>
        <v>0</v>
      </c>
      <c r="R355" s="68"/>
      <c r="S355" s="107"/>
      <c r="T355" s="107"/>
      <c r="U355" s="107"/>
      <c r="V355" s="107"/>
      <c r="W355" s="107"/>
      <c r="X355" s="107"/>
      <c r="Y355" s="107"/>
      <c r="Z355" s="107"/>
      <c r="AA355" s="107"/>
      <c r="AB355" s="236"/>
      <c r="AC355" s="236"/>
      <c r="AD355" s="236"/>
      <c r="AE355" s="236"/>
      <c r="AF355" s="236"/>
      <c r="AG355" s="236"/>
      <c r="AH355" s="236"/>
      <c r="AI355" s="236"/>
      <c r="AJ355" s="236"/>
      <c r="AK355" s="236"/>
      <c r="AL355" s="236"/>
      <c r="AM355" s="236"/>
      <c r="AN355" s="236"/>
      <c r="AO355" s="236"/>
      <c r="AP355" s="236"/>
      <c r="AQ355" s="236"/>
      <c r="AR355" s="236"/>
      <c r="AS355" s="236"/>
      <c r="AT355" s="236"/>
      <c r="AU355" s="236"/>
      <c r="AV355" s="236"/>
      <c r="AW355" s="236"/>
      <c r="AX355" s="236"/>
      <c r="AY355" s="236"/>
      <c r="AZ355" s="236"/>
      <c r="BA355" s="236"/>
      <c r="BB355" s="236"/>
      <c r="BC355" s="236"/>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5"/>
      <c r="E356" s="34" t="s">
        <v>28</v>
      </c>
      <c r="F356" s="33"/>
      <c r="G356" s="181"/>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33" t="s">
        <v>87</v>
      </c>
      <c r="F357" s="88">
        <v>0</v>
      </c>
      <c r="G357" s="126"/>
      <c r="H357" s="70"/>
      <c r="I357" s="70"/>
      <c r="J357" s="70"/>
      <c r="K357" s="70"/>
      <c r="L357" s="70"/>
      <c r="M357" s="167"/>
      <c r="N357" s="115"/>
      <c r="O357" s="70"/>
      <c r="P357" s="70"/>
      <c r="Q357" s="70"/>
      <c r="R357" s="70"/>
      <c r="S357" s="105"/>
      <c r="T357" s="105"/>
      <c r="U357" s="105"/>
      <c r="V357" s="105"/>
      <c r="W357" s="105"/>
      <c r="X357" s="105"/>
      <c r="Y357" s="105"/>
      <c r="Z357" s="105"/>
      <c r="AA357" s="105"/>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34"/>
      <c r="F358" s="88">
        <v>1</v>
      </c>
      <c r="G358" s="126"/>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34"/>
      <c r="F359" s="88">
        <v>2</v>
      </c>
      <c r="G359" s="126"/>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34"/>
      <c r="F360" s="88">
        <v>3</v>
      </c>
      <c r="G360" s="126"/>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34"/>
      <c r="F361" s="88">
        <v>4</v>
      </c>
      <c r="G361" s="126"/>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34"/>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34"/>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34"/>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34"/>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34"/>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5"/>
      <c r="T366" s="105"/>
      <c r="U366" s="105"/>
      <c r="V366" s="105"/>
      <c r="W366" s="105"/>
      <c r="X366" s="105"/>
      <c r="Y366" s="105"/>
      <c r="Z366" s="105"/>
      <c r="AA366" s="105"/>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34"/>
      <c r="F367" s="89">
        <v>10</v>
      </c>
      <c r="G367" s="27"/>
      <c r="H367" s="150"/>
      <c r="I367" s="152"/>
      <c r="J367" s="152"/>
      <c r="K367" s="152"/>
      <c r="L367" s="152"/>
      <c r="M367" s="152"/>
      <c r="N367" s="152"/>
      <c r="O367" s="152"/>
      <c r="P367" s="152"/>
      <c r="Q367" s="151"/>
      <c r="R367" s="70"/>
      <c r="S367" s="105"/>
      <c r="T367" s="105"/>
      <c r="U367" s="105"/>
      <c r="V367" s="105"/>
      <c r="W367" s="105"/>
      <c r="X367" s="105"/>
      <c r="Y367" s="105"/>
      <c r="Z367" s="105"/>
      <c r="AA367" s="105"/>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6"/>
      <c r="H368" s="169">
        <f>-SUM(H356:H367)</f>
        <v>0</v>
      </c>
      <c r="I368" s="169">
        <f>-SUM(I356:I367)</f>
        <v>0</v>
      </c>
      <c r="J368" s="169">
        <f>-SUM(J356:J367)</f>
        <v>0</v>
      </c>
      <c r="K368" s="169">
        <f>-SUM(K356:K367)</f>
        <v>0</v>
      </c>
      <c r="L368" s="169">
        <f>-SUM(L356:L367)</f>
        <v>0</v>
      </c>
      <c r="M368" s="169">
        <f>IF(Input!M173&gt;0, -SUM(M356:M367), 0)</f>
        <v>0</v>
      </c>
      <c r="N368" s="169">
        <f>IF(Input!N173&gt;0, -SUM(N356:N367), 0)</f>
        <v>0</v>
      </c>
      <c r="O368" s="169">
        <f>IF(Input!O173&gt;0, -SUM(O356:O367), 0)</f>
        <v>0</v>
      </c>
      <c r="P368" s="169">
        <f>IF(Input!P173&gt;0, -SUM(P356:P367), 0)</f>
        <v>0</v>
      </c>
      <c r="Q368" s="169">
        <f>IF(Input!Q173&gt;0, -SUM(Q356:Q367), 0)</f>
        <v>0</v>
      </c>
      <c r="R368" s="68"/>
      <c r="S368" s="107"/>
      <c r="T368" s="107"/>
      <c r="U368" s="107"/>
      <c r="V368" s="107"/>
      <c r="W368" s="107"/>
      <c r="X368" s="107"/>
      <c r="Y368" s="107"/>
      <c r="Z368" s="107"/>
      <c r="AA368" s="107"/>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5"/>
      <c r="E369" s="34" t="s">
        <v>28</v>
      </c>
      <c r="F369" s="33"/>
      <c r="G369" s="181"/>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33" t="s">
        <v>87</v>
      </c>
      <c r="F370" s="88">
        <v>0</v>
      </c>
      <c r="G370" s="126"/>
      <c r="H370" s="70"/>
      <c r="I370" s="70"/>
      <c r="J370" s="70"/>
      <c r="K370" s="70"/>
      <c r="L370" s="70"/>
      <c r="M370" s="167"/>
      <c r="N370" s="115"/>
      <c r="O370" s="70"/>
      <c r="P370" s="70"/>
      <c r="Q370" s="70"/>
      <c r="R370" s="70"/>
      <c r="S370" s="105"/>
      <c r="T370" s="105"/>
      <c r="U370" s="105"/>
      <c r="V370" s="105"/>
      <c r="W370" s="105"/>
      <c r="X370" s="105"/>
      <c r="Y370" s="105"/>
      <c r="Z370" s="105"/>
      <c r="AA370" s="105"/>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34"/>
      <c r="F371" s="88">
        <v>1</v>
      </c>
      <c r="G371" s="126"/>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34"/>
      <c r="F372" s="88">
        <v>2</v>
      </c>
      <c r="G372" s="126"/>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34"/>
      <c r="F373" s="88">
        <v>3</v>
      </c>
      <c r="G373" s="126"/>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34"/>
      <c r="F374" s="88">
        <v>4</v>
      </c>
      <c r="G374" s="126"/>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34"/>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34"/>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34"/>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34"/>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34"/>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5"/>
      <c r="T379" s="105"/>
      <c r="U379" s="105"/>
      <c r="V379" s="105"/>
      <c r="W379" s="105"/>
      <c r="X379" s="105"/>
      <c r="Y379" s="105"/>
      <c r="Z379" s="105"/>
      <c r="AA379" s="105"/>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34"/>
      <c r="F380" s="89">
        <v>10</v>
      </c>
      <c r="G380" s="27"/>
      <c r="H380" s="150"/>
      <c r="I380" s="152"/>
      <c r="J380" s="152"/>
      <c r="K380" s="152"/>
      <c r="L380" s="152"/>
      <c r="M380" s="152"/>
      <c r="N380" s="152"/>
      <c r="O380" s="152"/>
      <c r="P380" s="152"/>
      <c r="Q380" s="151"/>
      <c r="R380" s="70"/>
      <c r="S380" s="105"/>
      <c r="T380" s="105"/>
      <c r="U380" s="105"/>
      <c r="V380" s="105"/>
      <c r="W380" s="105"/>
      <c r="X380" s="105"/>
      <c r="Y380" s="105"/>
      <c r="Z380" s="105"/>
      <c r="AA380" s="105"/>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6"/>
      <c r="H381" s="169">
        <f>-SUM(H369:H380)</f>
        <v>0</v>
      </c>
      <c r="I381" s="169">
        <f>-SUM(I369:I380)</f>
        <v>0</v>
      </c>
      <c r="J381" s="169">
        <f>-SUM(J369:J380)</f>
        <v>0</v>
      </c>
      <c r="K381" s="169">
        <f>-SUM(K369:K380)</f>
        <v>0</v>
      </c>
      <c r="L381" s="169">
        <f>-SUM(L369:L380)</f>
        <v>0</v>
      </c>
      <c r="M381" s="169">
        <f>IF(Input!M173&gt;0, -SUM(M369:M380), 0)</f>
        <v>0</v>
      </c>
      <c r="N381" s="169">
        <f>IF(Input!N173&gt;0, -SUM(N369:N380), 0)</f>
        <v>0</v>
      </c>
      <c r="O381" s="169">
        <f>IF(Input!O173&gt;0, -SUM(O369:O380), 0)</f>
        <v>0</v>
      </c>
      <c r="P381" s="169">
        <f>IF(Input!P173&gt;0, -SUM(P369:P380), 0)</f>
        <v>0</v>
      </c>
      <c r="Q381" s="169">
        <f>IF(Input!Q173&gt;0, -SUM(Q369:Q380), 0)</f>
        <v>0</v>
      </c>
      <c r="R381" s="68"/>
      <c r="S381" s="107"/>
      <c r="T381" s="107"/>
      <c r="U381" s="107"/>
      <c r="V381" s="107"/>
      <c r="W381" s="107"/>
      <c r="X381" s="107"/>
      <c r="Y381" s="107"/>
      <c r="Z381" s="107"/>
      <c r="AA381" s="107"/>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5"/>
      <c r="E382" s="34" t="s">
        <v>28</v>
      </c>
      <c r="F382" s="33"/>
      <c r="G382" s="181"/>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33" t="s">
        <v>87</v>
      </c>
      <c r="F383" s="88">
        <v>0</v>
      </c>
      <c r="G383" s="126"/>
      <c r="H383" s="70"/>
      <c r="I383" s="70"/>
      <c r="J383" s="70"/>
      <c r="K383" s="70"/>
      <c r="L383" s="70"/>
      <c r="M383" s="167"/>
      <c r="N383" s="115"/>
      <c r="O383" s="70"/>
      <c r="P383" s="70"/>
      <c r="Q383" s="70"/>
      <c r="R383" s="70"/>
      <c r="S383" s="105"/>
      <c r="T383" s="105"/>
      <c r="U383" s="105"/>
      <c r="V383" s="105"/>
      <c r="W383" s="105"/>
      <c r="X383" s="105"/>
      <c r="Y383" s="105"/>
      <c r="Z383" s="105"/>
      <c r="AA383" s="105"/>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34"/>
      <c r="F384" s="88">
        <v>1</v>
      </c>
      <c r="G384" s="126"/>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34"/>
      <c r="F385" s="88">
        <v>2</v>
      </c>
      <c r="G385" s="126"/>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34"/>
      <c r="F386" s="88">
        <v>3</v>
      </c>
      <c r="G386" s="126"/>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34"/>
      <c r="F387" s="88">
        <v>4</v>
      </c>
      <c r="G387" s="126"/>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34"/>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34"/>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34"/>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34"/>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34"/>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5"/>
      <c r="T392" s="105"/>
      <c r="U392" s="105"/>
      <c r="V392" s="105"/>
      <c r="W392" s="105"/>
      <c r="X392" s="105"/>
      <c r="Y392" s="105"/>
      <c r="Z392" s="105"/>
      <c r="AA392" s="105"/>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34"/>
      <c r="F393" s="89">
        <v>10</v>
      </c>
      <c r="G393" s="27"/>
      <c r="H393" s="150"/>
      <c r="I393" s="152"/>
      <c r="J393" s="152"/>
      <c r="K393" s="152"/>
      <c r="L393" s="152"/>
      <c r="M393" s="152"/>
      <c r="N393" s="152"/>
      <c r="O393" s="152"/>
      <c r="P393" s="152"/>
      <c r="Q393" s="151"/>
      <c r="R393" s="70"/>
      <c r="S393" s="105"/>
      <c r="T393" s="105"/>
      <c r="U393" s="105"/>
      <c r="V393" s="105"/>
      <c r="W393" s="105"/>
      <c r="X393" s="105"/>
      <c r="Y393" s="105"/>
      <c r="Z393" s="105"/>
      <c r="AA393" s="105"/>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6"/>
      <c r="H394" s="169">
        <f>-SUM(H382:H393)</f>
        <v>0</v>
      </c>
      <c r="I394" s="169">
        <f>-SUM(I382:I393)</f>
        <v>0</v>
      </c>
      <c r="J394" s="169">
        <f>-SUM(J382:J393)</f>
        <v>0</v>
      </c>
      <c r="K394" s="169">
        <f>-SUM(K382:K393)</f>
        <v>0</v>
      </c>
      <c r="L394" s="169">
        <f>-SUM(L382:L393)</f>
        <v>0</v>
      </c>
      <c r="M394" s="169">
        <f>IF(Input!M173&gt;0, -SUM(M382:M393), 0)</f>
        <v>0</v>
      </c>
      <c r="N394" s="169">
        <f>IF(Input!N173&gt;0, -SUM(N382:N393), 0)</f>
        <v>0</v>
      </c>
      <c r="O394" s="169">
        <f>IF(Input!O173&gt;0, -SUM(O382:O393), 0)</f>
        <v>0</v>
      </c>
      <c r="P394" s="169">
        <f>IF(Input!P173&gt;0, -SUM(P382:P393), 0)</f>
        <v>0</v>
      </c>
      <c r="Q394" s="169">
        <f>IF(Input!Q173&gt;0, -SUM(Q382:Q393), 0)</f>
        <v>0</v>
      </c>
      <c r="R394" s="68"/>
      <c r="S394" s="107"/>
      <c r="T394" s="107"/>
      <c r="U394" s="107"/>
      <c r="V394" s="107"/>
      <c r="W394" s="107"/>
      <c r="X394" s="107"/>
      <c r="Y394" s="107"/>
      <c r="Z394" s="107"/>
      <c r="AA394" s="107"/>
      <c r="AB394" s="236"/>
      <c r="AC394" s="236"/>
      <c r="AD394" s="236"/>
      <c r="AE394" s="236"/>
      <c r="AF394" s="236"/>
      <c r="AG394" s="236"/>
      <c r="AH394" s="236"/>
      <c r="AI394" s="236"/>
      <c r="AJ394" s="236"/>
      <c r="AK394" s="236"/>
      <c r="AL394" s="236"/>
      <c r="AM394" s="236"/>
      <c r="AN394" s="236"/>
      <c r="AO394" s="236"/>
      <c r="AP394" s="236"/>
      <c r="AQ394" s="236"/>
      <c r="AR394" s="236"/>
      <c r="AS394" s="236"/>
      <c r="AT394" s="236"/>
      <c r="AU394" s="236"/>
      <c r="AV394" s="236"/>
      <c r="AW394" s="236"/>
      <c r="AX394" s="236"/>
      <c r="AY394" s="236"/>
      <c r="AZ394" s="236"/>
      <c r="BA394" s="236"/>
      <c r="BB394" s="236"/>
      <c r="BC394" s="236"/>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5"/>
      <c r="E395" s="34" t="s">
        <v>28</v>
      </c>
      <c r="F395" s="33"/>
      <c r="G395" s="181"/>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33" t="s">
        <v>87</v>
      </c>
      <c r="F396" s="88">
        <v>0</v>
      </c>
      <c r="G396" s="126"/>
      <c r="H396" s="70"/>
      <c r="I396" s="70"/>
      <c r="J396" s="70"/>
      <c r="K396" s="70"/>
      <c r="L396" s="70"/>
      <c r="M396" s="167"/>
      <c r="N396" s="115"/>
      <c r="O396" s="70"/>
      <c r="P396" s="70"/>
      <c r="Q396" s="70"/>
      <c r="R396" s="70"/>
      <c r="S396" s="105"/>
      <c r="T396" s="105"/>
      <c r="U396" s="105"/>
      <c r="V396" s="105"/>
      <c r="W396" s="105"/>
      <c r="X396" s="105"/>
      <c r="Y396" s="105"/>
      <c r="Z396" s="105"/>
      <c r="AA396" s="105"/>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34"/>
      <c r="F397" s="88">
        <v>1</v>
      </c>
      <c r="G397" s="126"/>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34"/>
      <c r="F398" s="88">
        <v>2</v>
      </c>
      <c r="G398" s="126"/>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34"/>
      <c r="F399" s="88">
        <v>3</v>
      </c>
      <c r="G399" s="126"/>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34"/>
      <c r="F400" s="88">
        <v>4</v>
      </c>
      <c r="G400" s="126"/>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34"/>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34"/>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34"/>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34"/>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34"/>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5"/>
      <c r="T405" s="105"/>
      <c r="U405" s="105"/>
      <c r="V405" s="105"/>
      <c r="W405" s="105"/>
      <c r="X405" s="105"/>
      <c r="Y405" s="105"/>
      <c r="Z405" s="105"/>
      <c r="AA405" s="105"/>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34"/>
      <c r="F406" s="89">
        <v>10</v>
      </c>
      <c r="G406" s="27"/>
      <c r="H406" s="150"/>
      <c r="I406" s="152"/>
      <c r="J406" s="152"/>
      <c r="K406" s="152"/>
      <c r="L406" s="152"/>
      <c r="M406" s="152"/>
      <c r="N406" s="152"/>
      <c r="O406" s="152"/>
      <c r="P406" s="152"/>
      <c r="Q406" s="151"/>
      <c r="R406" s="70"/>
      <c r="S406" s="105"/>
      <c r="T406" s="105"/>
      <c r="U406" s="105"/>
      <c r="V406" s="105"/>
      <c r="W406" s="105"/>
      <c r="X406" s="105"/>
      <c r="Y406" s="105"/>
      <c r="Z406" s="105"/>
      <c r="AA406" s="105"/>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6"/>
      <c r="H407" s="169">
        <f>-SUM(H395:H406)</f>
        <v>0</v>
      </c>
      <c r="I407" s="169">
        <f>-SUM(I395:I406)</f>
        <v>0</v>
      </c>
      <c r="J407" s="169">
        <f>-SUM(J395:J406)</f>
        <v>0</v>
      </c>
      <c r="K407" s="169">
        <f>-SUM(K395:K406)</f>
        <v>0</v>
      </c>
      <c r="L407" s="169">
        <f>-SUM(L395:L406)</f>
        <v>0</v>
      </c>
      <c r="M407" s="169">
        <f>IF(Input!M173&gt;0, -SUM(M395:M406), 0)</f>
        <v>0</v>
      </c>
      <c r="N407" s="169">
        <f>IF(Input!N173&gt;0, -SUM(N395:N406), 0)</f>
        <v>0</v>
      </c>
      <c r="O407" s="169">
        <f>IF(Input!O173&gt;0, -SUM(O395:O406), 0)</f>
        <v>0</v>
      </c>
      <c r="P407" s="169">
        <f>IF(Input!P173&gt;0, -SUM(P395:P406), 0)</f>
        <v>0</v>
      </c>
      <c r="Q407" s="169">
        <f>IF(Input!Q173&gt;0, -SUM(Q395:Q406), 0)</f>
        <v>0</v>
      </c>
      <c r="R407" s="68"/>
      <c r="S407" s="107"/>
      <c r="T407" s="107"/>
      <c r="U407" s="107"/>
      <c r="V407" s="107"/>
      <c r="W407" s="107"/>
      <c r="X407" s="107"/>
      <c r="Y407" s="107"/>
      <c r="Z407" s="107"/>
      <c r="AA407" s="107"/>
      <c r="AB407" s="236"/>
      <c r="AC407" s="236"/>
      <c r="AD407" s="236"/>
      <c r="AE407" s="236"/>
      <c r="AF407" s="236"/>
      <c r="AG407" s="236"/>
      <c r="AH407" s="236"/>
      <c r="AI407" s="236"/>
      <c r="AJ407" s="236"/>
      <c r="AK407" s="236"/>
      <c r="AL407" s="236"/>
      <c r="AM407" s="236"/>
      <c r="AN407" s="236"/>
      <c r="AO407" s="236"/>
      <c r="AP407" s="236"/>
      <c r="AQ407" s="236"/>
      <c r="AR407" s="236"/>
      <c r="AS407" s="236"/>
      <c r="AT407" s="236"/>
      <c r="AU407" s="236"/>
      <c r="AV407" s="236"/>
      <c r="AW407" s="236"/>
      <c r="AX407" s="236"/>
      <c r="AY407" s="236"/>
      <c r="AZ407" s="236"/>
      <c r="BA407" s="236"/>
      <c r="BB407" s="236"/>
      <c r="BC407" s="236"/>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5"/>
      <c r="E408" s="34" t="s">
        <v>28</v>
      </c>
      <c r="F408" s="33"/>
      <c r="G408" s="181"/>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33" t="s">
        <v>87</v>
      </c>
      <c r="F409" s="88">
        <v>0</v>
      </c>
      <c r="G409" s="126"/>
      <c r="H409" s="70"/>
      <c r="I409" s="70"/>
      <c r="J409" s="70"/>
      <c r="K409" s="70"/>
      <c r="L409" s="70"/>
      <c r="M409" s="167"/>
      <c r="N409" s="115"/>
      <c r="O409" s="70"/>
      <c r="P409" s="70"/>
      <c r="Q409" s="70"/>
      <c r="R409" s="70"/>
      <c r="S409" s="105"/>
      <c r="T409" s="105"/>
      <c r="U409" s="105"/>
      <c r="V409" s="105"/>
      <c r="W409" s="105"/>
      <c r="X409" s="105"/>
      <c r="Y409" s="105"/>
      <c r="Z409" s="105"/>
      <c r="AA409" s="105"/>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34"/>
      <c r="F410" s="88">
        <v>1</v>
      </c>
      <c r="G410" s="126"/>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34"/>
      <c r="F411" s="88">
        <v>2</v>
      </c>
      <c r="G411" s="126"/>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34"/>
      <c r="F412" s="88">
        <v>3</v>
      </c>
      <c r="G412" s="126"/>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34"/>
      <c r="F413" s="88">
        <v>4</v>
      </c>
      <c r="G413" s="126"/>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34"/>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34"/>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34"/>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34"/>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34"/>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5"/>
      <c r="T418" s="105"/>
      <c r="U418" s="105"/>
      <c r="V418" s="105"/>
      <c r="W418" s="105"/>
      <c r="X418" s="105"/>
      <c r="Y418" s="105"/>
      <c r="Z418" s="105"/>
      <c r="AA418" s="105"/>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34"/>
      <c r="F419" s="89">
        <v>10</v>
      </c>
      <c r="G419" s="27"/>
      <c r="H419" s="150"/>
      <c r="I419" s="152"/>
      <c r="J419" s="152"/>
      <c r="K419" s="152"/>
      <c r="L419" s="152"/>
      <c r="M419" s="152"/>
      <c r="N419" s="152"/>
      <c r="O419" s="152"/>
      <c r="P419" s="152"/>
      <c r="Q419" s="151"/>
      <c r="R419" s="70"/>
      <c r="S419" s="105"/>
      <c r="T419" s="105"/>
      <c r="U419" s="105"/>
      <c r="V419" s="105"/>
      <c r="W419" s="105"/>
      <c r="X419" s="105"/>
      <c r="Y419" s="105"/>
      <c r="Z419" s="105"/>
      <c r="AA419" s="105"/>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6"/>
      <c r="H420" s="169">
        <f>-SUM(H408:H419)</f>
        <v>0</v>
      </c>
      <c r="I420" s="169">
        <f>-SUM(I408:I419)</f>
        <v>0</v>
      </c>
      <c r="J420" s="169">
        <f>-SUM(J408:J419)</f>
        <v>0</v>
      </c>
      <c r="K420" s="169">
        <f>-SUM(K408:K419)</f>
        <v>0</v>
      </c>
      <c r="L420" s="169">
        <f>-SUM(L408:L419)</f>
        <v>0</v>
      </c>
      <c r="M420" s="169">
        <f>IF(Input!M173&gt;0, -SUM(M408:M419), 0)</f>
        <v>0</v>
      </c>
      <c r="N420" s="169">
        <f>IF(Input!N173&gt;0, -SUM(N408:N419), 0)</f>
        <v>0</v>
      </c>
      <c r="O420" s="169">
        <f>IF(Input!O173&gt;0, -SUM(O408:O419), 0)</f>
        <v>0</v>
      </c>
      <c r="P420" s="169">
        <f>IF(Input!P173&gt;0, -SUM(P408:P419), 0)</f>
        <v>0</v>
      </c>
      <c r="Q420" s="169">
        <f>IF(Input!Q173&gt;0, -SUM(Q408:Q419), 0)</f>
        <v>0</v>
      </c>
      <c r="R420" s="68"/>
      <c r="S420" s="107"/>
      <c r="T420" s="107"/>
      <c r="U420" s="107"/>
      <c r="V420" s="107"/>
      <c r="W420" s="107"/>
      <c r="X420" s="107"/>
      <c r="Y420" s="107"/>
      <c r="Z420" s="107"/>
      <c r="AA420" s="107"/>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5"/>
      <c r="E421" s="34" t="s">
        <v>28</v>
      </c>
      <c r="F421" s="33"/>
      <c r="G421" s="181"/>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33" t="s">
        <v>87</v>
      </c>
      <c r="F422" s="88">
        <v>0</v>
      </c>
      <c r="G422" s="126"/>
      <c r="H422" s="70"/>
      <c r="I422" s="70"/>
      <c r="J422" s="70"/>
      <c r="K422" s="70"/>
      <c r="L422" s="70"/>
      <c r="M422" s="167"/>
      <c r="N422" s="115"/>
      <c r="O422" s="70"/>
      <c r="P422" s="70"/>
      <c r="Q422" s="70"/>
      <c r="R422" s="70"/>
      <c r="S422" s="105"/>
      <c r="T422" s="105"/>
      <c r="U422" s="105"/>
      <c r="V422" s="105"/>
      <c r="W422" s="105"/>
      <c r="X422" s="105"/>
      <c r="Y422" s="105"/>
      <c r="Z422" s="105"/>
      <c r="AA422" s="105"/>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34"/>
      <c r="F423" s="88">
        <v>1</v>
      </c>
      <c r="G423" s="126"/>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34"/>
      <c r="F424" s="88">
        <v>2</v>
      </c>
      <c r="G424" s="126"/>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34"/>
      <c r="F425" s="88">
        <v>3</v>
      </c>
      <c r="G425" s="126"/>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34"/>
      <c r="F426" s="88">
        <v>4</v>
      </c>
      <c r="G426" s="126"/>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34"/>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34"/>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34"/>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34"/>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34"/>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5"/>
      <c r="T431" s="105"/>
      <c r="U431" s="105"/>
      <c r="V431" s="105"/>
      <c r="W431" s="105"/>
      <c r="X431" s="105"/>
      <c r="Y431" s="105"/>
      <c r="Z431" s="105"/>
      <c r="AA431" s="105"/>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34"/>
      <c r="F432" s="89">
        <v>10</v>
      </c>
      <c r="G432" s="27"/>
      <c r="H432" s="150"/>
      <c r="I432" s="152"/>
      <c r="J432" s="152"/>
      <c r="K432" s="152"/>
      <c r="L432" s="152"/>
      <c r="M432" s="152"/>
      <c r="N432" s="152"/>
      <c r="O432" s="152"/>
      <c r="P432" s="152"/>
      <c r="Q432" s="151"/>
      <c r="R432" s="70"/>
      <c r="S432" s="105"/>
      <c r="T432" s="105"/>
      <c r="U432" s="105"/>
      <c r="V432" s="105"/>
      <c r="W432" s="105"/>
      <c r="X432" s="105"/>
      <c r="Y432" s="105"/>
      <c r="Z432" s="105"/>
      <c r="AA432" s="105"/>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6"/>
      <c r="H433" s="169">
        <f>-SUM(H421:H432)</f>
        <v>0</v>
      </c>
      <c r="I433" s="169">
        <f>-SUM(I421:I432)</f>
        <v>0</v>
      </c>
      <c r="J433" s="169">
        <f>-SUM(J421:J432)</f>
        <v>0</v>
      </c>
      <c r="K433" s="169">
        <f>-SUM(K421:K432)</f>
        <v>0</v>
      </c>
      <c r="L433" s="169">
        <f>-SUM(L421:L432)</f>
        <v>0</v>
      </c>
      <c r="M433" s="169">
        <f>IF(Input!M173&gt;0, -SUM(M421:M432), 0)</f>
        <v>0</v>
      </c>
      <c r="N433" s="169">
        <f>IF(Input!N173&gt;0, -SUM(N421:N432), 0)</f>
        <v>0</v>
      </c>
      <c r="O433" s="169">
        <f>IF(Input!O173&gt;0, -SUM(O421:O432), 0)</f>
        <v>0</v>
      </c>
      <c r="P433" s="169">
        <f>IF(Input!P173&gt;0, -SUM(P421:P432), 0)</f>
        <v>0</v>
      </c>
      <c r="Q433" s="169">
        <f>IF(Input!Q173&gt;0, -SUM(Q421:Q432), 0)</f>
        <v>0</v>
      </c>
      <c r="R433" s="68"/>
      <c r="S433" s="107"/>
      <c r="T433" s="107"/>
      <c r="U433" s="107"/>
      <c r="V433" s="107"/>
      <c r="W433" s="107"/>
      <c r="X433" s="107"/>
      <c r="Y433" s="107"/>
      <c r="Z433" s="107"/>
      <c r="AA433" s="107"/>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108"/>
      <c r="BE436" s="108"/>
      <c r="BF436" s="108"/>
      <c r="BG436" s="108"/>
      <c r="BH436" s="108"/>
      <c r="BI436" s="108"/>
      <c r="BJ436" s="108"/>
      <c r="BK436" s="12"/>
      <c r="BL436" s="12"/>
    </row>
    <row r="437" spans="1:256">
      <c r="A437" s="9"/>
      <c r="B437" s="9"/>
      <c r="C437" s="46" t="s">
        <v>46</v>
      </c>
      <c r="D437" s="9"/>
      <c r="E437" s="9"/>
      <c r="F437" s="9"/>
      <c r="G437" s="205">
        <f>SUM(G438:G467)</f>
        <v>498.28027838127326</v>
      </c>
      <c r="H437" s="118">
        <f>SUM(H438:H467)</f>
        <v>523.28094164003767</v>
      </c>
      <c r="I437" s="118">
        <f t="shared" ref="I437:R437" si="3">SUM(I438:I467)</f>
        <v>559.64809540994338</v>
      </c>
      <c r="J437" s="118">
        <f t="shared" si="3"/>
        <v>603.76047452900184</v>
      </c>
      <c r="K437" s="118">
        <f t="shared" si="3"/>
        <v>641.13377927933436</v>
      </c>
      <c r="L437" s="118">
        <f t="shared" si="3"/>
        <v>662.35743437547535</v>
      </c>
      <c r="M437" s="118">
        <f t="shared" si="3"/>
        <v>706.66644580334503</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101"/>
      <c r="BE437" s="101"/>
      <c r="BF437" s="101"/>
      <c r="BG437" s="101"/>
      <c r="BH437" s="101"/>
      <c r="BI437" s="101"/>
      <c r="BJ437" s="101"/>
      <c r="BK437" s="12"/>
      <c r="BL437" s="12"/>
    </row>
    <row r="438" spans="1:256" hidden="1" outlineLevel="1">
      <c r="A438" s="9"/>
      <c r="B438" s="9"/>
      <c r="C438" s="9"/>
      <c r="D438" s="132" t="str">
        <f>Asset1</f>
        <v>Opening Distribution Assets</v>
      </c>
      <c r="E438" s="9"/>
      <c r="F438" s="9"/>
      <c r="G438" s="198">
        <f>Input!J7</f>
        <v>498.28027838127326</v>
      </c>
      <c r="H438" s="113">
        <f>G438+G470+G502+G534+G566+G598</f>
        <v>523.28094164003767</v>
      </c>
      <c r="I438" s="113">
        <f t="shared" ref="I438:M447" si="4">H438+H470+H502</f>
        <v>506.14438454160216</v>
      </c>
      <c r="J438" s="113">
        <f t="shared" si="4"/>
        <v>493.39921945601708</v>
      </c>
      <c r="K438" s="113">
        <f t="shared" si="4"/>
        <v>482.20371082101735</v>
      </c>
      <c r="L438" s="113">
        <f t="shared" si="4"/>
        <v>461.83916662172794</v>
      </c>
      <c r="M438" s="113">
        <f t="shared" si="4"/>
        <v>443.78015455070476</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9"/>
      <c r="BE438" s="9"/>
      <c r="BF438" s="9"/>
      <c r="BG438" s="9"/>
      <c r="BH438" s="9"/>
      <c r="BI438" s="9"/>
      <c r="BJ438" s="9"/>
      <c r="BK438" s="9"/>
      <c r="BL438" s="9"/>
    </row>
    <row r="439" spans="1:256" hidden="1" outlineLevel="1">
      <c r="A439" s="9"/>
      <c r="B439" s="9"/>
      <c r="C439" s="46"/>
      <c r="D439" s="132" t="str">
        <f>Asset2</f>
        <v>Sub-transmission Overhead</v>
      </c>
      <c r="E439" s="9"/>
      <c r="F439" s="9"/>
      <c r="G439" s="198">
        <f>Input!J8</f>
        <v>0</v>
      </c>
      <c r="H439" s="113">
        <f t="shared" ref="H439:H457" si="5">G439+G471+G503+G535+G567+G599</f>
        <v>0</v>
      </c>
      <c r="I439" s="113">
        <f t="shared" si="4"/>
        <v>0</v>
      </c>
      <c r="J439" s="113">
        <f t="shared" si="4"/>
        <v>0</v>
      </c>
      <c r="K439" s="113">
        <f t="shared" si="4"/>
        <v>0</v>
      </c>
      <c r="L439" s="113">
        <f t="shared" si="4"/>
        <v>0</v>
      </c>
      <c r="M439" s="113">
        <f t="shared" si="4"/>
        <v>0</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102"/>
      <c r="BE439" s="102"/>
      <c r="BF439" s="102"/>
      <c r="BG439" s="102"/>
      <c r="BH439" s="102"/>
      <c r="BI439" s="102"/>
      <c r="BJ439" s="102"/>
      <c r="BK439" s="12"/>
      <c r="BL439" s="12"/>
    </row>
    <row r="440" spans="1:256" hidden="1" outlineLevel="1">
      <c r="A440" s="9"/>
      <c r="B440" s="9"/>
      <c r="C440" s="46"/>
      <c r="D440" s="132" t="str">
        <f>Asset3</f>
        <v>Sub-transmission Underground</v>
      </c>
      <c r="E440" s="9"/>
      <c r="F440" s="9"/>
      <c r="G440" s="198">
        <f>Input!J9</f>
        <v>0</v>
      </c>
      <c r="H440" s="113">
        <f t="shared" si="5"/>
        <v>0</v>
      </c>
      <c r="I440" s="113">
        <f t="shared" si="4"/>
        <v>0</v>
      </c>
      <c r="J440" s="113">
        <f t="shared" si="4"/>
        <v>0</v>
      </c>
      <c r="K440" s="113">
        <f t="shared" si="4"/>
        <v>0</v>
      </c>
      <c r="L440" s="113">
        <f t="shared" si="4"/>
        <v>0</v>
      </c>
      <c r="M440" s="113">
        <f t="shared" si="4"/>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102"/>
      <c r="BE440" s="102"/>
      <c r="BF440" s="102"/>
      <c r="BG440" s="102"/>
      <c r="BH440" s="102"/>
      <c r="BI440" s="102"/>
      <c r="BJ440" s="102"/>
      <c r="BK440" s="12"/>
      <c r="BL440" s="12"/>
    </row>
    <row r="441" spans="1:256" hidden="1" outlineLevel="1">
      <c r="A441" s="9"/>
      <c r="B441" s="9"/>
      <c r="C441" s="46"/>
      <c r="D441" s="132" t="str">
        <f>Asset4</f>
        <v>Zone Substation</v>
      </c>
      <c r="E441" s="9"/>
      <c r="F441" s="9"/>
      <c r="G441" s="198">
        <f>Input!J10</f>
        <v>0</v>
      </c>
      <c r="H441" s="113">
        <f t="shared" si="5"/>
        <v>0</v>
      </c>
      <c r="I441" s="113">
        <f t="shared" si="4"/>
        <v>0.8244722972041908</v>
      </c>
      <c r="J441" s="113">
        <f t="shared" si="4"/>
        <v>0.83539863136000281</v>
      </c>
      <c r="K441" s="113">
        <f t="shared" si="4"/>
        <v>0.84191164098385407</v>
      </c>
      <c r="L441" s="113">
        <f t="shared" si="4"/>
        <v>1.62826491929481</v>
      </c>
      <c r="M441" s="113">
        <f t="shared" si="4"/>
        <v>1.792652176842412</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102"/>
      <c r="BE441" s="102"/>
      <c r="BF441" s="102"/>
      <c r="BG441" s="102"/>
      <c r="BH441" s="102"/>
      <c r="BI441" s="102"/>
      <c r="BJ441" s="102"/>
      <c r="BK441" s="12"/>
      <c r="BL441" s="12"/>
    </row>
    <row r="442" spans="1:256" hidden="1" outlineLevel="1">
      <c r="A442" s="9"/>
      <c r="B442" s="9"/>
      <c r="C442" s="46"/>
      <c r="D442" s="132" t="str">
        <f>Asset5</f>
        <v>Distribution Substations</v>
      </c>
      <c r="E442" s="9"/>
      <c r="F442" s="9"/>
      <c r="G442" s="198">
        <f>Input!J11</f>
        <v>0</v>
      </c>
      <c r="H442" s="113">
        <f t="shared" si="5"/>
        <v>0</v>
      </c>
      <c r="I442" s="113">
        <f t="shared" si="4"/>
        <v>10.355029952377336</v>
      </c>
      <c r="J442" s="113">
        <f t="shared" si="4"/>
        <v>22.632616693757978</v>
      </c>
      <c r="K442" s="113">
        <f t="shared" si="4"/>
        <v>33.651544707156702</v>
      </c>
      <c r="L442" s="113">
        <f t="shared" si="4"/>
        <v>41.012543650812887</v>
      </c>
      <c r="M442" s="113">
        <f t="shared" si="4"/>
        <v>51.133429237490319</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102"/>
      <c r="BE442" s="102"/>
      <c r="BF442" s="102"/>
      <c r="BG442" s="102"/>
      <c r="BH442" s="102"/>
      <c r="BI442" s="102"/>
      <c r="BJ442" s="102"/>
      <c r="BK442" s="12"/>
      <c r="BL442" s="12"/>
    </row>
    <row r="443" spans="1:256" hidden="1" outlineLevel="1">
      <c r="A443" s="9"/>
      <c r="B443" s="9"/>
      <c r="C443" s="46"/>
      <c r="D443" s="132" t="str">
        <f>Asset6</f>
        <v>Distribution Overhead Lines</v>
      </c>
      <c r="E443" s="9"/>
      <c r="F443" s="9"/>
      <c r="G443" s="198">
        <f>Input!J12</f>
        <v>0</v>
      </c>
      <c r="H443" s="113">
        <f t="shared" si="5"/>
        <v>0</v>
      </c>
      <c r="I443" s="113">
        <f t="shared" si="4"/>
        <v>11.253915343245509</v>
      </c>
      <c r="J443" s="113">
        <f t="shared" si="4"/>
        <v>24.348133962907013</v>
      </c>
      <c r="K443" s="113">
        <f t="shared" si="4"/>
        <v>39.011871461609665</v>
      </c>
      <c r="L443" s="113">
        <f t="shared" si="4"/>
        <v>50.239090702973769</v>
      </c>
      <c r="M443" s="113">
        <f t="shared" si="4"/>
        <v>60.513674690497524</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102"/>
      <c r="BE443" s="102"/>
      <c r="BF443" s="102"/>
      <c r="BG443" s="102"/>
      <c r="BH443" s="102"/>
      <c r="BI443" s="102"/>
      <c r="BJ443" s="102"/>
      <c r="BK443" s="12"/>
      <c r="BL443" s="12"/>
    </row>
    <row r="444" spans="1:256" hidden="1" outlineLevel="1">
      <c r="A444" s="9"/>
      <c r="B444" s="9"/>
      <c r="C444" s="46"/>
      <c r="D444" s="132" t="str">
        <f>Asset7</f>
        <v>Distribution Underground Lines</v>
      </c>
      <c r="E444" s="9"/>
      <c r="F444" s="9"/>
      <c r="G444" s="198">
        <f>Input!J13</f>
        <v>0</v>
      </c>
      <c r="H444" s="113">
        <f t="shared" si="5"/>
        <v>0</v>
      </c>
      <c r="I444" s="113">
        <f t="shared" si="4"/>
        <v>15.379008817383424</v>
      </c>
      <c r="J444" s="113">
        <f t="shared" si="4"/>
        <v>32.542281179145242</v>
      </c>
      <c r="K444" s="113">
        <f t="shared" si="4"/>
        <v>50.712773340171537</v>
      </c>
      <c r="L444" s="113">
        <f t="shared" si="4"/>
        <v>59.817040086368529</v>
      </c>
      <c r="M444" s="113">
        <f t="shared" si="4"/>
        <v>73.821357251346484</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102"/>
      <c r="BE444" s="102"/>
      <c r="BF444" s="102"/>
      <c r="BG444" s="102"/>
      <c r="BH444" s="102"/>
      <c r="BI444" s="102"/>
      <c r="BJ444" s="102"/>
      <c r="BK444" s="12"/>
      <c r="BL444" s="12"/>
    </row>
    <row r="445" spans="1:256" hidden="1" outlineLevel="1">
      <c r="A445" s="9"/>
      <c r="B445" s="9"/>
      <c r="C445" s="46"/>
      <c r="D445" s="132" t="str">
        <f>Asset8</f>
        <v>IT &amp; Communication Systems (Networks)</v>
      </c>
      <c r="E445" s="9"/>
      <c r="F445" s="9"/>
      <c r="G445" s="198">
        <f>Input!J14</f>
        <v>0</v>
      </c>
      <c r="H445" s="113">
        <f t="shared" si="5"/>
        <v>0</v>
      </c>
      <c r="I445" s="113">
        <f t="shared" si="4"/>
        <v>1.2527379250019115</v>
      </c>
      <c r="J445" s="113">
        <f t="shared" si="4"/>
        <v>2.0459147899750434</v>
      </c>
      <c r="K445" s="113">
        <f t="shared" si="4"/>
        <v>4.3868554333686296</v>
      </c>
      <c r="L445" s="113">
        <f t="shared" si="4"/>
        <v>10.547421700613528</v>
      </c>
      <c r="M445" s="113">
        <f t="shared" si="4"/>
        <v>29.914464586997013</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102"/>
      <c r="BE445" s="102"/>
      <c r="BF445" s="102"/>
      <c r="BG445" s="102"/>
      <c r="BH445" s="102"/>
      <c r="BI445" s="102"/>
      <c r="BJ445" s="102"/>
      <c r="BK445" s="12"/>
      <c r="BL445" s="12"/>
    </row>
    <row r="446" spans="1:256" hidden="1" outlineLevel="1">
      <c r="A446" s="9"/>
      <c r="B446" s="9"/>
      <c r="C446" s="46"/>
      <c r="D446" s="132" t="str">
        <f>Asset9</f>
        <v>Motor Vehicles</v>
      </c>
      <c r="E446" s="9"/>
      <c r="F446" s="9"/>
      <c r="G446" s="198">
        <f>Input!J15</f>
        <v>0</v>
      </c>
      <c r="H446" s="113">
        <f t="shared" si="5"/>
        <v>0</v>
      </c>
      <c r="I446" s="113">
        <f t="shared" si="4"/>
        <v>0</v>
      </c>
      <c r="J446" s="113">
        <f t="shared" si="4"/>
        <v>0</v>
      </c>
      <c r="K446" s="113">
        <f t="shared" si="4"/>
        <v>0.5911887373831749</v>
      </c>
      <c r="L446" s="113">
        <f t="shared" si="4"/>
        <v>4.6730066239842509</v>
      </c>
      <c r="M446" s="113">
        <f t="shared" si="4"/>
        <v>5.7963520215538669</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102"/>
      <c r="BE446" s="102"/>
      <c r="BF446" s="102"/>
      <c r="BG446" s="102"/>
      <c r="BH446" s="102"/>
      <c r="BI446" s="102"/>
      <c r="BJ446" s="102"/>
      <c r="BK446" s="12"/>
      <c r="BL446" s="12"/>
    </row>
    <row r="447" spans="1:256" hidden="1" outlineLevel="1">
      <c r="A447" s="9"/>
      <c r="B447" s="9"/>
      <c r="C447" s="46"/>
      <c r="D447" s="132" t="str">
        <f>Asset10</f>
        <v>Other Non-System Assets (Networks)</v>
      </c>
      <c r="E447" s="9"/>
      <c r="F447" s="9"/>
      <c r="G447" s="198">
        <f>Input!J16</f>
        <v>0</v>
      </c>
      <c r="H447" s="113">
        <f t="shared" si="5"/>
        <v>0</v>
      </c>
      <c r="I447" s="113">
        <f t="shared" si="4"/>
        <v>0.97838896074733217</v>
      </c>
      <c r="J447" s="113">
        <f t="shared" si="4"/>
        <v>1.3057703137498731</v>
      </c>
      <c r="K447" s="113">
        <f t="shared" si="4"/>
        <v>1.4416333065698486</v>
      </c>
      <c r="L447" s="113">
        <f t="shared" si="4"/>
        <v>1.6687162684935393</v>
      </c>
      <c r="M447" s="113">
        <f t="shared" si="4"/>
        <v>1.8221411599471318</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102"/>
      <c r="BE447" s="102"/>
      <c r="BF447" s="102"/>
      <c r="BG447" s="102"/>
      <c r="BH447" s="102"/>
      <c r="BI447" s="102"/>
      <c r="BJ447" s="102"/>
      <c r="BK447" s="12"/>
      <c r="BL447" s="12"/>
    </row>
    <row r="448" spans="1:256" hidden="1" outlineLevel="1">
      <c r="A448" s="9"/>
      <c r="B448" s="9"/>
      <c r="C448" s="46"/>
      <c r="D448" s="132" t="str">
        <f>Asset11</f>
        <v>IT Systems (Corporate)</v>
      </c>
      <c r="E448" s="9"/>
      <c r="F448" s="9"/>
      <c r="G448" s="198">
        <f>Input!J17</f>
        <v>0</v>
      </c>
      <c r="H448" s="113">
        <f t="shared" si="5"/>
        <v>0</v>
      </c>
      <c r="I448" s="113">
        <f t="shared" ref="I448:M457" si="6">H448+H480+H512</f>
        <v>0.92593433539887537</v>
      </c>
      <c r="J448" s="113">
        <f t="shared" si="6"/>
        <v>1.0460314947236276</v>
      </c>
      <c r="K448" s="113">
        <f t="shared" si="6"/>
        <v>2.2877073749335226</v>
      </c>
      <c r="L448" s="113">
        <f t="shared" si="6"/>
        <v>4.6653524376780293</v>
      </c>
      <c r="M448" s="113">
        <f t="shared" si="6"/>
        <v>10.523775005010593</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102"/>
      <c r="BE448" s="102"/>
      <c r="BF448" s="102"/>
      <c r="BG448" s="102"/>
      <c r="BH448" s="102"/>
      <c r="BI448" s="102"/>
      <c r="BJ448" s="102"/>
      <c r="BK448" s="12"/>
      <c r="BL448" s="12"/>
    </row>
    <row r="449" spans="1:64" hidden="1" outlineLevel="1">
      <c r="A449" s="9"/>
      <c r="B449" s="9"/>
      <c r="C449" s="46"/>
      <c r="D449" s="132" t="str">
        <f>Asset12</f>
        <v>Telecommunications (Corporate)</v>
      </c>
      <c r="E449" s="9"/>
      <c r="F449" s="9"/>
      <c r="G449" s="198">
        <f>Input!J18</f>
        <v>0</v>
      </c>
      <c r="H449" s="113">
        <f t="shared" si="5"/>
        <v>0</v>
      </c>
      <c r="I449" s="113">
        <f t="shared" si="6"/>
        <v>0.25541504467914988</v>
      </c>
      <c r="J449" s="113">
        <f t="shared" si="6"/>
        <v>0.29657409339296098</v>
      </c>
      <c r="K449" s="113">
        <f t="shared" si="6"/>
        <v>0.2764888164006678</v>
      </c>
      <c r="L449" s="113">
        <f t="shared" si="6"/>
        <v>0.25287754051867206</v>
      </c>
      <c r="M449" s="113">
        <f t="shared" si="6"/>
        <v>0.16466540566123614</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102"/>
      <c r="BE449" s="102"/>
      <c r="BF449" s="102"/>
      <c r="BG449" s="102"/>
      <c r="BH449" s="102"/>
      <c r="BI449" s="102"/>
      <c r="BJ449" s="102"/>
      <c r="BK449" s="12"/>
      <c r="BL449" s="12"/>
    </row>
    <row r="450" spans="1:64" hidden="1" outlineLevel="1">
      <c r="A450" s="9"/>
      <c r="B450" s="9"/>
      <c r="C450" s="46"/>
      <c r="D450" s="132" t="str">
        <f>Asset13</f>
        <v>Other Non-System Assets (Corporate)</v>
      </c>
      <c r="E450" s="9"/>
      <c r="F450" s="9"/>
      <c r="G450" s="198">
        <f>Input!J19</f>
        <v>0</v>
      </c>
      <c r="H450" s="113">
        <f t="shared" si="5"/>
        <v>0</v>
      </c>
      <c r="I450" s="113">
        <f t="shared" si="6"/>
        <v>3.3820682986797004</v>
      </c>
      <c r="J450" s="113">
        <f t="shared" si="6"/>
        <v>6.8576445331402702</v>
      </c>
      <c r="K450" s="113">
        <f t="shared" si="6"/>
        <v>6.1626871532049163</v>
      </c>
      <c r="L450" s="113">
        <f t="shared" si="6"/>
        <v>5.2315361759139059</v>
      </c>
      <c r="M450" s="113">
        <f t="shared" si="6"/>
        <v>4.6651308326089014</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102"/>
      <c r="BE450" s="102"/>
      <c r="BF450" s="102"/>
      <c r="BG450" s="102"/>
      <c r="BH450" s="102"/>
      <c r="BI450" s="102"/>
      <c r="BJ450" s="102"/>
      <c r="BK450" s="12"/>
      <c r="BL450" s="12"/>
    </row>
    <row r="451" spans="1:64" hidden="1" outlineLevel="1">
      <c r="A451" s="9"/>
      <c r="B451" s="9"/>
      <c r="C451" s="46"/>
      <c r="D451" s="132" t="str">
        <f>Asset14</f>
        <v>Land</v>
      </c>
      <c r="E451" s="9"/>
      <c r="F451" s="9"/>
      <c r="G451" s="198">
        <f>Input!J20</f>
        <v>0</v>
      </c>
      <c r="H451" s="113">
        <f t="shared" si="5"/>
        <v>0</v>
      </c>
      <c r="I451" s="113">
        <f t="shared" si="6"/>
        <v>2.4270565356726159</v>
      </c>
      <c r="J451" s="113">
        <f t="shared" si="6"/>
        <v>2.4961117715304253</v>
      </c>
      <c r="K451" s="113">
        <f t="shared" si="6"/>
        <v>2.5807134740996771</v>
      </c>
      <c r="L451" s="113">
        <f t="shared" si="6"/>
        <v>2.62620577910773</v>
      </c>
      <c r="M451" s="113">
        <f t="shared" si="6"/>
        <v>2.6905448961905476</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102"/>
      <c r="BE451" s="102"/>
      <c r="BF451" s="102"/>
      <c r="BG451" s="102"/>
      <c r="BH451" s="102"/>
      <c r="BI451" s="102"/>
      <c r="BJ451" s="102"/>
      <c r="BK451" s="12"/>
      <c r="BL451" s="12"/>
    </row>
    <row r="452" spans="1:64" hidden="1" outlineLevel="1">
      <c r="A452" s="9"/>
      <c r="B452" s="9"/>
      <c r="C452" s="46"/>
      <c r="D452" s="132" t="str">
        <f>Asset15</f>
        <v>Buildings</v>
      </c>
      <c r="E452" s="9"/>
      <c r="F452" s="9"/>
      <c r="G452" s="198">
        <f>Input!J21</f>
        <v>0</v>
      </c>
      <c r="H452" s="113">
        <f t="shared" si="5"/>
        <v>0</v>
      </c>
      <c r="I452" s="113">
        <f t="shared" si="6"/>
        <v>6.2291400526928884</v>
      </c>
      <c r="J452" s="113">
        <f t="shared" si="6"/>
        <v>15.712888064744963</v>
      </c>
      <c r="K452" s="113">
        <f t="shared" si="6"/>
        <v>16.74025919425895</v>
      </c>
      <c r="L452" s="113">
        <f t="shared" si="6"/>
        <v>17.913315042766666</v>
      </c>
      <c r="M452" s="113">
        <f t="shared" si="6"/>
        <v>19.805205334359449</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102"/>
      <c r="BE452" s="102"/>
      <c r="BF452" s="102"/>
      <c r="BG452" s="102"/>
      <c r="BH452" s="102"/>
      <c r="BI452" s="102"/>
      <c r="BJ452" s="102"/>
      <c r="BK452" s="12"/>
      <c r="BL452" s="12"/>
    </row>
    <row r="453" spans="1:64" hidden="1" outlineLevel="1">
      <c r="A453" s="9"/>
      <c r="B453" s="9"/>
      <c r="C453" s="46"/>
      <c r="D453" s="132" t="str">
        <f>Asset16</f>
        <v>Equity raising costs</v>
      </c>
      <c r="E453" s="9"/>
      <c r="F453" s="9"/>
      <c r="G453" s="198">
        <f>Input!J22</f>
        <v>0</v>
      </c>
      <c r="H453" s="113">
        <f t="shared" si="5"/>
        <v>0</v>
      </c>
      <c r="I453" s="113">
        <f t="shared" si="6"/>
        <v>0.24054330525835993</v>
      </c>
      <c r="J453" s="113">
        <f t="shared" si="6"/>
        <v>0.24188954455733372</v>
      </c>
      <c r="K453" s="113">
        <f t="shared" si="6"/>
        <v>0.24443381817579493</v>
      </c>
      <c r="L453" s="113">
        <f t="shared" si="6"/>
        <v>0.24289682522122288</v>
      </c>
      <c r="M453" s="113">
        <f t="shared" si="6"/>
        <v>0.24289865413460715</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102"/>
      <c r="BE453" s="102"/>
      <c r="BF453" s="102"/>
      <c r="BG453" s="102"/>
      <c r="BH453" s="102"/>
      <c r="BI453" s="102"/>
      <c r="BJ453" s="102"/>
      <c r="BK453" s="12"/>
      <c r="BL453" s="12"/>
    </row>
    <row r="454" spans="1:64" hidden="1" outlineLevel="1">
      <c r="A454" s="9"/>
      <c r="B454" s="9"/>
      <c r="C454" s="46"/>
      <c r="D454" s="132">
        <f>Asset17</f>
        <v>0</v>
      </c>
      <c r="E454" s="9"/>
      <c r="F454" s="9"/>
      <c r="G454" s="198">
        <f>Input!J23</f>
        <v>0</v>
      </c>
      <c r="H454" s="113">
        <f t="shared" si="5"/>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102"/>
      <c r="BE454" s="102"/>
      <c r="BF454" s="102"/>
      <c r="BG454" s="102"/>
      <c r="BH454" s="102"/>
      <c r="BI454" s="102"/>
      <c r="BJ454" s="102"/>
      <c r="BK454" s="12"/>
      <c r="BL454" s="12"/>
    </row>
    <row r="455" spans="1:64" hidden="1" outlineLevel="1">
      <c r="A455" s="9"/>
      <c r="B455" s="9"/>
      <c r="C455" s="46"/>
      <c r="D455" s="132">
        <f>Asset18</f>
        <v>0</v>
      </c>
      <c r="E455" s="9"/>
      <c r="F455" s="9"/>
      <c r="G455" s="198">
        <f>Input!J24</f>
        <v>0</v>
      </c>
      <c r="H455" s="113">
        <f t="shared" si="5"/>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102"/>
      <c r="BE455" s="102"/>
      <c r="BF455" s="102"/>
      <c r="BG455" s="102"/>
      <c r="BH455" s="102"/>
      <c r="BI455" s="102"/>
      <c r="BJ455" s="102"/>
      <c r="BK455" s="12"/>
      <c r="BL455" s="12"/>
    </row>
    <row r="456" spans="1:64" hidden="1" outlineLevel="1">
      <c r="A456" s="9"/>
      <c r="B456" s="9"/>
      <c r="C456" s="46"/>
      <c r="D456" s="132">
        <f>Asset19</f>
        <v>0</v>
      </c>
      <c r="E456" s="9"/>
      <c r="F456" s="9"/>
      <c r="G456" s="198">
        <f>Input!J25</f>
        <v>0</v>
      </c>
      <c r="H456" s="113">
        <f t="shared" si="5"/>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102"/>
      <c r="BE456" s="102"/>
      <c r="BF456" s="102"/>
      <c r="BG456" s="102"/>
      <c r="BH456" s="102"/>
      <c r="BI456" s="102"/>
      <c r="BJ456" s="102"/>
      <c r="BK456" s="12"/>
      <c r="BL456" s="12"/>
    </row>
    <row r="457" spans="1:64" hidden="1" outlineLevel="1">
      <c r="A457" s="9"/>
      <c r="B457" s="9"/>
      <c r="C457" s="46"/>
      <c r="D457" s="132">
        <f>Asset20</f>
        <v>0</v>
      </c>
      <c r="E457" s="9"/>
      <c r="F457" s="9"/>
      <c r="G457" s="198">
        <f>Input!J26</f>
        <v>0</v>
      </c>
      <c r="H457" s="113">
        <f t="shared" si="5"/>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102"/>
      <c r="BE457" s="102"/>
      <c r="BF457" s="102"/>
      <c r="BG457" s="102"/>
      <c r="BH457" s="102"/>
      <c r="BI457" s="102"/>
      <c r="BJ457" s="102"/>
      <c r="BK457" s="12"/>
      <c r="BL457" s="12"/>
    </row>
    <row r="458" spans="1:64" hidden="1" outlineLevel="1">
      <c r="A458" s="9"/>
      <c r="B458" s="9"/>
      <c r="C458" s="46"/>
      <c r="D458" s="132">
        <f>Asset21</f>
        <v>0</v>
      </c>
      <c r="E458" s="9"/>
      <c r="F458" s="9"/>
      <c r="G458" s="198">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102"/>
      <c r="BE458" s="102"/>
      <c r="BF458" s="102"/>
      <c r="BG458" s="102"/>
      <c r="BH458" s="102"/>
      <c r="BI458" s="102"/>
      <c r="BJ458" s="102"/>
      <c r="BK458" s="12"/>
      <c r="BL458" s="12"/>
    </row>
    <row r="459" spans="1:64" hidden="1" outlineLevel="1">
      <c r="A459" s="9"/>
      <c r="B459" s="9"/>
      <c r="C459" s="46"/>
      <c r="D459" s="132">
        <f>Asset22</f>
        <v>0</v>
      </c>
      <c r="E459" s="9"/>
      <c r="F459" s="9"/>
      <c r="G459" s="198">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102"/>
      <c r="BE459" s="102"/>
      <c r="BF459" s="102"/>
      <c r="BG459" s="102"/>
      <c r="BH459" s="102"/>
      <c r="BI459" s="102"/>
      <c r="BJ459" s="102"/>
      <c r="BK459" s="12"/>
      <c r="BL459" s="12"/>
    </row>
    <row r="460" spans="1:64" hidden="1" outlineLevel="1">
      <c r="A460" s="9"/>
      <c r="B460" s="9"/>
      <c r="C460" s="46"/>
      <c r="D460" s="132">
        <f>Asset23</f>
        <v>0</v>
      </c>
      <c r="E460" s="9"/>
      <c r="F460" s="9"/>
      <c r="G460" s="198">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102"/>
      <c r="BE460" s="102"/>
      <c r="BF460" s="102"/>
      <c r="BG460" s="102"/>
      <c r="BH460" s="102"/>
      <c r="BI460" s="102"/>
      <c r="BJ460" s="102"/>
      <c r="BK460" s="12"/>
      <c r="BL460" s="12"/>
    </row>
    <row r="461" spans="1:64" hidden="1" outlineLevel="1">
      <c r="A461" s="9"/>
      <c r="B461" s="9"/>
      <c r="C461" s="46"/>
      <c r="D461" s="132">
        <f>Asset24</f>
        <v>0</v>
      </c>
      <c r="E461" s="9"/>
      <c r="F461" s="9"/>
      <c r="G461" s="198">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102"/>
      <c r="BE461" s="102"/>
      <c r="BF461" s="102"/>
      <c r="BG461" s="102"/>
      <c r="BH461" s="102"/>
      <c r="BI461" s="102"/>
      <c r="BJ461" s="102"/>
      <c r="BK461" s="12"/>
      <c r="BL461" s="12"/>
    </row>
    <row r="462" spans="1:64" hidden="1" outlineLevel="1">
      <c r="A462" s="9"/>
      <c r="B462" s="9"/>
      <c r="C462" s="46"/>
      <c r="D462" s="132">
        <f>Asset25</f>
        <v>0</v>
      </c>
      <c r="E462" s="9"/>
      <c r="F462" s="9"/>
      <c r="G462" s="198">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102"/>
      <c r="BE462" s="102"/>
      <c r="BF462" s="102"/>
      <c r="BG462" s="102"/>
      <c r="BH462" s="102"/>
      <c r="BI462" s="102"/>
      <c r="BJ462" s="102"/>
      <c r="BK462" s="12"/>
      <c r="BL462" s="12"/>
    </row>
    <row r="463" spans="1:64" hidden="1" outlineLevel="1">
      <c r="A463" s="9"/>
      <c r="B463" s="9"/>
      <c r="C463" s="46"/>
      <c r="D463" s="132">
        <f>Asset26</f>
        <v>0</v>
      </c>
      <c r="E463" s="9"/>
      <c r="F463" s="9"/>
      <c r="G463" s="198">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102"/>
      <c r="BE463" s="102"/>
      <c r="BF463" s="102"/>
      <c r="BG463" s="102"/>
      <c r="BH463" s="102"/>
      <c r="BI463" s="102"/>
      <c r="BJ463" s="102"/>
      <c r="BK463" s="12"/>
      <c r="BL463" s="12"/>
    </row>
    <row r="464" spans="1:64" hidden="1" outlineLevel="1">
      <c r="A464" s="9"/>
      <c r="B464" s="9"/>
      <c r="C464" s="46"/>
      <c r="D464" s="132">
        <f>Asset27</f>
        <v>0</v>
      </c>
      <c r="E464" s="9"/>
      <c r="F464" s="9"/>
      <c r="G464" s="198">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102"/>
      <c r="BE464" s="102"/>
      <c r="BF464" s="102"/>
      <c r="BG464" s="102"/>
      <c r="BH464" s="102"/>
      <c r="BI464" s="102"/>
      <c r="BJ464" s="102"/>
      <c r="BK464" s="12"/>
      <c r="BL464" s="12"/>
    </row>
    <row r="465" spans="1:64" hidden="1" outlineLevel="1">
      <c r="A465" s="9"/>
      <c r="B465" s="9"/>
      <c r="C465" s="46"/>
      <c r="D465" s="132">
        <f>Asset28</f>
        <v>0</v>
      </c>
      <c r="E465" s="9"/>
      <c r="F465" s="9"/>
      <c r="G465" s="198">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102"/>
      <c r="BE465" s="102"/>
      <c r="BF465" s="102"/>
      <c r="BG465" s="102"/>
      <c r="BH465" s="102"/>
      <c r="BI465" s="102"/>
      <c r="BJ465" s="102"/>
      <c r="BK465" s="12"/>
      <c r="BL465" s="12"/>
    </row>
    <row r="466" spans="1:64" hidden="1" outlineLevel="1">
      <c r="A466" s="9"/>
      <c r="B466" s="9"/>
      <c r="C466" s="46"/>
      <c r="D466" s="132">
        <f>Asset29</f>
        <v>0</v>
      </c>
      <c r="E466" s="9"/>
      <c r="F466" s="9"/>
      <c r="G466" s="198">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102"/>
      <c r="BE466" s="102"/>
      <c r="BF466" s="102"/>
      <c r="BG466" s="102"/>
      <c r="BH466" s="102"/>
      <c r="BI466" s="102"/>
      <c r="BJ466" s="102"/>
      <c r="BK466" s="12"/>
      <c r="BL466" s="12"/>
    </row>
    <row r="467" spans="1:64" hidden="1" outlineLevel="1">
      <c r="A467" s="9"/>
      <c r="B467" s="9"/>
      <c r="C467" s="46"/>
      <c r="D467" s="132">
        <f>Asset30</f>
        <v>0</v>
      </c>
      <c r="E467" s="9"/>
      <c r="F467" s="9"/>
      <c r="G467" s="198">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102"/>
      <c r="BE467" s="102"/>
      <c r="BF467" s="102"/>
      <c r="BG467" s="102"/>
      <c r="BH467" s="102"/>
      <c r="BI467" s="102"/>
      <c r="BJ467" s="102"/>
      <c r="BK467" s="12"/>
      <c r="BL467" s="12"/>
    </row>
    <row r="468" spans="1:64" collapsed="1">
      <c r="A468" s="9"/>
      <c r="B468" s="9"/>
      <c r="C468" s="46"/>
      <c r="D468" s="116"/>
      <c r="E468" s="9"/>
      <c r="F468" s="9"/>
      <c r="G468" s="206"/>
      <c r="H468" s="37"/>
      <c r="I468" s="37"/>
      <c r="J468" s="37"/>
      <c r="K468" s="37"/>
      <c r="L468" s="37"/>
      <c r="M468" s="37"/>
      <c r="N468" s="29"/>
      <c r="O468" s="29"/>
      <c r="P468" s="29"/>
      <c r="Q468" s="29"/>
      <c r="R468" s="29"/>
      <c r="S468" s="102"/>
      <c r="T468" s="102"/>
      <c r="U468" s="102"/>
      <c r="V468" s="102"/>
      <c r="W468" s="102"/>
      <c r="X468" s="102"/>
      <c r="Y468" s="102"/>
      <c r="Z468" s="102"/>
      <c r="AA468" s="102"/>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102"/>
      <c r="BE468" s="102"/>
      <c r="BF468" s="102"/>
      <c r="BG468" s="102"/>
      <c r="BH468" s="102"/>
      <c r="BI468" s="102"/>
      <c r="BJ468" s="102"/>
      <c r="BK468" s="12"/>
      <c r="BL468" s="12"/>
    </row>
    <row r="469" spans="1:64">
      <c r="A469" s="9"/>
      <c r="B469" s="9"/>
      <c r="C469" s="46" t="s">
        <v>36</v>
      </c>
      <c r="D469" s="9"/>
      <c r="E469" s="9"/>
      <c r="F469" s="9"/>
      <c r="G469" s="199">
        <f>SUM(G470:G499)</f>
        <v>29.159874678113024</v>
      </c>
      <c r="H469" s="37">
        <f>SUM(H470:H499)</f>
        <v>53.503710868341287</v>
      </c>
      <c r="I469" s="37">
        <f t="shared" ref="I469:Q469" si="10">SUM(I470:I499)</f>
        <v>57.477269525961276</v>
      </c>
      <c r="J469" s="37">
        <f t="shared" si="10"/>
        <v>49.172447849014262</v>
      </c>
      <c r="K469" s="37">
        <f t="shared" si="10"/>
        <v>45.037022565388241</v>
      </c>
      <c r="L469" s="37">
        <f t="shared" si="10"/>
        <v>66.572534907014017</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102"/>
      <c r="BE469" s="102"/>
      <c r="BF469" s="102"/>
      <c r="BG469" s="102"/>
      <c r="BH469" s="102"/>
      <c r="BI469" s="102"/>
      <c r="BJ469" s="102"/>
      <c r="BK469" s="12"/>
      <c r="BL469" s="12"/>
    </row>
    <row r="470" spans="1:64" hidden="1" outlineLevel="1">
      <c r="A470" s="9"/>
      <c r="B470" s="9"/>
      <c r="C470" s="46"/>
      <c r="D470" s="132" t="str">
        <f>Asset1</f>
        <v>Opening Distribution Assets</v>
      </c>
      <c r="E470" s="9"/>
      <c r="F470" s="9"/>
      <c r="G470" s="207">
        <f>'Adjustment for previous period'!G366</f>
        <v>29.159874678113024</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102"/>
      <c r="BE470" s="102"/>
      <c r="BF470" s="102"/>
      <c r="BG470" s="102"/>
      <c r="BH470" s="102"/>
      <c r="BI470" s="102"/>
      <c r="BJ470" s="102"/>
      <c r="BK470" s="12"/>
      <c r="BL470" s="12"/>
    </row>
    <row r="471" spans="1:64" hidden="1" outlineLevel="1">
      <c r="A471" s="9"/>
      <c r="B471" s="9"/>
      <c r="C471" s="46"/>
      <c r="D471" s="132" t="str">
        <f>Asset2</f>
        <v>Sub-transmission Overhead</v>
      </c>
      <c r="E471" s="9"/>
      <c r="F471" s="9"/>
      <c r="G471" s="201">
        <f>'Adjustment for previous period'!G367</f>
        <v>0</v>
      </c>
      <c r="H471" s="113">
        <f>H13*H$7</f>
        <v>0</v>
      </c>
      <c r="I471" s="113">
        <f t="shared" ref="H471:L489" si="12">I13*I$7</f>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2"/>
      <c r="BE471" s="102"/>
      <c r="BF471" s="102"/>
      <c r="BG471" s="102"/>
      <c r="BH471" s="102"/>
      <c r="BI471" s="102"/>
      <c r="BJ471" s="102"/>
      <c r="BK471" s="12"/>
      <c r="BL471" s="12"/>
    </row>
    <row r="472" spans="1:64" hidden="1" outlineLevel="1">
      <c r="A472" s="9"/>
      <c r="B472" s="9"/>
      <c r="C472" s="46"/>
      <c r="D472" s="132" t="str">
        <f>Asset3</f>
        <v>Sub-transmission Underground</v>
      </c>
      <c r="E472" s="9"/>
      <c r="F472" s="9"/>
      <c r="G472" s="201">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2"/>
      <c r="BE472" s="102"/>
      <c r="BF472" s="102"/>
      <c r="BG472" s="102"/>
      <c r="BH472" s="102"/>
      <c r="BI472" s="102"/>
      <c r="BJ472" s="102"/>
      <c r="BK472" s="12"/>
      <c r="BL472" s="12"/>
    </row>
    <row r="473" spans="1:64" hidden="1" outlineLevel="1">
      <c r="A473" s="9"/>
      <c r="B473" s="9"/>
      <c r="C473" s="46"/>
      <c r="D473" s="132" t="str">
        <f>Asset4</f>
        <v>Zone Substation</v>
      </c>
      <c r="E473" s="9"/>
      <c r="F473" s="9"/>
      <c r="G473" s="201">
        <f>'Adjustment for previous period'!G369</f>
        <v>0</v>
      </c>
      <c r="H473" s="113">
        <f t="shared" si="12"/>
        <v>0.8244722972041908</v>
      </c>
      <c r="I473" s="113">
        <f t="shared" si="12"/>
        <v>8.4552020788718988E-3</v>
      </c>
      <c r="J473" s="113">
        <f t="shared" si="12"/>
        <v>0</v>
      </c>
      <c r="K473" s="113">
        <f t="shared" si="12"/>
        <v>0.79405263964321116</v>
      </c>
      <c r="L473" s="113">
        <f t="shared" si="12"/>
        <v>0.16763558188095629</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2"/>
      <c r="BE473" s="102"/>
      <c r="BF473" s="102"/>
      <c r="BG473" s="102"/>
      <c r="BH473" s="102"/>
      <c r="BI473" s="102"/>
      <c r="BJ473" s="102"/>
      <c r="BK473" s="12"/>
      <c r="BL473" s="12"/>
    </row>
    <row r="474" spans="1:64" hidden="1" outlineLevel="1">
      <c r="A474" s="9"/>
      <c r="B474" s="9"/>
      <c r="C474" s="46"/>
      <c r="D474" s="132" t="str">
        <f>Asset5</f>
        <v>Distribution Substations</v>
      </c>
      <c r="E474" s="9"/>
      <c r="F474" s="9"/>
      <c r="G474" s="201">
        <f>'Adjustment for previous period'!G370</f>
        <v>0</v>
      </c>
      <c r="H474" s="113">
        <f t="shared" si="12"/>
        <v>10.355029952377336</v>
      </c>
      <c r="I474" s="113">
        <f t="shared" si="12"/>
        <v>12.246550347847753</v>
      </c>
      <c r="J474" s="113">
        <f t="shared" si="12"/>
        <v>10.837793840946883</v>
      </c>
      <c r="K474" s="113">
        <f t="shared" si="12"/>
        <v>7.6537465693526707</v>
      </c>
      <c r="L474" s="113">
        <f t="shared" si="12"/>
        <v>10.212408306076616</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2"/>
      <c r="BE474" s="102"/>
      <c r="BF474" s="102"/>
      <c r="BG474" s="102"/>
      <c r="BH474" s="102"/>
      <c r="BI474" s="102"/>
      <c r="BJ474" s="102"/>
      <c r="BK474" s="12"/>
      <c r="BL474" s="12"/>
    </row>
    <row r="475" spans="1:64" hidden="1" outlineLevel="1">
      <c r="A475" s="9"/>
      <c r="B475" s="9"/>
      <c r="C475" s="46"/>
      <c r="D475" s="132" t="str">
        <f>Asset6</f>
        <v>Distribution Overhead Lines</v>
      </c>
      <c r="E475" s="9"/>
      <c r="F475" s="9"/>
      <c r="G475" s="201">
        <f>'Adjustment for previous period'!G371</f>
        <v>0</v>
      </c>
      <c r="H475" s="113">
        <f t="shared" si="12"/>
        <v>11.253915343245509</v>
      </c>
      <c r="I475" s="113">
        <f t="shared" si="12"/>
        <v>13.003194314818009</v>
      </c>
      <c r="J475" s="113">
        <f t="shared" si="12"/>
        <v>14.341655394516</v>
      </c>
      <c r="K475" s="113">
        <f t="shared" si="12"/>
        <v>11.356293150166197</v>
      </c>
      <c r="L475" s="113">
        <f t="shared" si="12"/>
        <v>10.106077055254389</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2"/>
      <c r="BE475" s="102"/>
      <c r="BF475" s="102"/>
      <c r="BG475" s="102"/>
      <c r="BH475" s="102"/>
      <c r="BI475" s="102"/>
      <c r="BJ475" s="102"/>
      <c r="BK475" s="12"/>
      <c r="BL475" s="12"/>
    </row>
    <row r="476" spans="1:64" hidden="1" outlineLevel="1">
      <c r="A476" s="9"/>
      <c r="B476" s="9"/>
      <c r="C476" s="46"/>
      <c r="D476" s="132" t="str">
        <f>Asset7</f>
        <v>Distribution Underground Lines</v>
      </c>
      <c r="E476" s="9"/>
      <c r="F476" s="9"/>
      <c r="G476" s="201">
        <f>'Adjustment for previous period'!G372</f>
        <v>0</v>
      </c>
      <c r="H476" s="113">
        <f t="shared" si="12"/>
        <v>15.379008817383424</v>
      </c>
      <c r="I476" s="113">
        <f t="shared" si="12"/>
        <v>16.986686920649042</v>
      </c>
      <c r="J476" s="113">
        <f t="shared" si="12"/>
        <v>17.627097970931793</v>
      </c>
      <c r="K476" s="113">
        <f t="shared" si="12"/>
        <v>9.0925944513229968</v>
      </c>
      <c r="L476" s="113">
        <f t="shared" si="12"/>
        <v>13.5909160187369</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2"/>
      <c r="BE476" s="102"/>
      <c r="BF476" s="102"/>
      <c r="BG476" s="102"/>
      <c r="BH476" s="102"/>
      <c r="BI476" s="102"/>
      <c r="BJ476" s="102"/>
      <c r="BK476" s="12"/>
      <c r="BL476" s="12"/>
    </row>
    <row r="477" spans="1:64" hidden="1" outlineLevel="1">
      <c r="A477" s="9"/>
      <c r="B477" s="9"/>
      <c r="C477" s="46"/>
      <c r="D477" s="132" t="str">
        <f>Asset8</f>
        <v>IT &amp; Communication Systems (Networks)</v>
      </c>
      <c r="E477" s="9"/>
      <c r="F477" s="9"/>
      <c r="G477" s="201">
        <f>'Adjustment for previous period'!G373</f>
        <v>0</v>
      </c>
      <c r="H477" s="113">
        <f t="shared" si="12"/>
        <v>1.2527379250019115</v>
      </c>
      <c r="I477" s="113">
        <f t="shared" si="12"/>
        <v>0.88508755994023636</v>
      </c>
      <c r="J477" s="113">
        <f t="shared" si="12"/>
        <v>2.493807787768807</v>
      </c>
      <c r="K477" s="113">
        <f t="shared" si="12"/>
        <v>6.5708103891699103</v>
      </c>
      <c r="L477" s="113">
        <f t="shared" si="12"/>
        <v>20.273476342985376</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2"/>
      <c r="BE477" s="102"/>
      <c r="BF477" s="102"/>
      <c r="BG477" s="102"/>
      <c r="BH477" s="102"/>
      <c r="BI477" s="102"/>
      <c r="BJ477" s="102"/>
      <c r="BK477" s="12"/>
      <c r="BL477" s="12"/>
    </row>
    <row r="478" spans="1:64" hidden="1" outlineLevel="1">
      <c r="A478" s="9"/>
      <c r="B478" s="9"/>
      <c r="C478" s="46"/>
      <c r="D478" s="132" t="str">
        <f>Asset9</f>
        <v>Motor Vehicles</v>
      </c>
      <c r="E478" s="9"/>
      <c r="F478" s="9"/>
      <c r="G478" s="201">
        <f>'Adjustment for previous period'!G374</f>
        <v>0</v>
      </c>
      <c r="H478" s="113">
        <f t="shared" si="12"/>
        <v>0</v>
      </c>
      <c r="I478" s="113">
        <f t="shared" si="12"/>
        <v>0</v>
      </c>
      <c r="J478" s="113">
        <f t="shared" si="12"/>
        <v>0.5911887373831749</v>
      </c>
      <c r="K478" s="113">
        <f t="shared" si="12"/>
        <v>4.1587145475471461</v>
      </c>
      <c r="L478" s="113">
        <f t="shared" si="12"/>
        <v>1.7022939742388503</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2"/>
      <c r="BE478" s="102"/>
      <c r="BF478" s="102"/>
      <c r="BG478" s="102"/>
      <c r="BH478" s="102"/>
      <c r="BI478" s="102"/>
      <c r="BJ478" s="102"/>
      <c r="BK478" s="12"/>
      <c r="BL478" s="12"/>
    </row>
    <row r="479" spans="1:64" hidden="1" outlineLevel="1">
      <c r="A479" s="9"/>
      <c r="B479" s="9"/>
      <c r="C479" s="46"/>
      <c r="D479" s="132" t="str">
        <f>Asset10</f>
        <v>Other Non-System Assets (Networks)</v>
      </c>
      <c r="E479" s="9"/>
      <c r="F479" s="9"/>
      <c r="G479" s="201">
        <f>'Adjustment for previous period'!G375</f>
        <v>0</v>
      </c>
      <c r="H479" s="113">
        <f t="shared" si="12"/>
        <v>0.97838896074733217</v>
      </c>
      <c r="I479" s="113">
        <f t="shared" si="12"/>
        <v>0.49878332662210395</v>
      </c>
      <c r="J479" s="113">
        <f t="shared" si="12"/>
        <v>0.39910912788934444</v>
      </c>
      <c r="K479" s="113">
        <f t="shared" si="12"/>
        <v>0.60212284348577183</v>
      </c>
      <c r="L479" s="113">
        <f t="shared" si="12"/>
        <v>0.64260239850688627</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2"/>
      <c r="BE479" s="102"/>
      <c r="BF479" s="102"/>
      <c r="BG479" s="102"/>
      <c r="BH479" s="102"/>
      <c r="BI479" s="102"/>
      <c r="BJ479" s="102"/>
      <c r="BK479" s="12"/>
      <c r="BL479" s="12"/>
    </row>
    <row r="480" spans="1:64" hidden="1" outlineLevel="1">
      <c r="A480" s="9"/>
      <c r="B480" s="9"/>
      <c r="C480" s="46"/>
      <c r="D480" s="132" t="str">
        <f>Asset11</f>
        <v>IT Systems (Corporate)</v>
      </c>
      <c r="E480" s="9"/>
      <c r="F480" s="9"/>
      <c r="G480" s="201">
        <f>'Adjustment for previous period'!G376</f>
        <v>0</v>
      </c>
      <c r="H480" s="113">
        <f t="shared" si="12"/>
        <v>0.92593433539887537</v>
      </c>
      <c r="I480" s="113">
        <f t="shared" si="12"/>
        <v>0.2823097137348704</v>
      </c>
      <c r="J480" s="113">
        <f t="shared" si="12"/>
        <v>1.4582130955236707</v>
      </c>
      <c r="K480" s="113">
        <f t="shared" si="12"/>
        <v>2.8993767857028745</v>
      </c>
      <c r="L480" s="113">
        <f t="shared" si="12"/>
        <v>6.906190751409941</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2"/>
      <c r="BE480" s="102"/>
      <c r="BF480" s="102"/>
      <c r="BG480" s="102"/>
      <c r="BH480" s="102"/>
      <c r="BI480" s="102"/>
      <c r="BJ480" s="102"/>
      <c r="BK480" s="12"/>
      <c r="BL480" s="12"/>
    </row>
    <row r="481" spans="1:64" hidden="1" outlineLevel="1">
      <c r="A481" s="9"/>
      <c r="B481" s="9"/>
      <c r="C481" s="46"/>
      <c r="D481" s="132" t="str">
        <f>Asset12</f>
        <v>Telecommunications (Corporate)</v>
      </c>
      <c r="E481" s="9"/>
      <c r="F481" s="9"/>
      <c r="G481" s="201">
        <f>'Adjustment for previous period'!G377</f>
        <v>0</v>
      </c>
      <c r="H481" s="113">
        <f t="shared" si="12"/>
        <v>0.25541504467914988</v>
      </c>
      <c r="I481" s="113">
        <f t="shared" si="12"/>
        <v>8.5904691302312208E-2</v>
      </c>
      <c r="J481" s="113">
        <f t="shared" si="12"/>
        <v>4.1025252726231955E-2</v>
      </c>
      <c r="K481" s="113">
        <f t="shared" si="12"/>
        <v>5.3572350794737864E-2</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2"/>
      <c r="BE481" s="102"/>
      <c r="BF481" s="102"/>
      <c r="BG481" s="102"/>
      <c r="BH481" s="102"/>
      <c r="BI481" s="102"/>
      <c r="BJ481" s="102"/>
      <c r="BK481" s="12"/>
      <c r="BL481" s="12"/>
    </row>
    <row r="482" spans="1:64" hidden="1" outlineLevel="1">
      <c r="A482" s="9"/>
      <c r="B482" s="9"/>
      <c r="C482" s="46"/>
      <c r="D482" s="132" t="str">
        <f>Asset13</f>
        <v>Other Non-System Assets (Corporate)</v>
      </c>
      <c r="E482" s="9"/>
      <c r="F482" s="9"/>
      <c r="G482" s="201">
        <f>'Adjustment for previous period'!G378</f>
        <v>0</v>
      </c>
      <c r="H482" s="113">
        <f t="shared" si="12"/>
        <v>3.3820682986797004</v>
      </c>
      <c r="I482" s="113">
        <f t="shared" si="12"/>
        <v>4.0680739062117572</v>
      </c>
      <c r="J482" s="113">
        <f t="shared" si="12"/>
        <v>0.61769865449108818</v>
      </c>
      <c r="K482" s="113">
        <f t="shared" si="12"/>
        <v>0.68539437127198122</v>
      </c>
      <c r="L482" s="113">
        <f t="shared" si="12"/>
        <v>1.2005142246344618</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2"/>
      <c r="BE482" s="102"/>
      <c r="BF482" s="102"/>
      <c r="BG482" s="102"/>
      <c r="BH482" s="102"/>
      <c r="BI482" s="102"/>
      <c r="BJ482" s="102"/>
      <c r="BK482" s="12"/>
      <c r="BL482" s="12"/>
    </row>
    <row r="483" spans="1:64" hidden="1" outlineLevel="1">
      <c r="A483" s="9"/>
      <c r="B483" s="9"/>
      <c r="C483" s="46"/>
      <c r="D483" s="132" t="str">
        <f>Asset14</f>
        <v>Land</v>
      </c>
      <c r="E483" s="9"/>
      <c r="F483" s="9"/>
      <c r="G483" s="201">
        <f>'Adjustment for previous period'!G379</f>
        <v>0</v>
      </c>
      <c r="H483" s="113">
        <f t="shared" si="12"/>
        <v>2.4270565356726159</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2"/>
      <c r="BE483" s="102"/>
      <c r="BF483" s="102"/>
      <c r="BG483" s="102"/>
      <c r="BH483" s="102"/>
      <c r="BI483" s="102"/>
      <c r="BJ483" s="102"/>
      <c r="BK483" s="12"/>
      <c r="BL483" s="12"/>
    </row>
    <row r="484" spans="1:64" hidden="1" outlineLevel="1">
      <c r="A484" s="9"/>
      <c r="B484" s="9"/>
      <c r="C484" s="46"/>
      <c r="D484" s="132" t="str">
        <f>Asset15</f>
        <v>Buildings</v>
      </c>
      <c r="E484" s="9"/>
      <c r="F484" s="9"/>
      <c r="G484" s="201">
        <f>'Adjustment for previous period'!G380</f>
        <v>0</v>
      </c>
      <c r="H484" s="113">
        <f t="shared" si="12"/>
        <v>6.2291400526928884</v>
      </c>
      <c r="I484" s="113">
        <f t="shared" si="12"/>
        <v>9.4122235427563226</v>
      </c>
      <c r="J484" s="113">
        <f t="shared" si="12"/>
        <v>0.7648579868372698</v>
      </c>
      <c r="K484" s="113">
        <f t="shared" si="12"/>
        <v>1.1703444669307388</v>
      </c>
      <c r="L484" s="113">
        <f t="shared" si="12"/>
        <v>1.7704202532896478</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2"/>
      <c r="BE484" s="102"/>
      <c r="BF484" s="102"/>
      <c r="BG484" s="102"/>
      <c r="BH484" s="102"/>
      <c r="BI484" s="102"/>
      <c r="BJ484" s="102"/>
      <c r="BK484" s="12"/>
      <c r="BL484" s="12"/>
    </row>
    <row r="485" spans="1:64" hidden="1" outlineLevel="1">
      <c r="A485" s="9"/>
      <c r="B485" s="9"/>
      <c r="C485" s="46"/>
      <c r="D485" s="132" t="str">
        <f>Asset16</f>
        <v>Equity raising costs</v>
      </c>
      <c r="E485" s="9"/>
      <c r="F485" s="9"/>
      <c r="G485" s="201">
        <f>'Adjustment for previous period'!G381</f>
        <v>0</v>
      </c>
      <c r="H485" s="113">
        <f t="shared" si="12"/>
        <v>0.24054330525835993</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2"/>
      <c r="BE485" s="102"/>
      <c r="BF485" s="102"/>
      <c r="BG485" s="102"/>
      <c r="BH485" s="102"/>
      <c r="BI485" s="102"/>
      <c r="BJ485" s="102"/>
      <c r="BK485" s="12"/>
      <c r="BL485" s="12"/>
    </row>
    <row r="486" spans="1:64" hidden="1" outlineLevel="1">
      <c r="A486" s="9"/>
      <c r="B486" s="9"/>
      <c r="C486" s="46"/>
      <c r="D486" s="132">
        <f>Asset17</f>
        <v>0</v>
      </c>
      <c r="E486" s="9"/>
      <c r="F486" s="9"/>
      <c r="G486" s="201">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2"/>
      <c r="BE486" s="102"/>
      <c r="BF486" s="102"/>
      <c r="BG486" s="102"/>
      <c r="BH486" s="102"/>
      <c r="BI486" s="102"/>
      <c r="BJ486" s="102"/>
      <c r="BK486" s="12"/>
      <c r="BL486" s="12"/>
    </row>
    <row r="487" spans="1:64" hidden="1" outlineLevel="1">
      <c r="A487" s="9"/>
      <c r="B487" s="9"/>
      <c r="C487" s="46"/>
      <c r="D487" s="132">
        <f>Asset18</f>
        <v>0</v>
      </c>
      <c r="E487" s="9"/>
      <c r="F487" s="9"/>
      <c r="G487" s="201">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2"/>
      <c r="BE487" s="102"/>
      <c r="BF487" s="102"/>
      <c r="BG487" s="102"/>
      <c r="BH487" s="102"/>
      <c r="BI487" s="102"/>
      <c r="BJ487" s="102"/>
      <c r="BK487" s="12"/>
      <c r="BL487" s="12"/>
    </row>
    <row r="488" spans="1:64" hidden="1" outlineLevel="1">
      <c r="A488" s="9"/>
      <c r="B488" s="9"/>
      <c r="C488" s="46"/>
      <c r="D488" s="132">
        <f>Asset19</f>
        <v>0</v>
      </c>
      <c r="E488" s="9"/>
      <c r="F488" s="9"/>
      <c r="G488" s="201">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2"/>
      <c r="BE488" s="102"/>
      <c r="BF488" s="102"/>
      <c r="BG488" s="102"/>
      <c r="BH488" s="102"/>
      <c r="BI488" s="102"/>
      <c r="BJ488" s="102"/>
      <c r="BK488" s="12"/>
      <c r="BL488" s="12"/>
    </row>
    <row r="489" spans="1:64" hidden="1" outlineLevel="1">
      <c r="A489" s="9"/>
      <c r="B489" s="9"/>
      <c r="C489" s="46"/>
      <c r="D489" s="132">
        <f>Asset20</f>
        <v>0</v>
      </c>
      <c r="E489" s="9"/>
      <c r="F489" s="9"/>
      <c r="G489" s="201">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2"/>
      <c r="BE489" s="102"/>
      <c r="BF489" s="102"/>
      <c r="BG489" s="102"/>
      <c r="BH489" s="102"/>
      <c r="BI489" s="102"/>
      <c r="BJ489" s="102"/>
      <c r="BK489" s="12"/>
      <c r="BL489" s="12"/>
    </row>
    <row r="490" spans="1:64" hidden="1" outlineLevel="1">
      <c r="A490" s="9"/>
      <c r="B490" s="9"/>
      <c r="C490" s="46"/>
      <c r="D490" s="132">
        <f>Asset21</f>
        <v>0</v>
      </c>
      <c r="E490" s="9"/>
      <c r="F490" s="9"/>
      <c r="G490" s="201">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2"/>
      <c r="BE490" s="102"/>
      <c r="BF490" s="102"/>
      <c r="BG490" s="102"/>
      <c r="BH490" s="102"/>
      <c r="BI490" s="102"/>
      <c r="BJ490" s="102"/>
      <c r="BK490" s="12"/>
      <c r="BL490" s="12"/>
    </row>
    <row r="491" spans="1:64" hidden="1" outlineLevel="1">
      <c r="A491" s="9"/>
      <c r="B491" s="9"/>
      <c r="C491" s="46"/>
      <c r="D491" s="132">
        <f>Asset22</f>
        <v>0</v>
      </c>
      <c r="E491" s="9"/>
      <c r="F491" s="9"/>
      <c r="G491" s="201">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2"/>
      <c r="BE491" s="102"/>
      <c r="BF491" s="102"/>
      <c r="BG491" s="102"/>
      <c r="BH491" s="102"/>
      <c r="BI491" s="102"/>
      <c r="BJ491" s="102"/>
      <c r="BK491" s="12"/>
      <c r="BL491" s="12"/>
    </row>
    <row r="492" spans="1:64" hidden="1" outlineLevel="1">
      <c r="A492" s="9"/>
      <c r="B492" s="9"/>
      <c r="C492" s="46"/>
      <c r="D492" s="132">
        <f>Asset23</f>
        <v>0</v>
      </c>
      <c r="E492" s="9"/>
      <c r="F492" s="9"/>
      <c r="G492" s="201">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2"/>
      <c r="BE492" s="102"/>
      <c r="BF492" s="102"/>
      <c r="BG492" s="102"/>
      <c r="BH492" s="102"/>
      <c r="BI492" s="102"/>
      <c r="BJ492" s="102"/>
      <c r="BK492" s="12"/>
      <c r="BL492" s="12"/>
    </row>
    <row r="493" spans="1:64" hidden="1" outlineLevel="1">
      <c r="A493" s="9"/>
      <c r="B493" s="9"/>
      <c r="C493" s="46"/>
      <c r="D493" s="132">
        <f>Asset24</f>
        <v>0</v>
      </c>
      <c r="E493" s="9"/>
      <c r="F493" s="9"/>
      <c r="G493" s="201">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2"/>
      <c r="BE493" s="102"/>
      <c r="BF493" s="102"/>
      <c r="BG493" s="102"/>
      <c r="BH493" s="102"/>
      <c r="BI493" s="102"/>
      <c r="BJ493" s="102"/>
      <c r="BK493" s="12"/>
      <c r="BL493" s="12"/>
    </row>
    <row r="494" spans="1:64" hidden="1" outlineLevel="1">
      <c r="A494" s="9"/>
      <c r="B494" s="9"/>
      <c r="C494" s="46"/>
      <c r="D494" s="132">
        <f>Asset25</f>
        <v>0</v>
      </c>
      <c r="E494" s="9"/>
      <c r="F494" s="9"/>
      <c r="G494" s="201">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2"/>
      <c r="BE494" s="102"/>
      <c r="BF494" s="102"/>
      <c r="BG494" s="102"/>
      <c r="BH494" s="102"/>
      <c r="BI494" s="102"/>
      <c r="BJ494" s="102"/>
      <c r="BK494" s="12"/>
      <c r="BL494" s="12"/>
    </row>
    <row r="495" spans="1:64" hidden="1" outlineLevel="1">
      <c r="A495" s="9"/>
      <c r="B495" s="9"/>
      <c r="C495" s="46"/>
      <c r="D495" s="132">
        <f>Asset26</f>
        <v>0</v>
      </c>
      <c r="E495" s="9"/>
      <c r="F495" s="9"/>
      <c r="G495" s="201">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2"/>
      <c r="BE495" s="102"/>
      <c r="BF495" s="102"/>
      <c r="BG495" s="102"/>
      <c r="BH495" s="102"/>
      <c r="BI495" s="102"/>
      <c r="BJ495" s="102"/>
      <c r="BK495" s="12"/>
      <c r="BL495" s="12"/>
    </row>
    <row r="496" spans="1:64" hidden="1" outlineLevel="1">
      <c r="A496" s="9"/>
      <c r="B496" s="9"/>
      <c r="C496" s="46"/>
      <c r="D496" s="132">
        <f>Asset27</f>
        <v>0</v>
      </c>
      <c r="E496" s="9"/>
      <c r="F496" s="9"/>
      <c r="G496" s="201">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2"/>
      <c r="BE496" s="102"/>
      <c r="BF496" s="102"/>
      <c r="BG496" s="102"/>
      <c r="BH496" s="102"/>
      <c r="BI496" s="102"/>
      <c r="BJ496" s="102"/>
      <c r="BK496" s="12"/>
      <c r="BL496" s="12"/>
    </row>
    <row r="497" spans="1:64" hidden="1" outlineLevel="1">
      <c r="A497" s="9"/>
      <c r="B497" s="9"/>
      <c r="C497" s="46"/>
      <c r="D497" s="132">
        <f>Asset28</f>
        <v>0</v>
      </c>
      <c r="E497" s="9"/>
      <c r="F497" s="9"/>
      <c r="G497" s="201">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2"/>
      <c r="BE497" s="102"/>
      <c r="BF497" s="102"/>
      <c r="BG497" s="102"/>
      <c r="BH497" s="102"/>
      <c r="BI497" s="102"/>
      <c r="BJ497" s="102"/>
      <c r="BK497" s="12"/>
      <c r="BL497" s="12"/>
    </row>
    <row r="498" spans="1:64" hidden="1" outlineLevel="1">
      <c r="A498" s="9"/>
      <c r="B498" s="9"/>
      <c r="C498" s="46"/>
      <c r="D498" s="132">
        <f>Asset29</f>
        <v>0</v>
      </c>
      <c r="E498" s="9"/>
      <c r="F498" s="9"/>
      <c r="G498" s="201">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2"/>
      <c r="BE498" s="102"/>
      <c r="BF498" s="102"/>
      <c r="BG498" s="102"/>
      <c r="BH498" s="102"/>
      <c r="BI498" s="102"/>
      <c r="BJ498" s="102"/>
      <c r="BK498" s="12"/>
      <c r="BL498" s="12"/>
    </row>
    <row r="499" spans="1:64" hidden="1" outlineLevel="1">
      <c r="A499" s="9"/>
      <c r="B499" s="9"/>
      <c r="C499" s="46"/>
      <c r="D499" s="132">
        <f>Asset30</f>
        <v>0</v>
      </c>
      <c r="E499" s="9"/>
      <c r="F499" s="9"/>
      <c r="G499" s="201">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2"/>
      <c r="BE499" s="102"/>
      <c r="BF499" s="102"/>
      <c r="BG499" s="102"/>
      <c r="BH499" s="102"/>
      <c r="BI499" s="102"/>
      <c r="BJ499" s="102"/>
      <c r="BK499" s="12"/>
      <c r="BL499" s="12"/>
    </row>
    <row r="500" spans="1:64" collapsed="1">
      <c r="A500" s="9"/>
      <c r="B500" s="9"/>
      <c r="C500" s="46"/>
      <c r="D500" s="116"/>
      <c r="E500" s="9"/>
      <c r="F500" s="9"/>
      <c r="G500" s="206"/>
      <c r="H500" s="37"/>
      <c r="I500" s="37"/>
      <c r="J500" s="37"/>
      <c r="K500" s="37"/>
      <c r="L500" s="37"/>
      <c r="M500" s="37"/>
      <c r="N500" s="29"/>
      <c r="O500" s="29"/>
      <c r="P500" s="29"/>
      <c r="Q500" s="29"/>
      <c r="R500" s="29"/>
      <c r="S500" s="102"/>
      <c r="T500" s="102"/>
      <c r="U500" s="102"/>
      <c r="V500" s="102"/>
      <c r="W500" s="102"/>
      <c r="X500" s="102"/>
      <c r="Y500" s="102"/>
      <c r="Z500" s="102"/>
      <c r="AA500" s="102"/>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2"/>
      <c r="BE500" s="102"/>
      <c r="BF500" s="102"/>
      <c r="BG500" s="102"/>
      <c r="BH500" s="102"/>
      <c r="BI500" s="102"/>
      <c r="BJ500" s="102"/>
      <c r="BK500" s="12"/>
      <c r="BL500" s="12"/>
    </row>
    <row r="501" spans="1:64">
      <c r="A501" s="9"/>
      <c r="B501" s="9"/>
      <c r="C501" s="229" t="s">
        <v>76</v>
      </c>
      <c r="D501" s="225"/>
      <c r="E501" s="9"/>
      <c r="F501" s="9"/>
      <c r="G501" s="199">
        <f>SUM(G502:G531)</f>
        <v>-4.1592114193485834</v>
      </c>
      <c r="H501" s="37">
        <f>SUM(H502:H531)</f>
        <v>-17.136557098435482</v>
      </c>
      <c r="I501" s="37">
        <f t="shared" ref="I501:Q501" si="24">SUM(I502:I531)</f>
        <v>-13.36489040690293</v>
      </c>
      <c r="J501" s="37">
        <f t="shared" si="24"/>
        <v>-11.799143098681785</v>
      </c>
      <c r="K501" s="37">
        <f t="shared" si="24"/>
        <v>-23.813367469247062</v>
      </c>
      <c r="L501" s="37">
        <f t="shared" si="24"/>
        <v>-22.26352347914467</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2"/>
      <c r="BE501" s="102"/>
      <c r="BF501" s="102"/>
      <c r="BG501" s="102"/>
      <c r="BH501" s="102"/>
      <c r="BI501" s="102"/>
      <c r="BJ501" s="102"/>
      <c r="BK501" s="12"/>
      <c r="BL501" s="12"/>
    </row>
    <row r="502" spans="1:64" hidden="1" outlineLevel="1">
      <c r="A502" s="9"/>
      <c r="B502" s="9"/>
      <c r="C502" s="46"/>
      <c r="D502" s="132" t="str">
        <f>Asset1</f>
        <v>Opening Distribution Assets</v>
      </c>
      <c r="E502" s="9"/>
      <c r="F502" s="9"/>
      <c r="G502" s="201">
        <f>'Adjustment for previous period'!G398</f>
        <v>-4.1592114193485834</v>
      </c>
      <c r="H502" s="113">
        <f>H632+H666</f>
        <v>-17.136557098435482</v>
      </c>
      <c r="I502" s="113">
        <f>I632+I666</f>
        <v>-12.745165085585091</v>
      </c>
      <c r="J502" s="113">
        <f t="shared" ref="J502:Q502" si="25">J632+J666</f>
        <v>-11.195508634999737</v>
      </c>
      <c r="K502" s="113">
        <f t="shared" si="25"/>
        <v>-20.364544199289433</v>
      </c>
      <c r="L502" s="113">
        <f t="shared" si="25"/>
        <v>-18.05901207102319</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2"/>
      <c r="BE502" s="102"/>
      <c r="BF502" s="102"/>
      <c r="BG502" s="102"/>
      <c r="BH502" s="102"/>
      <c r="BI502" s="102"/>
      <c r="BJ502" s="102"/>
      <c r="BK502" s="12"/>
      <c r="BL502" s="12"/>
    </row>
    <row r="503" spans="1:64" hidden="1" outlineLevel="1">
      <c r="A503" s="9"/>
      <c r="B503" s="9"/>
      <c r="C503" s="46"/>
      <c r="D503" s="132" t="str">
        <f>Asset2</f>
        <v>Sub-transmission Overhead</v>
      </c>
      <c r="E503" s="9"/>
      <c r="F503" s="9"/>
      <c r="G503" s="201">
        <f>'Adjustment for previous period'!G399</f>
        <v>0</v>
      </c>
      <c r="H503" s="113">
        <f t="shared" ref="H503:Q531" si="26">H633+H667</f>
        <v>0</v>
      </c>
      <c r="I503" s="113">
        <f t="shared" si="26"/>
        <v>0</v>
      </c>
      <c r="J503" s="113">
        <f t="shared" si="26"/>
        <v>0</v>
      </c>
      <c r="K503" s="113">
        <f t="shared" si="26"/>
        <v>0</v>
      </c>
      <c r="L503" s="113">
        <f t="shared" si="26"/>
        <v>0</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2"/>
      <c r="BE503" s="102"/>
      <c r="BF503" s="102"/>
      <c r="BG503" s="102"/>
      <c r="BH503" s="102"/>
      <c r="BI503" s="102"/>
      <c r="BJ503" s="102"/>
      <c r="BK503" s="12"/>
      <c r="BL503" s="12"/>
    </row>
    <row r="504" spans="1:64" hidden="1" outlineLevel="1">
      <c r="A504" s="9"/>
      <c r="B504" s="9"/>
      <c r="C504" s="46"/>
      <c r="D504" s="132" t="str">
        <f>Asset3</f>
        <v>Sub-transmission Underground</v>
      </c>
      <c r="E504" s="9"/>
      <c r="F504" s="9"/>
      <c r="G504" s="201">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2"/>
      <c r="BE504" s="102"/>
      <c r="BF504" s="102"/>
      <c r="BG504" s="102"/>
      <c r="BH504" s="102"/>
      <c r="BI504" s="102"/>
      <c r="BJ504" s="102"/>
      <c r="BK504" s="12"/>
      <c r="BL504" s="12"/>
    </row>
    <row r="505" spans="1:64" hidden="1" outlineLevel="1">
      <c r="A505" s="9"/>
      <c r="B505" s="9"/>
      <c r="C505" s="46"/>
      <c r="D505" s="132" t="str">
        <f>Asset4</f>
        <v>Zone Substation</v>
      </c>
      <c r="E505" s="9"/>
      <c r="F505" s="9"/>
      <c r="G505" s="201">
        <f>'Adjustment for previous period'!G401</f>
        <v>0</v>
      </c>
      <c r="H505" s="113">
        <f t="shared" si="26"/>
        <v>0</v>
      </c>
      <c r="I505" s="113">
        <f t="shared" si="26"/>
        <v>2.471132076940153E-3</v>
      </c>
      <c r="J505" s="113">
        <f t="shared" si="26"/>
        <v>6.5130096238512451E-3</v>
      </c>
      <c r="K505" s="113">
        <f t="shared" si="26"/>
        <v>-7.6993613322550412E-3</v>
      </c>
      <c r="L505" s="113">
        <f t="shared" si="26"/>
        <v>-3.2483243333542924E-3</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2"/>
      <c r="BE505" s="102"/>
      <c r="BF505" s="102"/>
      <c r="BG505" s="102"/>
      <c r="BH505" s="102"/>
      <c r="BI505" s="102"/>
      <c r="BJ505" s="102"/>
      <c r="BK505" s="12"/>
      <c r="BL505" s="12"/>
    </row>
    <row r="506" spans="1:64" hidden="1" outlineLevel="1">
      <c r="A506" s="9"/>
      <c r="B506" s="9"/>
      <c r="C506" s="46"/>
      <c r="D506" s="132" t="str">
        <f>Asset5</f>
        <v>Distribution Substations</v>
      </c>
      <c r="E506" s="9"/>
      <c r="F506" s="9"/>
      <c r="G506" s="201">
        <f>'Adjustment for previous period'!G402</f>
        <v>0</v>
      </c>
      <c r="H506" s="113">
        <f t="shared" si="26"/>
        <v>0</v>
      </c>
      <c r="I506" s="113">
        <f t="shared" si="26"/>
        <v>3.1036393532890727E-2</v>
      </c>
      <c r="J506" s="113">
        <f t="shared" si="26"/>
        <v>0.18113417245183983</v>
      </c>
      <c r="K506" s="113">
        <f t="shared" si="26"/>
        <v>-0.29274762569648416</v>
      </c>
      <c r="L506" s="113">
        <f t="shared" si="26"/>
        <v>-9.1522719399188768E-2</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2"/>
      <c r="BE506" s="102"/>
      <c r="BF506" s="102"/>
      <c r="BG506" s="102"/>
      <c r="BH506" s="102"/>
      <c r="BI506" s="102"/>
      <c r="BJ506" s="102"/>
      <c r="BK506" s="12"/>
      <c r="BL506" s="12"/>
    </row>
    <row r="507" spans="1:64" hidden="1" outlineLevel="1">
      <c r="A507" s="9"/>
      <c r="B507" s="9"/>
      <c r="C507" s="46"/>
      <c r="D507" s="132" t="str">
        <f>Asset6</f>
        <v>Distribution Overhead Lines</v>
      </c>
      <c r="E507" s="9"/>
      <c r="F507" s="9"/>
      <c r="G507" s="201">
        <f>'Adjustment for previous period'!G403</f>
        <v>0</v>
      </c>
      <c r="H507" s="113">
        <f t="shared" si="26"/>
        <v>0</v>
      </c>
      <c r="I507" s="113">
        <f t="shared" si="26"/>
        <v>9.1024304843493525E-2</v>
      </c>
      <c r="J507" s="113">
        <f t="shared" si="26"/>
        <v>0.32208210418665872</v>
      </c>
      <c r="K507" s="113">
        <f t="shared" si="26"/>
        <v>-0.12907390880208813</v>
      </c>
      <c r="L507" s="113">
        <f t="shared" si="26"/>
        <v>0.16850693226936708</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2"/>
      <c r="BE507" s="102"/>
      <c r="BF507" s="102"/>
      <c r="BG507" s="102"/>
      <c r="BH507" s="102"/>
      <c r="BI507" s="102"/>
      <c r="BJ507" s="102"/>
      <c r="BK507" s="12"/>
      <c r="BL507" s="12"/>
    </row>
    <row r="508" spans="1:64" hidden="1" outlineLevel="1">
      <c r="A508" s="9"/>
      <c r="B508" s="9"/>
      <c r="C508" s="46"/>
      <c r="D508" s="132" t="str">
        <f>Asset7</f>
        <v>Distribution Underground Lines</v>
      </c>
      <c r="E508" s="9"/>
      <c r="F508" s="9"/>
      <c r="G508" s="201">
        <f>'Adjustment for previous period'!G404</f>
        <v>0</v>
      </c>
      <c r="H508" s="113">
        <f t="shared" si="26"/>
        <v>0</v>
      </c>
      <c r="I508" s="113">
        <f t="shared" si="26"/>
        <v>0.17658544111277852</v>
      </c>
      <c r="J508" s="113">
        <f t="shared" si="26"/>
        <v>0.54339419009450207</v>
      </c>
      <c r="K508" s="113">
        <f t="shared" si="26"/>
        <v>1.167229487399446E-2</v>
      </c>
      <c r="L508" s="113">
        <f t="shared" si="26"/>
        <v>0.41340114624106072</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2"/>
      <c r="BE508" s="102"/>
      <c r="BF508" s="102"/>
      <c r="BG508" s="102"/>
      <c r="BH508" s="102"/>
      <c r="BI508" s="102"/>
      <c r="BJ508" s="102"/>
      <c r="BK508" s="12"/>
      <c r="BL508" s="12"/>
    </row>
    <row r="509" spans="1:64" hidden="1" outlineLevel="1">
      <c r="A509" s="9"/>
      <c r="B509" s="9"/>
      <c r="C509" s="46"/>
      <c r="D509" s="132" t="str">
        <f>Asset8</f>
        <v>IT &amp; Communication Systems (Networks)</v>
      </c>
      <c r="E509" s="9"/>
      <c r="F509" s="9"/>
      <c r="G509" s="201">
        <f>'Adjustment for previous period'!G405</f>
        <v>0</v>
      </c>
      <c r="H509" s="113">
        <f t="shared" si="26"/>
        <v>0</v>
      </c>
      <c r="I509" s="113">
        <f t="shared" si="26"/>
        <v>-9.1910694967104745E-2</v>
      </c>
      <c r="J509" s="113">
        <f t="shared" si="26"/>
        <v>-0.15286714437522048</v>
      </c>
      <c r="K509" s="113">
        <f t="shared" si="26"/>
        <v>-0.41024412192501208</v>
      </c>
      <c r="L509" s="113">
        <f t="shared" si="26"/>
        <v>-0.90643345660188679</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2"/>
      <c r="BE509" s="102"/>
      <c r="BF509" s="102"/>
      <c r="BG509" s="102"/>
      <c r="BH509" s="102"/>
      <c r="BI509" s="102"/>
      <c r="BJ509" s="102"/>
      <c r="BK509" s="12"/>
      <c r="BL509" s="12"/>
    </row>
    <row r="510" spans="1:64" hidden="1" outlineLevel="1">
      <c r="A510" s="9"/>
      <c r="B510" s="9"/>
      <c r="C510" s="46"/>
      <c r="D510" s="132" t="str">
        <f>Asset9</f>
        <v>Motor Vehicles</v>
      </c>
      <c r="E510" s="9"/>
      <c r="F510" s="9"/>
      <c r="G510" s="201">
        <f>'Adjustment for previous period'!G406</f>
        <v>0</v>
      </c>
      <c r="H510" s="113">
        <f t="shared" si="26"/>
        <v>0</v>
      </c>
      <c r="I510" s="113">
        <f t="shared" si="26"/>
        <v>0</v>
      </c>
      <c r="J510" s="113">
        <f t="shared" si="26"/>
        <v>0</v>
      </c>
      <c r="K510" s="113">
        <f t="shared" si="26"/>
        <v>-7.6896660946069936E-2</v>
      </c>
      <c r="L510" s="113">
        <f t="shared" si="26"/>
        <v>-0.57894857666923449</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2"/>
      <c r="BE510" s="102"/>
      <c r="BF510" s="102"/>
      <c r="BG510" s="102"/>
      <c r="BH510" s="102"/>
      <c r="BI510" s="102"/>
      <c r="BJ510" s="102"/>
      <c r="BK510" s="12"/>
      <c r="BL510" s="12"/>
    </row>
    <row r="511" spans="1:64" hidden="1" outlineLevel="1">
      <c r="A511" s="9"/>
      <c r="B511" s="9"/>
      <c r="C511" s="46"/>
      <c r="D511" s="132" t="str">
        <f>Asset10</f>
        <v>Other Non-System Assets (Networks)</v>
      </c>
      <c r="E511" s="9"/>
      <c r="F511" s="9"/>
      <c r="G511" s="201">
        <f>'Adjustment for previous period'!G407</f>
        <v>0</v>
      </c>
      <c r="H511" s="113">
        <f t="shared" si="26"/>
        <v>0</v>
      </c>
      <c r="I511" s="113">
        <f t="shared" si="26"/>
        <v>-0.171401973619563</v>
      </c>
      <c r="J511" s="113">
        <f t="shared" si="26"/>
        <v>-0.26324613506936884</v>
      </c>
      <c r="K511" s="113">
        <f t="shared" si="26"/>
        <v>-0.37503988156208123</v>
      </c>
      <c r="L511" s="113">
        <f t="shared" si="26"/>
        <v>-0.48917750705329383</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2"/>
      <c r="BE511" s="102"/>
      <c r="BF511" s="102"/>
      <c r="BG511" s="102"/>
      <c r="BH511" s="102"/>
      <c r="BI511" s="102"/>
      <c r="BJ511" s="102"/>
      <c r="BK511" s="12"/>
      <c r="BL511" s="12"/>
    </row>
    <row r="512" spans="1:64" hidden="1" outlineLevel="1">
      <c r="A512" s="9"/>
      <c r="B512" s="9"/>
      <c r="C512" s="46"/>
      <c r="D512" s="132" t="str">
        <f>Asset11</f>
        <v>IT Systems (Corporate)</v>
      </c>
      <c r="E512" s="9"/>
      <c r="F512" s="9"/>
      <c r="G512" s="201">
        <f>'Adjustment for previous period'!G408</f>
        <v>0</v>
      </c>
      <c r="H512" s="113">
        <f t="shared" si="26"/>
        <v>0</v>
      </c>
      <c r="I512" s="113">
        <f t="shared" si="26"/>
        <v>-0.16221255441011825</v>
      </c>
      <c r="J512" s="113">
        <f t="shared" si="26"/>
        <v>-0.21653721531377546</v>
      </c>
      <c r="K512" s="113">
        <f t="shared" si="26"/>
        <v>-0.52173172295836756</v>
      </c>
      <c r="L512" s="113">
        <f t="shared" si="26"/>
        <v>-1.0477681840773776</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2"/>
      <c r="BE512" s="102"/>
      <c r="BF512" s="102"/>
      <c r="BG512" s="102"/>
      <c r="BH512" s="102"/>
      <c r="BI512" s="102"/>
      <c r="BJ512" s="102"/>
      <c r="BK512" s="12"/>
      <c r="BL512" s="12"/>
    </row>
    <row r="513" spans="1:64" hidden="1" outlineLevel="1">
      <c r="A513" s="9"/>
      <c r="B513" s="9"/>
      <c r="C513" s="46"/>
      <c r="D513" s="132" t="str">
        <f>Asset12</f>
        <v>Telecommunications (Corporate)</v>
      </c>
      <c r="E513" s="9"/>
      <c r="F513" s="9"/>
      <c r="G513" s="201">
        <f>'Adjustment for previous period'!G409</f>
        <v>0</v>
      </c>
      <c r="H513" s="113">
        <f t="shared" si="26"/>
        <v>0</v>
      </c>
      <c r="I513" s="113">
        <f t="shared" si="26"/>
        <v>-4.4745642588501104E-2</v>
      </c>
      <c r="J513" s="113">
        <f t="shared" si="26"/>
        <v>-6.1110529718525146E-2</v>
      </c>
      <c r="K513" s="113">
        <f t="shared" si="26"/>
        <v>-7.7183626676733605E-2</v>
      </c>
      <c r="L513" s="113">
        <f t="shared" si="26"/>
        <v>-8.8212134857435925E-2</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2"/>
      <c r="BE513" s="102"/>
      <c r="BF513" s="102"/>
      <c r="BG513" s="102"/>
      <c r="BH513" s="102"/>
      <c r="BI513" s="102"/>
      <c r="BJ513" s="102"/>
      <c r="BK513" s="12"/>
      <c r="BL513" s="12"/>
    </row>
    <row r="514" spans="1:64" hidden="1" outlineLevel="1">
      <c r="A514" s="9"/>
      <c r="B514" s="9"/>
      <c r="C514" s="46"/>
      <c r="D514" s="132" t="str">
        <f>Asset13</f>
        <v>Other Non-System Assets (Corporate)</v>
      </c>
      <c r="E514" s="9"/>
      <c r="F514" s="9"/>
      <c r="G514" s="201">
        <f>'Adjustment for previous period'!G410</f>
        <v>0</v>
      </c>
      <c r="H514" s="113">
        <f t="shared" si="26"/>
        <v>0</v>
      </c>
      <c r="I514" s="113">
        <f t="shared" si="26"/>
        <v>-0.59249767175118762</v>
      </c>
      <c r="J514" s="113">
        <f t="shared" si="26"/>
        <v>-1.3126560344264417</v>
      </c>
      <c r="K514" s="113">
        <f t="shared" si="26"/>
        <v>-1.6165453485629917</v>
      </c>
      <c r="L514" s="113">
        <f t="shared" si="26"/>
        <v>-1.7669195679394665</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2"/>
      <c r="BE514" s="102"/>
      <c r="BF514" s="102"/>
      <c r="BG514" s="102"/>
      <c r="BH514" s="102"/>
      <c r="BI514" s="102"/>
      <c r="BJ514" s="102"/>
      <c r="BK514" s="12"/>
      <c r="BL514" s="12"/>
    </row>
    <row r="515" spans="1:64" hidden="1" outlineLevel="1">
      <c r="A515" s="9"/>
      <c r="B515" s="9"/>
      <c r="C515" s="46"/>
      <c r="D515" s="132" t="str">
        <f>Asset14</f>
        <v>Land</v>
      </c>
      <c r="E515" s="9"/>
      <c r="F515" s="9"/>
      <c r="G515" s="201">
        <f>'Adjustment for previous period'!G411</f>
        <v>0</v>
      </c>
      <c r="H515" s="113">
        <f t="shared" si="26"/>
        <v>0</v>
      </c>
      <c r="I515" s="113">
        <f t="shared" si="26"/>
        <v>6.9055235857809316E-2</v>
      </c>
      <c r="J515" s="113">
        <f t="shared" si="26"/>
        <v>8.4601702569251938E-2</v>
      </c>
      <c r="K515" s="113">
        <f t="shared" si="26"/>
        <v>4.5492305008052819E-2</v>
      </c>
      <c r="L515" s="113">
        <f t="shared" si="26"/>
        <v>6.4339117082817462E-2</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2"/>
      <c r="BE515" s="102"/>
      <c r="BF515" s="102"/>
      <c r="BG515" s="102"/>
      <c r="BH515" s="102"/>
      <c r="BI515" s="102"/>
      <c r="BJ515" s="102"/>
      <c r="BK515" s="12"/>
      <c r="BL515" s="12"/>
    </row>
    <row r="516" spans="1:64" hidden="1" outlineLevel="1">
      <c r="A516" s="9"/>
      <c r="B516" s="9"/>
      <c r="C516" s="46"/>
      <c r="D516" s="132" t="str">
        <f>Asset15</f>
        <v>Buildings</v>
      </c>
      <c r="E516" s="9"/>
      <c r="F516" s="9"/>
      <c r="G516" s="201">
        <f>'Adjustment for previous period'!G412</f>
        <v>0</v>
      </c>
      <c r="H516" s="113">
        <f t="shared" si="26"/>
        <v>0</v>
      </c>
      <c r="I516" s="113">
        <f t="shared" si="26"/>
        <v>7.1524469295752666E-2</v>
      </c>
      <c r="J516" s="113">
        <f t="shared" si="26"/>
        <v>0.26251314267671749</v>
      </c>
      <c r="K516" s="113">
        <f t="shared" si="26"/>
        <v>2.7113815769742033E-3</v>
      </c>
      <c r="L516" s="113">
        <f t="shared" si="26"/>
        <v>0.12147003830313624</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2"/>
      <c r="BE516" s="102"/>
      <c r="BF516" s="102"/>
      <c r="BG516" s="102"/>
      <c r="BH516" s="102"/>
      <c r="BI516" s="102"/>
      <c r="BJ516" s="102"/>
      <c r="BK516" s="12"/>
      <c r="BL516" s="12"/>
    </row>
    <row r="517" spans="1:64" hidden="1" outlineLevel="1">
      <c r="A517" s="9"/>
      <c r="B517" s="9"/>
      <c r="C517" s="46"/>
      <c r="D517" s="132" t="str">
        <f>Asset16</f>
        <v>Equity raising costs</v>
      </c>
      <c r="E517" s="9"/>
      <c r="F517" s="9"/>
      <c r="G517" s="201">
        <f>'Adjustment for previous period'!G413</f>
        <v>0</v>
      </c>
      <c r="H517" s="113">
        <f t="shared" si="26"/>
        <v>0</v>
      </c>
      <c r="I517" s="113">
        <f t="shared" si="26"/>
        <v>1.3462392989737962E-3</v>
      </c>
      <c r="J517" s="113">
        <f t="shared" si="26"/>
        <v>2.5442736184612021E-3</v>
      </c>
      <c r="K517" s="113">
        <f t="shared" si="26"/>
        <v>-1.5369929545720352E-3</v>
      </c>
      <c r="L517" s="113">
        <f t="shared" si="26"/>
        <v>1.8289133842533736E-6</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2"/>
      <c r="BE517" s="102"/>
      <c r="BF517" s="102"/>
      <c r="BG517" s="102"/>
      <c r="BH517" s="102"/>
      <c r="BI517" s="102"/>
      <c r="BJ517" s="102"/>
      <c r="BK517" s="12"/>
      <c r="BL517" s="12"/>
    </row>
    <row r="518" spans="1:64" hidden="1" outlineLevel="1">
      <c r="A518" s="9"/>
      <c r="B518" s="9"/>
      <c r="C518" s="46"/>
      <c r="D518" s="132">
        <f>Asset17</f>
        <v>0</v>
      </c>
      <c r="E518" s="9"/>
      <c r="F518" s="9"/>
      <c r="G518" s="201">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2"/>
      <c r="BE518" s="102"/>
      <c r="BF518" s="102"/>
      <c r="BG518" s="102"/>
      <c r="BH518" s="102"/>
      <c r="BI518" s="102"/>
      <c r="BJ518" s="102"/>
      <c r="BK518" s="12"/>
      <c r="BL518" s="12"/>
    </row>
    <row r="519" spans="1:64" hidden="1" outlineLevel="1">
      <c r="A519" s="9"/>
      <c r="B519" s="9"/>
      <c r="C519" s="46"/>
      <c r="D519" s="132">
        <f>Asset18</f>
        <v>0</v>
      </c>
      <c r="E519" s="9"/>
      <c r="F519" s="9"/>
      <c r="G519" s="201">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2"/>
      <c r="BE519" s="102"/>
      <c r="BF519" s="102"/>
      <c r="BG519" s="102"/>
      <c r="BH519" s="102"/>
      <c r="BI519" s="102"/>
      <c r="BJ519" s="102"/>
      <c r="BK519" s="12"/>
      <c r="BL519" s="12"/>
    </row>
    <row r="520" spans="1:64" hidden="1" outlineLevel="1">
      <c r="A520" s="9"/>
      <c r="B520" s="9"/>
      <c r="C520" s="46"/>
      <c r="D520" s="132">
        <f>Asset19</f>
        <v>0</v>
      </c>
      <c r="E520" s="9"/>
      <c r="F520" s="9"/>
      <c r="G520" s="201">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2"/>
      <c r="BE520" s="102"/>
      <c r="BF520" s="102"/>
      <c r="BG520" s="102"/>
      <c r="BH520" s="102"/>
      <c r="BI520" s="102"/>
      <c r="BJ520" s="102"/>
      <c r="BK520" s="12"/>
      <c r="BL520" s="12"/>
    </row>
    <row r="521" spans="1:64" hidden="1" outlineLevel="1">
      <c r="A521" s="9"/>
      <c r="B521" s="9"/>
      <c r="C521" s="46"/>
      <c r="D521" s="132">
        <f>Asset20</f>
        <v>0</v>
      </c>
      <c r="E521" s="9"/>
      <c r="F521" s="9"/>
      <c r="G521" s="201">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2"/>
      <c r="BE521" s="102"/>
      <c r="BF521" s="102"/>
      <c r="BG521" s="102"/>
      <c r="BH521" s="102"/>
      <c r="BI521" s="102"/>
      <c r="BJ521" s="102"/>
      <c r="BK521" s="12"/>
      <c r="BL521" s="12"/>
    </row>
    <row r="522" spans="1:64" hidden="1" outlineLevel="1">
      <c r="A522" s="9"/>
      <c r="B522" s="9"/>
      <c r="C522" s="46"/>
      <c r="D522" s="132">
        <f>Asset21</f>
        <v>0</v>
      </c>
      <c r="E522" s="9"/>
      <c r="F522" s="9"/>
      <c r="G522" s="201">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2"/>
      <c r="BE522" s="102"/>
      <c r="BF522" s="102"/>
      <c r="BG522" s="102"/>
      <c r="BH522" s="102"/>
      <c r="BI522" s="102"/>
      <c r="BJ522" s="102"/>
      <c r="BK522" s="12"/>
      <c r="BL522" s="12"/>
    </row>
    <row r="523" spans="1:64" hidden="1" outlineLevel="1">
      <c r="A523" s="9"/>
      <c r="B523" s="9"/>
      <c r="C523" s="46"/>
      <c r="D523" s="132">
        <f>Asset22</f>
        <v>0</v>
      </c>
      <c r="E523" s="9"/>
      <c r="F523" s="9"/>
      <c r="G523" s="201">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2"/>
      <c r="BE523" s="102"/>
      <c r="BF523" s="102"/>
      <c r="BG523" s="102"/>
      <c r="BH523" s="102"/>
      <c r="BI523" s="102"/>
      <c r="BJ523" s="102"/>
      <c r="BK523" s="12"/>
      <c r="BL523" s="12"/>
    </row>
    <row r="524" spans="1:64" hidden="1" outlineLevel="1">
      <c r="A524" s="9"/>
      <c r="B524" s="9"/>
      <c r="C524" s="46"/>
      <c r="D524" s="132">
        <f>Asset23</f>
        <v>0</v>
      </c>
      <c r="E524" s="9"/>
      <c r="F524" s="9"/>
      <c r="G524" s="201">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2"/>
      <c r="BE524" s="102"/>
      <c r="BF524" s="102"/>
      <c r="BG524" s="102"/>
      <c r="BH524" s="102"/>
      <c r="BI524" s="102"/>
      <c r="BJ524" s="102"/>
      <c r="BK524" s="12"/>
      <c r="BL524" s="12"/>
    </row>
    <row r="525" spans="1:64" hidden="1" outlineLevel="1">
      <c r="A525" s="9"/>
      <c r="B525" s="9"/>
      <c r="C525" s="46"/>
      <c r="D525" s="132">
        <f>Asset24</f>
        <v>0</v>
      </c>
      <c r="E525" s="9"/>
      <c r="F525" s="9"/>
      <c r="G525" s="201">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2"/>
      <c r="BE525" s="102"/>
      <c r="BF525" s="102"/>
      <c r="BG525" s="102"/>
      <c r="BH525" s="102"/>
      <c r="BI525" s="102"/>
      <c r="BJ525" s="102"/>
      <c r="BK525" s="12"/>
      <c r="BL525" s="12"/>
    </row>
    <row r="526" spans="1:64" hidden="1" outlineLevel="1">
      <c r="A526" s="9"/>
      <c r="B526" s="9"/>
      <c r="C526" s="46"/>
      <c r="D526" s="132">
        <f>Asset25</f>
        <v>0</v>
      </c>
      <c r="E526" s="9"/>
      <c r="F526" s="9"/>
      <c r="G526" s="201">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2"/>
      <c r="BE526" s="102"/>
      <c r="BF526" s="102"/>
      <c r="BG526" s="102"/>
      <c r="BH526" s="102"/>
      <c r="BI526" s="102"/>
      <c r="BJ526" s="102"/>
      <c r="BK526" s="12"/>
      <c r="BL526" s="12"/>
    </row>
    <row r="527" spans="1:64" hidden="1" outlineLevel="1">
      <c r="A527" s="9"/>
      <c r="B527" s="9"/>
      <c r="C527" s="46"/>
      <c r="D527" s="132">
        <f>Asset26</f>
        <v>0</v>
      </c>
      <c r="E527" s="9"/>
      <c r="F527" s="9"/>
      <c r="G527" s="201">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2"/>
      <c r="BE527" s="102"/>
      <c r="BF527" s="102"/>
      <c r="BG527" s="102"/>
      <c r="BH527" s="102"/>
      <c r="BI527" s="102"/>
      <c r="BJ527" s="102"/>
      <c r="BK527" s="12"/>
      <c r="BL527" s="12"/>
    </row>
    <row r="528" spans="1:64" hidden="1" outlineLevel="1">
      <c r="A528" s="9"/>
      <c r="B528" s="9"/>
      <c r="C528" s="46"/>
      <c r="D528" s="132">
        <f>Asset27</f>
        <v>0</v>
      </c>
      <c r="E528" s="9"/>
      <c r="F528" s="9"/>
      <c r="G528" s="201">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2"/>
      <c r="BE528" s="102"/>
      <c r="BF528" s="102"/>
      <c r="BG528" s="102"/>
      <c r="BH528" s="102"/>
      <c r="BI528" s="102"/>
      <c r="BJ528" s="102"/>
      <c r="BK528" s="12"/>
      <c r="BL528" s="12"/>
    </row>
    <row r="529" spans="1:64" hidden="1" outlineLevel="1">
      <c r="A529" s="9"/>
      <c r="B529" s="9"/>
      <c r="C529" s="46"/>
      <c r="D529" s="132">
        <f>Asset28</f>
        <v>0</v>
      </c>
      <c r="E529" s="9"/>
      <c r="F529" s="9"/>
      <c r="G529" s="201">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2"/>
      <c r="BE529" s="102"/>
      <c r="BF529" s="102"/>
      <c r="BG529" s="102"/>
      <c r="BH529" s="102"/>
      <c r="BI529" s="102"/>
      <c r="BJ529" s="102"/>
      <c r="BK529" s="12"/>
      <c r="BL529" s="12"/>
    </row>
    <row r="530" spans="1:64" hidden="1" outlineLevel="1">
      <c r="A530" s="9"/>
      <c r="B530" s="9"/>
      <c r="C530" s="46"/>
      <c r="D530" s="132">
        <f>Asset29</f>
        <v>0</v>
      </c>
      <c r="E530" s="9"/>
      <c r="F530" s="9"/>
      <c r="G530" s="201">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2"/>
      <c r="BE530" s="102"/>
      <c r="BF530" s="102"/>
      <c r="BG530" s="102"/>
      <c r="BH530" s="102"/>
      <c r="BI530" s="102"/>
      <c r="BJ530" s="102"/>
      <c r="BK530" s="12"/>
      <c r="BL530" s="12"/>
    </row>
    <row r="531" spans="1:64" hidden="1" outlineLevel="1">
      <c r="A531" s="9"/>
      <c r="B531" s="9"/>
      <c r="C531" s="46"/>
      <c r="D531" s="132">
        <f>Asset30</f>
        <v>0</v>
      </c>
      <c r="E531" s="9"/>
      <c r="F531" s="9"/>
      <c r="G531" s="201">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2"/>
      <c r="BE531" s="102"/>
      <c r="BF531" s="102"/>
      <c r="BG531" s="102"/>
      <c r="BH531" s="102"/>
      <c r="BI531" s="102"/>
      <c r="BJ531" s="102"/>
      <c r="BK531" s="12"/>
      <c r="BL531" s="12"/>
    </row>
    <row r="532" spans="1:64" collapsed="1">
      <c r="A532" s="9"/>
      <c r="B532" s="9"/>
      <c r="C532" s="46"/>
      <c r="D532" s="132"/>
      <c r="E532" s="9"/>
      <c r="F532" s="9"/>
      <c r="G532" s="206"/>
      <c r="H532" s="113"/>
      <c r="I532" s="113"/>
      <c r="J532" s="113"/>
      <c r="K532" s="113"/>
      <c r="L532" s="113"/>
      <c r="M532" s="113"/>
      <c r="N532" s="29"/>
      <c r="O532" s="29"/>
      <c r="P532" s="29"/>
      <c r="Q532" s="29"/>
      <c r="R532" s="29"/>
      <c r="S532" s="102"/>
      <c r="T532" s="102"/>
      <c r="U532" s="102"/>
      <c r="V532" s="102"/>
      <c r="W532" s="102"/>
      <c r="X532" s="102"/>
      <c r="Y532" s="102"/>
      <c r="Z532" s="102"/>
      <c r="AA532" s="102"/>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2"/>
      <c r="BE532" s="102"/>
      <c r="BF532" s="102"/>
      <c r="BG532" s="102"/>
      <c r="BH532" s="102"/>
      <c r="BI532" s="102"/>
      <c r="BJ532" s="102"/>
      <c r="BK532" s="12"/>
      <c r="BL532" s="12"/>
    </row>
    <row r="533" spans="1:64">
      <c r="A533" s="9"/>
      <c r="B533" s="9"/>
      <c r="C533" s="46" t="s">
        <v>53</v>
      </c>
      <c r="D533" s="116"/>
      <c r="E533" s="9"/>
      <c r="F533" s="9"/>
      <c r="G533" s="205">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2"/>
      <c r="BE533" s="102"/>
      <c r="BF533" s="102"/>
      <c r="BG533" s="102"/>
      <c r="BH533" s="102"/>
      <c r="BI533" s="102"/>
      <c r="BJ533" s="102"/>
      <c r="BK533" s="12"/>
      <c r="BL533" s="12"/>
    </row>
    <row r="534" spans="1:64" hidden="1" outlineLevel="1">
      <c r="A534" s="9"/>
      <c r="B534" s="9"/>
      <c r="C534" s="9"/>
      <c r="D534" s="132" t="str">
        <f>Asset1</f>
        <v>Opening Distribution Assets</v>
      </c>
      <c r="E534" s="9"/>
      <c r="F534" s="9"/>
      <c r="G534" s="201">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2"/>
      <c r="BE534" s="102"/>
      <c r="BF534" s="102"/>
      <c r="BG534" s="102"/>
      <c r="BH534" s="102"/>
      <c r="BI534" s="102"/>
      <c r="BJ534" s="102"/>
      <c r="BK534" s="12"/>
      <c r="BL534" s="12"/>
    </row>
    <row r="535" spans="1:64" hidden="1" outlineLevel="1">
      <c r="A535" s="9"/>
      <c r="B535" s="9"/>
      <c r="C535" s="46"/>
      <c r="D535" s="132" t="str">
        <f>Asset2</f>
        <v>Sub-transmission Overhead</v>
      </c>
      <c r="E535" s="9"/>
      <c r="F535" s="9"/>
      <c r="G535" s="201">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2"/>
      <c r="BE535" s="102"/>
      <c r="BF535" s="102"/>
      <c r="BG535" s="102"/>
      <c r="BH535" s="102"/>
      <c r="BI535" s="102"/>
      <c r="BJ535" s="102"/>
      <c r="BK535" s="12"/>
      <c r="BL535" s="12"/>
    </row>
    <row r="536" spans="1:64" hidden="1" outlineLevel="1">
      <c r="A536" s="9"/>
      <c r="B536" s="9"/>
      <c r="C536" s="46"/>
      <c r="D536" s="132" t="str">
        <f>Asset3</f>
        <v>Sub-transmission Underground</v>
      </c>
      <c r="E536" s="9"/>
      <c r="F536" s="9"/>
      <c r="G536" s="201">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2"/>
      <c r="BE536" s="102"/>
      <c r="BF536" s="102"/>
      <c r="BG536" s="102"/>
      <c r="BH536" s="102"/>
      <c r="BI536" s="102"/>
      <c r="BJ536" s="102"/>
      <c r="BK536" s="12"/>
      <c r="BL536" s="12"/>
    </row>
    <row r="537" spans="1:64" hidden="1" outlineLevel="1">
      <c r="A537" s="9"/>
      <c r="B537" s="9"/>
      <c r="C537" s="46"/>
      <c r="D537" s="132" t="str">
        <f>Asset4</f>
        <v>Zone Substation</v>
      </c>
      <c r="E537" s="9"/>
      <c r="F537" s="9"/>
      <c r="G537" s="201">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2"/>
      <c r="BE537" s="102"/>
      <c r="BF537" s="102"/>
      <c r="BG537" s="102"/>
      <c r="BH537" s="102"/>
      <c r="BI537" s="102"/>
      <c r="BJ537" s="102"/>
      <c r="BK537" s="12"/>
      <c r="BL537" s="12"/>
    </row>
    <row r="538" spans="1:64" hidden="1" outlineLevel="1">
      <c r="A538" s="9"/>
      <c r="B538" s="9"/>
      <c r="C538" s="46"/>
      <c r="D538" s="132" t="str">
        <f>Asset5</f>
        <v>Distribution Substations</v>
      </c>
      <c r="E538" s="9"/>
      <c r="F538" s="9"/>
      <c r="G538" s="201">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2"/>
      <c r="BE538" s="102"/>
      <c r="BF538" s="102"/>
      <c r="BG538" s="102"/>
      <c r="BH538" s="102"/>
      <c r="BI538" s="102"/>
      <c r="BJ538" s="102"/>
      <c r="BK538" s="12"/>
      <c r="BL538" s="12"/>
    </row>
    <row r="539" spans="1:64" hidden="1" outlineLevel="1">
      <c r="A539" s="9"/>
      <c r="B539" s="9"/>
      <c r="C539" s="46"/>
      <c r="D539" s="132" t="str">
        <f>Asset6</f>
        <v>Distribution Overhead Lines</v>
      </c>
      <c r="E539" s="9"/>
      <c r="F539" s="9"/>
      <c r="G539" s="201">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2"/>
      <c r="BE539" s="102"/>
      <c r="BF539" s="102"/>
      <c r="BG539" s="102"/>
      <c r="BH539" s="102"/>
      <c r="BI539" s="102"/>
      <c r="BJ539" s="102"/>
      <c r="BK539" s="12"/>
      <c r="BL539" s="12"/>
    </row>
    <row r="540" spans="1:64" hidden="1" outlineLevel="1">
      <c r="A540" s="9"/>
      <c r="B540" s="9"/>
      <c r="C540" s="46"/>
      <c r="D540" s="132" t="str">
        <f>Asset7</f>
        <v>Distribution Underground Lines</v>
      </c>
      <c r="E540" s="9"/>
      <c r="F540" s="9"/>
      <c r="G540" s="201">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2"/>
      <c r="BE540" s="102"/>
      <c r="BF540" s="102"/>
      <c r="BG540" s="102"/>
      <c r="BH540" s="102"/>
      <c r="BI540" s="102"/>
      <c r="BJ540" s="102"/>
      <c r="BK540" s="12"/>
      <c r="BL540" s="12"/>
    </row>
    <row r="541" spans="1:64" hidden="1" outlineLevel="1">
      <c r="A541" s="9"/>
      <c r="B541" s="9"/>
      <c r="C541" s="46"/>
      <c r="D541" s="132" t="str">
        <f>Asset8</f>
        <v>IT &amp; Communication Systems (Networks)</v>
      </c>
      <c r="E541" s="9"/>
      <c r="F541" s="9"/>
      <c r="G541" s="201">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2"/>
      <c r="BE541" s="102"/>
      <c r="BF541" s="102"/>
      <c r="BG541" s="102"/>
      <c r="BH541" s="102"/>
      <c r="BI541" s="102"/>
      <c r="BJ541" s="102"/>
      <c r="BK541" s="12"/>
      <c r="BL541" s="12"/>
    </row>
    <row r="542" spans="1:64" hidden="1" outlineLevel="1">
      <c r="A542" s="9"/>
      <c r="B542" s="9"/>
      <c r="C542" s="46"/>
      <c r="D542" s="132" t="str">
        <f>Asset9</f>
        <v>Motor Vehicles</v>
      </c>
      <c r="E542" s="9"/>
      <c r="F542" s="9"/>
      <c r="G542" s="201">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2"/>
      <c r="BE542" s="102"/>
      <c r="BF542" s="102"/>
      <c r="BG542" s="102"/>
      <c r="BH542" s="102"/>
      <c r="BI542" s="102"/>
      <c r="BJ542" s="102"/>
      <c r="BK542" s="12"/>
      <c r="BL542" s="12"/>
    </row>
    <row r="543" spans="1:64" hidden="1" outlineLevel="1">
      <c r="A543" s="9"/>
      <c r="B543" s="9"/>
      <c r="C543" s="46"/>
      <c r="D543" s="132" t="str">
        <f>Asset10</f>
        <v>Other Non-System Assets (Networks)</v>
      </c>
      <c r="E543" s="9"/>
      <c r="F543" s="9"/>
      <c r="G543" s="201">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2"/>
      <c r="BE543" s="102"/>
      <c r="BF543" s="102"/>
      <c r="BG543" s="102"/>
      <c r="BH543" s="102"/>
      <c r="BI543" s="102"/>
      <c r="BJ543" s="102"/>
      <c r="BK543" s="12"/>
      <c r="BL543" s="12"/>
    </row>
    <row r="544" spans="1:64" hidden="1" outlineLevel="1">
      <c r="A544" s="9"/>
      <c r="B544" s="9"/>
      <c r="C544" s="46"/>
      <c r="D544" s="132" t="str">
        <f>Asset11</f>
        <v>IT Systems (Corporate)</v>
      </c>
      <c r="E544" s="9"/>
      <c r="F544" s="9"/>
      <c r="G544" s="201">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2"/>
      <c r="BE544" s="102"/>
      <c r="BF544" s="102"/>
      <c r="BG544" s="102"/>
      <c r="BH544" s="102"/>
      <c r="BI544" s="102"/>
      <c r="BJ544" s="102"/>
      <c r="BK544" s="12"/>
      <c r="BL544" s="12"/>
    </row>
    <row r="545" spans="1:64" hidden="1" outlineLevel="1">
      <c r="A545" s="9"/>
      <c r="B545" s="9"/>
      <c r="C545" s="46"/>
      <c r="D545" s="132" t="str">
        <f>Asset12</f>
        <v>Telecommunications (Corporate)</v>
      </c>
      <c r="E545" s="9"/>
      <c r="F545" s="9"/>
      <c r="G545" s="201">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2"/>
      <c r="BE545" s="102"/>
      <c r="BF545" s="102"/>
      <c r="BG545" s="102"/>
      <c r="BH545" s="102"/>
      <c r="BI545" s="102"/>
      <c r="BJ545" s="102"/>
      <c r="BK545" s="12"/>
      <c r="BL545" s="12"/>
    </row>
    <row r="546" spans="1:64" hidden="1" outlineLevel="1">
      <c r="A546" s="9"/>
      <c r="B546" s="9"/>
      <c r="C546" s="46"/>
      <c r="D546" s="132" t="str">
        <f>Asset13</f>
        <v>Other Non-System Assets (Corporate)</v>
      </c>
      <c r="E546" s="9"/>
      <c r="F546" s="9"/>
      <c r="G546" s="201">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2"/>
      <c r="BE546" s="102"/>
      <c r="BF546" s="102"/>
      <c r="BG546" s="102"/>
      <c r="BH546" s="102"/>
      <c r="BI546" s="102"/>
      <c r="BJ546" s="102"/>
      <c r="BK546" s="12"/>
      <c r="BL546" s="12"/>
    </row>
    <row r="547" spans="1:64" hidden="1" outlineLevel="1">
      <c r="A547" s="9"/>
      <c r="B547" s="9"/>
      <c r="C547" s="46"/>
      <c r="D547" s="132" t="str">
        <f>Asset14</f>
        <v>Land</v>
      </c>
      <c r="E547" s="9"/>
      <c r="F547" s="9"/>
      <c r="G547" s="201">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2"/>
      <c r="BE547" s="102"/>
      <c r="BF547" s="102"/>
      <c r="BG547" s="102"/>
      <c r="BH547" s="102"/>
      <c r="BI547" s="102"/>
      <c r="BJ547" s="102"/>
      <c r="BK547" s="12"/>
      <c r="BL547" s="12"/>
    </row>
    <row r="548" spans="1:64" hidden="1" outlineLevel="1">
      <c r="A548" s="9"/>
      <c r="B548" s="9"/>
      <c r="C548" s="46"/>
      <c r="D548" s="132" t="str">
        <f>Asset15</f>
        <v>Buildings</v>
      </c>
      <c r="E548" s="9"/>
      <c r="F548" s="9"/>
      <c r="G548" s="201">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2"/>
      <c r="BE548" s="102"/>
      <c r="BF548" s="102"/>
      <c r="BG548" s="102"/>
      <c r="BH548" s="102"/>
      <c r="BI548" s="102"/>
      <c r="BJ548" s="102"/>
      <c r="BK548" s="12"/>
      <c r="BL548" s="12"/>
    </row>
    <row r="549" spans="1:64" hidden="1" outlineLevel="1">
      <c r="A549" s="9"/>
      <c r="B549" s="9"/>
      <c r="C549" s="46"/>
      <c r="D549" s="132" t="str">
        <f>Asset16</f>
        <v>Equity raising costs</v>
      </c>
      <c r="E549" s="9"/>
      <c r="F549" s="9"/>
      <c r="G549" s="201">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2"/>
      <c r="BE549" s="102"/>
      <c r="BF549" s="102"/>
      <c r="BG549" s="102"/>
      <c r="BH549" s="102"/>
      <c r="BI549" s="102"/>
      <c r="BJ549" s="102"/>
      <c r="BK549" s="12"/>
      <c r="BL549" s="12"/>
    </row>
    <row r="550" spans="1:64" hidden="1" outlineLevel="1">
      <c r="A550" s="9"/>
      <c r="B550" s="9"/>
      <c r="C550" s="46"/>
      <c r="D550" s="132">
        <f>Asset17</f>
        <v>0</v>
      </c>
      <c r="E550" s="9"/>
      <c r="F550" s="9"/>
      <c r="G550" s="201">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2"/>
      <c r="BE550" s="102"/>
      <c r="BF550" s="102"/>
      <c r="BG550" s="102"/>
      <c r="BH550" s="102"/>
      <c r="BI550" s="102"/>
      <c r="BJ550" s="102"/>
      <c r="BK550" s="12"/>
      <c r="BL550" s="12"/>
    </row>
    <row r="551" spans="1:64" hidden="1" outlineLevel="1">
      <c r="A551" s="9"/>
      <c r="B551" s="9"/>
      <c r="C551" s="46"/>
      <c r="D551" s="132">
        <f>Asset18</f>
        <v>0</v>
      </c>
      <c r="E551" s="9"/>
      <c r="F551" s="9"/>
      <c r="G551" s="201">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2"/>
      <c r="BE551" s="102"/>
      <c r="BF551" s="102"/>
      <c r="BG551" s="102"/>
      <c r="BH551" s="102"/>
      <c r="BI551" s="102"/>
      <c r="BJ551" s="102"/>
      <c r="BK551" s="12"/>
      <c r="BL551" s="12"/>
    </row>
    <row r="552" spans="1:64" hidden="1" outlineLevel="1">
      <c r="A552" s="9"/>
      <c r="B552" s="9"/>
      <c r="C552" s="46"/>
      <c r="D552" s="132">
        <f>Asset19</f>
        <v>0</v>
      </c>
      <c r="E552" s="9"/>
      <c r="F552" s="9"/>
      <c r="G552" s="201">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2"/>
      <c r="BE552" s="102"/>
      <c r="BF552" s="102"/>
      <c r="BG552" s="102"/>
      <c r="BH552" s="102"/>
      <c r="BI552" s="102"/>
      <c r="BJ552" s="102"/>
      <c r="BK552" s="12"/>
      <c r="BL552" s="12"/>
    </row>
    <row r="553" spans="1:64" hidden="1" outlineLevel="1">
      <c r="A553" s="9"/>
      <c r="B553" s="9"/>
      <c r="C553" s="46"/>
      <c r="D553" s="132">
        <f>Asset20</f>
        <v>0</v>
      </c>
      <c r="E553" s="9"/>
      <c r="F553" s="9"/>
      <c r="G553" s="201">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2"/>
      <c r="BE553" s="102"/>
      <c r="BF553" s="102"/>
      <c r="BG553" s="102"/>
      <c r="BH553" s="102"/>
      <c r="BI553" s="102"/>
      <c r="BJ553" s="102"/>
      <c r="BK553" s="12"/>
      <c r="BL553" s="12"/>
    </row>
    <row r="554" spans="1:64" hidden="1" outlineLevel="1">
      <c r="A554" s="9"/>
      <c r="B554" s="9"/>
      <c r="C554" s="46"/>
      <c r="D554" s="132">
        <f>Asset21</f>
        <v>0</v>
      </c>
      <c r="E554" s="9"/>
      <c r="F554" s="9"/>
      <c r="G554" s="201">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2"/>
      <c r="BE554" s="102"/>
      <c r="BF554" s="102"/>
      <c r="BG554" s="102"/>
      <c r="BH554" s="102"/>
      <c r="BI554" s="102"/>
      <c r="BJ554" s="102"/>
      <c r="BK554" s="12"/>
      <c r="BL554" s="12"/>
    </row>
    <row r="555" spans="1:64" hidden="1" outlineLevel="1">
      <c r="A555" s="9"/>
      <c r="B555" s="9"/>
      <c r="C555" s="46"/>
      <c r="D555" s="132">
        <f>Asset22</f>
        <v>0</v>
      </c>
      <c r="E555" s="9"/>
      <c r="F555" s="9"/>
      <c r="G555" s="201">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2"/>
      <c r="BE555" s="102"/>
      <c r="BF555" s="102"/>
      <c r="BG555" s="102"/>
      <c r="BH555" s="102"/>
      <c r="BI555" s="102"/>
      <c r="BJ555" s="102"/>
      <c r="BK555" s="12"/>
      <c r="BL555" s="12"/>
    </row>
    <row r="556" spans="1:64" hidden="1" outlineLevel="1">
      <c r="A556" s="9"/>
      <c r="B556" s="9"/>
      <c r="C556" s="46"/>
      <c r="D556" s="132">
        <f>Asset23</f>
        <v>0</v>
      </c>
      <c r="E556" s="9"/>
      <c r="F556" s="9"/>
      <c r="G556" s="201">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2"/>
      <c r="BE556" s="102"/>
      <c r="BF556" s="102"/>
      <c r="BG556" s="102"/>
      <c r="BH556" s="102"/>
      <c r="BI556" s="102"/>
      <c r="BJ556" s="102"/>
      <c r="BK556" s="12"/>
      <c r="BL556" s="12"/>
    </row>
    <row r="557" spans="1:64" hidden="1" outlineLevel="1">
      <c r="A557" s="9"/>
      <c r="B557" s="9"/>
      <c r="C557" s="46"/>
      <c r="D557" s="132">
        <f>Asset24</f>
        <v>0</v>
      </c>
      <c r="E557" s="9"/>
      <c r="F557" s="9"/>
      <c r="G557" s="201">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2"/>
      <c r="BE557" s="102"/>
      <c r="BF557" s="102"/>
      <c r="BG557" s="102"/>
      <c r="BH557" s="102"/>
      <c r="BI557" s="102"/>
      <c r="BJ557" s="102"/>
      <c r="BK557" s="12"/>
      <c r="BL557" s="12"/>
    </row>
    <row r="558" spans="1:64" hidden="1" outlineLevel="1">
      <c r="A558" s="9"/>
      <c r="B558" s="9"/>
      <c r="C558" s="46"/>
      <c r="D558" s="132">
        <f>Asset25</f>
        <v>0</v>
      </c>
      <c r="E558" s="9"/>
      <c r="F558" s="9"/>
      <c r="G558" s="201">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2"/>
      <c r="BE558" s="102"/>
      <c r="BF558" s="102"/>
      <c r="BG558" s="102"/>
      <c r="BH558" s="102"/>
      <c r="BI558" s="102"/>
      <c r="BJ558" s="102"/>
      <c r="BK558" s="12"/>
      <c r="BL558" s="12"/>
    </row>
    <row r="559" spans="1:64" hidden="1" outlineLevel="1">
      <c r="A559" s="9"/>
      <c r="B559" s="9"/>
      <c r="C559" s="46"/>
      <c r="D559" s="132">
        <f>Asset26</f>
        <v>0</v>
      </c>
      <c r="E559" s="9"/>
      <c r="F559" s="9"/>
      <c r="G559" s="201">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2"/>
      <c r="BE559" s="102"/>
      <c r="BF559" s="102"/>
      <c r="BG559" s="102"/>
      <c r="BH559" s="102"/>
      <c r="BI559" s="102"/>
      <c r="BJ559" s="102"/>
      <c r="BK559" s="12"/>
      <c r="BL559" s="12"/>
    </row>
    <row r="560" spans="1:64" hidden="1" outlineLevel="1">
      <c r="A560" s="9"/>
      <c r="B560" s="9"/>
      <c r="C560" s="46"/>
      <c r="D560" s="132">
        <f>Asset27</f>
        <v>0</v>
      </c>
      <c r="E560" s="9"/>
      <c r="F560" s="9"/>
      <c r="G560" s="201">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2"/>
      <c r="BE560" s="102"/>
      <c r="BF560" s="102"/>
      <c r="BG560" s="102"/>
      <c r="BH560" s="102"/>
      <c r="BI560" s="102"/>
      <c r="BJ560" s="102"/>
      <c r="BK560" s="12"/>
      <c r="BL560" s="12"/>
    </row>
    <row r="561" spans="1:64" hidden="1" outlineLevel="1">
      <c r="A561" s="9"/>
      <c r="B561" s="9"/>
      <c r="C561" s="46"/>
      <c r="D561" s="132">
        <f>Asset28</f>
        <v>0</v>
      </c>
      <c r="E561" s="9"/>
      <c r="F561" s="9"/>
      <c r="G561" s="201">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2"/>
      <c r="BE561" s="102"/>
      <c r="BF561" s="102"/>
      <c r="BG561" s="102"/>
      <c r="BH561" s="102"/>
      <c r="BI561" s="102"/>
      <c r="BJ561" s="102"/>
      <c r="BK561" s="12"/>
      <c r="BL561" s="12"/>
    </row>
    <row r="562" spans="1:64" hidden="1" outlineLevel="1">
      <c r="A562" s="9"/>
      <c r="B562" s="9"/>
      <c r="C562" s="46"/>
      <c r="D562" s="132">
        <f>Asset29</f>
        <v>0</v>
      </c>
      <c r="E562" s="9"/>
      <c r="F562" s="9"/>
      <c r="G562" s="201">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2"/>
      <c r="BE562" s="102"/>
      <c r="BF562" s="102"/>
      <c r="BG562" s="102"/>
      <c r="BH562" s="102"/>
      <c r="BI562" s="102"/>
      <c r="BJ562" s="102"/>
      <c r="BK562" s="12"/>
      <c r="BL562" s="12"/>
    </row>
    <row r="563" spans="1:64" hidden="1" outlineLevel="1">
      <c r="A563" s="9"/>
      <c r="B563" s="9"/>
      <c r="C563" s="46"/>
      <c r="D563" s="132">
        <f>Asset30</f>
        <v>0</v>
      </c>
      <c r="E563" s="9"/>
      <c r="F563" s="9"/>
      <c r="G563" s="201">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2"/>
      <c r="BE563" s="102"/>
      <c r="BF563" s="102"/>
      <c r="BG563" s="102"/>
      <c r="BH563" s="102"/>
      <c r="BI563" s="102"/>
      <c r="BJ563" s="102"/>
      <c r="BK563" s="12"/>
      <c r="BL563" s="12"/>
    </row>
    <row r="564" spans="1:64" collapsed="1">
      <c r="A564" s="9"/>
      <c r="B564" s="9"/>
      <c r="C564" s="46"/>
      <c r="D564" s="116"/>
      <c r="E564" s="9"/>
      <c r="F564" s="9"/>
      <c r="G564" s="206"/>
      <c r="H564" s="37"/>
      <c r="I564" s="37"/>
      <c r="J564" s="37"/>
      <c r="K564" s="37"/>
      <c r="L564" s="37"/>
      <c r="M564" s="37"/>
      <c r="N564" s="29"/>
      <c r="O564" s="29"/>
      <c r="P564" s="29"/>
      <c r="Q564" s="29"/>
      <c r="R564" s="29"/>
      <c r="S564" s="102"/>
      <c r="T564" s="102"/>
      <c r="U564" s="102"/>
      <c r="V564" s="102"/>
      <c r="W564" s="102"/>
      <c r="X564" s="102"/>
      <c r="Y564" s="102"/>
      <c r="Z564" s="102"/>
      <c r="AA564" s="102"/>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2"/>
      <c r="BE564" s="102"/>
      <c r="BF564" s="102"/>
      <c r="BG564" s="102"/>
      <c r="BH564" s="102"/>
      <c r="BI564" s="102"/>
      <c r="BJ564" s="102"/>
      <c r="BK564" s="12"/>
      <c r="BL564" s="12"/>
    </row>
    <row r="565" spans="1:64">
      <c r="A565" s="9"/>
      <c r="B565" s="9"/>
      <c r="C565" s="46" t="s">
        <v>65</v>
      </c>
      <c r="D565" s="116"/>
      <c r="E565" s="9"/>
      <c r="F565" s="9"/>
      <c r="G565" s="205">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2"/>
      <c r="BE565" s="102"/>
      <c r="BF565" s="102"/>
      <c r="BG565" s="102"/>
      <c r="BH565" s="102"/>
      <c r="BI565" s="102"/>
      <c r="BJ565" s="102"/>
      <c r="BK565" s="12"/>
      <c r="BL565" s="12"/>
    </row>
    <row r="566" spans="1:64" hidden="1" outlineLevel="1">
      <c r="A566" s="9"/>
      <c r="B566" s="9"/>
      <c r="C566" s="9"/>
      <c r="D566" s="132" t="str">
        <f>Asset1</f>
        <v>Opening Distribution Assets</v>
      </c>
      <c r="E566" s="9"/>
      <c r="F566" s="9"/>
      <c r="G566" s="201">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2"/>
      <c r="BE566" s="102"/>
      <c r="BF566" s="102"/>
      <c r="BG566" s="102"/>
      <c r="BH566" s="102"/>
      <c r="BI566" s="102"/>
      <c r="BJ566" s="102"/>
      <c r="BK566" s="12"/>
      <c r="BL566" s="12"/>
    </row>
    <row r="567" spans="1:64" hidden="1" outlineLevel="1">
      <c r="A567" s="9"/>
      <c r="B567" s="9"/>
      <c r="C567" s="46"/>
      <c r="D567" s="132" t="str">
        <f>Asset2</f>
        <v>Sub-transmission Overhead</v>
      </c>
      <c r="E567" s="9"/>
      <c r="F567" s="9"/>
      <c r="G567" s="201">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2"/>
      <c r="BE567" s="102"/>
      <c r="BF567" s="102"/>
      <c r="BG567" s="102"/>
      <c r="BH567" s="102"/>
      <c r="BI567" s="102"/>
      <c r="BJ567" s="102"/>
      <c r="BK567" s="12"/>
      <c r="BL567" s="12"/>
    </row>
    <row r="568" spans="1:64" hidden="1" outlineLevel="1">
      <c r="A568" s="9"/>
      <c r="B568" s="9"/>
      <c r="C568" s="46"/>
      <c r="D568" s="132" t="str">
        <f>Asset3</f>
        <v>Sub-transmission Underground</v>
      </c>
      <c r="E568" s="9"/>
      <c r="F568" s="9"/>
      <c r="G568" s="201">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2"/>
      <c r="BE568" s="102"/>
      <c r="BF568" s="102"/>
      <c r="BG568" s="102"/>
      <c r="BH568" s="102"/>
      <c r="BI568" s="102"/>
      <c r="BJ568" s="102"/>
      <c r="BK568" s="12"/>
      <c r="BL568" s="12"/>
    </row>
    <row r="569" spans="1:64" hidden="1" outlineLevel="1">
      <c r="A569" s="9"/>
      <c r="B569" s="9"/>
      <c r="C569" s="46"/>
      <c r="D569" s="132" t="str">
        <f>Asset4</f>
        <v>Zone Substation</v>
      </c>
      <c r="E569" s="9"/>
      <c r="F569" s="9"/>
      <c r="G569" s="201">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2"/>
      <c r="BE569" s="102"/>
      <c r="BF569" s="102"/>
      <c r="BG569" s="102"/>
      <c r="BH569" s="102"/>
      <c r="BI569" s="102"/>
      <c r="BJ569" s="102"/>
      <c r="BK569" s="12"/>
      <c r="BL569" s="12"/>
    </row>
    <row r="570" spans="1:64" hidden="1" outlineLevel="1">
      <c r="A570" s="9"/>
      <c r="B570" s="9"/>
      <c r="C570" s="46"/>
      <c r="D570" s="132" t="str">
        <f>Asset5</f>
        <v>Distribution Substations</v>
      </c>
      <c r="E570" s="9"/>
      <c r="F570" s="9"/>
      <c r="G570" s="201">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2"/>
      <c r="BE570" s="102"/>
      <c r="BF570" s="102"/>
      <c r="BG570" s="102"/>
      <c r="BH570" s="102"/>
      <c r="BI570" s="102"/>
      <c r="BJ570" s="102"/>
      <c r="BK570" s="12"/>
      <c r="BL570" s="12"/>
    </row>
    <row r="571" spans="1:64" hidden="1" outlineLevel="1">
      <c r="A571" s="9"/>
      <c r="B571" s="9"/>
      <c r="C571" s="46"/>
      <c r="D571" s="132" t="str">
        <f>Asset6</f>
        <v>Distribution Overhead Lines</v>
      </c>
      <c r="E571" s="9"/>
      <c r="F571" s="9"/>
      <c r="G571" s="201">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2"/>
      <c r="BE571" s="102"/>
      <c r="BF571" s="102"/>
      <c r="BG571" s="102"/>
      <c r="BH571" s="102"/>
      <c r="BI571" s="102"/>
      <c r="BJ571" s="102"/>
      <c r="BK571" s="12"/>
      <c r="BL571" s="12"/>
    </row>
    <row r="572" spans="1:64" hidden="1" outlineLevel="1">
      <c r="A572" s="9"/>
      <c r="B572" s="9"/>
      <c r="C572" s="46"/>
      <c r="D572" s="132" t="str">
        <f>Asset7</f>
        <v>Distribution Underground Lines</v>
      </c>
      <c r="E572" s="9"/>
      <c r="F572" s="9"/>
      <c r="G572" s="201">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2"/>
      <c r="BE572" s="102"/>
      <c r="BF572" s="102"/>
      <c r="BG572" s="102"/>
      <c r="BH572" s="102"/>
      <c r="BI572" s="102"/>
      <c r="BJ572" s="102"/>
      <c r="BK572" s="12"/>
      <c r="BL572" s="12"/>
    </row>
    <row r="573" spans="1:64" hidden="1" outlineLevel="1">
      <c r="A573" s="9"/>
      <c r="B573" s="9"/>
      <c r="C573" s="46"/>
      <c r="D573" s="132" t="str">
        <f>Asset8</f>
        <v>IT &amp; Communication Systems (Networks)</v>
      </c>
      <c r="E573" s="9"/>
      <c r="F573" s="9"/>
      <c r="G573" s="201">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2"/>
      <c r="BE573" s="102"/>
      <c r="BF573" s="102"/>
      <c r="BG573" s="102"/>
      <c r="BH573" s="102"/>
      <c r="BI573" s="102"/>
      <c r="BJ573" s="102"/>
      <c r="BK573" s="12"/>
      <c r="BL573" s="12"/>
    </row>
    <row r="574" spans="1:64" hidden="1" outlineLevel="1">
      <c r="A574" s="9"/>
      <c r="B574" s="9"/>
      <c r="C574" s="46"/>
      <c r="D574" s="132" t="str">
        <f>Asset9</f>
        <v>Motor Vehicles</v>
      </c>
      <c r="E574" s="9"/>
      <c r="F574" s="9"/>
      <c r="G574" s="201">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2"/>
      <c r="BE574" s="102"/>
      <c r="BF574" s="102"/>
      <c r="BG574" s="102"/>
      <c r="BH574" s="102"/>
      <c r="BI574" s="102"/>
      <c r="BJ574" s="102"/>
      <c r="BK574" s="12"/>
      <c r="BL574" s="12"/>
    </row>
    <row r="575" spans="1:64" hidden="1" outlineLevel="1">
      <c r="A575" s="9"/>
      <c r="B575" s="9"/>
      <c r="C575" s="46"/>
      <c r="D575" s="132" t="str">
        <f>Asset10</f>
        <v>Other Non-System Assets (Networks)</v>
      </c>
      <c r="E575" s="9"/>
      <c r="F575" s="9"/>
      <c r="G575" s="201">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2"/>
      <c r="BE575" s="102"/>
      <c r="BF575" s="102"/>
      <c r="BG575" s="102"/>
      <c r="BH575" s="102"/>
      <c r="BI575" s="102"/>
      <c r="BJ575" s="102"/>
      <c r="BK575" s="12"/>
      <c r="BL575" s="12"/>
    </row>
    <row r="576" spans="1:64" hidden="1" outlineLevel="1">
      <c r="A576" s="9"/>
      <c r="B576" s="9"/>
      <c r="C576" s="46"/>
      <c r="D576" s="132" t="str">
        <f>Asset11</f>
        <v>IT Systems (Corporate)</v>
      </c>
      <c r="E576" s="9"/>
      <c r="F576" s="9"/>
      <c r="G576" s="201">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2"/>
      <c r="BE576" s="102"/>
      <c r="BF576" s="102"/>
      <c r="BG576" s="102"/>
      <c r="BH576" s="102"/>
      <c r="BI576" s="102"/>
      <c r="BJ576" s="102"/>
      <c r="BK576" s="12"/>
      <c r="BL576" s="12"/>
    </row>
    <row r="577" spans="1:64" hidden="1" outlineLevel="1">
      <c r="A577" s="9"/>
      <c r="B577" s="9"/>
      <c r="C577" s="46"/>
      <c r="D577" s="132" t="str">
        <f>Asset12</f>
        <v>Telecommunications (Corporate)</v>
      </c>
      <c r="E577" s="9"/>
      <c r="F577" s="9"/>
      <c r="G577" s="201">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2"/>
      <c r="BE577" s="102"/>
      <c r="BF577" s="102"/>
      <c r="BG577" s="102"/>
      <c r="BH577" s="102"/>
      <c r="BI577" s="102"/>
      <c r="BJ577" s="102"/>
      <c r="BK577" s="12"/>
      <c r="BL577" s="12"/>
    </row>
    <row r="578" spans="1:64" hidden="1" outlineLevel="1">
      <c r="A578" s="9"/>
      <c r="B578" s="9"/>
      <c r="C578" s="46"/>
      <c r="D578" s="132" t="str">
        <f>Asset13</f>
        <v>Other Non-System Assets (Corporate)</v>
      </c>
      <c r="E578" s="9"/>
      <c r="F578" s="9"/>
      <c r="G578" s="201">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2"/>
      <c r="BE578" s="102"/>
      <c r="BF578" s="102"/>
      <c r="BG578" s="102"/>
      <c r="BH578" s="102"/>
      <c r="BI578" s="102"/>
      <c r="BJ578" s="102"/>
      <c r="BK578" s="12"/>
      <c r="BL578" s="12"/>
    </row>
    <row r="579" spans="1:64" hidden="1" outlineLevel="1">
      <c r="A579" s="9"/>
      <c r="B579" s="9"/>
      <c r="C579" s="46"/>
      <c r="D579" s="132" t="str">
        <f>Asset14</f>
        <v>Land</v>
      </c>
      <c r="E579" s="9"/>
      <c r="F579" s="9"/>
      <c r="G579" s="201">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2"/>
      <c r="BE579" s="102"/>
      <c r="BF579" s="102"/>
      <c r="BG579" s="102"/>
      <c r="BH579" s="102"/>
      <c r="BI579" s="102"/>
      <c r="BJ579" s="102"/>
      <c r="BK579" s="12"/>
      <c r="BL579" s="12"/>
    </row>
    <row r="580" spans="1:64" hidden="1" outlineLevel="1">
      <c r="A580" s="9"/>
      <c r="B580" s="9"/>
      <c r="C580" s="46"/>
      <c r="D580" s="132" t="str">
        <f>Asset15</f>
        <v>Buildings</v>
      </c>
      <c r="E580" s="9"/>
      <c r="F580" s="9"/>
      <c r="G580" s="201">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2"/>
      <c r="BE580" s="102"/>
      <c r="BF580" s="102"/>
      <c r="BG580" s="102"/>
      <c r="BH580" s="102"/>
      <c r="BI580" s="102"/>
      <c r="BJ580" s="102"/>
      <c r="BK580" s="12"/>
      <c r="BL580" s="12"/>
    </row>
    <row r="581" spans="1:64" hidden="1" outlineLevel="1">
      <c r="A581" s="9"/>
      <c r="B581" s="9"/>
      <c r="C581" s="46"/>
      <c r="D581" s="132" t="str">
        <f>Asset16</f>
        <v>Equity raising costs</v>
      </c>
      <c r="E581" s="9"/>
      <c r="F581" s="9"/>
      <c r="G581" s="201">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2"/>
      <c r="BE581" s="102"/>
      <c r="BF581" s="102"/>
      <c r="BG581" s="102"/>
      <c r="BH581" s="102"/>
      <c r="BI581" s="102"/>
      <c r="BJ581" s="102"/>
      <c r="BK581" s="12"/>
      <c r="BL581" s="12"/>
    </row>
    <row r="582" spans="1:64" hidden="1" outlineLevel="1">
      <c r="A582" s="9"/>
      <c r="B582" s="9"/>
      <c r="C582" s="46"/>
      <c r="D582" s="132">
        <f>Asset17</f>
        <v>0</v>
      </c>
      <c r="E582" s="9"/>
      <c r="F582" s="9"/>
      <c r="G582" s="201">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2"/>
      <c r="BE582" s="102"/>
      <c r="BF582" s="102"/>
      <c r="BG582" s="102"/>
      <c r="BH582" s="102"/>
      <c r="BI582" s="102"/>
      <c r="BJ582" s="102"/>
      <c r="BK582" s="12"/>
      <c r="BL582" s="12"/>
    </row>
    <row r="583" spans="1:64" hidden="1" outlineLevel="1">
      <c r="A583" s="9"/>
      <c r="B583" s="9"/>
      <c r="C583" s="46"/>
      <c r="D583" s="132">
        <f>Asset18</f>
        <v>0</v>
      </c>
      <c r="E583" s="9"/>
      <c r="F583" s="9"/>
      <c r="G583" s="201">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2"/>
      <c r="BE583" s="102"/>
      <c r="BF583" s="102"/>
      <c r="BG583" s="102"/>
      <c r="BH583" s="102"/>
      <c r="BI583" s="102"/>
      <c r="BJ583" s="102"/>
      <c r="BK583" s="12"/>
      <c r="BL583" s="12"/>
    </row>
    <row r="584" spans="1:64" hidden="1" outlineLevel="1">
      <c r="A584" s="9"/>
      <c r="B584" s="9"/>
      <c r="C584" s="46"/>
      <c r="D584" s="132">
        <f>Asset19</f>
        <v>0</v>
      </c>
      <c r="E584" s="9"/>
      <c r="F584" s="9"/>
      <c r="G584" s="201">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2"/>
      <c r="BE584" s="102"/>
      <c r="BF584" s="102"/>
      <c r="BG584" s="102"/>
      <c r="BH584" s="102"/>
      <c r="BI584" s="102"/>
      <c r="BJ584" s="102"/>
      <c r="BK584" s="12"/>
      <c r="BL584" s="12"/>
    </row>
    <row r="585" spans="1:64" hidden="1" outlineLevel="1">
      <c r="A585" s="9"/>
      <c r="B585" s="9"/>
      <c r="C585" s="46"/>
      <c r="D585" s="132">
        <f>Asset20</f>
        <v>0</v>
      </c>
      <c r="E585" s="9"/>
      <c r="F585" s="9"/>
      <c r="G585" s="201">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2"/>
      <c r="BE585" s="102"/>
      <c r="BF585" s="102"/>
      <c r="BG585" s="102"/>
      <c r="BH585" s="102"/>
      <c r="BI585" s="102"/>
      <c r="BJ585" s="102"/>
      <c r="BK585" s="12"/>
      <c r="BL585" s="12"/>
    </row>
    <row r="586" spans="1:64" hidden="1" outlineLevel="1">
      <c r="A586" s="9"/>
      <c r="B586" s="9"/>
      <c r="C586" s="46"/>
      <c r="D586" s="132">
        <f>Asset21</f>
        <v>0</v>
      </c>
      <c r="E586" s="9"/>
      <c r="F586" s="9"/>
      <c r="G586" s="201">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2"/>
      <c r="BE586" s="102"/>
      <c r="BF586" s="102"/>
      <c r="BG586" s="102"/>
      <c r="BH586" s="102"/>
      <c r="BI586" s="102"/>
      <c r="BJ586" s="102"/>
      <c r="BK586" s="12"/>
      <c r="BL586" s="12"/>
    </row>
    <row r="587" spans="1:64" hidden="1" outlineLevel="1">
      <c r="A587" s="9"/>
      <c r="B587" s="9"/>
      <c r="C587" s="46"/>
      <c r="D587" s="132">
        <f>Asset22</f>
        <v>0</v>
      </c>
      <c r="E587" s="9"/>
      <c r="F587" s="9"/>
      <c r="G587" s="201">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2"/>
      <c r="BE587" s="102"/>
      <c r="BF587" s="102"/>
      <c r="BG587" s="102"/>
      <c r="BH587" s="102"/>
      <c r="BI587" s="102"/>
      <c r="BJ587" s="102"/>
      <c r="BK587" s="12"/>
      <c r="BL587" s="12"/>
    </row>
    <row r="588" spans="1:64" hidden="1" outlineLevel="1">
      <c r="A588" s="9"/>
      <c r="B588" s="9"/>
      <c r="C588" s="46"/>
      <c r="D588" s="132">
        <f>Asset23</f>
        <v>0</v>
      </c>
      <c r="E588" s="9"/>
      <c r="F588" s="9"/>
      <c r="G588" s="201">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2"/>
      <c r="BE588" s="102"/>
      <c r="BF588" s="102"/>
      <c r="BG588" s="102"/>
      <c r="BH588" s="102"/>
      <c r="BI588" s="102"/>
      <c r="BJ588" s="102"/>
      <c r="BK588" s="12"/>
      <c r="BL588" s="12"/>
    </row>
    <row r="589" spans="1:64" hidden="1" outlineLevel="1">
      <c r="A589" s="9"/>
      <c r="B589" s="9"/>
      <c r="C589" s="46"/>
      <c r="D589" s="132">
        <f>Asset24</f>
        <v>0</v>
      </c>
      <c r="E589" s="9"/>
      <c r="F589" s="9"/>
      <c r="G589" s="201">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2"/>
      <c r="BE589" s="102"/>
      <c r="BF589" s="102"/>
      <c r="BG589" s="102"/>
      <c r="BH589" s="102"/>
      <c r="BI589" s="102"/>
      <c r="BJ589" s="102"/>
      <c r="BK589" s="12"/>
      <c r="BL589" s="12"/>
    </row>
    <row r="590" spans="1:64" hidden="1" outlineLevel="1">
      <c r="A590" s="9"/>
      <c r="B590" s="9"/>
      <c r="C590" s="46"/>
      <c r="D590" s="132">
        <f>Asset25</f>
        <v>0</v>
      </c>
      <c r="E590" s="9"/>
      <c r="F590" s="9"/>
      <c r="G590" s="201">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2"/>
      <c r="BE590" s="102"/>
      <c r="BF590" s="102"/>
      <c r="BG590" s="102"/>
      <c r="BH590" s="102"/>
      <c r="BI590" s="102"/>
      <c r="BJ590" s="102"/>
      <c r="BK590" s="12"/>
      <c r="BL590" s="12"/>
    </row>
    <row r="591" spans="1:64" hidden="1" outlineLevel="1">
      <c r="A591" s="9"/>
      <c r="B591" s="9"/>
      <c r="C591" s="46"/>
      <c r="D591" s="132">
        <f>Asset26</f>
        <v>0</v>
      </c>
      <c r="E591" s="9"/>
      <c r="F591" s="9"/>
      <c r="G591" s="201">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2"/>
      <c r="BE591" s="102"/>
      <c r="BF591" s="102"/>
      <c r="BG591" s="102"/>
      <c r="BH591" s="102"/>
      <c r="BI591" s="102"/>
      <c r="BJ591" s="102"/>
      <c r="BK591" s="12"/>
      <c r="BL591" s="12"/>
    </row>
    <row r="592" spans="1:64" hidden="1" outlineLevel="1">
      <c r="A592" s="9"/>
      <c r="B592" s="9"/>
      <c r="C592" s="46"/>
      <c r="D592" s="132">
        <f>Asset27</f>
        <v>0</v>
      </c>
      <c r="E592" s="9"/>
      <c r="F592" s="9"/>
      <c r="G592" s="201">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2"/>
      <c r="BE592" s="102"/>
      <c r="BF592" s="102"/>
      <c r="BG592" s="102"/>
      <c r="BH592" s="102"/>
      <c r="BI592" s="102"/>
      <c r="BJ592" s="102"/>
      <c r="BK592" s="12"/>
      <c r="BL592" s="12"/>
    </row>
    <row r="593" spans="1:64" hidden="1" outlineLevel="1">
      <c r="A593" s="9"/>
      <c r="B593" s="9"/>
      <c r="C593" s="46"/>
      <c r="D593" s="132">
        <f>Asset28</f>
        <v>0</v>
      </c>
      <c r="E593" s="9"/>
      <c r="F593" s="9"/>
      <c r="G593" s="201">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2"/>
      <c r="BE593" s="102"/>
      <c r="BF593" s="102"/>
      <c r="BG593" s="102"/>
      <c r="BH593" s="102"/>
      <c r="BI593" s="102"/>
      <c r="BJ593" s="102"/>
      <c r="BK593" s="12"/>
      <c r="BL593" s="12"/>
    </row>
    <row r="594" spans="1:64" hidden="1" outlineLevel="1">
      <c r="A594" s="9"/>
      <c r="B594" s="9"/>
      <c r="C594" s="46"/>
      <c r="D594" s="132">
        <f>Asset29</f>
        <v>0</v>
      </c>
      <c r="E594" s="9"/>
      <c r="F594" s="9"/>
      <c r="G594" s="201">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2"/>
      <c r="BE594" s="102"/>
      <c r="BF594" s="102"/>
      <c r="BG594" s="102"/>
      <c r="BH594" s="102"/>
      <c r="BI594" s="102"/>
      <c r="BJ594" s="102"/>
      <c r="BK594" s="12"/>
      <c r="BL594" s="12"/>
    </row>
    <row r="595" spans="1:64" hidden="1" outlineLevel="1">
      <c r="A595" s="9"/>
      <c r="B595" s="9"/>
      <c r="C595" s="46"/>
      <c r="D595" s="132">
        <f>Asset30</f>
        <v>0</v>
      </c>
      <c r="E595" s="9"/>
      <c r="F595" s="9"/>
      <c r="G595" s="201">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2"/>
      <c r="BE595" s="102"/>
      <c r="BF595" s="102"/>
      <c r="BG595" s="102"/>
      <c r="BH595" s="102"/>
      <c r="BI595" s="102"/>
      <c r="BJ595" s="102"/>
      <c r="BK595" s="12"/>
      <c r="BL595" s="12"/>
    </row>
    <row r="596" spans="1:64" collapsed="1">
      <c r="A596" s="9"/>
      <c r="B596" s="9"/>
      <c r="C596" s="46"/>
      <c r="D596" s="116"/>
      <c r="E596" s="9"/>
      <c r="F596" s="9"/>
      <c r="G596" s="206"/>
      <c r="H596" s="37"/>
      <c r="I596" s="37"/>
      <c r="J596" s="37"/>
      <c r="K596" s="37"/>
      <c r="L596" s="37"/>
      <c r="M596" s="37"/>
      <c r="N596" s="29"/>
      <c r="O596" s="29"/>
      <c r="P596" s="29"/>
      <c r="Q596" s="29"/>
      <c r="R596" s="29"/>
      <c r="S596" s="102"/>
      <c r="T596" s="102"/>
      <c r="U596" s="102"/>
      <c r="V596" s="102"/>
      <c r="W596" s="102"/>
      <c r="X596" s="102"/>
      <c r="Y596" s="102"/>
      <c r="Z596" s="102"/>
      <c r="AA596" s="102"/>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2"/>
      <c r="BE596" s="102"/>
      <c r="BF596" s="102"/>
      <c r="BG596" s="102"/>
      <c r="BH596" s="102"/>
      <c r="BI596" s="102"/>
      <c r="BJ596" s="102"/>
      <c r="BK596" s="12"/>
      <c r="BL596" s="12"/>
    </row>
    <row r="597" spans="1:64">
      <c r="A597" s="9"/>
      <c r="B597" s="9"/>
      <c r="C597" s="46" t="s">
        <v>62</v>
      </c>
      <c r="D597" s="132"/>
      <c r="E597" s="9"/>
      <c r="F597" s="9"/>
      <c r="G597" s="205">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2"/>
      <c r="BE597" s="102"/>
      <c r="BF597" s="102"/>
      <c r="BG597" s="102"/>
      <c r="BH597" s="102"/>
      <c r="BI597" s="102"/>
      <c r="BJ597" s="102"/>
      <c r="BK597" s="12"/>
      <c r="BL597" s="12"/>
    </row>
    <row r="598" spans="1:64" hidden="1" outlineLevel="1">
      <c r="A598" s="9"/>
      <c r="B598" s="9"/>
      <c r="C598" s="46"/>
      <c r="D598" s="132" t="str">
        <f>Asset1</f>
        <v>Opening Distribution Assets</v>
      </c>
      <c r="E598" s="9"/>
      <c r="F598" s="9"/>
      <c r="G598" s="201">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2"/>
      <c r="BE598" s="102"/>
      <c r="BF598" s="102"/>
      <c r="BG598" s="102"/>
      <c r="BH598" s="102"/>
      <c r="BI598" s="102"/>
      <c r="BJ598" s="102"/>
      <c r="BK598" s="12"/>
      <c r="BL598" s="12"/>
    </row>
    <row r="599" spans="1:64" hidden="1" outlineLevel="1">
      <c r="A599" s="9"/>
      <c r="B599" s="9"/>
      <c r="C599" s="46"/>
      <c r="D599" s="132" t="str">
        <f>Asset2</f>
        <v>Sub-transmission Overhead</v>
      </c>
      <c r="E599" s="9"/>
      <c r="F599" s="9"/>
      <c r="G599" s="201">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2"/>
      <c r="BE599" s="102"/>
      <c r="BF599" s="102"/>
      <c r="BG599" s="102"/>
      <c r="BH599" s="102"/>
      <c r="BI599" s="102"/>
      <c r="BJ599" s="102"/>
      <c r="BK599" s="12"/>
      <c r="BL599" s="12"/>
    </row>
    <row r="600" spans="1:64" hidden="1" outlineLevel="1">
      <c r="A600" s="9"/>
      <c r="B600" s="9"/>
      <c r="C600" s="46"/>
      <c r="D600" s="132" t="str">
        <f>Asset3</f>
        <v>Sub-transmission Underground</v>
      </c>
      <c r="E600" s="9"/>
      <c r="F600" s="9"/>
      <c r="G600" s="201">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2"/>
      <c r="BE600" s="102"/>
      <c r="BF600" s="102"/>
      <c r="BG600" s="102"/>
      <c r="BH600" s="102"/>
      <c r="BI600" s="102"/>
      <c r="BJ600" s="102"/>
      <c r="BK600" s="12"/>
      <c r="BL600" s="12"/>
    </row>
    <row r="601" spans="1:64" hidden="1" outlineLevel="1">
      <c r="A601" s="9"/>
      <c r="B601" s="9"/>
      <c r="C601" s="46"/>
      <c r="D601" s="132" t="str">
        <f>Asset4</f>
        <v>Zone Substation</v>
      </c>
      <c r="E601" s="9"/>
      <c r="F601" s="9"/>
      <c r="G601" s="201">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2"/>
      <c r="BE601" s="102"/>
      <c r="BF601" s="102"/>
      <c r="BG601" s="102"/>
      <c r="BH601" s="102"/>
      <c r="BI601" s="102"/>
      <c r="BJ601" s="102"/>
      <c r="BK601" s="12"/>
      <c r="BL601" s="12"/>
    </row>
    <row r="602" spans="1:64" hidden="1" outlineLevel="1">
      <c r="A602" s="9"/>
      <c r="B602" s="9"/>
      <c r="C602" s="46"/>
      <c r="D602" s="132" t="str">
        <f>Asset5</f>
        <v>Distribution Substations</v>
      </c>
      <c r="E602" s="9"/>
      <c r="F602" s="9"/>
      <c r="G602" s="201">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2"/>
      <c r="BE602" s="102"/>
      <c r="BF602" s="102"/>
      <c r="BG602" s="102"/>
      <c r="BH602" s="102"/>
      <c r="BI602" s="102"/>
      <c r="BJ602" s="102"/>
      <c r="BK602" s="12"/>
      <c r="BL602" s="12"/>
    </row>
    <row r="603" spans="1:64" hidden="1" outlineLevel="1">
      <c r="A603" s="9"/>
      <c r="B603" s="9"/>
      <c r="C603" s="46"/>
      <c r="D603" s="132" t="str">
        <f>Asset6</f>
        <v>Distribution Overhead Lines</v>
      </c>
      <c r="E603" s="9"/>
      <c r="F603" s="9"/>
      <c r="G603" s="201">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2"/>
      <c r="BE603" s="102"/>
      <c r="BF603" s="102"/>
      <c r="BG603" s="102"/>
      <c r="BH603" s="102"/>
      <c r="BI603" s="102"/>
      <c r="BJ603" s="102"/>
      <c r="BK603" s="12"/>
      <c r="BL603" s="12"/>
    </row>
    <row r="604" spans="1:64" hidden="1" outlineLevel="1">
      <c r="A604" s="9"/>
      <c r="B604" s="9"/>
      <c r="C604" s="46"/>
      <c r="D604" s="132" t="str">
        <f>Asset7</f>
        <v>Distribution Underground Lines</v>
      </c>
      <c r="E604" s="9"/>
      <c r="F604" s="9"/>
      <c r="G604" s="201">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2"/>
      <c r="BE604" s="102"/>
      <c r="BF604" s="102"/>
      <c r="BG604" s="102"/>
      <c r="BH604" s="102"/>
      <c r="BI604" s="102"/>
      <c r="BJ604" s="102"/>
      <c r="BK604" s="12"/>
      <c r="BL604" s="12"/>
    </row>
    <row r="605" spans="1:64" hidden="1" outlineLevel="1">
      <c r="A605" s="9"/>
      <c r="B605" s="9"/>
      <c r="C605" s="46"/>
      <c r="D605" s="132" t="str">
        <f>Asset8</f>
        <v>IT &amp; Communication Systems (Networks)</v>
      </c>
      <c r="E605" s="9"/>
      <c r="F605" s="9"/>
      <c r="G605" s="201">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2"/>
      <c r="BE605" s="102"/>
      <c r="BF605" s="102"/>
      <c r="BG605" s="102"/>
      <c r="BH605" s="102"/>
      <c r="BI605" s="102"/>
      <c r="BJ605" s="102"/>
      <c r="BK605" s="12"/>
      <c r="BL605" s="12"/>
    </row>
    <row r="606" spans="1:64" hidden="1" outlineLevel="1">
      <c r="A606" s="9"/>
      <c r="B606" s="9"/>
      <c r="C606" s="46"/>
      <c r="D606" s="132" t="str">
        <f>Asset9</f>
        <v>Motor Vehicles</v>
      </c>
      <c r="E606" s="9"/>
      <c r="F606" s="9"/>
      <c r="G606" s="201">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2"/>
      <c r="BE606" s="102"/>
      <c r="BF606" s="102"/>
      <c r="BG606" s="102"/>
      <c r="BH606" s="102"/>
      <c r="BI606" s="102"/>
      <c r="BJ606" s="102"/>
      <c r="BK606" s="12"/>
      <c r="BL606" s="12"/>
    </row>
    <row r="607" spans="1:64" hidden="1" outlineLevel="1">
      <c r="A607" s="9"/>
      <c r="B607" s="9"/>
      <c r="C607" s="46"/>
      <c r="D607" s="132" t="str">
        <f>Asset10</f>
        <v>Other Non-System Assets (Networks)</v>
      </c>
      <c r="E607" s="9"/>
      <c r="F607" s="9"/>
      <c r="G607" s="201">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2"/>
      <c r="BE607" s="102"/>
      <c r="BF607" s="102"/>
      <c r="BG607" s="102"/>
      <c r="BH607" s="102"/>
      <c r="BI607" s="102"/>
      <c r="BJ607" s="102"/>
      <c r="BK607" s="12"/>
      <c r="BL607" s="12"/>
    </row>
    <row r="608" spans="1:64" hidden="1" outlineLevel="1">
      <c r="A608" s="9"/>
      <c r="B608" s="9"/>
      <c r="C608" s="46"/>
      <c r="D608" s="132" t="str">
        <f>Asset11</f>
        <v>IT Systems (Corporate)</v>
      </c>
      <c r="E608" s="9"/>
      <c r="F608" s="9"/>
      <c r="G608" s="201">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2"/>
      <c r="BE608" s="102"/>
      <c r="BF608" s="102"/>
      <c r="BG608" s="102"/>
      <c r="BH608" s="102"/>
      <c r="BI608" s="102"/>
      <c r="BJ608" s="102"/>
      <c r="BK608" s="12"/>
      <c r="BL608" s="12"/>
    </row>
    <row r="609" spans="1:64" hidden="1" outlineLevel="1">
      <c r="A609" s="9"/>
      <c r="B609" s="9"/>
      <c r="C609" s="46"/>
      <c r="D609" s="132" t="str">
        <f>Asset12</f>
        <v>Telecommunications (Corporate)</v>
      </c>
      <c r="E609" s="9"/>
      <c r="F609" s="9"/>
      <c r="G609" s="201">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2"/>
      <c r="BE609" s="102"/>
      <c r="BF609" s="102"/>
      <c r="BG609" s="102"/>
      <c r="BH609" s="102"/>
      <c r="BI609" s="102"/>
      <c r="BJ609" s="102"/>
      <c r="BK609" s="12"/>
      <c r="BL609" s="12"/>
    </row>
    <row r="610" spans="1:64" hidden="1" outlineLevel="1">
      <c r="A610" s="9"/>
      <c r="B610" s="9"/>
      <c r="C610" s="46"/>
      <c r="D610" s="132" t="str">
        <f>Asset13</f>
        <v>Other Non-System Assets (Corporate)</v>
      </c>
      <c r="E610" s="9"/>
      <c r="F610" s="9"/>
      <c r="G610" s="201">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2"/>
      <c r="BE610" s="102"/>
      <c r="BF610" s="102"/>
      <c r="BG610" s="102"/>
      <c r="BH610" s="102"/>
      <c r="BI610" s="102"/>
      <c r="BJ610" s="102"/>
      <c r="BK610" s="12"/>
      <c r="BL610" s="12"/>
    </row>
    <row r="611" spans="1:64" hidden="1" outlineLevel="1">
      <c r="A611" s="9"/>
      <c r="B611" s="9"/>
      <c r="C611" s="46"/>
      <c r="D611" s="132" t="str">
        <f>Asset14</f>
        <v>Land</v>
      </c>
      <c r="E611" s="9"/>
      <c r="F611" s="9"/>
      <c r="G611" s="201">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2"/>
      <c r="BE611" s="102"/>
      <c r="BF611" s="102"/>
      <c r="BG611" s="102"/>
      <c r="BH611" s="102"/>
      <c r="BI611" s="102"/>
      <c r="BJ611" s="102"/>
      <c r="BK611" s="12"/>
      <c r="BL611" s="12"/>
    </row>
    <row r="612" spans="1:64" hidden="1" outlineLevel="1">
      <c r="A612" s="9"/>
      <c r="B612" s="9"/>
      <c r="C612" s="46"/>
      <c r="D612" s="132" t="str">
        <f>Asset15</f>
        <v>Buildings</v>
      </c>
      <c r="E612" s="9"/>
      <c r="F612" s="9"/>
      <c r="G612" s="201">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2"/>
      <c r="BE612" s="102"/>
      <c r="BF612" s="102"/>
      <c r="BG612" s="102"/>
      <c r="BH612" s="102"/>
      <c r="BI612" s="102"/>
      <c r="BJ612" s="102"/>
      <c r="BK612" s="12"/>
      <c r="BL612" s="12"/>
    </row>
    <row r="613" spans="1:64" hidden="1" outlineLevel="1">
      <c r="A613" s="9"/>
      <c r="B613" s="9"/>
      <c r="C613" s="46"/>
      <c r="D613" s="132" t="str">
        <f>Asset16</f>
        <v>Equity raising costs</v>
      </c>
      <c r="E613" s="9"/>
      <c r="F613" s="9"/>
      <c r="G613" s="201">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2"/>
      <c r="BE613" s="102"/>
      <c r="BF613" s="102"/>
      <c r="BG613" s="102"/>
      <c r="BH613" s="102"/>
      <c r="BI613" s="102"/>
      <c r="BJ613" s="102"/>
      <c r="BK613" s="12"/>
      <c r="BL613" s="12"/>
    </row>
    <row r="614" spans="1:64" hidden="1" outlineLevel="1">
      <c r="A614" s="9"/>
      <c r="B614" s="9"/>
      <c r="C614" s="46"/>
      <c r="D614" s="132">
        <f>Asset17</f>
        <v>0</v>
      </c>
      <c r="E614" s="9"/>
      <c r="F614" s="9"/>
      <c r="G614" s="201">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2"/>
      <c r="BE614" s="102"/>
      <c r="BF614" s="102"/>
      <c r="BG614" s="102"/>
      <c r="BH614" s="102"/>
      <c r="BI614" s="102"/>
      <c r="BJ614" s="102"/>
      <c r="BK614" s="12"/>
      <c r="BL614" s="12"/>
    </row>
    <row r="615" spans="1:64" hidden="1" outlineLevel="1">
      <c r="A615" s="9"/>
      <c r="B615" s="9"/>
      <c r="C615" s="46"/>
      <c r="D615" s="132">
        <f>Asset18</f>
        <v>0</v>
      </c>
      <c r="E615" s="9"/>
      <c r="F615" s="9"/>
      <c r="G615" s="201">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2"/>
      <c r="BE615" s="102"/>
      <c r="BF615" s="102"/>
      <c r="BG615" s="102"/>
      <c r="BH615" s="102"/>
      <c r="BI615" s="102"/>
      <c r="BJ615" s="102"/>
      <c r="BK615" s="12"/>
      <c r="BL615" s="12"/>
    </row>
    <row r="616" spans="1:64" hidden="1" outlineLevel="1">
      <c r="A616" s="9"/>
      <c r="B616" s="9"/>
      <c r="C616" s="46"/>
      <c r="D616" s="132">
        <f>Asset19</f>
        <v>0</v>
      </c>
      <c r="E616" s="9"/>
      <c r="F616" s="9"/>
      <c r="G616" s="201">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2"/>
      <c r="BE616" s="102"/>
      <c r="BF616" s="102"/>
      <c r="BG616" s="102"/>
      <c r="BH616" s="102"/>
      <c r="BI616" s="102"/>
      <c r="BJ616" s="102"/>
      <c r="BK616" s="12"/>
      <c r="BL616" s="12"/>
    </row>
    <row r="617" spans="1:64" hidden="1" outlineLevel="1">
      <c r="A617" s="9"/>
      <c r="B617" s="9"/>
      <c r="C617" s="46"/>
      <c r="D617" s="132">
        <f>Asset20</f>
        <v>0</v>
      </c>
      <c r="E617" s="9"/>
      <c r="F617" s="9"/>
      <c r="G617" s="201">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2"/>
      <c r="BE617" s="102"/>
      <c r="BF617" s="102"/>
      <c r="BG617" s="102"/>
      <c r="BH617" s="102"/>
      <c r="BI617" s="102"/>
      <c r="BJ617" s="102"/>
      <c r="BK617" s="12"/>
      <c r="BL617" s="12"/>
    </row>
    <row r="618" spans="1:64" hidden="1" outlineLevel="1">
      <c r="A618" s="9"/>
      <c r="B618" s="9"/>
      <c r="C618" s="46"/>
      <c r="D618" s="132">
        <f>Asset21</f>
        <v>0</v>
      </c>
      <c r="E618" s="9"/>
      <c r="F618" s="9"/>
      <c r="G618" s="201">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2"/>
      <c r="BE618" s="102"/>
      <c r="BF618" s="102"/>
      <c r="BG618" s="102"/>
      <c r="BH618" s="102"/>
      <c r="BI618" s="102"/>
      <c r="BJ618" s="102"/>
      <c r="BK618" s="12"/>
      <c r="BL618" s="12"/>
    </row>
    <row r="619" spans="1:64" hidden="1" outlineLevel="1">
      <c r="A619" s="9"/>
      <c r="B619" s="9"/>
      <c r="C619" s="46"/>
      <c r="D619" s="132">
        <f>Asset22</f>
        <v>0</v>
      </c>
      <c r="E619" s="9"/>
      <c r="F619" s="9"/>
      <c r="G619" s="201">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2"/>
      <c r="BE619" s="102"/>
      <c r="BF619" s="102"/>
      <c r="BG619" s="102"/>
      <c r="BH619" s="102"/>
      <c r="BI619" s="102"/>
      <c r="BJ619" s="102"/>
      <c r="BK619" s="12"/>
      <c r="BL619" s="12"/>
    </row>
    <row r="620" spans="1:64" hidden="1" outlineLevel="1">
      <c r="A620" s="9"/>
      <c r="B620" s="9"/>
      <c r="C620" s="46"/>
      <c r="D620" s="132">
        <f>Asset23</f>
        <v>0</v>
      </c>
      <c r="E620" s="9"/>
      <c r="F620" s="9"/>
      <c r="G620" s="201">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2"/>
      <c r="BE620" s="102"/>
      <c r="BF620" s="102"/>
      <c r="BG620" s="102"/>
      <c r="BH620" s="102"/>
      <c r="BI620" s="102"/>
      <c r="BJ620" s="102"/>
      <c r="BK620" s="12"/>
      <c r="BL620" s="12"/>
    </row>
    <row r="621" spans="1:64" hidden="1" outlineLevel="1">
      <c r="A621" s="9"/>
      <c r="B621" s="9"/>
      <c r="C621" s="46"/>
      <c r="D621" s="132">
        <f>Asset24</f>
        <v>0</v>
      </c>
      <c r="E621" s="9"/>
      <c r="F621" s="9"/>
      <c r="G621" s="201">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2"/>
      <c r="BE621" s="102"/>
      <c r="BF621" s="102"/>
      <c r="BG621" s="102"/>
      <c r="BH621" s="102"/>
      <c r="BI621" s="102"/>
      <c r="BJ621" s="102"/>
      <c r="BK621" s="12"/>
      <c r="BL621" s="12"/>
    </row>
    <row r="622" spans="1:64" hidden="1" outlineLevel="1">
      <c r="A622" s="9"/>
      <c r="B622" s="9"/>
      <c r="C622" s="46"/>
      <c r="D622" s="132">
        <f>Asset25</f>
        <v>0</v>
      </c>
      <c r="E622" s="9"/>
      <c r="F622" s="9"/>
      <c r="G622" s="201">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2"/>
      <c r="BE622" s="102"/>
      <c r="BF622" s="102"/>
      <c r="BG622" s="102"/>
      <c r="BH622" s="102"/>
      <c r="BI622" s="102"/>
      <c r="BJ622" s="102"/>
      <c r="BK622" s="12"/>
      <c r="BL622" s="12"/>
    </row>
    <row r="623" spans="1:64" hidden="1" outlineLevel="1">
      <c r="A623" s="9"/>
      <c r="B623" s="9"/>
      <c r="C623" s="46"/>
      <c r="D623" s="132">
        <f>Asset26</f>
        <v>0</v>
      </c>
      <c r="E623" s="9"/>
      <c r="F623" s="9"/>
      <c r="G623" s="201">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2"/>
      <c r="BE623" s="102"/>
      <c r="BF623" s="102"/>
      <c r="BG623" s="102"/>
      <c r="BH623" s="102"/>
      <c r="BI623" s="102"/>
      <c r="BJ623" s="102"/>
      <c r="BK623" s="12"/>
      <c r="BL623" s="12"/>
    </row>
    <row r="624" spans="1:64" hidden="1" outlineLevel="1">
      <c r="A624" s="9"/>
      <c r="B624" s="9"/>
      <c r="C624" s="46"/>
      <c r="D624" s="132">
        <f>Asset27</f>
        <v>0</v>
      </c>
      <c r="E624" s="9"/>
      <c r="F624" s="9"/>
      <c r="G624" s="201">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2"/>
      <c r="BE624" s="102"/>
      <c r="BF624" s="102"/>
      <c r="BG624" s="102"/>
      <c r="BH624" s="102"/>
      <c r="BI624" s="102"/>
      <c r="BJ624" s="102"/>
      <c r="BK624" s="12"/>
      <c r="BL624" s="12"/>
    </row>
    <row r="625" spans="1:64" hidden="1" outlineLevel="1">
      <c r="A625" s="9"/>
      <c r="B625" s="9"/>
      <c r="C625" s="46"/>
      <c r="D625" s="132">
        <f>Asset28</f>
        <v>0</v>
      </c>
      <c r="E625" s="9"/>
      <c r="F625" s="9"/>
      <c r="G625" s="201">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2"/>
      <c r="BE625" s="102"/>
      <c r="BF625" s="102"/>
      <c r="BG625" s="102"/>
      <c r="BH625" s="102"/>
      <c r="BI625" s="102"/>
      <c r="BJ625" s="102"/>
      <c r="BK625" s="12"/>
      <c r="BL625" s="12"/>
    </row>
    <row r="626" spans="1:64" hidden="1" outlineLevel="1">
      <c r="A626" s="9"/>
      <c r="B626" s="9"/>
      <c r="C626" s="46"/>
      <c r="D626" s="132">
        <f>Asset29</f>
        <v>0</v>
      </c>
      <c r="E626" s="9"/>
      <c r="F626" s="9"/>
      <c r="G626" s="201">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2"/>
      <c r="BE626" s="102"/>
      <c r="BF626" s="102"/>
      <c r="BG626" s="102"/>
      <c r="BH626" s="102"/>
      <c r="BI626" s="102"/>
      <c r="BJ626" s="102"/>
      <c r="BK626" s="12"/>
      <c r="BL626" s="12"/>
    </row>
    <row r="627" spans="1:64" hidden="1" outlineLevel="1">
      <c r="A627" s="9"/>
      <c r="B627" s="9"/>
      <c r="C627" s="46"/>
      <c r="D627" s="132">
        <f>Asset30</f>
        <v>0</v>
      </c>
      <c r="E627" s="9"/>
      <c r="F627" s="9"/>
      <c r="G627" s="201">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2"/>
      <c r="BE629" s="102"/>
      <c r="BF629" s="102"/>
      <c r="BG629" s="102"/>
      <c r="BH629" s="102"/>
      <c r="BI629" s="102"/>
      <c r="BJ629" s="102"/>
      <c r="BK629" s="12"/>
      <c r="BL629" s="12"/>
    </row>
    <row r="630" spans="1:64">
      <c r="A630" s="9"/>
      <c r="B630" s="12"/>
      <c r="C630" s="91"/>
      <c r="D630" s="116"/>
      <c r="E630" s="12"/>
      <c r="F630" s="12"/>
      <c r="G630" s="144"/>
      <c r="H630" s="145"/>
      <c r="I630" s="145"/>
      <c r="J630" s="145"/>
      <c r="K630" s="145"/>
      <c r="L630" s="145"/>
      <c r="M630" s="145"/>
      <c r="N630" s="102"/>
      <c r="O630" s="102"/>
      <c r="P630" s="102"/>
      <c r="Q630" s="102"/>
      <c r="R630" s="102"/>
      <c r="S630" s="102"/>
      <c r="T630" s="102"/>
      <c r="U630" s="102"/>
      <c r="V630" s="102"/>
      <c r="W630" s="102"/>
      <c r="X630" s="102"/>
      <c r="Y630" s="102"/>
      <c r="Z630" s="102"/>
      <c r="AA630" s="102"/>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2"/>
      <c r="BE630" s="102"/>
      <c r="BF630" s="102"/>
      <c r="BG630" s="102"/>
      <c r="BH630" s="102"/>
      <c r="BI630" s="102"/>
      <c r="BJ630" s="102"/>
      <c r="BK630" s="12"/>
      <c r="BL630" s="12"/>
    </row>
    <row r="631" spans="1:64" s="9" customFormat="1">
      <c r="B631" s="12"/>
      <c r="C631" s="91" t="s">
        <v>33</v>
      </c>
      <c r="D631" s="12"/>
      <c r="E631" s="12"/>
      <c r="F631" s="12"/>
      <c r="G631" s="200">
        <f>SUM(G632:G661)</f>
        <v>-25.847574280198437</v>
      </c>
      <c r="H631" s="119">
        <f>SUM(H632:H661)</f>
        <v>-26.660857568146504</v>
      </c>
      <c r="I631" s="119">
        <f t="shared" ref="I631:Q631" si="28">SUM(I632:I661)</f>
        <v>-29.288141743607856</v>
      </c>
      <c r="J631" s="119">
        <f t="shared" si="28"/>
        <v>-32.26263542773529</v>
      </c>
      <c r="K631" s="119">
        <f t="shared" si="28"/>
        <v>-35.115146504642048</v>
      </c>
      <c r="L631" s="119">
        <f t="shared" si="28"/>
        <v>-38.490543029546075</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c r="AZ631" s="219"/>
      <c r="BA631" s="219"/>
      <c r="BB631" s="219"/>
      <c r="BC631" s="219"/>
      <c r="BD631" s="108"/>
      <c r="BE631" s="108"/>
      <c r="BF631" s="108"/>
      <c r="BG631" s="108"/>
      <c r="BH631" s="108"/>
      <c r="BI631" s="108"/>
      <c r="BJ631" s="108"/>
      <c r="BK631" s="12"/>
      <c r="BL631" s="12"/>
    </row>
    <row r="632" spans="1:64" ht="12" hidden="1" customHeight="1" outlineLevel="1">
      <c r="A632" s="9"/>
      <c r="B632" s="9"/>
      <c r="C632" s="9"/>
      <c r="D632" s="132" t="str">
        <f>Asset1</f>
        <v>Opening Distribution Assets</v>
      </c>
      <c r="E632" s="9"/>
      <c r="F632" s="9"/>
      <c r="G632" s="198">
        <f t="shared" ref="G632:G639" si="29">-(G666-G502)</f>
        <v>-25.847574280198437</v>
      </c>
      <c r="H632" s="113">
        <f t="shared" ref="H632:Q632" si="30">H$56*H$7</f>
        <v>-26.660857568146504</v>
      </c>
      <c r="I632" s="113">
        <f t="shared" si="30"/>
        <v>-27.146115100101241</v>
      </c>
      <c r="J632" s="113">
        <f t="shared" si="30"/>
        <v>-27.918483338462536</v>
      </c>
      <c r="K632" s="113">
        <f t="shared" si="30"/>
        <v>-28.864735525774268</v>
      </c>
      <c r="L632" s="113">
        <f t="shared" si="30"/>
        <v>-29.373557355742587</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5"/>
      <c r="AC632" s="225"/>
      <c r="AD632" s="225"/>
      <c r="AE632" s="225"/>
      <c r="AF632" s="225"/>
      <c r="AG632" s="225"/>
      <c r="AH632" s="225"/>
      <c r="AI632" s="225"/>
      <c r="AJ632" s="225"/>
      <c r="AK632" s="225"/>
      <c r="AL632" s="225"/>
      <c r="AM632" s="225"/>
      <c r="AN632" s="225"/>
      <c r="AO632" s="225"/>
      <c r="AP632" s="225"/>
      <c r="AQ632" s="225"/>
      <c r="AR632" s="225"/>
      <c r="AS632" s="225"/>
      <c r="AT632" s="225"/>
      <c r="AU632" s="225"/>
      <c r="AV632" s="225"/>
      <c r="AW632" s="225"/>
      <c r="AX632" s="225"/>
      <c r="AY632" s="225"/>
      <c r="AZ632" s="225"/>
      <c r="BA632" s="225"/>
      <c r="BB632" s="225"/>
      <c r="BC632" s="225"/>
      <c r="BD632" s="12"/>
      <c r="BE632" s="12"/>
      <c r="BF632" s="12"/>
      <c r="BG632" s="12"/>
      <c r="BH632" s="12"/>
      <c r="BI632" s="12"/>
      <c r="BJ632" s="12"/>
      <c r="BK632" s="12"/>
      <c r="BL632" s="12"/>
    </row>
    <row r="633" spans="1:64" ht="12" hidden="1" customHeight="1" outlineLevel="1">
      <c r="A633" s="9"/>
      <c r="B633" s="9"/>
      <c r="C633" s="9"/>
      <c r="D633" s="132" t="str">
        <f>Asset2</f>
        <v>Sub-transmission Overhead</v>
      </c>
      <c r="E633" s="9"/>
      <c r="F633" s="9"/>
      <c r="G633" s="198">
        <f t="shared" si="29"/>
        <v>0</v>
      </c>
      <c r="H633" s="113">
        <f t="shared" ref="H633:Q633" si="31">H$69*H$7</f>
        <v>0</v>
      </c>
      <c r="I633" s="113">
        <f t="shared" si="31"/>
        <v>0</v>
      </c>
      <c r="J633" s="113">
        <f t="shared" si="31"/>
        <v>0</v>
      </c>
      <c r="K633" s="113">
        <f t="shared" si="31"/>
        <v>0</v>
      </c>
      <c r="L633" s="113">
        <f t="shared" si="31"/>
        <v>0</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5"/>
      <c r="AC633" s="225"/>
      <c r="AD633" s="225"/>
      <c r="AE633" s="225"/>
      <c r="AF633" s="225"/>
      <c r="AG633" s="225"/>
      <c r="AH633" s="225"/>
      <c r="AI633" s="225"/>
      <c r="AJ633" s="225"/>
      <c r="AK633" s="225"/>
      <c r="AL633" s="225"/>
      <c r="AM633" s="225"/>
      <c r="AN633" s="225"/>
      <c r="AO633" s="225"/>
      <c r="AP633" s="225"/>
      <c r="AQ633" s="225"/>
      <c r="AR633" s="225"/>
      <c r="AS633" s="225"/>
      <c r="AT633" s="225"/>
      <c r="AU633" s="225"/>
      <c r="AV633" s="225"/>
      <c r="AW633" s="225"/>
      <c r="AX633" s="225"/>
      <c r="AY633" s="225"/>
      <c r="AZ633" s="225"/>
      <c r="BA633" s="225"/>
      <c r="BB633" s="225"/>
      <c r="BC633" s="225"/>
      <c r="BD633" s="12"/>
      <c r="BE633" s="12"/>
      <c r="BF633" s="12"/>
      <c r="BG633" s="12"/>
      <c r="BH633" s="12"/>
      <c r="BI633" s="12"/>
      <c r="BJ633" s="12"/>
      <c r="BK633" s="12"/>
      <c r="BL633" s="12"/>
    </row>
    <row r="634" spans="1:64" ht="12" hidden="1" customHeight="1" outlineLevel="1">
      <c r="A634" s="9"/>
      <c r="B634" s="9"/>
      <c r="C634" s="9"/>
      <c r="D634" s="132" t="str">
        <f>Asset3</f>
        <v>Sub-transmission Underground</v>
      </c>
      <c r="E634" s="9"/>
      <c r="F634" s="9"/>
      <c r="G634" s="198">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5"/>
      <c r="AC634" s="225"/>
      <c r="AD634" s="225"/>
      <c r="AE634" s="225"/>
      <c r="AF634" s="225"/>
      <c r="AG634" s="225"/>
      <c r="AH634" s="225"/>
      <c r="AI634" s="225"/>
      <c r="AJ634" s="225"/>
      <c r="AK634" s="225"/>
      <c r="AL634" s="225"/>
      <c r="AM634" s="225"/>
      <c r="AN634" s="225"/>
      <c r="AO634" s="225"/>
      <c r="AP634" s="225"/>
      <c r="AQ634" s="225"/>
      <c r="AR634" s="225"/>
      <c r="AS634" s="225"/>
      <c r="AT634" s="225"/>
      <c r="AU634" s="225"/>
      <c r="AV634" s="225"/>
      <c r="AW634" s="225"/>
      <c r="AX634" s="225"/>
      <c r="AY634" s="225"/>
      <c r="AZ634" s="225"/>
      <c r="BA634" s="225"/>
      <c r="BB634" s="225"/>
      <c r="BC634" s="225"/>
      <c r="BD634" s="12"/>
      <c r="BE634" s="12"/>
      <c r="BF634" s="12"/>
      <c r="BG634" s="12"/>
      <c r="BH634" s="12"/>
      <c r="BI634" s="12"/>
      <c r="BJ634" s="12"/>
      <c r="BK634" s="12"/>
      <c r="BL634" s="12"/>
    </row>
    <row r="635" spans="1:64" ht="12" hidden="1" customHeight="1" outlineLevel="1">
      <c r="A635" s="9"/>
      <c r="B635" s="9"/>
      <c r="C635" s="9"/>
      <c r="D635" s="132" t="str">
        <f>Asset4</f>
        <v>Zone Substation</v>
      </c>
      <c r="E635" s="9"/>
      <c r="F635" s="9"/>
      <c r="G635" s="198">
        <f t="shared" si="29"/>
        <v>0</v>
      </c>
      <c r="H635" s="113">
        <f t="shared" ref="H635:Q635" si="33">H$95*H$7</f>
        <v>0</v>
      </c>
      <c r="I635" s="113">
        <f t="shared" si="33"/>
        <v>-2.0986965460077861E-2</v>
      </c>
      <c r="J635" s="113">
        <f t="shared" si="33"/>
        <v>-2.1801486282614465E-2</v>
      </c>
      <c r="K635" s="113">
        <f t="shared" si="33"/>
        <v>-2.2540412671683371E-2</v>
      </c>
      <c r="L635" s="113">
        <f t="shared" si="33"/>
        <v>-4.3139001643472147E-2</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5"/>
      <c r="AC635" s="225"/>
      <c r="AD635" s="225"/>
      <c r="AE635" s="225"/>
      <c r="AF635" s="225"/>
      <c r="AG635" s="225"/>
      <c r="AH635" s="225"/>
      <c r="AI635" s="225"/>
      <c r="AJ635" s="225"/>
      <c r="AK635" s="225"/>
      <c r="AL635" s="225"/>
      <c r="AM635" s="225"/>
      <c r="AN635" s="225"/>
      <c r="AO635" s="225"/>
      <c r="AP635" s="225"/>
      <c r="AQ635" s="225"/>
      <c r="AR635" s="225"/>
      <c r="AS635" s="225"/>
      <c r="AT635" s="225"/>
      <c r="AU635" s="225"/>
      <c r="AV635" s="225"/>
      <c r="AW635" s="225"/>
      <c r="AX635" s="225"/>
      <c r="AY635" s="225"/>
      <c r="AZ635" s="225"/>
      <c r="BA635" s="225"/>
      <c r="BB635" s="225"/>
      <c r="BC635" s="225"/>
      <c r="BD635" s="12"/>
      <c r="BE635" s="12"/>
      <c r="BF635" s="12"/>
      <c r="BG635" s="12"/>
      <c r="BH635" s="12"/>
      <c r="BI635" s="12"/>
      <c r="BJ635" s="12"/>
      <c r="BK635" s="12"/>
      <c r="BL635" s="12"/>
    </row>
    <row r="636" spans="1:64" ht="12" hidden="1" customHeight="1" outlineLevel="1">
      <c r="A636" s="9"/>
      <c r="B636" s="9"/>
      <c r="C636" s="9"/>
      <c r="D636" s="132" t="str">
        <f>Asset5</f>
        <v>Distribution Substations</v>
      </c>
      <c r="E636" s="9"/>
      <c r="F636" s="9"/>
      <c r="G636" s="198">
        <f t="shared" si="29"/>
        <v>0</v>
      </c>
      <c r="H636" s="113">
        <f t="shared" ref="H636:Q636" si="34">H$108*H$7</f>
        <v>0</v>
      </c>
      <c r="I636" s="113">
        <f t="shared" si="34"/>
        <v>-0.2635875780005652</v>
      </c>
      <c r="J636" s="113">
        <f t="shared" si="34"/>
        <v>-0.58596204804922181</v>
      </c>
      <c r="K636" s="113">
        <f t="shared" si="34"/>
        <v>-0.88595037802611742</v>
      </c>
      <c r="L636" s="113">
        <f t="shared" si="34"/>
        <v>-1.096284367860084</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5"/>
      <c r="AC636" s="225"/>
      <c r="AD636" s="225"/>
      <c r="AE636" s="225"/>
      <c r="AF636" s="225"/>
      <c r="AG636" s="225"/>
      <c r="AH636" s="225"/>
      <c r="AI636" s="225"/>
      <c r="AJ636" s="225"/>
      <c r="AK636" s="225"/>
      <c r="AL636" s="225"/>
      <c r="AM636" s="225"/>
      <c r="AN636" s="225"/>
      <c r="AO636" s="225"/>
      <c r="AP636" s="225"/>
      <c r="AQ636" s="225"/>
      <c r="AR636" s="225"/>
      <c r="AS636" s="225"/>
      <c r="AT636" s="225"/>
      <c r="AU636" s="225"/>
      <c r="AV636" s="225"/>
      <c r="AW636" s="225"/>
      <c r="AX636" s="225"/>
      <c r="AY636" s="225"/>
      <c r="AZ636" s="225"/>
      <c r="BA636" s="225"/>
      <c r="BB636" s="225"/>
      <c r="BC636" s="225"/>
      <c r="BD636" s="12"/>
      <c r="BE636" s="12"/>
      <c r="BF636" s="12"/>
      <c r="BG636" s="12"/>
      <c r="BH636" s="12"/>
      <c r="BI636" s="12"/>
      <c r="BJ636" s="12"/>
      <c r="BK636" s="12"/>
      <c r="BL636" s="12"/>
    </row>
    <row r="637" spans="1:64" ht="12" hidden="1" customHeight="1" outlineLevel="1">
      <c r="A637" s="9"/>
      <c r="B637" s="9"/>
      <c r="C637" s="9"/>
      <c r="D637" s="132" t="str">
        <f>Asset6</f>
        <v>Distribution Overhead Lines</v>
      </c>
      <c r="E637" s="9"/>
      <c r="F637" s="9"/>
      <c r="G637" s="198">
        <f t="shared" si="29"/>
        <v>0</v>
      </c>
      <c r="H637" s="113">
        <f t="shared" ref="H637:Q637" si="35">H$121*H$7</f>
        <v>0</v>
      </c>
      <c r="I637" s="113">
        <f t="shared" si="35"/>
        <v>-0.22917498467831673</v>
      </c>
      <c r="J637" s="113">
        <f t="shared" si="35"/>
        <v>-0.50315882097559517</v>
      </c>
      <c r="K637" s="113">
        <f t="shared" si="35"/>
        <v>-0.81676743746305058</v>
      </c>
      <c r="L637" s="113">
        <f t="shared" si="35"/>
        <v>-1.0622948444181868</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5"/>
      <c r="AC637" s="225"/>
      <c r="AD637" s="225"/>
      <c r="AE637" s="225"/>
      <c r="AF637" s="225"/>
      <c r="AG637" s="225"/>
      <c r="AH637" s="225"/>
      <c r="AI637" s="225"/>
      <c r="AJ637" s="225"/>
      <c r="AK637" s="225"/>
      <c r="AL637" s="225"/>
      <c r="AM637" s="225"/>
      <c r="AN637" s="225"/>
      <c r="AO637" s="225"/>
      <c r="AP637" s="225"/>
      <c r="AQ637" s="225"/>
      <c r="AR637" s="225"/>
      <c r="AS637" s="225"/>
      <c r="AT637" s="225"/>
      <c r="AU637" s="225"/>
      <c r="AV637" s="225"/>
      <c r="AW637" s="225"/>
      <c r="AX637" s="225"/>
      <c r="AY637" s="225"/>
      <c r="AZ637" s="225"/>
      <c r="BA637" s="225"/>
      <c r="BB637" s="225"/>
      <c r="BC637" s="225"/>
      <c r="BD637" s="12"/>
      <c r="BE637" s="12"/>
      <c r="BF637" s="12"/>
      <c r="BG637" s="12"/>
      <c r="BH637" s="12"/>
      <c r="BI637" s="12"/>
      <c r="BJ637" s="12"/>
      <c r="BK637" s="12"/>
      <c r="BL637" s="12"/>
    </row>
    <row r="638" spans="1:64" ht="12" hidden="1" customHeight="1" outlineLevel="1">
      <c r="A638" s="9"/>
      <c r="B638" s="9"/>
      <c r="C638" s="9"/>
      <c r="D638" s="132" t="str">
        <f>Asset7</f>
        <v>Distribution Underground Lines</v>
      </c>
      <c r="E638" s="9"/>
      <c r="F638" s="9"/>
      <c r="G638" s="198">
        <f t="shared" si="29"/>
        <v>0</v>
      </c>
      <c r="H638" s="113">
        <f t="shared" ref="H638:Q638" si="36">H$134*H$7</f>
        <v>0</v>
      </c>
      <c r="I638" s="113">
        <f t="shared" si="36"/>
        <v>-0.26098206732164148</v>
      </c>
      <c r="J638" s="113">
        <f t="shared" si="36"/>
        <v>-0.5595742044477825</v>
      </c>
      <c r="K638" s="113">
        <f t="shared" si="36"/>
        <v>-0.88228241019072839</v>
      </c>
      <c r="L638" s="113">
        <f t="shared" si="36"/>
        <v>-1.0520497244717546</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5"/>
      <c r="AC638" s="225"/>
      <c r="AD638" s="225"/>
      <c r="AE638" s="225"/>
      <c r="AF638" s="225"/>
      <c r="AG638" s="225"/>
      <c r="AH638" s="225"/>
      <c r="AI638" s="225"/>
      <c r="AJ638" s="225"/>
      <c r="AK638" s="225"/>
      <c r="AL638" s="225"/>
      <c r="AM638" s="225"/>
      <c r="AN638" s="225"/>
      <c r="AO638" s="225"/>
      <c r="AP638" s="225"/>
      <c r="AQ638" s="225"/>
      <c r="AR638" s="225"/>
      <c r="AS638" s="225"/>
      <c r="AT638" s="225"/>
      <c r="AU638" s="225"/>
      <c r="AV638" s="225"/>
      <c r="AW638" s="225"/>
      <c r="AX638" s="225"/>
      <c r="AY638" s="225"/>
      <c r="AZ638" s="225"/>
      <c r="BA638" s="225"/>
      <c r="BB638" s="225"/>
      <c r="BC638" s="225"/>
      <c r="BD638" s="12"/>
      <c r="BE638" s="12"/>
      <c r="BF638" s="12"/>
      <c r="BG638" s="12"/>
      <c r="BH638" s="12"/>
      <c r="BI638" s="12"/>
      <c r="BJ638" s="12"/>
      <c r="BK638" s="12"/>
      <c r="BL638" s="12"/>
    </row>
    <row r="639" spans="1:64" ht="12" hidden="1" customHeight="1" outlineLevel="1">
      <c r="A639" s="9"/>
      <c r="B639" s="9"/>
      <c r="C639" s="9"/>
      <c r="D639" s="132" t="str">
        <f>Asset8</f>
        <v>IT &amp; Communication Systems (Networks)</v>
      </c>
      <c r="E639" s="9"/>
      <c r="F639" s="9"/>
      <c r="G639" s="198">
        <f t="shared" si="29"/>
        <v>0</v>
      </c>
      <c r="H639" s="113">
        <f t="shared" ref="H639:Q639" si="37">H$147*H$7</f>
        <v>0</v>
      </c>
      <c r="I639" s="113">
        <f t="shared" si="37"/>
        <v>-0.12755391613131856</v>
      </c>
      <c r="J639" s="113">
        <f t="shared" si="37"/>
        <v>-0.22221014276081677</v>
      </c>
      <c r="K639" s="113">
        <f t="shared" si="37"/>
        <v>-0.48757473898263098</v>
      </c>
      <c r="L639" s="113">
        <f t="shared" si="37"/>
        <v>-1.1648335428084544</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5"/>
      <c r="AC639" s="225"/>
      <c r="AD639" s="225"/>
      <c r="AE639" s="225"/>
      <c r="AF639" s="225"/>
      <c r="AG639" s="225"/>
      <c r="AH639" s="225"/>
      <c r="AI639" s="225"/>
      <c r="AJ639" s="225"/>
      <c r="AK639" s="225"/>
      <c r="AL639" s="225"/>
      <c r="AM639" s="225"/>
      <c r="AN639" s="225"/>
      <c r="AO639" s="225"/>
      <c r="AP639" s="225"/>
      <c r="AQ639" s="225"/>
      <c r="AR639" s="225"/>
      <c r="AS639" s="225"/>
      <c r="AT639" s="225"/>
      <c r="AU639" s="225"/>
      <c r="AV639" s="225"/>
      <c r="AW639" s="225"/>
      <c r="AX639" s="225"/>
      <c r="AY639" s="225"/>
      <c r="AZ639" s="225"/>
      <c r="BA639" s="225"/>
      <c r="BB639" s="225"/>
      <c r="BC639" s="225"/>
      <c r="BD639" s="12"/>
      <c r="BE639" s="12"/>
      <c r="BF639" s="12"/>
      <c r="BG639" s="12"/>
      <c r="BH639" s="12"/>
      <c r="BI639" s="12"/>
      <c r="BJ639" s="12"/>
      <c r="BK639" s="12"/>
      <c r="BL639" s="12"/>
    </row>
    <row r="640" spans="1:64" ht="12" hidden="1" customHeight="1" outlineLevel="1">
      <c r="A640" s="9"/>
      <c r="B640" s="9"/>
      <c r="C640" s="9"/>
      <c r="D640" s="132" t="str">
        <f>Asset9</f>
        <v>Motor Vehicles</v>
      </c>
      <c r="E640" s="9"/>
      <c r="F640" s="9"/>
      <c r="G640" s="198">
        <f>-(G674-G510)</f>
        <v>0</v>
      </c>
      <c r="H640" s="113">
        <f t="shared" ref="H640:Q640" si="38">H$160*H$7</f>
        <v>0</v>
      </c>
      <c r="I640" s="113">
        <f t="shared" si="38"/>
        <v>0</v>
      </c>
      <c r="J640" s="113">
        <f t="shared" si="38"/>
        <v>0</v>
      </c>
      <c r="K640" s="113">
        <f t="shared" si="38"/>
        <v>-8.7318018693947633E-2</v>
      </c>
      <c r="L640" s="113">
        <f t="shared" si="38"/>
        <v>-0.69343203516328078</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5"/>
      <c r="AC640" s="225"/>
      <c r="AD640" s="225"/>
      <c r="AE640" s="225"/>
      <c r="AF640" s="225"/>
      <c r="AG640" s="225"/>
      <c r="AH640" s="225"/>
      <c r="AI640" s="225"/>
      <c r="AJ640" s="225"/>
      <c r="AK640" s="225"/>
      <c r="AL640" s="225"/>
      <c r="AM640" s="225"/>
      <c r="AN640" s="225"/>
      <c r="AO640" s="225"/>
      <c r="AP640" s="225"/>
      <c r="AQ640" s="225"/>
      <c r="AR640" s="225"/>
      <c r="AS640" s="225"/>
      <c r="AT640" s="225"/>
      <c r="AU640" s="225"/>
      <c r="AV640" s="225"/>
      <c r="AW640" s="225"/>
      <c r="AX640" s="225"/>
      <c r="AY640" s="225"/>
      <c r="AZ640" s="225"/>
      <c r="BA640" s="225"/>
      <c r="BB640" s="225"/>
      <c r="BC640" s="225"/>
      <c r="BD640" s="12"/>
      <c r="BE640" s="12"/>
      <c r="BF640" s="12"/>
      <c r="BG640" s="12"/>
      <c r="BH640" s="12"/>
      <c r="BI640" s="12"/>
      <c r="BJ640" s="12"/>
      <c r="BK640" s="12"/>
      <c r="BL640" s="12"/>
    </row>
    <row r="641" spans="1:64" ht="12" hidden="1" customHeight="1" outlineLevel="1">
      <c r="A641" s="9"/>
      <c r="B641" s="9"/>
      <c r="C641" s="9"/>
      <c r="D641" s="132" t="str">
        <f>Asset10</f>
        <v>Other Non-System Assets (Networks)</v>
      </c>
      <c r="E641" s="9"/>
      <c r="F641" s="9"/>
      <c r="G641" s="198">
        <f t="shared" ref="G641:G651" si="39">-(G675-G511)</f>
        <v>0</v>
      </c>
      <c r="H641" s="113">
        <f t="shared" ref="H641:Q641" si="40">H$173*H$7</f>
        <v>0</v>
      </c>
      <c r="I641" s="113">
        <f t="shared" si="40"/>
        <v>-0.19923934759583922</v>
      </c>
      <c r="J641" s="113">
        <f t="shared" si="40"/>
        <v>-0.30750312426656873</v>
      </c>
      <c r="K641" s="113">
        <f t="shared" si="40"/>
        <v>-0.40045270741448358</v>
      </c>
      <c r="L641" s="113">
        <f t="shared" si="40"/>
        <v>-0.53005919737273466</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5"/>
      <c r="AC641" s="225"/>
      <c r="AD641" s="225"/>
      <c r="AE641" s="225"/>
      <c r="AF641" s="225"/>
      <c r="AG641" s="225"/>
      <c r="AH641" s="225"/>
      <c r="AI641" s="225"/>
      <c r="AJ641" s="225"/>
      <c r="AK641" s="225"/>
      <c r="AL641" s="225"/>
      <c r="AM641" s="225"/>
      <c r="AN641" s="225"/>
      <c r="AO641" s="225"/>
      <c r="AP641" s="225"/>
      <c r="AQ641" s="225"/>
      <c r="AR641" s="225"/>
      <c r="AS641" s="225"/>
      <c r="AT641" s="225"/>
      <c r="AU641" s="225"/>
      <c r="AV641" s="225"/>
      <c r="AW641" s="225"/>
      <c r="AX641" s="225"/>
      <c r="AY641" s="225"/>
      <c r="AZ641" s="225"/>
      <c r="BA641" s="225"/>
      <c r="BB641" s="225"/>
      <c r="BC641" s="225"/>
      <c r="BD641" s="12"/>
      <c r="BE641" s="12"/>
      <c r="BF641" s="12"/>
      <c r="BG641" s="12"/>
      <c r="BH641" s="12"/>
      <c r="BI641" s="12"/>
      <c r="BJ641" s="12"/>
      <c r="BK641" s="12"/>
      <c r="BL641" s="12"/>
    </row>
    <row r="642" spans="1:64" ht="12" hidden="1" customHeight="1" outlineLevel="1">
      <c r="A642" s="9"/>
      <c r="B642" s="9"/>
      <c r="C642" s="9"/>
      <c r="D642" s="132" t="str">
        <f>Asset11</f>
        <v>IT Systems (Corporate)</v>
      </c>
      <c r="E642" s="9"/>
      <c r="F642" s="9"/>
      <c r="G642" s="198">
        <f t="shared" si="39"/>
        <v>0</v>
      </c>
      <c r="H642" s="113">
        <f t="shared" ref="H642:Q642" si="41">H$186*H$7</f>
        <v>0</v>
      </c>
      <c r="I642" s="113">
        <f t="shared" si="41"/>
        <v>-0.18855747591483848</v>
      </c>
      <c r="J642" s="113">
        <f t="shared" si="41"/>
        <v>-0.25199077408627357</v>
      </c>
      <c r="K642" s="113">
        <f t="shared" si="41"/>
        <v>-0.56205897459406307</v>
      </c>
      <c r="L642" s="113">
        <f t="shared" si="41"/>
        <v>-1.1620641235305142</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5"/>
      <c r="AC642" s="225"/>
      <c r="AD642" s="225"/>
      <c r="AE642" s="225"/>
      <c r="AF642" s="225"/>
      <c r="AG642" s="225"/>
      <c r="AH642" s="225"/>
      <c r="AI642" s="225"/>
      <c r="AJ642" s="225"/>
      <c r="AK642" s="225"/>
      <c r="AL642" s="225"/>
      <c r="AM642" s="225"/>
      <c r="AN642" s="225"/>
      <c r="AO642" s="225"/>
      <c r="AP642" s="225"/>
      <c r="AQ642" s="225"/>
      <c r="AR642" s="225"/>
      <c r="AS642" s="225"/>
      <c r="AT642" s="225"/>
      <c r="AU642" s="225"/>
      <c r="AV642" s="225"/>
      <c r="AW642" s="225"/>
      <c r="AX642" s="225"/>
      <c r="AY642" s="225"/>
      <c r="AZ642" s="225"/>
      <c r="BA642" s="225"/>
      <c r="BB642" s="225"/>
      <c r="BC642" s="225"/>
      <c r="BD642" s="12"/>
      <c r="BE642" s="12"/>
      <c r="BF642" s="12"/>
      <c r="BG642" s="12"/>
      <c r="BH642" s="12"/>
      <c r="BI642" s="12"/>
      <c r="BJ642" s="12"/>
      <c r="BK642" s="12"/>
      <c r="BL642" s="12"/>
    </row>
    <row r="643" spans="1:64" ht="12" hidden="1" customHeight="1" outlineLevel="1">
      <c r="A643" s="9"/>
      <c r="B643" s="9"/>
      <c r="C643" s="9"/>
      <c r="D643" s="132" t="str">
        <f>Asset12</f>
        <v>Telecommunications (Corporate)</v>
      </c>
      <c r="E643" s="9"/>
      <c r="F643" s="9"/>
      <c r="G643" s="198">
        <f t="shared" si="39"/>
        <v>0</v>
      </c>
      <c r="H643" s="113">
        <f t="shared" ref="H643:Q643" si="42">H$199*H$7</f>
        <v>0</v>
      </c>
      <c r="I643" s="113">
        <f t="shared" si="42"/>
        <v>-5.2012777034161475E-2</v>
      </c>
      <c r="J643" s="113">
        <f t="shared" si="42"/>
        <v>-7.1162432652179891E-2</v>
      </c>
      <c r="K643" s="113">
        <f t="shared" si="42"/>
        <v>-8.2057516666168701E-2</v>
      </c>
      <c r="L643" s="113">
        <f t="shared" si="42"/>
        <v>-9.4407352999318767E-2</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5"/>
      <c r="AC643" s="225"/>
      <c r="AD643" s="225"/>
      <c r="AE643" s="225"/>
      <c r="AF643" s="225"/>
      <c r="AG643" s="225"/>
      <c r="AH643" s="225"/>
      <c r="AI643" s="225"/>
      <c r="AJ643" s="225"/>
      <c r="AK643" s="225"/>
      <c r="AL643" s="225"/>
      <c r="AM643" s="225"/>
      <c r="AN643" s="225"/>
      <c r="AO643" s="225"/>
      <c r="AP643" s="225"/>
      <c r="AQ643" s="225"/>
      <c r="AR643" s="225"/>
      <c r="AS643" s="225"/>
      <c r="AT643" s="225"/>
      <c r="AU643" s="225"/>
      <c r="AV643" s="225"/>
      <c r="AW643" s="225"/>
      <c r="AX643" s="225"/>
      <c r="AY643" s="225"/>
      <c r="AZ643" s="225"/>
      <c r="BA643" s="225"/>
      <c r="BB643" s="225"/>
      <c r="BC643" s="225"/>
      <c r="BD643" s="12"/>
      <c r="BE643" s="12"/>
      <c r="BF643" s="12"/>
      <c r="BG643" s="12"/>
      <c r="BH643" s="12"/>
      <c r="BI643" s="12"/>
      <c r="BJ643" s="12"/>
      <c r="BK643" s="12"/>
      <c r="BL643" s="12"/>
    </row>
    <row r="644" spans="1:64" ht="12" hidden="1" customHeight="1" outlineLevel="1">
      <c r="A644" s="9"/>
      <c r="B644" s="9"/>
      <c r="C644" s="9"/>
      <c r="D644" s="132" t="str">
        <f>Asset13</f>
        <v>Other Non-System Assets (Corporate)</v>
      </c>
      <c r="E644" s="9"/>
      <c r="F644" s="9"/>
      <c r="G644" s="198">
        <f t="shared" si="39"/>
        <v>0</v>
      </c>
      <c r="H644" s="113">
        <f t="shared" ref="H644:Q644" si="43">H$212*H$7</f>
        <v>0</v>
      </c>
      <c r="I644" s="113">
        <f t="shared" si="43"/>
        <v>-0.68872514755154945</v>
      </c>
      <c r="J644" s="113">
        <f t="shared" si="43"/>
        <v>-1.5450848902715768</v>
      </c>
      <c r="K644" s="113">
        <f t="shared" si="43"/>
        <v>-1.7251799747841816</v>
      </c>
      <c r="L644" s="113">
        <f t="shared" si="43"/>
        <v>-1.8950863784852414</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5"/>
      <c r="AC644" s="225"/>
      <c r="AD644" s="225"/>
      <c r="AE644" s="225"/>
      <c r="AF644" s="225"/>
      <c r="AG644" s="225"/>
      <c r="AH644" s="225"/>
      <c r="AI644" s="225"/>
      <c r="AJ644" s="225"/>
      <c r="AK644" s="225"/>
      <c r="AL644" s="225"/>
      <c r="AM644" s="225"/>
      <c r="AN644" s="225"/>
      <c r="AO644" s="225"/>
      <c r="AP644" s="225"/>
      <c r="AQ644" s="225"/>
      <c r="AR644" s="225"/>
      <c r="AS644" s="225"/>
      <c r="AT644" s="225"/>
      <c r="AU644" s="225"/>
      <c r="AV644" s="225"/>
      <c r="AW644" s="225"/>
      <c r="AX644" s="225"/>
      <c r="AY644" s="225"/>
      <c r="AZ644" s="225"/>
      <c r="BA644" s="225"/>
      <c r="BB644" s="225"/>
      <c r="BC644" s="225"/>
      <c r="BD644" s="12"/>
      <c r="BE644" s="12"/>
      <c r="BF644" s="12"/>
      <c r="BG644" s="12"/>
      <c r="BH644" s="12"/>
      <c r="BI644" s="12"/>
      <c r="BJ644" s="12"/>
      <c r="BK644" s="12"/>
      <c r="BL644" s="12"/>
    </row>
    <row r="645" spans="1:64" ht="12" hidden="1" customHeight="1" outlineLevel="1">
      <c r="A645" s="9"/>
      <c r="B645" s="9"/>
      <c r="C645" s="9"/>
      <c r="D645" s="132" t="str">
        <f>Asset14</f>
        <v>Land</v>
      </c>
      <c r="E645" s="9"/>
      <c r="F645" s="9"/>
      <c r="G645" s="198">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5"/>
      <c r="AC645" s="225"/>
      <c r="AD645" s="225"/>
      <c r="AE645" s="225"/>
      <c r="AF645" s="225"/>
      <c r="AG645" s="225"/>
      <c r="AH645" s="225"/>
      <c r="AI645" s="225"/>
      <c r="AJ645" s="225"/>
      <c r="AK645" s="225"/>
      <c r="AL645" s="225"/>
      <c r="AM645" s="225"/>
      <c r="AN645" s="225"/>
      <c r="AO645" s="225"/>
      <c r="AP645" s="225"/>
      <c r="AQ645" s="225"/>
      <c r="AR645" s="225"/>
      <c r="AS645" s="225"/>
      <c r="AT645" s="225"/>
      <c r="AU645" s="225"/>
      <c r="AV645" s="225"/>
      <c r="AW645" s="225"/>
      <c r="AX645" s="225"/>
      <c r="AY645" s="225"/>
      <c r="AZ645" s="225"/>
      <c r="BA645" s="225"/>
      <c r="BB645" s="225"/>
      <c r="BC645" s="225"/>
      <c r="BD645" s="12"/>
      <c r="BE645" s="12"/>
      <c r="BF645" s="12"/>
      <c r="BG645" s="12"/>
      <c r="BH645" s="12"/>
      <c r="BI645" s="12"/>
      <c r="BJ645" s="12"/>
      <c r="BK645" s="12"/>
      <c r="BL645" s="12"/>
    </row>
    <row r="646" spans="1:64" ht="12" hidden="1" customHeight="1" outlineLevel="1">
      <c r="A646" s="9"/>
      <c r="B646" s="9"/>
      <c r="C646" s="9"/>
      <c r="D646" s="132" t="str">
        <f>Asset15</f>
        <v>Buildings</v>
      </c>
      <c r="E646" s="9"/>
      <c r="F646" s="9"/>
      <c r="G646" s="198">
        <f t="shared" si="39"/>
        <v>0</v>
      </c>
      <c r="H646" s="113">
        <f t="shared" ref="H646:Q646" si="45">H$238*H$7</f>
        <v>0</v>
      </c>
      <c r="I646" s="113">
        <f t="shared" si="45"/>
        <v>-0.10570862322090945</v>
      </c>
      <c r="J646" s="113">
        <f t="shared" si="45"/>
        <v>-0.27004998118630325</v>
      </c>
      <c r="K646" s="113">
        <f t="shared" si="45"/>
        <v>-0.29238258558447849</v>
      </c>
      <c r="L646" s="113">
        <f t="shared" si="45"/>
        <v>-0.31738623223235019</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5"/>
      <c r="AC646" s="225"/>
      <c r="AD646" s="225"/>
      <c r="AE646" s="225"/>
      <c r="AF646" s="225"/>
      <c r="AG646" s="225"/>
      <c r="AH646" s="225"/>
      <c r="AI646" s="225"/>
      <c r="AJ646" s="225"/>
      <c r="AK646" s="225"/>
      <c r="AL646" s="225"/>
      <c r="AM646" s="225"/>
      <c r="AN646" s="225"/>
      <c r="AO646" s="225"/>
      <c r="AP646" s="225"/>
      <c r="AQ646" s="225"/>
      <c r="AR646" s="225"/>
      <c r="AS646" s="225"/>
      <c r="AT646" s="225"/>
      <c r="AU646" s="225"/>
      <c r="AV646" s="225"/>
      <c r="AW646" s="225"/>
      <c r="AX646" s="225"/>
      <c r="AY646" s="225"/>
      <c r="AZ646" s="225"/>
      <c r="BA646" s="225"/>
      <c r="BB646" s="225"/>
      <c r="BC646" s="225"/>
      <c r="BD646" s="12"/>
      <c r="BE646" s="12"/>
      <c r="BF646" s="12"/>
      <c r="BG646" s="12"/>
      <c r="BH646" s="12"/>
      <c r="BI646" s="12"/>
      <c r="BJ646" s="12"/>
      <c r="BK646" s="12"/>
      <c r="BL646" s="12"/>
    </row>
    <row r="647" spans="1:64" ht="12" hidden="1" customHeight="1" outlineLevel="1">
      <c r="A647" s="9"/>
      <c r="B647" s="9"/>
      <c r="C647" s="9"/>
      <c r="D647" s="132" t="str">
        <f>Asset16</f>
        <v>Equity raising costs</v>
      </c>
      <c r="E647" s="9"/>
      <c r="F647" s="9"/>
      <c r="G647" s="198">
        <f t="shared" si="39"/>
        <v>0</v>
      </c>
      <c r="H647" s="113">
        <f t="shared" ref="H647:Q647" si="46">H$251*H$7</f>
        <v>0</v>
      </c>
      <c r="I647" s="113">
        <f t="shared" si="46"/>
        <v>-5.4977605973984926E-3</v>
      </c>
      <c r="J647" s="113">
        <f t="shared" si="46"/>
        <v>-5.6541842938238052E-3</v>
      </c>
      <c r="K647" s="113">
        <f t="shared" si="46"/>
        <v>-5.8458237962506245E-3</v>
      </c>
      <c r="L647" s="113">
        <f t="shared" si="46"/>
        <v>-5.94887281809337E-3</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5"/>
      <c r="AC647" s="225"/>
      <c r="AD647" s="225"/>
      <c r="AE647" s="225"/>
      <c r="AF647" s="225"/>
      <c r="AG647" s="225"/>
      <c r="AH647" s="225"/>
      <c r="AI647" s="225"/>
      <c r="AJ647" s="225"/>
      <c r="AK647" s="225"/>
      <c r="AL647" s="225"/>
      <c r="AM647" s="225"/>
      <c r="AN647" s="225"/>
      <c r="AO647" s="225"/>
      <c r="AP647" s="225"/>
      <c r="AQ647" s="225"/>
      <c r="AR647" s="225"/>
      <c r="AS647" s="225"/>
      <c r="AT647" s="225"/>
      <c r="AU647" s="225"/>
      <c r="AV647" s="225"/>
      <c r="AW647" s="225"/>
      <c r="AX647" s="225"/>
      <c r="AY647" s="225"/>
      <c r="AZ647" s="225"/>
      <c r="BA647" s="225"/>
      <c r="BB647" s="225"/>
      <c r="BC647" s="225"/>
      <c r="BD647" s="12"/>
      <c r="BE647" s="12"/>
      <c r="BF647" s="12"/>
      <c r="BG647" s="12"/>
      <c r="BH647" s="12"/>
      <c r="BI647" s="12"/>
      <c r="BJ647" s="12"/>
      <c r="BK647" s="12"/>
      <c r="BL647" s="12"/>
    </row>
    <row r="648" spans="1:64" ht="12" hidden="1" customHeight="1" outlineLevel="1">
      <c r="A648" s="9"/>
      <c r="B648" s="9"/>
      <c r="C648" s="9"/>
      <c r="D648" s="132">
        <f>Asset17</f>
        <v>0</v>
      </c>
      <c r="E648" s="9"/>
      <c r="F648" s="9"/>
      <c r="G648" s="198">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5"/>
      <c r="AC648" s="225"/>
      <c r="AD648" s="225"/>
      <c r="AE648" s="225"/>
      <c r="AF648" s="225"/>
      <c r="AG648" s="225"/>
      <c r="AH648" s="225"/>
      <c r="AI648" s="225"/>
      <c r="AJ648" s="225"/>
      <c r="AK648" s="225"/>
      <c r="AL648" s="225"/>
      <c r="AM648" s="225"/>
      <c r="AN648" s="225"/>
      <c r="AO648" s="225"/>
      <c r="AP648" s="225"/>
      <c r="AQ648" s="225"/>
      <c r="AR648" s="225"/>
      <c r="AS648" s="225"/>
      <c r="AT648" s="225"/>
      <c r="AU648" s="225"/>
      <c r="AV648" s="225"/>
      <c r="AW648" s="225"/>
      <c r="AX648" s="225"/>
      <c r="AY648" s="225"/>
      <c r="AZ648" s="225"/>
      <c r="BA648" s="225"/>
      <c r="BB648" s="225"/>
      <c r="BC648" s="225"/>
      <c r="BD648" s="12"/>
      <c r="BE648" s="12"/>
      <c r="BF648" s="12"/>
      <c r="BG648" s="12"/>
      <c r="BH648" s="12"/>
      <c r="BI648" s="12"/>
      <c r="BJ648" s="12"/>
      <c r="BK648" s="12"/>
      <c r="BL648" s="12"/>
    </row>
    <row r="649" spans="1:64" ht="12" hidden="1" customHeight="1" outlineLevel="1">
      <c r="A649" s="9"/>
      <c r="B649" s="9"/>
      <c r="C649" s="9"/>
      <c r="D649" s="132">
        <f>Asset18</f>
        <v>0</v>
      </c>
      <c r="E649" s="9"/>
      <c r="F649" s="9"/>
      <c r="G649" s="198">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5"/>
      <c r="AC649" s="225"/>
      <c r="AD649" s="225"/>
      <c r="AE649" s="225"/>
      <c r="AF649" s="225"/>
      <c r="AG649" s="225"/>
      <c r="AH649" s="225"/>
      <c r="AI649" s="225"/>
      <c r="AJ649" s="225"/>
      <c r="AK649" s="225"/>
      <c r="AL649" s="225"/>
      <c r="AM649" s="225"/>
      <c r="AN649" s="225"/>
      <c r="AO649" s="225"/>
      <c r="AP649" s="225"/>
      <c r="AQ649" s="225"/>
      <c r="AR649" s="225"/>
      <c r="AS649" s="225"/>
      <c r="AT649" s="225"/>
      <c r="AU649" s="225"/>
      <c r="AV649" s="225"/>
      <c r="AW649" s="225"/>
      <c r="AX649" s="225"/>
      <c r="AY649" s="225"/>
      <c r="AZ649" s="225"/>
      <c r="BA649" s="225"/>
      <c r="BB649" s="225"/>
      <c r="BC649" s="225"/>
      <c r="BD649" s="12"/>
      <c r="BE649" s="12"/>
      <c r="BF649" s="12"/>
      <c r="BG649" s="12"/>
      <c r="BH649" s="12"/>
      <c r="BI649" s="12"/>
      <c r="BJ649" s="12"/>
      <c r="BK649" s="12"/>
      <c r="BL649" s="12"/>
    </row>
    <row r="650" spans="1:64" ht="12" hidden="1" customHeight="1" outlineLevel="1">
      <c r="A650" s="9"/>
      <c r="B650" s="9"/>
      <c r="C650" s="9"/>
      <c r="D650" s="132">
        <f>Asset19</f>
        <v>0</v>
      </c>
      <c r="E650" s="9"/>
      <c r="F650" s="9"/>
      <c r="G650" s="198">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5"/>
      <c r="AC650" s="225"/>
      <c r="AD650" s="225"/>
      <c r="AE650" s="225"/>
      <c r="AF650" s="225"/>
      <c r="AG650" s="225"/>
      <c r="AH650" s="225"/>
      <c r="AI650" s="225"/>
      <c r="AJ650" s="225"/>
      <c r="AK650" s="225"/>
      <c r="AL650" s="225"/>
      <c r="AM650" s="225"/>
      <c r="AN650" s="225"/>
      <c r="AO650" s="225"/>
      <c r="AP650" s="225"/>
      <c r="AQ650" s="225"/>
      <c r="AR650" s="225"/>
      <c r="AS650" s="225"/>
      <c r="AT650" s="225"/>
      <c r="AU650" s="225"/>
      <c r="AV650" s="225"/>
      <c r="AW650" s="225"/>
      <c r="AX650" s="225"/>
      <c r="AY650" s="225"/>
      <c r="AZ650" s="225"/>
      <c r="BA650" s="225"/>
      <c r="BB650" s="225"/>
      <c r="BC650" s="225"/>
      <c r="BD650" s="12"/>
      <c r="BE650" s="12"/>
      <c r="BF650" s="12"/>
      <c r="BG650" s="12"/>
      <c r="BH650" s="12"/>
      <c r="BI650" s="12"/>
      <c r="BJ650" s="12"/>
      <c r="BK650" s="12"/>
      <c r="BL650" s="12"/>
    </row>
    <row r="651" spans="1:64" ht="12" hidden="1" customHeight="1" outlineLevel="1">
      <c r="A651" s="9"/>
      <c r="B651" s="9"/>
      <c r="C651" s="9"/>
      <c r="D651" s="132">
        <f>Asset20</f>
        <v>0</v>
      </c>
      <c r="E651" s="9"/>
      <c r="F651" s="9"/>
      <c r="G651" s="198">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5"/>
      <c r="AC651" s="225"/>
      <c r="AD651" s="225"/>
      <c r="AE651" s="225"/>
      <c r="AF651" s="225"/>
      <c r="AG651" s="225"/>
      <c r="AH651" s="225"/>
      <c r="AI651" s="225"/>
      <c r="AJ651" s="225"/>
      <c r="AK651" s="225"/>
      <c r="AL651" s="225"/>
      <c r="AM651" s="225"/>
      <c r="AN651" s="225"/>
      <c r="AO651" s="225"/>
      <c r="AP651" s="225"/>
      <c r="AQ651" s="225"/>
      <c r="AR651" s="225"/>
      <c r="AS651" s="225"/>
      <c r="AT651" s="225"/>
      <c r="AU651" s="225"/>
      <c r="AV651" s="225"/>
      <c r="AW651" s="225"/>
      <c r="AX651" s="225"/>
      <c r="AY651" s="225"/>
      <c r="AZ651" s="225"/>
      <c r="BA651" s="225"/>
      <c r="BB651" s="225"/>
      <c r="BC651" s="225"/>
      <c r="BD651" s="12"/>
      <c r="BE651" s="12"/>
      <c r="BF651" s="12"/>
      <c r="BG651" s="12"/>
      <c r="BH651" s="12"/>
      <c r="BI651" s="12"/>
      <c r="BJ651" s="12"/>
      <c r="BK651" s="12"/>
      <c r="BL651" s="12"/>
    </row>
    <row r="652" spans="1:64" hidden="1" outlineLevel="1">
      <c r="A652" s="9"/>
      <c r="B652" s="9"/>
      <c r="C652" s="9"/>
      <c r="D652" s="132">
        <f>Asset21</f>
        <v>0</v>
      </c>
      <c r="E652" s="9"/>
      <c r="F652" s="9"/>
      <c r="G652" s="198">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9"/>
      <c r="BE652" s="9"/>
      <c r="BF652" s="9"/>
      <c r="BG652" s="9"/>
      <c r="BH652" s="9"/>
      <c r="BI652" s="9"/>
      <c r="BJ652" s="9"/>
      <c r="BK652" s="9"/>
      <c r="BL652" s="9"/>
    </row>
    <row r="653" spans="1:64" hidden="1" outlineLevel="1">
      <c r="A653" s="9"/>
      <c r="B653" s="9"/>
      <c r="C653" s="9"/>
      <c r="D653" s="132">
        <f>Asset22</f>
        <v>0</v>
      </c>
      <c r="E653" s="9"/>
      <c r="F653" s="9"/>
      <c r="G653" s="198">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9"/>
      <c r="BE653" s="9"/>
      <c r="BF653" s="9"/>
      <c r="BG653" s="9"/>
      <c r="BH653" s="9"/>
      <c r="BI653" s="9"/>
      <c r="BJ653" s="9"/>
      <c r="BK653" s="9"/>
      <c r="BL653" s="9"/>
    </row>
    <row r="654" spans="1:64" hidden="1" outlineLevel="1">
      <c r="A654" s="9"/>
      <c r="B654" s="9"/>
      <c r="C654" s="9"/>
      <c r="D654" s="132">
        <f>Asset23</f>
        <v>0</v>
      </c>
      <c r="E654" s="9"/>
      <c r="F654" s="9"/>
      <c r="G654" s="198">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9"/>
      <c r="BE654" s="9"/>
      <c r="BF654" s="9"/>
      <c r="BG654" s="9"/>
      <c r="BH654" s="9"/>
      <c r="BI654" s="9"/>
      <c r="BJ654" s="9"/>
      <c r="BK654" s="9"/>
      <c r="BL654" s="9"/>
    </row>
    <row r="655" spans="1:64" hidden="1" outlineLevel="1">
      <c r="A655" s="9"/>
      <c r="B655" s="9"/>
      <c r="C655" s="9"/>
      <c r="D655" s="132">
        <f>Asset24</f>
        <v>0</v>
      </c>
      <c r="E655" s="9"/>
      <c r="F655" s="9"/>
      <c r="G655" s="198">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9"/>
      <c r="BE655" s="9"/>
      <c r="BF655" s="9"/>
      <c r="BG655" s="9"/>
      <c r="BH655" s="9"/>
      <c r="BI655" s="9"/>
      <c r="BJ655" s="9"/>
      <c r="BK655" s="9"/>
      <c r="BL655" s="9"/>
    </row>
    <row r="656" spans="1:64" hidden="1" outlineLevel="1">
      <c r="A656" s="9"/>
      <c r="B656" s="9"/>
      <c r="C656" s="9"/>
      <c r="D656" s="132">
        <f>Asset25</f>
        <v>0</v>
      </c>
      <c r="E656" s="9"/>
      <c r="F656" s="9"/>
      <c r="G656" s="198">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9"/>
      <c r="BE656" s="9"/>
      <c r="BF656" s="9"/>
      <c r="BG656" s="9"/>
      <c r="BH656" s="9"/>
      <c r="BI656" s="9"/>
      <c r="BJ656" s="9"/>
      <c r="BK656" s="9"/>
      <c r="BL656" s="9"/>
    </row>
    <row r="657" spans="1:64" hidden="1" outlineLevel="1">
      <c r="A657" s="9"/>
      <c r="B657" s="9"/>
      <c r="C657" s="9"/>
      <c r="D657" s="132">
        <f>Asset26</f>
        <v>0</v>
      </c>
      <c r="E657" s="9"/>
      <c r="F657" s="9"/>
      <c r="G657" s="198">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9"/>
      <c r="BE657" s="9"/>
      <c r="BF657" s="9"/>
      <c r="BG657" s="9"/>
      <c r="BH657" s="9"/>
      <c r="BI657" s="9"/>
      <c r="BJ657" s="9"/>
      <c r="BK657" s="9"/>
      <c r="BL657" s="9"/>
    </row>
    <row r="658" spans="1:64" hidden="1" outlineLevel="1">
      <c r="A658" s="9"/>
      <c r="B658" s="9"/>
      <c r="C658" s="9"/>
      <c r="D658" s="132">
        <f>Asset27</f>
        <v>0</v>
      </c>
      <c r="E658" s="9"/>
      <c r="F658" s="9"/>
      <c r="G658" s="198">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9"/>
      <c r="BE658" s="9"/>
      <c r="BF658" s="9"/>
      <c r="BG658" s="9"/>
      <c r="BH658" s="9"/>
      <c r="BI658" s="9"/>
      <c r="BJ658" s="9"/>
      <c r="BK658" s="9"/>
      <c r="BL658" s="9"/>
    </row>
    <row r="659" spans="1:64" hidden="1" outlineLevel="1">
      <c r="A659" s="9"/>
      <c r="B659" s="9"/>
      <c r="C659" s="9"/>
      <c r="D659" s="132">
        <f>Asset28</f>
        <v>0</v>
      </c>
      <c r="E659" s="9"/>
      <c r="F659" s="9"/>
      <c r="G659" s="198">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9"/>
      <c r="BE659" s="9"/>
      <c r="BF659" s="9"/>
      <c r="BG659" s="9"/>
      <c r="BH659" s="9"/>
      <c r="BI659" s="9"/>
      <c r="BJ659" s="9"/>
      <c r="BK659" s="9"/>
      <c r="BL659" s="9"/>
    </row>
    <row r="660" spans="1:64" hidden="1" outlineLevel="1">
      <c r="A660" s="9"/>
      <c r="B660" s="9"/>
      <c r="C660" s="9"/>
      <c r="D660" s="132">
        <f>Asset29</f>
        <v>0</v>
      </c>
      <c r="E660" s="9"/>
      <c r="F660" s="9"/>
      <c r="G660" s="198">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9"/>
      <c r="BE660" s="9"/>
      <c r="BF660" s="9"/>
      <c r="BG660" s="9"/>
      <c r="BH660" s="9"/>
      <c r="BI660" s="9"/>
      <c r="BJ660" s="9"/>
      <c r="BK660" s="9"/>
      <c r="BL660" s="9"/>
    </row>
    <row r="661" spans="1:64" hidden="1" outlineLevel="1">
      <c r="A661" s="9"/>
      <c r="B661" s="9"/>
      <c r="C661" s="9"/>
      <c r="D661" s="132">
        <f>Asset30</f>
        <v>0</v>
      </c>
      <c r="E661" s="9"/>
      <c r="F661" s="9"/>
      <c r="G661" s="198">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9"/>
      <c r="BE661" s="9"/>
      <c r="BF661" s="9"/>
      <c r="BG661" s="9"/>
      <c r="BH661" s="9"/>
      <c r="BI661" s="9"/>
      <c r="BJ661" s="9"/>
      <c r="BK661" s="9"/>
      <c r="BL661" s="9"/>
    </row>
    <row r="662" spans="1:64" hidden="1" outlineLevel="1">
      <c r="A662" s="9"/>
      <c r="B662" s="9"/>
      <c r="C662" s="9"/>
      <c r="D662" s="132"/>
      <c r="E662" s="9"/>
      <c r="F662" s="9"/>
      <c r="G662" s="198"/>
      <c r="H662" s="113"/>
      <c r="I662" s="113"/>
      <c r="J662" s="113"/>
      <c r="K662" s="113"/>
      <c r="L662" s="113"/>
      <c r="M662" s="113"/>
      <c r="N662" s="113"/>
      <c r="O662" s="113"/>
      <c r="P662" s="113"/>
      <c r="Q662" s="113"/>
      <c r="R662" s="9"/>
      <c r="S662" s="9"/>
      <c r="T662" s="9"/>
      <c r="U662" s="9"/>
      <c r="V662" s="9"/>
      <c r="W662" s="9"/>
      <c r="X662" s="9"/>
      <c r="Y662" s="9"/>
      <c r="Z662" s="9"/>
      <c r="AA662" s="9"/>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9"/>
      <c r="BE662" s="9"/>
      <c r="BF662" s="9"/>
      <c r="BG662" s="9"/>
      <c r="BH662" s="9"/>
      <c r="BI662" s="9"/>
      <c r="BJ662" s="9"/>
      <c r="BK662" s="9"/>
      <c r="BL662" s="9"/>
    </row>
    <row r="663" spans="1:64" hidden="1" outlineLevel="1">
      <c r="A663" s="9"/>
      <c r="B663" s="9"/>
      <c r="C663" s="9"/>
      <c r="D663" s="132"/>
      <c r="E663" s="9"/>
      <c r="F663" s="9"/>
      <c r="G663" s="198"/>
      <c r="H663" s="113"/>
      <c r="I663" s="113"/>
      <c r="J663" s="113"/>
      <c r="K663" s="113"/>
      <c r="L663" s="113"/>
      <c r="M663" s="113"/>
      <c r="N663" s="113"/>
      <c r="O663" s="113"/>
      <c r="P663" s="113"/>
      <c r="Q663" s="113"/>
      <c r="R663" s="9"/>
      <c r="S663" s="9"/>
      <c r="T663" s="9"/>
      <c r="U663" s="9"/>
      <c r="V663" s="9"/>
      <c r="W663" s="9"/>
      <c r="X663" s="9"/>
      <c r="Y663" s="9"/>
      <c r="Z663" s="9"/>
      <c r="AA663" s="9"/>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9"/>
      <c r="BE663" s="9"/>
      <c r="BF663" s="9"/>
      <c r="BG663" s="9"/>
      <c r="BH663" s="9"/>
      <c r="BI663" s="9"/>
      <c r="BJ663" s="9"/>
      <c r="BK663" s="9"/>
      <c r="BL663" s="9"/>
    </row>
    <row r="664" spans="1:64" collapsed="1">
      <c r="A664" s="9"/>
      <c r="B664" s="9"/>
      <c r="C664" s="9"/>
      <c r="D664" s="9"/>
      <c r="E664" s="9"/>
      <c r="F664" s="9"/>
      <c r="G664" s="198"/>
      <c r="H664" s="9"/>
      <c r="I664" s="9"/>
      <c r="J664" s="9"/>
      <c r="K664" s="9"/>
      <c r="L664" s="9"/>
      <c r="M664" s="9"/>
      <c r="N664" s="9"/>
      <c r="O664" s="9"/>
      <c r="P664" s="9"/>
      <c r="Q664" s="9"/>
      <c r="R664" s="9"/>
      <c r="S664" s="9"/>
      <c r="T664" s="9"/>
      <c r="U664" s="9"/>
      <c r="V664" s="9"/>
      <c r="W664" s="9"/>
      <c r="X664" s="9"/>
      <c r="Y664" s="9"/>
      <c r="Z664" s="9"/>
      <c r="AA664" s="9"/>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9"/>
      <c r="BE664" s="9"/>
      <c r="BF664" s="9"/>
      <c r="BG664" s="9"/>
      <c r="BH664" s="9"/>
      <c r="BI664" s="9"/>
      <c r="BJ664" s="9"/>
      <c r="BK664" s="9"/>
      <c r="BL664" s="9"/>
    </row>
    <row r="665" spans="1:64" ht="12" customHeight="1">
      <c r="A665" s="9"/>
      <c r="B665" s="12"/>
      <c r="C665" s="91" t="s">
        <v>47</v>
      </c>
      <c r="D665" s="12"/>
      <c r="E665" s="12"/>
      <c r="F665" s="12"/>
      <c r="G665" s="202">
        <f>SUM(G666:G695)</f>
        <v>21.688362860849853</v>
      </c>
      <c r="H665" s="123">
        <f>SUM(H666:H695)</f>
        <v>9.5243004697110223</v>
      </c>
      <c r="I665" s="123">
        <f>SUM(I666:I695)</f>
        <v>15.923251336704928</v>
      </c>
      <c r="J665" s="123">
        <f t="shared" ref="J665:Q665" si="62">SUM(J666:J695)</f>
        <v>20.463492329053512</v>
      </c>
      <c r="K665" s="123">
        <f t="shared" si="62"/>
        <v>11.301779035394983</v>
      </c>
      <c r="L665" s="123">
        <f t="shared" si="62"/>
        <v>16.227019550401408</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5"/>
      <c r="AC665" s="225"/>
      <c r="AD665" s="225"/>
      <c r="AE665" s="225"/>
      <c r="AF665" s="225"/>
      <c r="AG665" s="225"/>
      <c r="AH665" s="225"/>
      <c r="AI665" s="225"/>
      <c r="AJ665" s="225"/>
      <c r="AK665" s="225"/>
      <c r="AL665" s="225"/>
      <c r="AM665" s="225"/>
      <c r="AN665" s="225"/>
      <c r="AO665" s="225"/>
      <c r="AP665" s="225"/>
      <c r="AQ665" s="225"/>
      <c r="AR665" s="225"/>
      <c r="AS665" s="225"/>
      <c r="AT665" s="225"/>
      <c r="AU665" s="225"/>
      <c r="AV665" s="225"/>
      <c r="AW665" s="225"/>
      <c r="AX665" s="225"/>
      <c r="AY665" s="225"/>
      <c r="AZ665" s="225"/>
      <c r="BA665" s="225"/>
      <c r="BB665" s="225"/>
      <c r="BC665" s="225"/>
      <c r="BD665" s="12"/>
      <c r="BE665" s="12"/>
      <c r="BF665" s="12"/>
      <c r="BG665" s="12"/>
      <c r="BH665" s="12"/>
      <c r="BI665" s="12"/>
      <c r="BJ665" s="12"/>
      <c r="BK665" s="12"/>
      <c r="BL665" s="12"/>
    </row>
    <row r="666" spans="1:64" ht="12" hidden="1" customHeight="1" outlineLevel="1">
      <c r="A666" s="9"/>
      <c r="B666" s="9"/>
      <c r="C666" s="9"/>
      <c r="D666" s="132" t="str">
        <f>Asset1</f>
        <v>Opening Distribution Assets</v>
      </c>
      <c r="E666" s="9"/>
      <c r="F666" s="9"/>
      <c r="G666" s="198">
        <f>G438*G$6</f>
        <v>21.688362860849853</v>
      </c>
      <c r="H666" s="113">
        <f>H438*H$6</f>
        <v>9.5243004697110223</v>
      </c>
      <c r="I666" s="113">
        <f t="shared" ref="I666:Q666" si="63">I438*I$6</f>
        <v>14.40095001451615</v>
      </c>
      <c r="J666" s="113">
        <f t="shared" si="63"/>
        <v>16.7229747034628</v>
      </c>
      <c r="K666" s="113">
        <f t="shared" si="63"/>
        <v>8.5001913264848348</v>
      </c>
      <c r="L666" s="113">
        <f t="shared" si="63"/>
        <v>11.314545284719397</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5"/>
      <c r="AC666" s="225"/>
      <c r="AD666" s="225"/>
      <c r="AE666" s="225"/>
      <c r="AF666" s="225"/>
      <c r="AG666" s="225"/>
      <c r="AH666" s="225"/>
      <c r="AI666" s="225"/>
      <c r="AJ666" s="225"/>
      <c r="AK666" s="225"/>
      <c r="AL666" s="225"/>
      <c r="AM666" s="225"/>
      <c r="AN666" s="225"/>
      <c r="AO666" s="225"/>
      <c r="AP666" s="225"/>
      <c r="AQ666" s="225"/>
      <c r="AR666" s="225"/>
      <c r="AS666" s="225"/>
      <c r="AT666" s="225"/>
      <c r="AU666" s="225"/>
      <c r="AV666" s="225"/>
      <c r="AW666" s="225"/>
      <c r="AX666" s="225"/>
      <c r="AY666" s="225"/>
      <c r="AZ666" s="225"/>
      <c r="BA666" s="225"/>
      <c r="BB666" s="225"/>
      <c r="BC666" s="225"/>
      <c r="BD666" s="12"/>
      <c r="BE666" s="12"/>
      <c r="BF666" s="12"/>
      <c r="BG666" s="12"/>
      <c r="BH666" s="12"/>
      <c r="BI666" s="12"/>
      <c r="BJ666" s="12"/>
      <c r="BK666" s="12"/>
      <c r="BL666" s="12"/>
    </row>
    <row r="667" spans="1:64" hidden="1" outlineLevel="1">
      <c r="A667" s="9"/>
      <c r="B667" s="9"/>
      <c r="C667" s="9"/>
      <c r="D667" s="132" t="str">
        <f>Asset2</f>
        <v>Sub-transmission Overhead</v>
      </c>
      <c r="E667" s="9"/>
      <c r="F667" s="9"/>
      <c r="G667" s="198">
        <f t="shared" ref="G667:H695" si="64">G439*G$6</f>
        <v>0</v>
      </c>
      <c r="H667" s="113">
        <f t="shared" si="64"/>
        <v>0</v>
      </c>
      <c r="I667" s="113">
        <f t="shared" ref="I667:Q667" si="65">I439*I$6</f>
        <v>0</v>
      </c>
      <c r="J667" s="113">
        <f t="shared" si="65"/>
        <v>0</v>
      </c>
      <c r="K667" s="113">
        <f t="shared" si="65"/>
        <v>0</v>
      </c>
      <c r="L667" s="113">
        <f t="shared" si="65"/>
        <v>0</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2"/>
      <c r="BE667" s="102"/>
      <c r="BF667" s="102"/>
      <c r="BG667" s="102"/>
      <c r="BH667" s="102"/>
      <c r="BI667" s="102"/>
      <c r="BJ667" s="102"/>
      <c r="BK667" s="12"/>
      <c r="BL667" s="12"/>
    </row>
    <row r="668" spans="1:64" ht="12" hidden="1" customHeight="1" outlineLevel="1">
      <c r="A668" s="9"/>
      <c r="B668" s="9"/>
      <c r="C668" s="9"/>
      <c r="D668" s="132" t="str">
        <f>Asset3</f>
        <v>Sub-transmission Underground</v>
      </c>
      <c r="E668" s="9"/>
      <c r="F668" s="9"/>
      <c r="G668" s="198">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12"/>
      <c r="BE668" s="12"/>
      <c r="BF668" s="12"/>
      <c r="BG668" s="12"/>
      <c r="BH668" s="12"/>
      <c r="BI668" s="12"/>
      <c r="BJ668" s="12"/>
      <c r="BK668" s="12"/>
      <c r="BL668" s="12"/>
    </row>
    <row r="669" spans="1:64" ht="12" hidden="1" customHeight="1" outlineLevel="1">
      <c r="A669" s="9"/>
      <c r="B669" s="9"/>
      <c r="C669" s="9"/>
      <c r="D669" s="132" t="str">
        <f>Asset4</f>
        <v>Zone Substation</v>
      </c>
      <c r="E669" s="9"/>
      <c r="F669" s="9"/>
      <c r="G669" s="198">
        <f t="shared" si="64"/>
        <v>0</v>
      </c>
      <c r="H669" s="113">
        <f t="shared" si="64"/>
        <v>0</v>
      </c>
      <c r="I669" s="113">
        <f t="shared" ref="I669:Q669" si="67">I441*I$6</f>
        <v>2.3458097537018014E-2</v>
      </c>
      <c r="J669" s="113">
        <f t="shared" si="67"/>
        <v>2.831449590646571E-2</v>
      </c>
      <c r="K669" s="113">
        <f t="shared" si="67"/>
        <v>1.484105133942833E-2</v>
      </c>
      <c r="L669" s="113">
        <f t="shared" si="67"/>
        <v>3.9890677310117854E-2</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5"/>
      <c r="AC669" s="225"/>
      <c r="AD669" s="225"/>
      <c r="AE669" s="225"/>
      <c r="AF669" s="225"/>
      <c r="AG669" s="225"/>
      <c r="AH669" s="225"/>
      <c r="AI669" s="225"/>
      <c r="AJ669" s="225"/>
      <c r="AK669" s="225"/>
      <c r="AL669" s="225"/>
      <c r="AM669" s="225"/>
      <c r="AN669" s="225"/>
      <c r="AO669" s="225"/>
      <c r="AP669" s="225"/>
      <c r="AQ669" s="225"/>
      <c r="AR669" s="225"/>
      <c r="AS669" s="225"/>
      <c r="AT669" s="225"/>
      <c r="AU669" s="225"/>
      <c r="AV669" s="225"/>
      <c r="AW669" s="225"/>
      <c r="AX669" s="225"/>
      <c r="AY669" s="225"/>
      <c r="AZ669" s="225"/>
      <c r="BA669" s="225"/>
      <c r="BB669" s="225"/>
      <c r="BC669" s="225"/>
      <c r="BD669" s="12"/>
      <c r="BE669" s="12"/>
      <c r="BF669" s="12"/>
      <c r="BG669" s="12"/>
      <c r="BH669" s="12"/>
      <c r="BI669" s="12"/>
      <c r="BJ669" s="12"/>
      <c r="BK669" s="12"/>
      <c r="BL669" s="12"/>
    </row>
    <row r="670" spans="1:64" ht="12" hidden="1" customHeight="1" outlineLevel="1">
      <c r="A670" s="9"/>
      <c r="B670" s="9"/>
      <c r="C670" s="9"/>
      <c r="D670" s="132" t="str">
        <f>Asset5</f>
        <v>Distribution Substations</v>
      </c>
      <c r="E670" s="9"/>
      <c r="F670" s="9"/>
      <c r="G670" s="198">
        <f t="shared" si="64"/>
        <v>0</v>
      </c>
      <c r="H670" s="113">
        <f t="shared" si="64"/>
        <v>0</v>
      </c>
      <c r="I670" s="113">
        <f t="shared" ref="I670:Q670" si="68">I442*I$6</f>
        <v>0.29462397153345593</v>
      </c>
      <c r="J670" s="113">
        <f t="shared" si="68"/>
        <v>0.76709622050106163</v>
      </c>
      <c r="K670" s="113">
        <f t="shared" si="68"/>
        <v>0.59320275232963326</v>
      </c>
      <c r="L670" s="113">
        <f t="shared" si="68"/>
        <v>1.0047616484608952</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5"/>
      <c r="AC670" s="225"/>
      <c r="AD670" s="225"/>
      <c r="AE670" s="225"/>
      <c r="AF670" s="225"/>
      <c r="AG670" s="225"/>
      <c r="AH670" s="225"/>
      <c r="AI670" s="225"/>
      <c r="AJ670" s="225"/>
      <c r="AK670" s="225"/>
      <c r="AL670" s="225"/>
      <c r="AM670" s="225"/>
      <c r="AN670" s="225"/>
      <c r="AO670" s="225"/>
      <c r="AP670" s="225"/>
      <c r="AQ670" s="225"/>
      <c r="AR670" s="225"/>
      <c r="AS670" s="225"/>
      <c r="AT670" s="225"/>
      <c r="AU670" s="225"/>
      <c r="AV670" s="225"/>
      <c r="AW670" s="225"/>
      <c r="AX670" s="225"/>
      <c r="AY670" s="225"/>
      <c r="AZ670" s="225"/>
      <c r="BA670" s="225"/>
      <c r="BB670" s="225"/>
      <c r="BC670" s="225"/>
      <c r="BD670" s="12"/>
      <c r="BE670" s="12"/>
      <c r="BF670" s="12"/>
      <c r="BG670" s="12"/>
      <c r="BH670" s="12"/>
      <c r="BI670" s="12"/>
      <c r="BJ670" s="12"/>
      <c r="BK670" s="12"/>
      <c r="BL670" s="12"/>
    </row>
    <row r="671" spans="1:64" hidden="1" outlineLevel="1">
      <c r="A671" s="9"/>
      <c r="B671" s="9"/>
      <c r="C671" s="9"/>
      <c r="D671" s="132" t="str">
        <f>Asset6</f>
        <v>Distribution Overhead Lines</v>
      </c>
      <c r="E671" s="9"/>
      <c r="F671" s="9"/>
      <c r="G671" s="198">
        <f t="shared" si="64"/>
        <v>0</v>
      </c>
      <c r="H671" s="113">
        <f t="shared" si="64"/>
        <v>0</v>
      </c>
      <c r="I671" s="113">
        <f t="shared" ref="I671:Q671" si="69">I443*I$6</f>
        <v>0.32019928952181026</v>
      </c>
      <c r="J671" s="113">
        <f t="shared" si="69"/>
        <v>0.82524092516225389</v>
      </c>
      <c r="K671" s="113">
        <f t="shared" si="69"/>
        <v>0.68769352866096245</v>
      </c>
      <c r="L671" s="113">
        <f t="shared" si="69"/>
        <v>1.2308017766875539</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5"/>
      <c r="AC671" s="225"/>
      <c r="AD671" s="225"/>
      <c r="AE671" s="225"/>
      <c r="AF671" s="225"/>
      <c r="AG671" s="225"/>
      <c r="AH671" s="225"/>
      <c r="AI671" s="225"/>
      <c r="AJ671" s="225"/>
      <c r="AK671" s="225"/>
      <c r="AL671" s="225"/>
      <c r="AM671" s="225"/>
      <c r="AN671" s="225"/>
      <c r="AO671" s="225"/>
      <c r="AP671" s="225"/>
      <c r="AQ671" s="225"/>
      <c r="AR671" s="225"/>
      <c r="AS671" s="225"/>
      <c r="AT671" s="225"/>
      <c r="AU671" s="225"/>
      <c r="AV671" s="225"/>
      <c r="AW671" s="225"/>
      <c r="AX671" s="225"/>
      <c r="AY671" s="225"/>
      <c r="AZ671" s="225"/>
      <c r="BA671" s="225"/>
      <c r="BB671" s="225"/>
      <c r="BC671" s="225"/>
      <c r="BD671" s="12"/>
      <c r="BE671" s="12"/>
      <c r="BF671" s="12"/>
      <c r="BG671" s="12"/>
      <c r="BH671" s="12"/>
      <c r="BI671" s="12"/>
      <c r="BJ671" s="12"/>
      <c r="BK671" s="12"/>
      <c r="BL671" s="12"/>
    </row>
    <row r="672" spans="1:64" hidden="1" outlineLevel="1">
      <c r="A672" s="9"/>
      <c r="B672" s="9"/>
      <c r="C672" s="9"/>
      <c r="D672" s="132" t="str">
        <f>Asset7</f>
        <v>Distribution Underground Lines</v>
      </c>
      <c r="E672" s="9"/>
      <c r="F672" s="9"/>
      <c r="G672" s="198">
        <f t="shared" si="64"/>
        <v>0</v>
      </c>
      <c r="H672" s="113">
        <f t="shared" si="64"/>
        <v>0</v>
      </c>
      <c r="I672" s="113">
        <f t="shared" ref="I672:Q672" si="70">I444*I$6</f>
        <v>0.43756750843441999</v>
      </c>
      <c r="J672" s="113">
        <f t="shared" si="70"/>
        <v>1.1029683945422846</v>
      </c>
      <c r="K672" s="113">
        <f t="shared" si="70"/>
        <v>0.89395470506472285</v>
      </c>
      <c r="L672" s="113">
        <f t="shared" si="70"/>
        <v>1.4654508707128153</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9"/>
      <c r="BE672" s="9"/>
      <c r="BF672" s="9"/>
      <c r="BG672" s="9"/>
      <c r="BH672" s="9"/>
      <c r="BI672" s="9"/>
      <c r="BJ672" s="9"/>
      <c r="BK672" s="9"/>
      <c r="BL672" s="9"/>
    </row>
    <row r="673" spans="1:64" hidden="1" outlineLevel="1">
      <c r="A673" s="9"/>
      <c r="B673" s="9"/>
      <c r="C673" s="9"/>
      <c r="D673" s="132" t="str">
        <f>Asset8</f>
        <v>IT &amp; Communication Systems (Networks)</v>
      </c>
      <c r="E673" s="9"/>
      <c r="F673" s="9"/>
      <c r="G673" s="198">
        <f t="shared" si="64"/>
        <v>0</v>
      </c>
      <c r="H673" s="113">
        <f t="shared" si="64"/>
        <v>0</v>
      </c>
      <c r="I673" s="113">
        <f t="shared" ref="I673:Q673" si="71">I445*I$6</f>
        <v>3.5643221164213812E-2</v>
      </c>
      <c r="J673" s="113">
        <f t="shared" si="71"/>
        <v>6.9342998385596294E-2</v>
      </c>
      <c r="K673" s="113">
        <f t="shared" si="71"/>
        <v>7.73306170576189E-2</v>
      </c>
      <c r="L673" s="113">
        <f t="shared" si="71"/>
        <v>0.25840008620656757</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9"/>
      <c r="BE673" s="9"/>
      <c r="BF673" s="9"/>
      <c r="BG673" s="9"/>
      <c r="BH673" s="9"/>
      <c r="BI673" s="9"/>
      <c r="BJ673" s="9"/>
      <c r="BK673" s="9"/>
      <c r="BL673" s="9"/>
    </row>
    <row r="674" spans="1:64" hidden="1" outlineLevel="1">
      <c r="A674" s="9"/>
      <c r="B674" s="9"/>
      <c r="C674" s="9"/>
      <c r="D674" s="132" t="str">
        <f>Asset9</f>
        <v>Motor Vehicles</v>
      </c>
      <c r="E674" s="9"/>
      <c r="F674" s="9"/>
      <c r="G674" s="198">
        <f t="shared" si="64"/>
        <v>0</v>
      </c>
      <c r="H674" s="113">
        <f t="shared" si="64"/>
        <v>0</v>
      </c>
      <c r="I674" s="113">
        <f t="shared" ref="I674:Q674" si="72">I446*I$6</f>
        <v>0</v>
      </c>
      <c r="J674" s="113">
        <f t="shared" si="72"/>
        <v>0</v>
      </c>
      <c r="K674" s="113">
        <f t="shared" si="72"/>
        <v>1.0421357747877693E-2</v>
      </c>
      <c r="L674" s="113">
        <f t="shared" si="72"/>
        <v>0.11448345849404627</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9"/>
      <c r="BE674" s="9"/>
      <c r="BF674" s="9"/>
      <c r="BG674" s="9"/>
      <c r="BH674" s="9"/>
      <c r="BI674" s="9"/>
      <c r="BJ674" s="9"/>
      <c r="BK674" s="9"/>
      <c r="BL674" s="9"/>
    </row>
    <row r="675" spans="1:64" hidden="1" outlineLevel="1">
      <c r="A675" s="9"/>
      <c r="B675" s="9"/>
      <c r="C675" s="9"/>
      <c r="D675" s="132" t="str">
        <f>Asset10</f>
        <v>Other Non-System Assets (Networks)</v>
      </c>
      <c r="E675" s="9"/>
      <c r="F675" s="9"/>
      <c r="G675" s="198">
        <f t="shared" si="64"/>
        <v>0</v>
      </c>
      <c r="H675" s="113">
        <f t="shared" si="64"/>
        <v>0</v>
      </c>
      <c r="I675" s="113">
        <f t="shared" ref="I675:Q675" si="73">I447*I$6</f>
        <v>2.7837373976276211E-2</v>
      </c>
      <c r="J675" s="113">
        <f t="shared" si="73"/>
        <v>4.4256989197199906E-2</v>
      </c>
      <c r="K675" s="113">
        <f t="shared" si="73"/>
        <v>2.5412825852402315E-2</v>
      </c>
      <c r="L675" s="113">
        <f t="shared" si="73"/>
        <v>4.088169031944084E-2</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9"/>
      <c r="BE675" s="9"/>
      <c r="BF675" s="9"/>
      <c r="BG675" s="9"/>
      <c r="BH675" s="9"/>
      <c r="BI675" s="9"/>
      <c r="BJ675" s="9"/>
      <c r="BK675" s="9"/>
      <c r="BL675" s="9"/>
    </row>
    <row r="676" spans="1:64" hidden="1" outlineLevel="1">
      <c r="A676" s="9"/>
      <c r="B676" s="9"/>
      <c r="C676" s="9"/>
      <c r="D676" s="132" t="str">
        <f>Asset11</f>
        <v>IT Systems (Corporate)</v>
      </c>
      <c r="E676" s="9"/>
      <c r="F676" s="9"/>
      <c r="G676" s="198">
        <f t="shared" si="64"/>
        <v>0</v>
      </c>
      <c r="H676" s="113">
        <f t="shared" si="64"/>
        <v>0</v>
      </c>
      <c r="I676" s="113">
        <f t="shared" ref="I676:Q676" si="74">I448*I$6</f>
        <v>2.6344921504720221E-2</v>
      </c>
      <c r="J676" s="113">
        <f t="shared" si="74"/>
        <v>3.5453558772498131E-2</v>
      </c>
      <c r="K676" s="113">
        <f t="shared" si="74"/>
        <v>4.0327251635695512E-2</v>
      </c>
      <c r="L676" s="113">
        <f t="shared" si="74"/>
        <v>0.11429593945313661</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9"/>
      <c r="BE676" s="9"/>
      <c r="BF676" s="9"/>
      <c r="BG676" s="9"/>
      <c r="BH676" s="9"/>
      <c r="BI676" s="9"/>
      <c r="BJ676" s="9"/>
      <c r="BK676" s="9"/>
      <c r="BL676" s="9"/>
    </row>
    <row r="677" spans="1:64" hidden="1" outlineLevel="1">
      <c r="A677" s="9"/>
      <c r="B677" s="9"/>
      <c r="C677" s="9"/>
      <c r="D677" s="132" t="str">
        <f>Asset12</f>
        <v>Telecommunications (Corporate)</v>
      </c>
      <c r="E677" s="9"/>
      <c r="F677" s="9"/>
      <c r="G677" s="198">
        <f t="shared" si="64"/>
        <v>0</v>
      </c>
      <c r="H677" s="113">
        <f t="shared" si="64"/>
        <v>0</v>
      </c>
      <c r="I677" s="113">
        <f t="shared" ref="I677:Q677" si="75">I449*I$6</f>
        <v>7.2671344456603729E-3</v>
      </c>
      <c r="J677" s="113">
        <f t="shared" si="75"/>
        <v>1.0051902933654747E-2</v>
      </c>
      <c r="K677" s="113">
        <f t="shared" si="75"/>
        <v>4.8738899894351E-3</v>
      </c>
      <c r="L677" s="113">
        <f t="shared" si="75"/>
        <v>6.1952181418828368E-3</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9"/>
      <c r="BE677" s="9"/>
      <c r="BF677" s="9"/>
      <c r="BG677" s="9"/>
      <c r="BH677" s="9"/>
      <c r="BI677" s="9"/>
      <c r="BJ677" s="9"/>
      <c r="BK677" s="9"/>
      <c r="BL677" s="9"/>
    </row>
    <row r="678" spans="1:64" hidden="1" outlineLevel="1">
      <c r="A678" s="9"/>
      <c r="B678" s="9"/>
      <c r="C678" s="9"/>
      <c r="D678" s="132" t="str">
        <f>Asset13</f>
        <v>Other Non-System Assets (Corporate)</v>
      </c>
      <c r="E678" s="9"/>
      <c r="F678" s="9"/>
      <c r="G678" s="198">
        <f t="shared" si="64"/>
        <v>0</v>
      </c>
      <c r="H678" s="113">
        <f t="shared" si="64"/>
        <v>0</v>
      </c>
      <c r="I678" s="113">
        <f t="shared" ref="I678:Q678" si="76">I450*I$6</f>
        <v>9.6227475800361811E-2</v>
      </c>
      <c r="J678" s="113">
        <f t="shared" si="76"/>
        <v>0.23242885584513498</v>
      </c>
      <c r="K678" s="113">
        <f t="shared" si="76"/>
        <v>0.10863462622118987</v>
      </c>
      <c r="L678" s="113">
        <f t="shared" si="76"/>
        <v>0.12816681054577503</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9"/>
      <c r="BE678" s="9"/>
      <c r="BF678" s="9"/>
      <c r="BG678" s="9"/>
      <c r="BH678" s="9"/>
      <c r="BI678" s="9"/>
      <c r="BJ678" s="9"/>
      <c r="BK678" s="9"/>
      <c r="BL678" s="9"/>
    </row>
    <row r="679" spans="1:64" hidden="1" outlineLevel="1">
      <c r="A679" s="9"/>
      <c r="B679" s="9"/>
      <c r="C679" s="9"/>
      <c r="D679" s="132" t="str">
        <f>Asset14</f>
        <v>Land</v>
      </c>
      <c r="E679" s="9"/>
      <c r="F679" s="9"/>
      <c r="G679" s="198">
        <f t="shared" si="64"/>
        <v>0</v>
      </c>
      <c r="H679" s="113">
        <f t="shared" si="64"/>
        <v>0</v>
      </c>
      <c r="I679" s="113">
        <f t="shared" ref="I679:Q679" si="77">I451*I$6</f>
        <v>6.9055235857809316E-2</v>
      </c>
      <c r="J679" s="113">
        <f t="shared" si="77"/>
        <v>8.4601702569251938E-2</v>
      </c>
      <c r="K679" s="113">
        <f t="shared" si="77"/>
        <v>4.5492305008052819E-2</v>
      </c>
      <c r="L679" s="113">
        <f t="shared" si="77"/>
        <v>6.4339117082817462E-2</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9"/>
      <c r="BE679" s="9"/>
      <c r="BF679" s="9"/>
      <c r="BG679" s="9"/>
      <c r="BH679" s="9"/>
      <c r="BI679" s="9"/>
      <c r="BJ679" s="9"/>
      <c r="BK679" s="9"/>
      <c r="BL679" s="9"/>
    </row>
    <row r="680" spans="1:64" hidden="1" outlineLevel="1">
      <c r="A680" s="9"/>
      <c r="B680" s="9"/>
      <c r="C680" s="9"/>
      <c r="D680" s="132" t="str">
        <f>Asset15</f>
        <v>Buildings</v>
      </c>
      <c r="E680" s="9"/>
      <c r="F680" s="9"/>
      <c r="G680" s="198">
        <f t="shared" si="64"/>
        <v>0</v>
      </c>
      <c r="H680" s="113">
        <f t="shared" si="64"/>
        <v>0</v>
      </c>
      <c r="I680" s="113">
        <f t="shared" ref="I680:Q680" si="78">I452*I$6</f>
        <v>0.17723309251666211</v>
      </c>
      <c r="J680" s="113">
        <f t="shared" si="78"/>
        <v>0.53256312386302074</v>
      </c>
      <c r="K680" s="113">
        <f t="shared" si="78"/>
        <v>0.2950939671614527</v>
      </c>
      <c r="L680" s="113">
        <f t="shared" si="78"/>
        <v>0.43885627053548643</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9"/>
      <c r="BE680" s="9"/>
      <c r="BF680" s="9"/>
      <c r="BG680" s="9"/>
      <c r="BH680" s="9"/>
      <c r="BI680" s="9"/>
      <c r="BJ680" s="9"/>
      <c r="BK680" s="9"/>
      <c r="BL680" s="9"/>
    </row>
    <row r="681" spans="1:64" hidden="1" outlineLevel="1">
      <c r="A681" s="9"/>
      <c r="B681" s="9"/>
      <c r="C681" s="9"/>
      <c r="D681" s="132" t="str">
        <f>Asset16</f>
        <v>Equity raising costs</v>
      </c>
      <c r="E681" s="9"/>
      <c r="F681" s="9"/>
      <c r="G681" s="198">
        <f t="shared" si="64"/>
        <v>0</v>
      </c>
      <c r="H681" s="113">
        <f t="shared" si="64"/>
        <v>0</v>
      </c>
      <c r="I681" s="113">
        <f t="shared" ref="I681:Q681" si="79">I453*I$6</f>
        <v>6.8439998963722888E-3</v>
      </c>
      <c r="J681" s="113">
        <f t="shared" si="79"/>
        <v>8.1984579122850072E-3</v>
      </c>
      <c r="K681" s="113">
        <f t="shared" si="79"/>
        <v>4.3088308416785893E-3</v>
      </c>
      <c r="L681" s="113">
        <f t="shared" si="79"/>
        <v>5.9507017314776233E-3</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9"/>
      <c r="BE681" s="9"/>
      <c r="BF681" s="9"/>
      <c r="BG681" s="9"/>
      <c r="BH681" s="9"/>
      <c r="BI681" s="9"/>
      <c r="BJ681" s="9"/>
      <c r="BK681" s="9"/>
      <c r="BL681" s="9"/>
    </row>
    <row r="682" spans="1:64" hidden="1" outlineLevel="1">
      <c r="A682" s="9"/>
      <c r="B682" s="9"/>
      <c r="C682" s="9"/>
      <c r="D682" s="132">
        <f>Asset17</f>
        <v>0</v>
      </c>
      <c r="E682" s="9"/>
      <c r="F682" s="9"/>
      <c r="G682" s="198">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9"/>
      <c r="BE682" s="9"/>
      <c r="BF682" s="9"/>
      <c r="BG682" s="9"/>
      <c r="BH682" s="9"/>
      <c r="BI682" s="9"/>
      <c r="BJ682" s="9"/>
      <c r="BK682" s="9"/>
      <c r="BL682" s="9"/>
    </row>
    <row r="683" spans="1:64" hidden="1" outlineLevel="1">
      <c r="A683" s="9"/>
      <c r="B683" s="9"/>
      <c r="C683" s="9"/>
      <c r="D683" s="132">
        <f>Asset18</f>
        <v>0</v>
      </c>
      <c r="E683" s="9"/>
      <c r="F683" s="9"/>
      <c r="G683" s="198">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9"/>
      <c r="BE683" s="9"/>
      <c r="BF683" s="9"/>
      <c r="BG683" s="9"/>
      <c r="BH683" s="9"/>
      <c r="BI683" s="9"/>
      <c r="BJ683" s="9"/>
      <c r="BK683" s="9"/>
      <c r="BL683" s="9"/>
    </row>
    <row r="684" spans="1:64" hidden="1" outlineLevel="1">
      <c r="A684" s="9"/>
      <c r="B684" s="9"/>
      <c r="C684" s="9"/>
      <c r="D684" s="132">
        <f>Asset19</f>
        <v>0</v>
      </c>
      <c r="E684" s="9"/>
      <c r="F684" s="9"/>
      <c r="G684" s="198">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9"/>
      <c r="BE684" s="9"/>
      <c r="BF684" s="9"/>
      <c r="BG684" s="9"/>
      <c r="BH684" s="9"/>
      <c r="BI684" s="9"/>
      <c r="BJ684" s="9"/>
      <c r="BK684" s="9"/>
      <c r="BL684" s="9"/>
    </row>
    <row r="685" spans="1:64" hidden="1" outlineLevel="1">
      <c r="A685" s="9"/>
      <c r="B685" s="9"/>
      <c r="C685" s="9"/>
      <c r="D685" s="132">
        <f>Asset20</f>
        <v>0</v>
      </c>
      <c r="E685" s="9"/>
      <c r="F685" s="9"/>
      <c r="G685" s="198">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9"/>
      <c r="BE685" s="9"/>
      <c r="BF685" s="9"/>
      <c r="BG685" s="9"/>
      <c r="BH685" s="9"/>
      <c r="BI685" s="9"/>
      <c r="BJ685" s="9"/>
      <c r="BK685" s="9"/>
      <c r="BL685" s="9"/>
    </row>
    <row r="686" spans="1:64" hidden="1" outlineLevel="1">
      <c r="A686" s="9"/>
      <c r="B686" s="9"/>
      <c r="C686" s="9"/>
      <c r="D686" s="132">
        <f>Asset21</f>
        <v>0</v>
      </c>
      <c r="E686" s="9"/>
      <c r="F686" s="9"/>
      <c r="G686" s="198">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9"/>
      <c r="BE686" s="9"/>
      <c r="BF686" s="9"/>
      <c r="BG686" s="9"/>
      <c r="BH686" s="9"/>
      <c r="BI686" s="9"/>
      <c r="BJ686" s="9"/>
      <c r="BK686" s="9"/>
      <c r="BL686" s="9"/>
    </row>
    <row r="687" spans="1:64" hidden="1" outlineLevel="1">
      <c r="A687" s="9"/>
      <c r="B687" s="9"/>
      <c r="C687" s="9"/>
      <c r="D687" s="132">
        <f>Asset22</f>
        <v>0</v>
      </c>
      <c r="E687" s="9"/>
      <c r="F687" s="9"/>
      <c r="G687" s="198">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9"/>
      <c r="BE687" s="9"/>
      <c r="BF687" s="9"/>
      <c r="BG687" s="9"/>
      <c r="BH687" s="9"/>
      <c r="BI687" s="9"/>
      <c r="BJ687" s="9"/>
      <c r="BK687" s="9"/>
      <c r="BL687" s="9"/>
    </row>
    <row r="688" spans="1:64" hidden="1" outlineLevel="1">
      <c r="A688" s="9"/>
      <c r="B688" s="9"/>
      <c r="C688" s="9"/>
      <c r="D688" s="132">
        <f>Asset23</f>
        <v>0</v>
      </c>
      <c r="E688" s="9"/>
      <c r="F688" s="9"/>
      <c r="G688" s="198">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9"/>
      <c r="BE688" s="9"/>
      <c r="BF688" s="9"/>
      <c r="BG688" s="9"/>
      <c r="BH688" s="9"/>
      <c r="BI688" s="9"/>
      <c r="BJ688" s="9"/>
      <c r="BK688" s="9"/>
      <c r="BL688" s="9"/>
    </row>
    <row r="689" spans="1:64" hidden="1" outlineLevel="1">
      <c r="A689" s="9"/>
      <c r="B689" s="9"/>
      <c r="C689" s="9"/>
      <c r="D689" s="132">
        <f>Asset24</f>
        <v>0</v>
      </c>
      <c r="E689" s="9"/>
      <c r="F689" s="9"/>
      <c r="G689" s="198">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9"/>
      <c r="BE689" s="9"/>
      <c r="BF689" s="9"/>
      <c r="BG689" s="9"/>
      <c r="BH689" s="9"/>
      <c r="BI689" s="9"/>
      <c r="BJ689" s="9"/>
      <c r="BK689" s="9"/>
      <c r="BL689" s="9"/>
    </row>
    <row r="690" spans="1:64" hidden="1" outlineLevel="1">
      <c r="A690" s="9"/>
      <c r="B690" s="9"/>
      <c r="C690" s="9"/>
      <c r="D690" s="132">
        <f>Asset25</f>
        <v>0</v>
      </c>
      <c r="E690" s="9"/>
      <c r="F690" s="9"/>
      <c r="G690" s="198">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9"/>
      <c r="BE690" s="9"/>
      <c r="BF690" s="9"/>
      <c r="BG690" s="9"/>
      <c r="BH690" s="9"/>
      <c r="BI690" s="9"/>
      <c r="BJ690" s="9"/>
      <c r="BK690" s="9"/>
      <c r="BL690" s="9"/>
    </row>
    <row r="691" spans="1:64" hidden="1" outlineLevel="1">
      <c r="A691" s="9"/>
      <c r="B691" s="9"/>
      <c r="C691" s="9"/>
      <c r="D691" s="132">
        <f>Asset26</f>
        <v>0</v>
      </c>
      <c r="E691" s="9"/>
      <c r="F691" s="9"/>
      <c r="G691" s="198">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9"/>
      <c r="BE691" s="9"/>
      <c r="BF691" s="9"/>
      <c r="BG691" s="9"/>
      <c r="BH691" s="9"/>
      <c r="BI691" s="9"/>
      <c r="BJ691" s="9"/>
      <c r="BK691" s="9"/>
      <c r="BL691" s="9"/>
    </row>
    <row r="692" spans="1:64" hidden="1" outlineLevel="1">
      <c r="A692" s="9"/>
      <c r="B692" s="9"/>
      <c r="C692" s="9"/>
      <c r="D692" s="132">
        <f>Asset27</f>
        <v>0</v>
      </c>
      <c r="E692" s="9"/>
      <c r="F692" s="9"/>
      <c r="G692" s="198">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9"/>
      <c r="BE692" s="9"/>
      <c r="BF692" s="9"/>
      <c r="BG692" s="9"/>
      <c r="BH692" s="9"/>
      <c r="BI692" s="9"/>
      <c r="BJ692" s="9"/>
      <c r="BK692" s="9"/>
      <c r="BL692" s="9"/>
    </row>
    <row r="693" spans="1:64" hidden="1" outlineLevel="1">
      <c r="A693" s="9"/>
      <c r="B693" s="9"/>
      <c r="C693" s="9"/>
      <c r="D693" s="132">
        <f>Asset28</f>
        <v>0</v>
      </c>
      <c r="E693" s="9"/>
      <c r="F693" s="9"/>
      <c r="G693" s="198">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9"/>
      <c r="BE693" s="9"/>
      <c r="BF693" s="9"/>
      <c r="BG693" s="9"/>
      <c r="BH693" s="9"/>
      <c r="BI693" s="9"/>
      <c r="BJ693" s="9"/>
      <c r="BK693" s="9"/>
      <c r="BL693" s="9"/>
    </row>
    <row r="694" spans="1:64" hidden="1" outlineLevel="1">
      <c r="A694" s="9"/>
      <c r="B694" s="9"/>
      <c r="C694" s="9"/>
      <c r="D694" s="132">
        <f>Asset29</f>
        <v>0</v>
      </c>
      <c r="E694" s="9"/>
      <c r="F694" s="9"/>
      <c r="G694" s="198">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9"/>
      <c r="BE694" s="9"/>
      <c r="BF694" s="9"/>
      <c r="BG694" s="9"/>
      <c r="BH694" s="9"/>
      <c r="BI694" s="9"/>
      <c r="BJ694" s="9"/>
      <c r="BK694" s="9"/>
      <c r="BL694" s="9"/>
    </row>
    <row r="695" spans="1:64" hidden="1" outlineLevel="1">
      <c r="A695" s="9"/>
      <c r="B695" s="9"/>
      <c r="C695" s="9"/>
      <c r="D695" s="132">
        <f>Asset30</f>
        <v>0</v>
      </c>
      <c r="E695" s="9"/>
      <c r="F695" s="9"/>
      <c r="G695" s="198">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9"/>
      <c r="BE695" s="9"/>
      <c r="BF695" s="9"/>
      <c r="BG695" s="9"/>
      <c r="BH695" s="9"/>
      <c r="BI695" s="9"/>
      <c r="BJ695" s="9"/>
      <c r="BK695" s="9"/>
      <c r="BL695" s="9"/>
    </row>
    <row r="696" spans="1:64" collapsed="1">
      <c r="A696" s="9"/>
      <c r="B696" s="9"/>
      <c r="C696" s="9"/>
      <c r="D696" s="9"/>
      <c r="E696" s="9"/>
      <c r="F696" s="9"/>
      <c r="G696" s="198"/>
      <c r="H696" s="113"/>
      <c r="I696" s="113"/>
      <c r="J696" s="113"/>
      <c r="K696" s="113"/>
      <c r="L696" s="113"/>
      <c r="M696" s="113"/>
      <c r="N696" s="113"/>
      <c r="O696" s="113"/>
      <c r="P696" s="113"/>
      <c r="Q696" s="113"/>
      <c r="R696" s="9"/>
      <c r="S696" s="9"/>
      <c r="T696" s="9"/>
      <c r="U696" s="9"/>
      <c r="V696" s="9"/>
      <c r="W696" s="9"/>
      <c r="X696" s="9"/>
      <c r="Y696" s="9"/>
      <c r="Z696" s="9"/>
      <c r="AA696" s="9"/>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9"/>
      <c r="BE710" s="9"/>
      <c r="BF710" s="9"/>
      <c r="BG710" s="9"/>
      <c r="BH710" s="9"/>
      <c r="BI710" s="9"/>
      <c r="BJ710" s="9"/>
      <c r="BK710" s="9"/>
      <c r="BL710" s="9"/>
    </row>
    <row r="711" spans="1:64">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9"/>
      <c r="BE711" s="9"/>
      <c r="BF711" s="9"/>
      <c r="BG711" s="9"/>
      <c r="BH711" s="9"/>
      <c r="BI711" s="9"/>
      <c r="BJ711" s="9"/>
      <c r="BK711" s="9"/>
      <c r="BL711" s="9"/>
    </row>
    <row r="712" spans="1:64">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9"/>
      <c r="BE712" s="9"/>
      <c r="BF712" s="9"/>
      <c r="BG712" s="9"/>
      <c r="BH712" s="9"/>
      <c r="BI712" s="9"/>
      <c r="BJ712" s="9"/>
      <c r="BK712" s="9"/>
      <c r="BL712" s="9"/>
    </row>
    <row r="713" spans="1:64">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9"/>
      <c r="BE713" s="9"/>
      <c r="BF713" s="9"/>
      <c r="BG713" s="9"/>
      <c r="BH713" s="9"/>
      <c r="BI713" s="9"/>
      <c r="BJ713" s="9"/>
      <c r="BK713" s="9"/>
      <c r="BL713" s="9"/>
    </row>
    <row r="714" spans="1:64">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9"/>
      <c r="BE714" s="9"/>
      <c r="BF714" s="9"/>
      <c r="BG714" s="9"/>
      <c r="BH714" s="9"/>
      <c r="BI714" s="9"/>
      <c r="BJ714" s="9"/>
      <c r="BK714" s="9"/>
      <c r="BL714" s="9"/>
    </row>
    <row r="715" spans="1:64">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9"/>
      <c r="BE715" s="9"/>
      <c r="BF715" s="9"/>
      <c r="BG715" s="9"/>
      <c r="BH715" s="9"/>
      <c r="BI715" s="9"/>
      <c r="BJ715" s="9"/>
      <c r="BK715" s="9"/>
      <c r="BL715" s="9"/>
    </row>
    <row r="716" spans="1:64">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9"/>
      <c r="BE716" s="9"/>
      <c r="BF716" s="9"/>
      <c r="BG716" s="9"/>
      <c r="BH716" s="9"/>
      <c r="BI716" s="9"/>
      <c r="BJ716" s="9"/>
      <c r="BK716" s="9"/>
      <c r="BL716" s="9"/>
    </row>
    <row r="717" spans="1:64">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9"/>
      <c r="BE717" s="9"/>
      <c r="BF717" s="9"/>
      <c r="BG717" s="9"/>
      <c r="BH717" s="9"/>
      <c r="BI717" s="9"/>
      <c r="BJ717" s="9"/>
      <c r="BK717" s="9"/>
      <c r="BL717" s="9"/>
    </row>
    <row r="718" spans="1:64">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9"/>
      <c r="BE718" s="9"/>
      <c r="BF718" s="9"/>
      <c r="BG718" s="9"/>
      <c r="BH718" s="9"/>
      <c r="BI718" s="9"/>
      <c r="BJ718" s="9"/>
      <c r="BK718" s="9"/>
      <c r="BL718" s="9"/>
    </row>
    <row r="719" spans="1:64">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9"/>
      <c r="BE719" s="9"/>
      <c r="BF719" s="9"/>
      <c r="BG719" s="9"/>
      <c r="BH719" s="9"/>
      <c r="BI719" s="9"/>
      <c r="BJ719" s="9"/>
      <c r="BK719" s="9"/>
      <c r="BL719" s="9"/>
    </row>
    <row r="720" spans="1:64">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9"/>
      <c r="BE720" s="9"/>
      <c r="BF720" s="9"/>
      <c r="BG720" s="9"/>
      <c r="BH720" s="9"/>
      <c r="BI720" s="9"/>
      <c r="BJ720" s="9"/>
      <c r="BK720" s="9"/>
      <c r="BL720" s="9"/>
    </row>
    <row r="721" spans="2:64">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9"/>
      <c r="BE721" s="9"/>
      <c r="BF721" s="9"/>
      <c r="BG721" s="9"/>
      <c r="BH721" s="9"/>
      <c r="BI721" s="9"/>
      <c r="BJ721" s="9"/>
      <c r="BK721" s="9"/>
      <c r="BL721" s="9"/>
    </row>
    <row r="722" spans="2:64">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9"/>
      <c r="BE722" s="9"/>
      <c r="BF722" s="9"/>
      <c r="BG722" s="9"/>
      <c r="BH722" s="9"/>
      <c r="BI722" s="9"/>
      <c r="BJ722" s="9"/>
      <c r="BK722" s="9"/>
      <c r="BL722" s="9"/>
    </row>
    <row r="723" spans="2:64">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9"/>
      <c r="BE723" s="9"/>
      <c r="BF723" s="9"/>
      <c r="BG723" s="9"/>
      <c r="BH723" s="9"/>
      <c r="BI723" s="9"/>
      <c r="BJ723" s="9"/>
      <c r="BK723" s="9"/>
      <c r="BL723" s="9"/>
    </row>
    <row r="724" spans="2:64">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9"/>
      <c r="BE724" s="9"/>
      <c r="BF724" s="9"/>
      <c r="BG724" s="9"/>
      <c r="BH724" s="9"/>
      <c r="BI724" s="9"/>
      <c r="BJ724" s="9"/>
      <c r="BK724" s="9"/>
      <c r="BL724" s="9"/>
    </row>
    <row r="725" spans="2:64">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9"/>
      <c r="BE725" s="9"/>
      <c r="BF725" s="9"/>
      <c r="BG725" s="9"/>
      <c r="BH725" s="9"/>
      <c r="BI725" s="9"/>
      <c r="BJ725" s="9"/>
      <c r="BK725" s="9"/>
      <c r="BL725" s="9"/>
    </row>
    <row r="726" spans="2:64">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9"/>
      <c r="BE726" s="9"/>
      <c r="BF726" s="9"/>
      <c r="BG726" s="9"/>
      <c r="BH726" s="9"/>
      <c r="BI726" s="9"/>
      <c r="BJ726" s="9"/>
      <c r="BK726" s="9"/>
      <c r="BL726" s="9"/>
    </row>
    <row r="727" spans="2:64">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row>
    <row r="728" spans="2:64">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row>
    <row r="729" spans="2:64">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row>
    <row r="730" spans="2:64">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row>
    <row r="731" spans="2:64">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row>
    <row r="732" spans="2:64">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row>
    <row r="733" spans="2:64">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row>
    <row r="734" spans="2:64">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row>
    <row r="735" spans="2:64">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row>
    <row r="736" spans="2:64">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row>
    <row r="737" spans="2:55">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row>
    <row r="738" spans="2:55">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row>
    <row r="739" spans="2:55">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row>
    <row r="740" spans="2:55">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row>
    <row r="741" spans="2:55">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row>
    <row r="742" spans="2:55">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row>
    <row r="743" spans="2:55">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row>
    <row r="744" spans="2:55">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row>
    <row r="745" spans="2:55">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row>
    <row r="746" spans="2:55">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row>
    <row r="747" spans="2:55">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row>
    <row r="748" spans="2:55">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row>
    <row r="749" spans="2:55">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row>
    <row r="750" spans="2:55">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row>
    <row r="751" spans="2:55">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row>
    <row r="752" spans="2:55">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row>
    <row r="753" spans="2:55">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row>
    <row r="754" spans="2:55">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row>
    <row r="755" spans="2:55">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row>
    <row r="756" spans="2:55">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row>
    <row r="757" spans="2:55">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row>
    <row r="758" spans="2:55">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row>
    <row r="759" spans="2:55">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row>
    <row r="760" spans="2:55">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row>
    <row r="761" spans="2:55">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row>
    <row r="762" spans="2:55">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row>
    <row r="763" spans="2:55">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row>
    <row r="764" spans="2:55">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row>
    <row r="765" spans="2:55">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row>
    <row r="766" spans="2:55">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row>
    <row r="767" spans="2:55">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row>
    <row r="768" spans="2:55">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row>
    <row r="769" spans="28:55">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row>
    <row r="770" spans="28:55">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row>
    <row r="771" spans="28:55">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row>
    <row r="772" spans="28:55">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row>
    <row r="773" spans="28:55">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row>
    <row r="774" spans="28:55">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row>
    <row r="775" spans="28:55">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row>
    <row r="776" spans="28:55">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row>
    <row r="777" spans="28:55">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row>
    <row r="778" spans="28:55">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row>
    <row r="779" spans="28:55">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row>
    <row r="780" spans="28:55">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row>
    <row r="781" spans="28:55">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row>
    <row r="782" spans="28:55">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row>
    <row r="783" spans="28:55">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row>
    <row r="784" spans="28:55">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row>
    <row r="785" spans="28:55">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row>
    <row r="786" spans="28:55">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row>
    <row r="787" spans="28:55">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row>
    <row r="788" spans="28:55">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row>
    <row r="789" spans="28:55">
      <c r="AB789" s="192"/>
      <c r="AC789" s="192"/>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2"/>
      <c r="BC789" s="192"/>
    </row>
    <row r="790" spans="28:55">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row>
    <row r="791" spans="28:55">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row>
    <row r="792" spans="28:55">
      <c r="AB792" s="192"/>
      <c r="AC792" s="192"/>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2"/>
      <c r="BC792" s="192"/>
    </row>
    <row r="793" spans="28:55">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row>
    <row r="794" spans="28:55">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row>
    <row r="795" spans="28:55">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row>
    <row r="796" spans="28:55">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row>
    <row r="797" spans="28:55">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row>
    <row r="798" spans="28:55">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row>
    <row r="799" spans="28:55">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row>
    <row r="800" spans="28:55">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row>
    <row r="801" spans="28:55">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row>
    <row r="802" spans="28:55">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row>
    <row r="803" spans="28:55">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row>
    <row r="804" spans="28:55">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row>
    <row r="805" spans="28:55">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row>
    <row r="806" spans="28:55">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row>
    <row r="807" spans="28:55">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row>
    <row r="808" spans="28:55">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row>
    <row r="809" spans="28:55">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row>
    <row r="810" spans="28:55">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row>
    <row r="811" spans="28:55">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row>
    <row r="812" spans="28:55">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row>
    <row r="813" spans="28:55">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row>
    <row r="814" spans="28:55">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row>
    <row r="815" spans="28:55">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row>
    <row r="816" spans="28:55">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row>
    <row r="817" spans="28:55">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row>
    <row r="818" spans="28:55">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row>
    <row r="819" spans="28:55">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row>
    <row r="820" spans="28:55">
      <c r="AB820" s="192"/>
      <c r="AC820" s="192"/>
      <c r="AD820" s="192"/>
      <c r="AE820" s="192"/>
      <c r="AF820" s="192"/>
      <c r="AG820" s="192"/>
      <c r="AH820" s="192"/>
      <c r="AI820" s="192"/>
      <c r="AJ820" s="192"/>
      <c r="AK820" s="192"/>
      <c r="AL820" s="192"/>
      <c r="AM820" s="192"/>
      <c r="AN820" s="192"/>
      <c r="AO820" s="192"/>
      <c r="AP820" s="192"/>
      <c r="AQ820" s="192"/>
      <c r="AR820" s="192"/>
      <c r="AS820" s="192"/>
      <c r="AT820" s="192"/>
      <c r="AU820" s="192"/>
      <c r="AV820" s="192"/>
      <c r="AW820" s="192"/>
      <c r="AX820" s="192"/>
      <c r="AY820" s="192"/>
      <c r="AZ820" s="192"/>
      <c r="BA820" s="192"/>
      <c r="BB820" s="192"/>
      <c r="BC820" s="192"/>
    </row>
    <row r="821" spans="28:55">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row>
    <row r="822" spans="28:55">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row>
    <row r="823" spans="28:55">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row>
    <row r="824" spans="28:55">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row>
    <row r="825" spans="28:55">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row>
    <row r="826" spans="28:55">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row>
    <row r="827" spans="28:55">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row>
    <row r="828" spans="28:55">
      <c r="AB828" s="192"/>
      <c r="AC828" s="192"/>
      <c r="AD828" s="192"/>
      <c r="AE828" s="192"/>
      <c r="AF828" s="192"/>
      <c r="AG828" s="192"/>
      <c r="AH828" s="192"/>
      <c r="AI828" s="192"/>
      <c r="AJ828" s="192"/>
      <c r="AK828" s="192"/>
      <c r="AL828" s="192"/>
      <c r="AM828" s="192"/>
      <c r="AN828" s="192"/>
      <c r="AO828" s="192"/>
      <c r="AP828" s="192"/>
      <c r="AQ828" s="192"/>
      <c r="AR828" s="192"/>
      <c r="AS828" s="192"/>
      <c r="AT828" s="192"/>
      <c r="AU828" s="192"/>
      <c r="AV828" s="192"/>
      <c r="AW828" s="192"/>
      <c r="AX828" s="192"/>
      <c r="AY828" s="192"/>
      <c r="AZ828" s="192"/>
      <c r="BA828" s="192"/>
      <c r="BB828" s="192"/>
      <c r="BC828" s="192"/>
    </row>
    <row r="829" spans="28:55">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row>
    <row r="830" spans="28:55">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row>
    <row r="831" spans="28:55">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row>
    <row r="832" spans="28:55">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row>
    <row r="833" spans="28:55">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row>
    <row r="834" spans="28:55">
      <c r="AB834" s="192"/>
      <c r="AC834" s="192"/>
      <c r="AD834" s="192"/>
      <c r="AE834" s="192"/>
      <c r="AF834" s="192"/>
      <c r="AG834" s="192"/>
      <c r="AH834" s="192"/>
      <c r="AI834" s="192"/>
      <c r="AJ834" s="192"/>
      <c r="AK834" s="192"/>
      <c r="AL834" s="192"/>
      <c r="AM834" s="192"/>
      <c r="AN834" s="192"/>
      <c r="AO834" s="192"/>
      <c r="AP834" s="192"/>
      <c r="AQ834" s="192"/>
      <c r="AR834" s="192"/>
      <c r="AS834" s="192"/>
      <c r="AT834" s="192"/>
      <c r="AU834" s="192"/>
      <c r="AV834" s="192"/>
      <c r="AW834" s="192"/>
      <c r="AX834" s="192"/>
      <c r="AY834" s="192"/>
      <c r="AZ834" s="192"/>
      <c r="BA834" s="192"/>
      <c r="BB834" s="192"/>
      <c r="BC834" s="192"/>
    </row>
    <row r="835" spans="28:55">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row>
    <row r="836" spans="28:55">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row>
    <row r="837" spans="28:55">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row>
    <row r="838" spans="28:55">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row>
    <row r="839" spans="28:55">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row>
    <row r="840" spans="28:55">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row>
    <row r="841" spans="28:55">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row>
    <row r="842" spans="28:55">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row>
    <row r="843" spans="28:55">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row>
    <row r="844" spans="28:55">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row>
    <row r="845" spans="28:55">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row>
    <row r="846" spans="28:55">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row>
    <row r="847" spans="28:55">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row>
    <row r="848" spans="28:55">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row>
    <row r="849" spans="28:55">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row>
    <row r="850" spans="28:55">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row>
    <row r="851" spans="28:55">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row>
    <row r="852" spans="28:55">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row>
    <row r="853" spans="28:55">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row>
    <row r="854" spans="28:55">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row>
    <row r="855" spans="28:55">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row>
    <row r="856" spans="28:55">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row>
    <row r="857" spans="28:55">
      <c r="AB857" s="192"/>
      <c r="AC857" s="192"/>
      <c r="AD857" s="192"/>
      <c r="AE857" s="192"/>
      <c r="AF857" s="192"/>
      <c r="AG857" s="192"/>
      <c r="AH857" s="192"/>
      <c r="AI857" s="192"/>
      <c r="AJ857" s="192"/>
      <c r="AK857" s="192"/>
      <c r="AL857" s="192"/>
      <c r="AM857" s="192"/>
      <c r="AN857" s="192"/>
      <c r="AO857" s="192"/>
      <c r="AP857" s="192"/>
      <c r="AQ857" s="192"/>
      <c r="AR857" s="192"/>
      <c r="AS857" s="192"/>
      <c r="AT857" s="192"/>
      <c r="AU857" s="192"/>
      <c r="AV857" s="192"/>
      <c r="AW857" s="192"/>
      <c r="AX857" s="192"/>
      <c r="AY857" s="192"/>
      <c r="AZ857" s="192"/>
      <c r="BA857" s="192"/>
      <c r="BB857" s="192"/>
      <c r="BC857" s="192"/>
    </row>
    <row r="858" spans="28:55">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row>
    <row r="859" spans="28:55">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row>
    <row r="860" spans="28:55">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row>
    <row r="861" spans="28:55">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row>
    <row r="862" spans="28:55">
      <c r="AB862" s="192"/>
      <c r="AC862" s="192"/>
      <c r="AD862" s="192"/>
      <c r="AE862" s="192"/>
      <c r="AF862" s="192"/>
      <c r="AG862" s="192"/>
      <c r="AH862" s="192"/>
      <c r="AI862" s="192"/>
      <c r="AJ862" s="192"/>
      <c r="AK862" s="192"/>
      <c r="AL862" s="192"/>
      <c r="AM862" s="192"/>
      <c r="AN862" s="192"/>
      <c r="AO862" s="192"/>
      <c r="AP862" s="192"/>
      <c r="AQ862" s="192"/>
      <c r="AR862" s="192"/>
      <c r="AS862" s="192"/>
      <c r="AT862" s="192"/>
      <c r="AU862" s="192"/>
      <c r="AV862" s="192"/>
      <c r="AW862" s="192"/>
      <c r="AX862" s="192"/>
      <c r="AY862" s="192"/>
      <c r="AZ862" s="192"/>
      <c r="BA862" s="192"/>
      <c r="BB862" s="192"/>
      <c r="BC862" s="192"/>
    </row>
    <row r="863" spans="28:55">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row>
    <row r="864" spans="28:55">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row>
    <row r="865" spans="28:55">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row>
    <row r="866" spans="28:55">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row>
    <row r="867" spans="28:55">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row>
    <row r="868" spans="28:55">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row>
    <row r="869" spans="28:55">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row>
    <row r="870" spans="28:55">
      <c r="AB870" s="192"/>
      <c r="AC870" s="192"/>
      <c r="AD870" s="192"/>
      <c r="AE870" s="192"/>
      <c r="AF870" s="192"/>
      <c r="AG870" s="192"/>
      <c r="AH870" s="192"/>
      <c r="AI870" s="192"/>
      <c r="AJ870" s="192"/>
      <c r="AK870" s="192"/>
      <c r="AL870" s="192"/>
      <c r="AM870" s="192"/>
      <c r="AN870" s="192"/>
      <c r="AO870" s="192"/>
      <c r="AP870" s="192"/>
      <c r="AQ870" s="192"/>
      <c r="AR870" s="192"/>
      <c r="AS870" s="192"/>
      <c r="AT870" s="192"/>
      <c r="AU870" s="192"/>
      <c r="AV870" s="192"/>
      <c r="AW870" s="192"/>
      <c r="AX870" s="192"/>
      <c r="AY870" s="192"/>
      <c r="AZ870" s="192"/>
      <c r="BA870" s="192"/>
      <c r="BB870" s="192"/>
      <c r="BC870" s="192"/>
    </row>
    <row r="871" spans="28:55">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row>
    <row r="872" spans="28:55">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row>
    <row r="873" spans="28:55">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row>
    <row r="874" spans="28:55">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row>
    <row r="875" spans="28:55">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row>
    <row r="876" spans="28:55">
      <c r="AB876" s="192"/>
      <c r="AC876" s="192"/>
      <c r="AD876" s="192"/>
      <c r="AE876" s="192"/>
      <c r="AF876" s="192"/>
      <c r="AG876" s="192"/>
      <c r="AH876" s="192"/>
      <c r="AI876" s="192"/>
      <c r="AJ876" s="192"/>
      <c r="AK876" s="192"/>
      <c r="AL876" s="192"/>
      <c r="AM876" s="192"/>
      <c r="AN876" s="192"/>
      <c r="AO876" s="192"/>
      <c r="AP876" s="192"/>
      <c r="AQ876" s="192"/>
      <c r="AR876" s="192"/>
      <c r="AS876" s="192"/>
      <c r="AT876" s="192"/>
      <c r="AU876" s="192"/>
      <c r="AV876" s="192"/>
      <c r="AW876" s="192"/>
      <c r="AX876" s="192"/>
      <c r="AY876" s="192"/>
      <c r="AZ876" s="192"/>
      <c r="BA876" s="192"/>
      <c r="BB876" s="192"/>
      <c r="BC876" s="192"/>
    </row>
    <row r="877" spans="28:55">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row>
    <row r="878" spans="28:55">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row>
    <row r="879" spans="28:55">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row>
    <row r="880" spans="28:55">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row>
    <row r="881" spans="28:55">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row>
    <row r="882" spans="28:55">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row>
    <row r="883" spans="28:55">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row>
    <row r="884" spans="28:55">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row>
    <row r="885" spans="28:55">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row>
    <row r="886" spans="28:55">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row>
    <row r="887" spans="28:55">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row>
    <row r="888" spans="28:55">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row>
    <row r="889" spans="28:55">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row>
    <row r="890" spans="28:55">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row>
    <row r="891" spans="28:55">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row>
    <row r="892" spans="28:55">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row>
    <row r="893" spans="28:55">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row>
    <row r="894" spans="28:55">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row>
    <row r="895" spans="28:55">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row>
    <row r="896" spans="28:55">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row>
    <row r="897" spans="28:55">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row>
    <row r="898" spans="28:55">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row>
    <row r="899" spans="28:55">
      <c r="AB899" s="192"/>
      <c r="AC899" s="192"/>
      <c r="AD899" s="192"/>
      <c r="AE899" s="192"/>
      <c r="AF899" s="192"/>
      <c r="AG899" s="192"/>
      <c r="AH899" s="192"/>
      <c r="AI899" s="192"/>
      <c r="AJ899" s="192"/>
      <c r="AK899" s="192"/>
      <c r="AL899" s="192"/>
      <c r="AM899" s="192"/>
      <c r="AN899" s="192"/>
      <c r="AO899" s="192"/>
      <c r="AP899" s="192"/>
      <c r="AQ899" s="192"/>
      <c r="AR899" s="192"/>
      <c r="AS899" s="192"/>
      <c r="AT899" s="192"/>
      <c r="AU899" s="192"/>
      <c r="AV899" s="192"/>
      <c r="AW899" s="192"/>
      <c r="AX899" s="192"/>
      <c r="AY899" s="192"/>
      <c r="AZ899" s="192"/>
      <c r="BA899" s="192"/>
      <c r="BB899" s="192"/>
      <c r="BC899" s="192"/>
    </row>
    <row r="900" spans="28:55">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row>
    <row r="901" spans="28:55">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row>
    <row r="902" spans="28:55">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row>
    <row r="903" spans="28:55">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row>
    <row r="904" spans="28:55">
      <c r="AB904" s="192"/>
      <c r="AC904" s="192"/>
      <c r="AD904" s="192"/>
      <c r="AE904" s="192"/>
      <c r="AF904" s="192"/>
      <c r="AG904" s="192"/>
      <c r="AH904" s="192"/>
      <c r="AI904" s="192"/>
      <c r="AJ904" s="192"/>
      <c r="AK904" s="192"/>
      <c r="AL904" s="192"/>
      <c r="AM904" s="192"/>
      <c r="AN904" s="192"/>
      <c r="AO904" s="192"/>
      <c r="AP904" s="192"/>
      <c r="AQ904" s="192"/>
      <c r="AR904" s="192"/>
      <c r="AS904" s="192"/>
      <c r="AT904" s="192"/>
      <c r="AU904" s="192"/>
      <c r="AV904" s="192"/>
      <c r="AW904" s="192"/>
      <c r="AX904" s="192"/>
      <c r="AY904" s="192"/>
      <c r="AZ904" s="192"/>
      <c r="BA904" s="192"/>
      <c r="BB904" s="192"/>
      <c r="BC904" s="192"/>
    </row>
    <row r="905" spans="28:55">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row>
    <row r="906" spans="28:55">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row>
    <row r="907" spans="28:55">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row>
    <row r="908" spans="28:55">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row>
    <row r="909" spans="28:55">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row>
    <row r="910" spans="28:55">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row>
    <row r="911" spans="28:55">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row>
    <row r="912" spans="28:55">
      <c r="AB912" s="192"/>
      <c r="AC912" s="192"/>
      <c r="AD912" s="192"/>
      <c r="AE912" s="192"/>
      <c r="AF912" s="192"/>
      <c r="AG912" s="192"/>
      <c r="AH912" s="192"/>
      <c r="AI912" s="192"/>
      <c r="AJ912" s="192"/>
      <c r="AK912" s="192"/>
      <c r="AL912" s="192"/>
      <c r="AM912" s="192"/>
      <c r="AN912" s="192"/>
      <c r="AO912" s="192"/>
      <c r="AP912" s="192"/>
      <c r="AQ912" s="192"/>
      <c r="AR912" s="192"/>
      <c r="AS912" s="192"/>
      <c r="AT912" s="192"/>
      <c r="AU912" s="192"/>
      <c r="AV912" s="192"/>
      <c r="AW912" s="192"/>
      <c r="AX912" s="192"/>
      <c r="AY912" s="192"/>
      <c r="AZ912" s="192"/>
      <c r="BA912" s="192"/>
      <c r="BB912" s="192"/>
      <c r="BC912" s="192"/>
    </row>
    <row r="913" spans="28:55">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row>
    <row r="914" spans="28:55">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row>
    <row r="915" spans="28:55">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row>
    <row r="916" spans="28:55">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row>
    <row r="917" spans="28:55">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row>
    <row r="918" spans="28:55">
      <c r="AB918" s="192"/>
      <c r="AC918" s="192"/>
      <c r="AD918" s="192"/>
      <c r="AE918" s="192"/>
      <c r="AF918" s="192"/>
      <c r="AG918" s="192"/>
      <c r="AH918" s="192"/>
      <c r="AI918" s="192"/>
      <c r="AJ918" s="192"/>
      <c r="AK918" s="192"/>
      <c r="AL918" s="192"/>
      <c r="AM918" s="192"/>
      <c r="AN918" s="192"/>
      <c r="AO918" s="192"/>
      <c r="AP918" s="192"/>
      <c r="AQ918" s="192"/>
      <c r="AR918" s="192"/>
      <c r="AS918" s="192"/>
      <c r="AT918" s="192"/>
      <c r="AU918" s="192"/>
      <c r="AV918" s="192"/>
      <c r="AW918" s="192"/>
      <c r="AX918" s="192"/>
      <c r="AY918" s="192"/>
      <c r="AZ918" s="192"/>
      <c r="BA918" s="192"/>
      <c r="BB918" s="192"/>
      <c r="BC918" s="192"/>
    </row>
    <row r="919" spans="28:55">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row>
    <row r="920" spans="28:55">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row>
    <row r="921" spans="28:55">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row>
    <row r="922" spans="28:55">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row>
    <row r="923" spans="28:55">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row>
    <row r="924" spans="28:55">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row>
    <row r="925" spans="28:55">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row>
    <row r="926" spans="28:55">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row>
    <row r="927" spans="28:55">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row>
    <row r="928" spans="28:55">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row>
    <row r="929" spans="28:55">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row>
    <row r="930" spans="28:55">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row>
    <row r="931" spans="28:55">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row>
    <row r="932" spans="28:55">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row>
    <row r="933" spans="28:55">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row>
    <row r="934" spans="28:55">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row>
    <row r="935" spans="28:55">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row>
    <row r="936" spans="28:55">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row>
    <row r="937" spans="28:55">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row>
    <row r="938" spans="28:55">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row>
    <row r="939" spans="28:55">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row>
    <row r="940" spans="28:55">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row>
    <row r="941" spans="28:55">
      <c r="AB941" s="192"/>
      <c r="AC941" s="192"/>
      <c r="AD941" s="192"/>
      <c r="AE941" s="192"/>
      <c r="AF941" s="192"/>
      <c r="AG941" s="192"/>
      <c r="AH941" s="192"/>
      <c r="AI941" s="192"/>
      <c r="AJ941" s="192"/>
      <c r="AK941" s="192"/>
      <c r="AL941" s="192"/>
      <c r="AM941" s="192"/>
      <c r="AN941" s="192"/>
      <c r="AO941" s="192"/>
      <c r="AP941" s="192"/>
      <c r="AQ941" s="192"/>
      <c r="AR941" s="192"/>
      <c r="AS941" s="192"/>
      <c r="AT941" s="192"/>
      <c r="AU941" s="192"/>
      <c r="AV941" s="192"/>
      <c r="AW941" s="192"/>
      <c r="AX941" s="192"/>
      <c r="AY941" s="192"/>
      <c r="AZ941" s="192"/>
      <c r="BA941" s="192"/>
      <c r="BB941" s="192"/>
      <c r="BC941" s="192"/>
    </row>
    <row r="942" spans="28:55">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row>
    <row r="943" spans="28:55">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row>
    <row r="944" spans="28:55">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row>
    <row r="945" spans="28:55">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row>
    <row r="946" spans="28:55">
      <c r="AB946" s="192"/>
      <c r="AC946" s="192"/>
      <c r="AD946" s="192"/>
      <c r="AE946" s="192"/>
      <c r="AF946" s="192"/>
      <c r="AG946" s="192"/>
      <c r="AH946" s="192"/>
      <c r="AI946" s="192"/>
      <c r="AJ946" s="192"/>
      <c r="AK946" s="192"/>
      <c r="AL946" s="192"/>
      <c r="AM946" s="192"/>
      <c r="AN946" s="192"/>
      <c r="AO946" s="192"/>
      <c r="AP946" s="192"/>
      <c r="AQ946" s="192"/>
      <c r="AR946" s="192"/>
      <c r="AS946" s="192"/>
      <c r="AT946" s="192"/>
      <c r="AU946" s="192"/>
      <c r="AV946" s="192"/>
      <c r="AW946" s="192"/>
      <c r="AX946" s="192"/>
      <c r="AY946" s="192"/>
      <c r="AZ946" s="192"/>
      <c r="BA946" s="192"/>
      <c r="BB946" s="192"/>
      <c r="BC946" s="192"/>
    </row>
    <row r="947" spans="28:55">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row>
    <row r="948" spans="28:55">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row>
    <row r="949" spans="28:55">
      <c r="AB949" s="192"/>
      <c r="AC949" s="192"/>
      <c r="AD949" s="192"/>
      <c r="AE949" s="192"/>
      <c r="AF949" s="192"/>
      <c r="AG949" s="192"/>
      <c r="AH949" s="192"/>
      <c r="AI949" s="192"/>
      <c r="AJ949" s="192"/>
      <c r="AK949" s="192"/>
      <c r="AL949" s="192"/>
      <c r="AM949" s="192"/>
      <c r="AN949" s="192"/>
      <c r="AO949" s="192"/>
      <c r="AP949" s="192"/>
      <c r="AQ949" s="192"/>
      <c r="AR949" s="192"/>
      <c r="AS949" s="192"/>
      <c r="AT949" s="192"/>
      <c r="AU949" s="192"/>
      <c r="AV949" s="192"/>
      <c r="AW949" s="192"/>
      <c r="AX949" s="192"/>
      <c r="AY949" s="192"/>
      <c r="AZ949" s="192"/>
      <c r="BA949" s="192"/>
      <c r="BB949" s="192"/>
      <c r="BC949" s="192"/>
    </row>
    <row r="950" spans="28:55">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row>
    <row r="951" spans="28:55">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row>
    <row r="952" spans="28:55">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row>
    <row r="953" spans="28:55">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row>
    <row r="954" spans="28:55">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row>
    <row r="955" spans="28:55">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row>
    <row r="956" spans="28:55">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row>
    <row r="957" spans="28:55">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row>
    <row r="958" spans="28:55">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row>
    <row r="959" spans="28:55">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row>
    <row r="960" spans="28:55">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row>
    <row r="961" spans="28:55">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row>
    <row r="962" spans="28:55">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row>
    <row r="963" spans="28:55">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row>
    <row r="964" spans="28:55">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row>
    <row r="965" spans="28:55">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row>
    <row r="966" spans="28:55">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row>
    <row r="967" spans="28:55">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row>
    <row r="968" spans="28:55">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row>
    <row r="969" spans="28:55">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row>
    <row r="970" spans="28:55">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row>
    <row r="971" spans="28:55">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row>
    <row r="972" spans="28:55">
      <c r="AB972" s="192"/>
      <c r="AC972" s="192"/>
      <c r="AD972" s="192"/>
      <c r="AE972" s="192"/>
      <c r="AF972" s="192"/>
      <c r="AG972" s="192"/>
      <c r="AH972" s="192"/>
      <c r="AI972" s="192"/>
      <c r="AJ972" s="192"/>
      <c r="AK972" s="192"/>
      <c r="AL972" s="192"/>
      <c r="AM972" s="192"/>
      <c r="AN972" s="192"/>
      <c r="AO972" s="192"/>
      <c r="AP972" s="192"/>
      <c r="AQ972" s="192"/>
      <c r="AR972" s="192"/>
      <c r="AS972" s="192"/>
      <c r="AT972" s="192"/>
      <c r="AU972" s="192"/>
      <c r="AV972" s="192"/>
      <c r="AW972" s="192"/>
      <c r="AX972" s="192"/>
      <c r="AY972" s="192"/>
      <c r="AZ972" s="192"/>
      <c r="BA972" s="192"/>
      <c r="BB972" s="192"/>
      <c r="BC972" s="192"/>
    </row>
    <row r="973" spans="28:55">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row>
    <row r="974" spans="28:55">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row>
    <row r="975" spans="28:55">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row>
    <row r="976" spans="28:55">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row>
    <row r="977" spans="28:55">
      <c r="AB977" s="192"/>
      <c r="AC977" s="192"/>
      <c r="AD977" s="192"/>
      <c r="AE977" s="192"/>
      <c r="AF977" s="192"/>
      <c r="AG977" s="192"/>
      <c r="AH977" s="192"/>
      <c r="AI977" s="192"/>
      <c r="AJ977" s="192"/>
      <c r="AK977" s="192"/>
      <c r="AL977" s="192"/>
      <c r="AM977" s="192"/>
      <c r="AN977" s="192"/>
      <c r="AO977" s="192"/>
      <c r="AP977" s="192"/>
      <c r="AQ977" s="192"/>
      <c r="AR977" s="192"/>
      <c r="AS977" s="192"/>
      <c r="AT977" s="192"/>
      <c r="AU977" s="192"/>
      <c r="AV977" s="192"/>
      <c r="AW977" s="192"/>
      <c r="AX977" s="192"/>
      <c r="AY977" s="192"/>
      <c r="AZ977" s="192"/>
      <c r="BA977" s="192"/>
      <c r="BB977" s="192"/>
      <c r="BC977" s="192"/>
    </row>
    <row r="978" spans="28:55">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row>
    <row r="979" spans="28:55">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row>
    <row r="980" spans="28:55">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row>
    <row r="981" spans="28:55">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row>
    <row r="982" spans="28:55">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row>
    <row r="983" spans="28:55">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row>
    <row r="984" spans="28:55">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row>
    <row r="985" spans="28:55">
      <c r="AB985" s="192"/>
      <c r="AC985" s="192"/>
      <c r="AD985" s="192"/>
      <c r="AE985" s="192"/>
      <c r="AF985" s="192"/>
      <c r="AG985" s="192"/>
      <c r="AH985" s="192"/>
      <c r="AI985" s="192"/>
      <c r="AJ985" s="192"/>
      <c r="AK985" s="192"/>
      <c r="AL985" s="192"/>
      <c r="AM985" s="192"/>
      <c r="AN985" s="192"/>
      <c r="AO985" s="192"/>
      <c r="AP985" s="192"/>
      <c r="AQ985" s="192"/>
      <c r="AR985" s="192"/>
      <c r="AS985" s="192"/>
      <c r="AT985" s="192"/>
      <c r="AU985" s="192"/>
      <c r="AV985" s="192"/>
      <c r="AW985" s="192"/>
      <c r="AX985" s="192"/>
      <c r="AY985" s="192"/>
      <c r="AZ985" s="192"/>
      <c r="BA985" s="192"/>
      <c r="BB985" s="192"/>
      <c r="BC985" s="192"/>
    </row>
    <row r="986" spans="28:55">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row>
    <row r="987" spans="28:55">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row>
    <row r="988" spans="28:55">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row>
    <row r="989" spans="28:55">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row>
    <row r="990" spans="28:55">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row>
    <row r="991" spans="28:55">
      <c r="AB991" s="192"/>
      <c r="AC991" s="192"/>
      <c r="AD991" s="192"/>
      <c r="AE991" s="192"/>
      <c r="AF991" s="192"/>
      <c r="AG991" s="192"/>
      <c r="AH991" s="192"/>
      <c r="AI991" s="192"/>
      <c r="AJ991" s="192"/>
      <c r="AK991" s="192"/>
      <c r="AL991" s="192"/>
      <c r="AM991" s="192"/>
      <c r="AN991" s="192"/>
      <c r="AO991" s="192"/>
      <c r="AP991" s="192"/>
      <c r="AQ991" s="192"/>
      <c r="AR991" s="192"/>
      <c r="AS991" s="192"/>
      <c r="AT991" s="192"/>
      <c r="AU991" s="192"/>
      <c r="AV991" s="192"/>
      <c r="AW991" s="192"/>
      <c r="AX991" s="192"/>
      <c r="AY991" s="192"/>
      <c r="AZ991" s="192"/>
      <c r="BA991" s="192"/>
      <c r="BB991" s="192"/>
      <c r="BC991" s="192"/>
    </row>
    <row r="992" spans="28:55">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row>
    <row r="993" spans="28:55">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row>
    <row r="994" spans="28:55">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row>
    <row r="995" spans="28:55">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row>
    <row r="996" spans="28:55">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row>
    <row r="997" spans="28:55">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row>
    <row r="998" spans="28:55">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row>
    <row r="999" spans="28:55">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row>
    <row r="1000" spans="28:55">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row>
    <row r="1001" spans="28:55">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row>
    <row r="1002" spans="28:55">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row>
    <row r="1003" spans="28:55">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row>
    <row r="1004" spans="28:55">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row>
    <row r="1005" spans="28:55">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row>
    <row r="1006" spans="28:55">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row>
    <row r="1007" spans="28:55">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row>
    <row r="1008" spans="28:55">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row>
    <row r="1009" spans="28:55">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row>
    <row r="1010" spans="28:55">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row>
    <row r="1011" spans="28:55">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row>
    <row r="1012" spans="28:55">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row>
    <row r="1013" spans="28:55">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row>
    <row r="1014" spans="28:55">
      <c r="AB1014" s="192"/>
      <c r="AC1014" s="192"/>
      <c r="AD1014" s="192"/>
      <c r="AE1014" s="192"/>
      <c r="AF1014" s="192"/>
      <c r="AG1014" s="192"/>
      <c r="AH1014" s="192"/>
      <c r="AI1014" s="192"/>
      <c r="AJ1014" s="192"/>
      <c r="AK1014" s="192"/>
      <c r="AL1014" s="192"/>
      <c r="AM1014" s="192"/>
      <c r="AN1014" s="192"/>
      <c r="AO1014" s="192"/>
      <c r="AP1014" s="192"/>
      <c r="AQ1014" s="192"/>
      <c r="AR1014" s="192"/>
      <c r="AS1014" s="192"/>
      <c r="AT1014" s="192"/>
      <c r="AU1014" s="192"/>
      <c r="AV1014" s="192"/>
      <c r="AW1014" s="192"/>
      <c r="AX1014" s="192"/>
      <c r="AY1014" s="192"/>
      <c r="AZ1014" s="192"/>
      <c r="BA1014" s="192"/>
      <c r="BB1014" s="192"/>
      <c r="BC1014" s="192"/>
    </row>
    <row r="1015" spans="28:55">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row>
    <row r="1016" spans="28:55">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row>
    <row r="1017" spans="28:55">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row>
    <row r="1018" spans="28:55">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row>
    <row r="1019" spans="28:55">
      <c r="AB1019" s="192"/>
      <c r="AC1019" s="192"/>
      <c r="AD1019" s="192"/>
      <c r="AE1019" s="192"/>
      <c r="AF1019" s="192"/>
      <c r="AG1019" s="192"/>
      <c r="AH1019" s="192"/>
      <c r="AI1019" s="192"/>
      <c r="AJ1019" s="192"/>
      <c r="AK1019" s="192"/>
      <c r="AL1019" s="192"/>
      <c r="AM1019" s="192"/>
      <c r="AN1019" s="192"/>
      <c r="AO1019" s="192"/>
      <c r="AP1019" s="192"/>
      <c r="AQ1019" s="192"/>
      <c r="AR1019" s="192"/>
      <c r="AS1019" s="192"/>
      <c r="AT1019" s="192"/>
      <c r="AU1019" s="192"/>
      <c r="AV1019" s="192"/>
      <c r="AW1019" s="192"/>
      <c r="AX1019" s="192"/>
      <c r="AY1019" s="192"/>
      <c r="AZ1019" s="192"/>
      <c r="BA1019" s="192"/>
      <c r="BB1019" s="192"/>
      <c r="BC1019" s="192"/>
    </row>
    <row r="1020" spans="28:55">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row>
    <row r="1021" spans="28:55">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row>
    <row r="1022" spans="28:55">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row>
    <row r="1023" spans="28:55">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row>
    <row r="1024" spans="28:55">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row>
    <row r="1025" spans="28:55">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row>
    <row r="1026" spans="28:55">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row>
    <row r="1027" spans="28:55">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2"/>
      <c r="AV1027" s="192"/>
      <c r="AW1027" s="192"/>
      <c r="AX1027" s="192"/>
      <c r="AY1027" s="192"/>
      <c r="AZ1027" s="192"/>
      <c r="BA1027" s="192"/>
      <c r="BB1027" s="192"/>
      <c r="BC1027" s="192"/>
    </row>
    <row r="1028" spans="28:55">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row>
    <row r="1029" spans="28:55">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row>
    <row r="1030" spans="28:55">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row>
    <row r="1031" spans="28:55">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row>
    <row r="1032" spans="28:55">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row>
    <row r="1033" spans="28:55">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2"/>
      <c r="AV1033" s="192"/>
      <c r="AW1033" s="192"/>
      <c r="AX1033" s="192"/>
      <c r="AY1033" s="192"/>
      <c r="AZ1033" s="192"/>
      <c r="BA1033" s="192"/>
      <c r="BB1033" s="192"/>
      <c r="BC1033" s="192"/>
    </row>
    <row r="1034" spans="28:55">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row>
    <row r="1035" spans="28:55">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row>
    <row r="1036" spans="28:55">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row>
    <row r="1037" spans="28:55">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row>
    <row r="1038" spans="28:55">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row>
    <row r="1039" spans="28:55">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row>
    <row r="1040" spans="28:55">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row>
    <row r="1041" spans="28:55">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row>
    <row r="1042" spans="28:55">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row>
    <row r="1043" spans="28:55">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row>
    <row r="1044" spans="28:55">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row>
    <row r="1045" spans="28:55">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row>
    <row r="1046" spans="28:55">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row>
    <row r="1047" spans="28:55">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row>
    <row r="1048" spans="28:55">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row>
    <row r="1049" spans="28:55">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row>
    <row r="1050" spans="28:55">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row>
    <row r="1051" spans="28:55">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row>
    <row r="1052" spans="28:55">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row>
    <row r="1053" spans="28:55">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row>
    <row r="1054" spans="28:55">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row>
    <row r="1055" spans="28:55">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row>
    <row r="1056" spans="28:55">
      <c r="AB1056" s="192"/>
      <c r="AC1056" s="192"/>
      <c r="AD1056" s="192"/>
      <c r="AE1056" s="192"/>
      <c r="AF1056" s="192"/>
      <c r="AG1056" s="192"/>
      <c r="AH1056" s="192"/>
      <c r="AI1056" s="192"/>
      <c r="AJ1056" s="192"/>
      <c r="AK1056" s="192"/>
      <c r="AL1056" s="192"/>
      <c r="AM1056" s="192"/>
      <c r="AN1056" s="192"/>
      <c r="AO1056" s="192"/>
      <c r="AP1056" s="192"/>
      <c r="AQ1056" s="192"/>
      <c r="AR1056" s="192"/>
      <c r="AS1056" s="192"/>
      <c r="AT1056" s="192"/>
      <c r="AU1056" s="192"/>
      <c r="AV1056" s="192"/>
      <c r="AW1056" s="192"/>
      <c r="AX1056" s="192"/>
      <c r="AY1056" s="192"/>
      <c r="AZ1056" s="192"/>
      <c r="BA1056" s="192"/>
      <c r="BB1056" s="192"/>
      <c r="BC1056" s="192"/>
    </row>
    <row r="1057" spans="28:55">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row>
    <row r="1058" spans="28:55">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row>
    <row r="1059" spans="28:55">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row>
    <row r="1060" spans="28:55">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row>
    <row r="1061" spans="28:55">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192"/>
      <c r="AW1061" s="192"/>
      <c r="AX1061" s="192"/>
      <c r="AY1061" s="192"/>
      <c r="AZ1061" s="192"/>
      <c r="BA1061" s="192"/>
      <c r="BB1061" s="192"/>
      <c r="BC1061" s="192"/>
    </row>
    <row r="1062" spans="28:55">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row>
    <row r="1063" spans="28:55">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row>
    <row r="1064" spans="28:55">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row>
    <row r="1065" spans="28:55">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row>
    <row r="1066" spans="28:55">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row>
    <row r="1067" spans="28:55">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row>
    <row r="1068" spans="28:55">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row>
    <row r="1069" spans="28:55">
      <c r="AB1069" s="192"/>
      <c r="AC1069" s="192"/>
      <c r="AD1069" s="192"/>
      <c r="AE1069" s="192"/>
      <c r="AF1069" s="192"/>
      <c r="AG1069" s="192"/>
      <c r="AH1069" s="192"/>
      <c r="AI1069" s="192"/>
      <c r="AJ1069" s="192"/>
      <c r="AK1069" s="192"/>
      <c r="AL1069" s="192"/>
      <c r="AM1069" s="192"/>
      <c r="AN1069" s="192"/>
      <c r="AO1069" s="192"/>
      <c r="AP1069" s="192"/>
      <c r="AQ1069" s="192"/>
      <c r="AR1069" s="192"/>
      <c r="AS1069" s="192"/>
      <c r="AT1069" s="192"/>
      <c r="AU1069" s="192"/>
      <c r="AV1069" s="192"/>
      <c r="AW1069" s="192"/>
      <c r="AX1069" s="192"/>
      <c r="AY1069" s="192"/>
      <c r="AZ1069" s="192"/>
      <c r="BA1069" s="192"/>
      <c r="BB1069" s="192"/>
      <c r="BC1069" s="192"/>
    </row>
    <row r="1070" spans="28:55">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row>
    <row r="1071" spans="28:55">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row>
    <row r="1072" spans="28:55">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row>
    <row r="1073" spans="28:55">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row>
    <row r="1074" spans="28:55">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row>
    <row r="1075" spans="28:55">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2"/>
      <c r="AV1075" s="192"/>
      <c r="AW1075" s="192"/>
      <c r="AX1075" s="192"/>
      <c r="AY1075" s="192"/>
      <c r="AZ1075" s="192"/>
      <c r="BA1075" s="192"/>
      <c r="BB1075" s="192"/>
      <c r="BC1075" s="192"/>
    </row>
    <row r="1076" spans="28:55">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row>
    <row r="1077" spans="28:55">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row>
    <row r="1078" spans="28:55">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row>
    <row r="1079" spans="28:55">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row>
    <row r="1080" spans="28:55">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row>
    <row r="1081" spans="28:55">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row>
    <row r="1082" spans="28:55">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row>
    <row r="1083" spans="28:55">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row>
    <row r="1084" spans="28:55">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row>
    <row r="1085" spans="28:55">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row>
    <row r="1086" spans="28:55">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row>
    <row r="1087" spans="28:55">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row>
    <row r="1088" spans="28:55">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row>
    <row r="1089" spans="28:55">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row>
    <row r="1090" spans="28:55">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row>
    <row r="1091" spans="28:55">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row>
    <row r="1092" spans="28:55">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row>
    <row r="1093" spans="28:55">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row>
    <row r="1094" spans="28:55">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row>
    <row r="1095" spans="28:55">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row>
    <row r="1096" spans="28:55">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row>
    <row r="1097" spans="28:55">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row>
    <row r="1098" spans="28:55">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2"/>
      <c r="AV1098" s="192"/>
      <c r="AW1098" s="192"/>
      <c r="AX1098" s="192"/>
      <c r="AY1098" s="192"/>
      <c r="AZ1098" s="192"/>
      <c r="BA1098" s="192"/>
      <c r="BB1098" s="192"/>
      <c r="BC1098" s="192"/>
    </row>
    <row r="1099" spans="28:55">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row>
    <row r="1100" spans="28:55">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row>
    <row r="1101" spans="28:55">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row>
    <row r="1102" spans="28:55">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row>
    <row r="1103" spans="28:55">
      <c r="AB1103" s="192"/>
      <c r="AC1103" s="192"/>
      <c r="AD1103" s="192"/>
      <c r="AE1103" s="192"/>
      <c r="AF1103" s="192"/>
      <c r="AG1103" s="192"/>
      <c r="AH1103" s="192"/>
      <c r="AI1103" s="192"/>
      <c r="AJ1103" s="192"/>
      <c r="AK1103" s="192"/>
      <c r="AL1103" s="192"/>
      <c r="AM1103" s="192"/>
      <c r="AN1103" s="192"/>
      <c r="AO1103" s="192"/>
      <c r="AP1103" s="192"/>
      <c r="AQ1103" s="192"/>
      <c r="AR1103" s="192"/>
      <c r="AS1103" s="192"/>
      <c r="AT1103" s="192"/>
      <c r="AU1103" s="192"/>
      <c r="AV1103" s="192"/>
      <c r="AW1103" s="192"/>
      <c r="AX1103" s="192"/>
      <c r="AY1103" s="192"/>
      <c r="AZ1103" s="192"/>
      <c r="BA1103" s="192"/>
      <c r="BB1103" s="192"/>
      <c r="BC1103" s="192"/>
    </row>
    <row r="1104" spans="28:55">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row>
    <row r="1105" spans="28:55">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row>
    <row r="1106" spans="28:55">
      <c r="AB1106" s="192"/>
      <c r="AC1106" s="192"/>
      <c r="AD1106" s="192"/>
      <c r="AE1106" s="192"/>
      <c r="AF1106" s="192"/>
      <c r="AG1106" s="192"/>
      <c r="AH1106" s="192"/>
      <c r="AI1106" s="192"/>
      <c r="AJ1106" s="192"/>
      <c r="AK1106" s="192"/>
      <c r="AL1106" s="192"/>
      <c r="AM1106" s="192"/>
      <c r="AN1106" s="192"/>
      <c r="AO1106" s="192"/>
      <c r="AP1106" s="192"/>
      <c r="AQ1106" s="192"/>
      <c r="AR1106" s="192"/>
      <c r="AS1106" s="192"/>
      <c r="AT1106" s="192"/>
      <c r="AU1106" s="192"/>
      <c r="AV1106" s="192"/>
      <c r="AW1106" s="192"/>
      <c r="AX1106" s="192"/>
      <c r="AY1106" s="192"/>
      <c r="AZ1106" s="192"/>
      <c r="BA1106" s="192"/>
      <c r="BB1106" s="192"/>
      <c r="BC1106" s="192"/>
    </row>
    <row r="1107" spans="28:55">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row>
    <row r="1108" spans="28:55">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row>
    <row r="1109" spans="28:55">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row>
    <row r="1110" spans="28:55">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row>
    <row r="1111" spans="28:55">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row>
    <row r="1112" spans="28:55">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row>
    <row r="1113" spans="28:55">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row>
    <row r="1114" spans="28:55">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row>
    <row r="1115" spans="28:55">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row>
    <row r="1116" spans="28:55">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row>
    <row r="1117" spans="28:55">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row>
    <row r="1118" spans="28:55">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row>
    <row r="1119" spans="28:55">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row>
    <row r="1120" spans="28:55">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row>
    <row r="1121" spans="28:55">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row>
    <row r="1122" spans="28:55">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row>
    <row r="1123" spans="28:55">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row>
    <row r="1124" spans="28:55">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row>
    <row r="1125" spans="28:55">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row>
    <row r="1126" spans="28:55">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row>
    <row r="1127" spans="28:55">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row>
    <row r="1128" spans="28:55">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row>
    <row r="1129" spans="28:55">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2"/>
      <c r="AV1129" s="192"/>
      <c r="AW1129" s="192"/>
      <c r="AX1129" s="192"/>
      <c r="AY1129" s="192"/>
      <c r="AZ1129" s="192"/>
      <c r="BA1129" s="192"/>
      <c r="BB1129" s="192"/>
      <c r="BC1129" s="192"/>
    </row>
    <row r="1130" spans="28:55">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row>
    <row r="1131" spans="28:55">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row>
    <row r="1132" spans="28:55">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row>
    <row r="1133" spans="28:55">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row>
    <row r="1134" spans="28:55">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2"/>
      <c r="AV1134" s="192"/>
      <c r="AW1134" s="192"/>
      <c r="AX1134" s="192"/>
      <c r="AY1134" s="192"/>
      <c r="AZ1134" s="192"/>
      <c r="BA1134" s="192"/>
      <c r="BB1134" s="192"/>
      <c r="BC1134" s="192"/>
    </row>
    <row r="1135" spans="28:55">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row>
    <row r="1136" spans="28:55">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row>
    <row r="1137" spans="28:55">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row>
    <row r="1138" spans="28:55">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row>
    <row r="1139" spans="28:55">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row>
    <row r="1140" spans="28:55">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row>
    <row r="1141" spans="28:55">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row>
    <row r="1142" spans="28:55">
      <c r="AB1142" s="192"/>
      <c r="AC1142" s="192"/>
      <c r="AD1142" s="192"/>
      <c r="AE1142" s="192"/>
      <c r="AF1142" s="192"/>
      <c r="AG1142" s="192"/>
      <c r="AH1142" s="192"/>
      <c r="AI1142" s="192"/>
      <c r="AJ1142" s="192"/>
      <c r="AK1142" s="192"/>
      <c r="AL1142" s="192"/>
      <c r="AM1142" s="192"/>
      <c r="AN1142" s="192"/>
      <c r="AO1142" s="192"/>
      <c r="AP1142" s="192"/>
      <c r="AQ1142" s="192"/>
      <c r="AR1142" s="192"/>
      <c r="AS1142" s="192"/>
      <c r="AT1142" s="192"/>
      <c r="AU1142" s="192"/>
      <c r="AV1142" s="192"/>
      <c r="AW1142" s="192"/>
      <c r="AX1142" s="192"/>
      <c r="AY1142" s="192"/>
      <c r="AZ1142" s="192"/>
      <c r="BA1142" s="192"/>
      <c r="BB1142" s="192"/>
      <c r="BC1142" s="192"/>
    </row>
    <row r="1143" spans="28:55">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row>
    <row r="1144" spans="28:55">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row>
    <row r="1145" spans="28:55">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row>
    <row r="1146" spans="28:55">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row>
    <row r="1147" spans="28:55">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row>
    <row r="1148" spans="28:55">
      <c r="AB1148" s="192"/>
      <c r="AC1148" s="192"/>
      <c r="AD1148" s="192"/>
      <c r="AE1148" s="192"/>
      <c r="AF1148" s="192"/>
      <c r="AG1148" s="192"/>
      <c r="AH1148" s="192"/>
      <c r="AI1148" s="192"/>
      <c r="AJ1148" s="192"/>
      <c r="AK1148" s="192"/>
      <c r="AL1148" s="192"/>
      <c r="AM1148" s="192"/>
      <c r="AN1148" s="192"/>
      <c r="AO1148" s="192"/>
      <c r="AP1148" s="192"/>
      <c r="AQ1148" s="192"/>
      <c r="AR1148" s="192"/>
      <c r="AS1148" s="192"/>
      <c r="AT1148" s="192"/>
      <c r="AU1148" s="192"/>
      <c r="AV1148" s="192"/>
      <c r="AW1148" s="192"/>
      <c r="AX1148" s="192"/>
      <c r="AY1148" s="192"/>
      <c r="AZ1148" s="192"/>
      <c r="BA1148" s="192"/>
      <c r="BB1148" s="192"/>
      <c r="BC1148" s="192"/>
    </row>
    <row r="1149" spans="28:55">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row>
    <row r="1150" spans="28:55">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row>
    <row r="1151" spans="28:55">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row>
    <row r="1152" spans="28:55">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row>
    <row r="1153" spans="28:55">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row>
    <row r="1154" spans="28:55">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row>
    <row r="1155" spans="28:55">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row>
    <row r="1156" spans="28:55">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row>
    <row r="1157" spans="28:55">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row>
    <row r="1158" spans="28:55">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row>
    <row r="1159" spans="28:55">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row>
    <row r="1160" spans="28:55">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row>
    <row r="1161" spans="28:55">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row>
    <row r="1162" spans="28:55">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row>
    <row r="1163" spans="28:55">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25"/>
      <c r="BL1" s="225"/>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17"/>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25"/>
      <c r="BL4" s="225"/>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25"/>
      <c r="BL5" s="22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7">
        <f>SUM(G7:G36)</f>
        <v>498.28027838127326</v>
      </c>
      <c r="H6" s="274">
        <f>SUM(H7:H36)</f>
        <v>523.28094164003767</v>
      </c>
      <c r="I6" s="316">
        <f t="shared" ref="I6:Q6" si="1">SUM(I7:I36)</f>
        <v>559.64809540994338</v>
      </c>
      <c r="J6" s="316">
        <f t="shared" si="1"/>
        <v>603.76047452900184</v>
      </c>
      <c r="K6" s="316">
        <f t="shared" si="1"/>
        <v>641.13377927933436</v>
      </c>
      <c r="L6" s="316">
        <f t="shared" si="1"/>
        <v>662.35743437547535</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25"/>
      <c r="BL6" s="225"/>
    </row>
    <row r="7" spans="1:256" hidden="1" outlineLevel="1">
      <c r="A7" s="9"/>
      <c r="B7" s="9"/>
      <c r="C7" s="9"/>
      <c r="D7" s="132" t="str">
        <f>Asset1</f>
        <v>Opening Distribution Assets</v>
      </c>
      <c r="E7" s="9"/>
      <c r="F7" s="9"/>
      <c r="G7" s="198">
        <f>'Actual RAB roll forward'!G438</f>
        <v>498.28027838127326</v>
      </c>
      <c r="H7" s="113">
        <f t="shared" ref="H7:H26" si="2">G7+G39+G71+G103+G135+G167</f>
        <v>523.28094164003767</v>
      </c>
      <c r="I7" s="113">
        <f t="shared" ref="I7:L34" si="3">H7+H39+H71</f>
        <v>506.14438454160216</v>
      </c>
      <c r="J7" s="113">
        <f t="shared" si="3"/>
        <v>493.39921945601708</v>
      </c>
      <c r="K7" s="113">
        <f t="shared" si="3"/>
        <v>482.20371082101735</v>
      </c>
      <c r="L7" s="113">
        <f t="shared" si="3"/>
        <v>461.83916662172794</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256" hidden="1" outlineLevel="1">
      <c r="A8" s="9"/>
      <c r="B8" s="9"/>
      <c r="C8" s="46"/>
      <c r="D8" s="132" t="str">
        <f>Asset2</f>
        <v>Sub-transmission Overhead</v>
      </c>
      <c r="E8" s="9"/>
      <c r="F8" s="9"/>
      <c r="G8" s="198">
        <f>'Actual RAB roll forward'!G439</f>
        <v>0</v>
      </c>
      <c r="H8" s="113">
        <f t="shared" si="2"/>
        <v>0</v>
      </c>
      <c r="I8" s="113">
        <f t="shared" si="3"/>
        <v>0</v>
      </c>
      <c r="J8" s="113">
        <f t="shared" si="3"/>
        <v>0</v>
      </c>
      <c r="K8" s="113">
        <f t="shared" si="3"/>
        <v>0</v>
      </c>
      <c r="L8" s="113">
        <f t="shared" si="3"/>
        <v>0</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25"/>
      <c r="BL8" s="225"/>
    </row>
    <row r="9" spans="1:256" hidden="1" outlineLevel="1">
      <c r="A9" s="9"/>
      <c r="B9" s="9"/>
      <c r="C9" s="46"/>
      <c r="D9" s="132" t="str">
        <f>Asset3</f>
        <v>Sub-transmission Underground</v>
      </c>
      <c r="E9" s="9"/>
      <c r="F9" s="9"/>
      <c r="G9" s="198">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5"/>
      <c r="BL9" s="225"/>
    </row>
    <row r="10" spans="1:256" hidden="1" outlineLevel="1">
      <c r="A10" s="9"/>
      <c r="B10" s="9"/>
      <c r="C10" s="46"/>
      <c r="D10" s="132" t="str">
        <f>Asset4</f>
        <v>Zone Substation</v>
      </c>
      <c r="E10" s="9"/>
      <c r="F10" s="9"/>
      <c r="G10" s="198">
        <f>'Actual RAB roll forward'!G441</f>
        <v>0</v>
      </c>
      <c r="H10" s="113">
        <f t="shared" si="2"/>
        <v>0</v>
      </c>
      <c r="I10" s="113">
        <f t="shared" si="3"/>
        <v>0.8244722972041908</v>
      </c>
      <c r="J10" s="113">
        <f t="shared" si="3"/>
        <v>0.83539863136000281</v>
      </c>
      <c r="K10" s="113">
        <f t="shared" si="3"/>
        <v>0.84191164098385407</v>
      </c>
      <c r="L10" s="113">
        <f t="shared" si="3"/>
        <v>1.62826491929481</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5"/>
      <c r="BL10" s="225"/>
    </row>
    <row r="11" spans="1:256" hidden="1" outlineLevel="1">
      <c r="A11" s="9"/>
      <c r="B11" s="9"/>
      <c r="C11" s="46"/>
      <c r="D11" s="132" t="str">
        <f>Asset5</f>
        <v>Distribution Substations</v>
      </c>
      <c r="E11" s="9"/>
      <c r="F11" s="9"/>
      <c r="G11" s="198">
        <f>'Actual RAB roll forward'!G442</f>
        <v>0</v>
      </c>
      <c r="H11" s="113">
        <f t="shared" si="2"/>
        <v>0</v>
      </c>
      <c r="I11" s="113">
        <f t="shared" si="3"/>
        <v>10.355029952377336</v>
      </c>
      <c r="J11" s="113">
        <f t="shared" si="3"/>
        <v>22.632616693757978</v>
      </c>
      <c r="K11" s="113">
        <f t="shared" si="3"/>
        <v>33.651544707156702</v>
      </c>
      <c r="L11" s="113">
        <f t="shared" si="3"/>
        <v>41.012543650812887</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5"/>
      <c r="BL11" s="225"/>
    </row>
    <row r="12" spans="1:256" hidden="1" outlineLevel="1">
      <c r="A12" s="9"/>
      <c r="B12" s="9"/>
      <c r="C12" s="46"/>
      <c r="D12" s="132" t="str">
        <f>Asset6</f>
        <v>Distribution Overhead Lines</v>
      </c>
      <c r="E12" s="9"/>
      <c r="F12" s="9"/>
      <c r="G12" s="198">
        <f>'Actual RAB roll forward'!G443</f>
        <v>0</v>
      </c>
      <c r="H12" s="113">
        <f t="shared" si="2"/>
        <v>0</v>
      </c>
      <c r="I12" s="113">
        <f t="shared" si="3"/>
        <v>11.253915343245509</v>
      </c>
      <c r="J12" s="113">
        <f t="shared" si="3"/>
        <v>24.348133962907013</v>
      </c>
      <c r="K12" s="113">
        <f t="shared" si="3"/>
        <v>39.011871461609665</v>
      </c>
      <c r="L12" s="113">
        <f t="shared" si="3"/>
        <v>50.239090702973769</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5"/>
      <c r="BL12" s="225"/>
    </row>
    <row r="13" spans="1:256" hidden="1" outlineLevel="1">
      <c r="A13" s="9"/>
      <c r="B13" s="9"/>
      <c r="C13" s="46"/>
      <c r="D13" s="132" t="str">
        <f>Asset7</f>
        <v>Distribution Underground Lines</v>
      </c>
      <c r="E13" s="9"/>
      <c r="F13" s="9"/>
      <c r="G13" s="198">
        <f>'Actual RAB roll forward'!G444</f>
        <v>0</v>
      </c>
      <c r="H13" s="113">
        <f t="shared" si="2"/>
        <v>0</v>
      </c>
      <c r="I13" s="113">
        <f t="shared" si="3"/>
        <v>15.379008817383424</v>
      </c>
      <c r="J13" s="113">
        <f t="shared" si="3"/>
        <v>32.542281179145242</v>
      </c>
      <c r="K13" s="113">
        <f t="shared" si="3"/>
        <v>50.712773340171537</v>
      </c>
      <c r="L13" s="113">
        <f t="shared" si="3"/>
        <v>59.817040086368529</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5"/>
      <c r="BL13" s="225"/>
    </row>
    <row r="14" spans="1:256" hidden="1" outlineLevel="1">
      <c r="A14" s="9"/>
      <c r="B14" s="9"/>
      <c r="C14" s="46"/>
      <c r="D14" s="132" t="str">
        <f>Asset8</f>
        <v>IT &amp; Communication Systems (Networks)</v>
      </c>
      <c r="E14" s="9"/>
      <c r="F14" s="9"/>
      <c r="G14" s="198">
        <f>'Actual RAB roll forward'!G445</f>
        <v>0</v>
      </c>
      <c r="H14" s="113">
        <f t="shared" si="2"/>
        <v>0</v>
      </c>
      <c r="I14" s="113">
        <f t="shared" si="3"/>
        <v>1.2527379250019115</v>
      </c>
      <c r="J14" s="113">
        <f t="shared" si="3"/>
        <v>2.0459147899750434</v>
      </c>
      <c r="K14" s="113">
        <f t="shared" si="3"/>
        <v>4.3868554333686296</v>
      </c>
      <c r="L14" s="113">
        <f t="shared" si="3"/>
        <v>10.547421700613528</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5"/>
      <c r="BL14" s="225"/>
    </row>
    <row r="15" spans="1:256" hidden="1" outlineLevel="1">
      <c r="A15" s="9"/>
      <c r="B15" s="9"/>
      <c r="C15" s="46"/>
      <c r="D15" s="132" t="str">
        <f>Asset9</f>
        <v>Motor Vehicles</v>
      </c>
      <c r="E15" s="9"/>
      <c r="F15" s="9"/>
      <c r="G15" s="198">
        <f>'Actual RAB roll forward'!G446</f>
        <v>0</v>
      </c>
      <c r="H15" s="113">
        <f t="shared" si="2"/>
        <v>0</v>
      </c>
      <c r="I15" s="113">
        <f t="shared" si="3"/>
        <v>0</v>
      </c>
      <c r="J15" s="113">
        <f t="shared" si="3"/>
        <v>0</v>
      </c>
      <c r="K15" s="113">
        <f t="shared" si="3"/>
        <v>0.5911887373831749</v>
      </c>
      <c r="L15" s="113">
        <f t="shared" si="3"/>
        <v>4.6730066239842509</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5"/>
      <c r="BL15" s="225"/>
    </row>
    <row r="16" spans="1:256" hidden="1" outlineLevel="1">
      <c r="A16" s="9"/>
      <c r="B16" s="9"/>
      <c r="C16" s="46"/>
      <c r="D16" s="132" t="str">
        <f>Asset10</f>
        <v>Other Non-System Assets (Networks)</v>
      </c>
      <c r="E16" s="9"/>
      <c r="F16" s="9"/>
      <c r="G16" s="198">
        <f>'Actual RAB roll forward'!G447</f>
        <v>0</v>
      </c>
      <c r="H16" s="113">
        <f t="shared" si="2"/>
        <v>0</v>
      </c>
      <c r="I16" s="113">
        <f t="shared" si="3"/>
        <v>0.97838896074733217</v>
      </c>
      <c r="J16" s="113">
        <f t="shared" si="3"/>
        <v>1.3057703137498731</v>
      </c>
      <c r="K16" s="113">
        <f t="shared" si="3"/>
        <v>1.4416333065698486</v>
      </c>
      <c r="L16" s="113">
        <f t="shared" si="3"/>
        <v>1.6687162684935393</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5"/>
      <c r="BL16" s="225"/>
    </row>
    <row r="17" spans="1:64" hidden="1" outlineLevel="1">
      <c r="A17" s="9"/>
      <c r="B17" s="9"/>
      <c r="C17" s="46"/>
      <c r="D17" s="132" t="str">
        <f>Asset11</f>
        <v>IT Systems (Corporate)</v>
      </c>
      <c r="E17" s="9"/>
      <c r="F17" s="9"/>
      <c r="G17" s="198">
        <f>'Actual RAB roll forward'!G448</f>
        <v>0</v>
      </c>
      <c r="H17" s="113">
        <f t="shared" si="2"/>
        <v>0</v>
      </c>
      <c r="I17" s="113">
        <f t="shared" si="3"/>
        <v>0.92593433539887537</v>
      </c>
      <c r="J17" s="113">
        <f t="shared" si="3"/>
        <v>1.0460314947236276</v>
      </c>
      <c r="K17" s="113">
        <f t="shared" si="3"/>
        <v>2.2877073749335226</v>
      </c>
      <c r="L17" s="113">
        <f t="shared" si="3"/>
        <v>4.6653524376780293</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5"/>
      <c r="BL17" s="225"/>
    </row>
    <row r="18" spans="1:64" hidden="1" outlineLevel="1">
      <c r="A18" s="9"/>
      <c r="B18" s="9"/>
      <c r="C18" s="46"/>
      <c r="D18" s="132" t="str">
        <f>Asset12</f>
        <v>Telecommunications (Corporate)</v>
      </c>
      <c r="E18" s="9"/>
      <c r="F18" s="9"/>
      <c r="G18" s="198">
        <f>'Actual RAB roll forward'!G449</f>
        <v>0</v>
      </c>
      <c r="H18" s="113">
        <f t="shared" si="2"/>
        <v>0</v>
      </c>
      <c r="I18" s="113">
        <f t="shared" si="3"/>
        <v>0.25541504467914988</v>
      </c>
      <c r="J18" s="113">
        <f t="shared" si="3"/>
        <v>0.29657409339296098</v>
      </c>
      <c r="K18" s="113">
        <f t="shared" si="3"/>
        <v>0.2764888164006678</v>
      </c>
      <c r="L18" s="113">
        <f t="shared" si="3"/>
        <v>0.25287754051867206</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5"/>
      <c r="BL18" s="225"/>
    </row>
    <row r="19" spans="1:64" hidden="1" outlineLevel="1">
      <c r="A19" s="9"/>
      <c r="B19" s="9"/>
      <c r="C19" s="46"/>
      <c r="D19" s="132" t="str">
        <f>Asset13</f>
        <v>Other Non-System Assets (Corporate)</v>
      </c>
      <c r="E19" s="9"/>
      <c r="F19" s="9"/>
      <c r="G19" s="198">
        <f>'Actual RAB roll forward'!G450</f>
        <v>0</v>
      </c>
      <c r="H19" s="113">
        <f t="shared" si="2"/>
        <v>0</v>
      </c>
      <c r="I19" s="113">
        <f t="shared" si="3"/>
        <v>3.3820682986797004</v>
      </c>
      <c r="J19" s="113">
        <f t="shared" si="3"/>
        <v>6.8576445331402702</v>
      </c>
      <c r="K19" s="113">
        <f t="shared" si="3"/>
        <v>6.1626871532049163</v>
      </c>
      <c r="L19" s="113">
        <f t="shared" si="3"/>
        <v>5.2315361759139059</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5"/>
      <c r="BL19" s="225"/>
    </row>
    <row r="20" spans="1:64" hidden="1" outlineLevel="1">
      <c r="A20" s="9"/>
      <c r="B20" s="9"/>
      <c r="C20" s="46"/>
      <c r="D20" s="132" t="str">
        <f>Asset14</f>
        <v>Land</v>
      </c>
      <c r="E20" s="9"/>
      <c r="F20" s="9"/>
      <c r="G20" s="198">
        <f>'Actual RAB roll forward'!G451</f>
        <v>0</v>
      </c>
      <c r="H20" s="113">
        <f t="shared" si="2"/>
        <v>0</v>
      </c>
      <c r="I20" s="113">
        <f t="shared" si="3"/>
        <v>2.4270565356726159</v>
      </c>
      <c r="J20" s="113">
        <f t="shared" si="3"/>
        <v>2.4961117715304253</v>
      </c>
      <c r="K20" s="113">
        <f t="shared" si="3"/>
        <v>2.5807134740996771</v>
      </c>
      <c r="L20" s="113">
        <f t="shared" si="3"/>
        <v>2.62620577910773</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5"/>
      <c r="BL20" s="225"/>
    </row>
    <row r="21" spans="1:64" hidden="1" outlineLevel="1">
      <c r="A21" s="9"/>
      <c r="B21" s="9"/>
      <c r="C21" s="46"/>
      <c r="D21" s="132" t="str">
        <f>Asset15</f>
        <v>Buildings</v>
      </c>
      <c r="E21" s="9"/>
      <c r="F21" s="9"/>
      <c r="G21" s="198">
        <f>'Actual RAB roll forward'!G452</f>
        <v>0</v>
      </c>
      <c r="H21" s="113">
        <f t="shared" si="2"/>
        <v>0</v>
      </c>
      <c r="I21" s="113">
        <f t="shared" si="3"/>
        <v>6.2291400526928884</v>
      </c>
      <c r="J21" s="113">
        <f t="shared" si="3"/>
        <v>15.712888064744963</v>
      </c>
      <c r="K21" s="113">
        <f t="shared" si="3"/>
        <v>16.74025919425895</v>
      </c>
      <c r="L21" s="113">
        <f t="shared" si="3"/>
        <v>17.913315042766666</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5"/>
      <c r="BL21" s="225"/>
    </row>
    <row r="22" spans="1:64" hidden="1" outlineLevel="1">
      <c r="A22" s="9"/>
      <c r="B22" s="9"/>
      <c r="C22" s="46"/>
      <c r="D22" s="132" t="str">
        <f>Asset16</f>
        <v>Equity raising costs</v>
      </c>
      <c r="E22" s="9"/>
      <c r="F22" s="9"/>
      <c r="G22" s="198">
        <f>'Actual RAB roll forward'!G453</f>
        <v>0</v>
      </c>
      <c r="H22" s="113">
        <f t="shared" si="2"/>
        <v>0</v>
      </c>
      <c r="I22" s="113">
        <f t="shared" si="3"/>
        <v>0.24054330525835993</v>
      </c>
      <c r="J22" s="113">
        <f t="shared" si="3"/>
        <v>0.24188954455733372</v>
      </c>
      <c r="K22" s="113">
        <f t="shared" si="3"/>
        <v>0.24443381817579493</v>
      </c>
      <c r="L22" s="113">
        <f t="shared" si="3"/>
        <v>0.24289682522122288</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5"/>
      <c r="BL22" s="225"/>
    </row>
    <row r="23" spans="1:64" hidden="1" outlineLevel="1">
      <c r="A23" s="9"/>
      <c r="B23" s="9"/>
      <c r="C23" s="46"/>
      <c r="D23" s="132">
        <f>Asset17</f>
        <v>0</v>
      </c>
      <c r="E23" s="9"/>
      <c r="F23" s="9"/>
      <c r="G23" s="198">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5"/>
      <c r="BL23" s="225"/>
    </row>
    <row r="24" spans="1:64" hidden="1" outlineLevel="1">
      <c r="A24" s="9"/>
      <c r="B24" s="9"/>
      <c r="C24" s="46"/>
      <c r="D24" s="132">
        <f>Asset18</f>
        <v>0</v>
      </c>
      <c r="E24" s="9"/>
      <c r="F24" s="9"/>
      <c r="G24" s="198">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5"/>
      <c r="BL24" s="225"/>
    </row>
    <row r="25" spans="1:64" hidden="1" outlineLevel="1">
      <c r="A25" s="9"/>
      <c r="B25" s="9"/>
      <c r="C25" s="46"/>
      <c r="D25" s="132">
        <f>Asset19</f>
        <v>0</v>
      </c>
      <c r="E25" s="9"/>
      <c r="F25" s="9"/>
      <c r="G25" s="198">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5"/>
      <c r="BL25" s="225"/>
    </row>
    <row r="26" spans="1:64" hidden="1" outlineLevel="1">
      <c r="A26" s="9"/>
      <c r="B26" s="9"/>
      <c r="C26" s="46"/>
      <c r="D26" s="132">
        <f>Asset20</f>
        <v>0</v>
      </c>
      <c r="E26" s="9"/>
      <c r="F26" s="9"/>
      <c r="G26" s="198">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5"/>
      <c r="BL26" s="225"/>
    </row>
    <row r="27" spans="1:64" hidden="1" outlineLevel="1">
      <c r="A27" s="9"/>
      <c r="B27" s="9"/>
      <c r="C27" s="46"/>
      <c r="D27" s="132">
        <f>Asset21</f>
        <v>0</v>
      </c>
      <c r="E27" s="9"/>
      <c r="F27" s="9"/>
      <c r="G27" s="198">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5"/>
      <c r="BL27" s="225"/>
    </row>
    <row r="28" spans="1:64" hidden="1" outlineLevel="1">
      <c r="A28" s="9"/>
      <c r="B28" s="9"/>
      <c r="C28" s="46"/>
      <c r="D28" s="132">
        <f>Asset22</f>
        <v>0</v>
      </c>
      <c r="E28" s="9"/>
      <c r="F28" s="9"/>
      <c r="G28" s="198">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5"/>
      <c r="BL28" s="225"/>
    </row>
    <row r="29" spans="1:64" hidden="1" outlineLevel="1">
      <c r="A29" s="9"/>
      <c r="B29" s="9"/>
      <c r="C29" s="46"/>
      <c r="D29" s="132">
        <f>Asset23</f>
        <v>0</v>
      </c>
      <c r="E29" s="9"/>
      <c r="F29" s="9"/>
      <c r="G29" s="198">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5"/>
      <c r="BL29" s="225"/>
    </row>
    <row r="30" spans="1:64" hidden="1" outlineLevel="1">
      <c r="A30" s="9"/>
      <c r="B30" s="9"/>
      <c r="C30" s="46"/>
      <c r="D30" s="132">
        <f>Asset24</f>
        <v>0</v>
      </c>
      <c r="E30" s="9"/>
      <c r="F30" s="9"/>
      <c r="G30" s="198">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5"/>
      <c r="BL30" s="225"/>
    </row>
    <row r="31" spans="1:64" hidden="1" outlineLevel="1">
      <c r="A31" s="9"/>
      <c r="B31" s="9"/>
      <c r="C31" s="46"/>
      <c r="D31" s="132">
        <f>Asset25</f>
        <v>0</v>
      </c>
      <c r="E31" s="9"/>
      <c r="F31" s="9"/>
      <c r="G31" s="198">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5"/>
      <c r="BL31" s="225"/>
    </row>
    <row r="32" spans="1:64" hidden="1" outlineLevel="1">
      <c r="A32" s="9"/>
      <c r="B32" s="9"/>
      <c r="C32" s="46"/>
      <c r="D32" s="132">
        <f>Asset26</f>
        <v>0</v>
      </c>
      <c r="E32" s="9"/>
      <c r="F32" s="9"/>
      <c r="G32" s="198">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5"/>
      <c r="BL32" s="225"/>
    </row>
    <row r="33" spans="1:64" hidden="1" outlineLevel="1">
      <c r="A33" s="9"/>
      <c r="B33" s="9"/>
      <c r="C33" s="46"/>
      <c r="D33" s="132">
        <f>Asset27</f>
        <v>0</v>
      </c>
      <c r="E33" s="9"/>
      <c r="F33" s="9"/>
      <c r="G33" s="198">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5"/>
      <c r="BL33" s="225"/>
    </row>
    <row r="34" spans="1:64" hidden="1" outlineLevel="1">
      <c r="A34" s="9"/>
      <c r="B34" s="9"/>
      <c r="C34" s="46"/>
      <c r="D34" s="132">
        <f>Asset28</f>
        <v>0</v>
      </c>
      <c r="E34" s="9"/>
      <c r="F34" s="9"/>
      <c r="G34" s="198">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5"/>
      <c r="BL34" s="225"/>
    </row>
    <row r="35" spans="1:64" hidden="1" outlineLevel="1">
      <c r="A35" s="9"/>
      <c r="B35" s="9"/>
      <c r="C35" s="46"/>
      <c r="D35" s="132">
        <f>Asset29</f>
        <v>0</v>
      </c>
      <c r="E35" s="9"/>
      <c r="F35" s="9"/>
      <c r="G35" s="198">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5"/>
      <c r="BL35" s="225"/>
    </row>
    <row r="36" spans="1:64" hidden="1" outlineLevel="1">
      <c r="A36" s="9"/>
      <c r="B36" s="9"/>
      <c r="C36" s="46"/>
      <c r="D36" s="132">
        <f>Asset30</f>
        <v>0</v>
      </c>
      <c r="E36" s="9"/>
      <c r="F36" s="9"/>
      <c r="G36" s="198">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5"/>
      <c r="BL36" s="225"/>
    </row>
    <row r="37" spans="1:64" collapsed="1">
      <c r="A37" s="9"/>
      <c r="B37" s="9"/>
      <c r="C37" s="46"/>
      <c r="D37" s="116"/>
      <c r="E37" s="9"/>
      <c r="F37" s="9"/>
      <c r="G37" s="209"/>
      <c r="H37" s="37"/>
      <c r="I37" s="37"/>
      <c r="J37" s="37"/>
      <c r="K37" s="37"/>
      <c r="L37" s="37"/>
      <c r="M37" s="37"/>
      <c r="N37" s="102"/>
      <c r="O37" s="29"/>
      <c r="P37" s="29"/>
      <c r="Q37" s="29"/>
      <c r="R37" s="29"/>
      <c r="S37" s="102"/>
      <c r="T37" s="102"/>
      <c r="U37" s="102"/>
      <c r="V37" s="102"/>
      <c r="W37" s="102"/>
      <c r="X37" s="102"/>
      <c r="Y37" s="102"/>
      <c r="Z37" s="102"/>
      <c r="AA37" s="102"/>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5"/>
      <c r="BL37" s="225"/>
    </row>
    <row r="38" spans="1:64">
      <c r="A38" s="9"/>
      <c r="B38" s="9"/>
      <c r="C38" s="46" t="s">
        <v>36</v>
      </c>
      <c r="D38" s="9"/>
      <c r="E38" s="9"/>
      <c r="F38" s="9"/>
      <c r="G38" s="199">
        <f>SUM(G39:G68)</f>
        <v>29.159874678113024</v>
      </c>
      <c r="H38" s="37">
        <f>SUM(H39:H68)</f>
        <v>53.503710868341287</v>
      </c>
      <c r="I38" s="37">
        <f t="shared" ref="I38:Q38" si="6">SUM(I39:I68)</f>
        <v>57.477269525961276</v>
      </c>
      <c r="J38" s="37">
        <f t="shared" si="6"/>
        <v>49.172447849014262</v>
      </c>
      <c r="K38" s="37">
        <f t="shared" si="6"/>
        <v>45.037022565388241</v>
      </c>
      <c r="L38" s="37">
        <f t="shared" si="6"/>
        <v>66.572534907014017</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5"/>
      <c r="BL38" s="225"/>
    </row>
    <row r="39" spans="1:64" hidden="1" outlineLevel="1">
      <c r="A39" s="9"/>
      <c r="B39" s="9"/>
      <c r="C39" s="46"/>
      <c r="D39" s="132" t="str">
        <f>Asset1</f>
        <v>Opening Distribution Assets</v>
      </c>
      <c r="E39" s="9"/>
      <c r="F39" s="9"/>
      <c r="G39" s="198">
        <f>'Actual RAB roll forward'!G470</f>
        <v>29.159874678113024</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5"/>
      <c r="BL39" s="225"/>
    </row>
    <row r="40" spans="1:64" hidden="1" outlineLevel="1">
      <c r="A40" s="9"/>
      <c r="B40" s="9"/>
      <c r="C40" s="46"/>
      <c r="D40" s="132" t="str">
        <f>Asset2</f>
        <v>Sub-transmission Overhead</v>
      </c>
      <c r="E40" s="9"/>
      <c r="F40" s="9"/>
      <c r="G40" s="198">
        <f>'Actual RAB roll forward'!G471</f>
        <v>0</v>
      </c>
      <c r="H40" s="113">
        <f>'Actual RAB roll forward'!H471</f>
        <v>0</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5"/>
      <c r="BL40" s="225"/>
    </row>
    <row r="41" spans="1:64" hidden="1" outlineLevel="1">
      <c r="A41" s="9"/>
      <c r="B41" s="9"/>
      <c r="C41" s="46"/>
      <c r="D41" s="132" t="str">
        <f>Asset3</f>
        <v>Sub-transmission Underground</v>
      </c>
      <c r="E41" s="9"/>
      <c r="F41" s="9"/>
      <c r="G41" s="198">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5"/>
      <c r="BL41" s="225"/>
    </row>
    <row r="42" spans="1:64" hidden="1" outlineLevel="1">
      <c r="A42" s="9"/>
      <c r="B42" s="9"/>
      <c r="C42" s="46"/>
      <c r="D42" s="132" t="str">
        <f>Asset4</f>
        <v>Zone Substation</v>
      </c>
      <c r="E42" s="9"/>
      <c r="F42" s="9"/>
      <c r="G42" s="198">
        <f>'Actual RAB roll forward'!G473</f>
        <v>0</v>
      </c>
      <c r="H42" s="113">
        <f>'Actual RAB roll forward'!H473</f>
        <v>0.8244722972041908</v>
      </c>
      <c r="I42" s="113">
        <f>'Actual RAB roll forward'!I473</f>
        <v>8.4552020788718988E-3</v>
      </c>
      <c r="J42" s="113">
        <f>'Actual RAB roll forward'!J473</f>
        <v>0</v>
      </c>
      <c r="K42" s="113">
        <f>'Actual RAB roll forward'!K473</f>
        <v>0.79405263964321116</v>
      </c>
      <c r="L42" s="113">
        <f>'Actual RAB roll forward'!L473</f>
        <v>0.16763558188095629</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5"/>
      <c r="BL42" s="225"/>
    </row>
    <row r="43" spans="1:64" hidden="1" outlineLevel="1">
      <c r="A43" s="9"/>
      <c r="B43" s="9"/>
      <c r="C43" s="46"/>
      <c r="D43" s="132" t="str">
        <f>Asset5</f>
        <v>Distribution Substations</v>
      </c>
      <c r="E43" s="9"/>
      <c r="F43" s="9"/>
      <c r="G43" s="198">
        <f>'Actual RAB roll forward'!G474</f>
        <v>0</v>
      </c>
      <c r="H43" s="113">
        <f>'Actual RAB roll forward'!H474</f>
        <v>10.355029952377336</v>
      </c>
      <c r="I43" s="113">
        <f>'Actual RAB roll forward'!I474</f>
        <v>12.246550347847753</v>
      </c>
      <c r="J43" s="113">
        <f>'Actual RAB roll forward'!J474</f>
        <v>10.837793840946883</v>
      </c>
      <c r="K43" s="113">
        <f>'Actual RAB roll forward'!K474</f>
        <v>7.6537465693526707</v>
      </c>
      <c r="L43" s="113">
        <f>'Actual RAB roll forward'!L474</f>
        <v>10.212408306076616</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5"/>
      <c r="BL43" s="225"/>
    </row>
    <row r="44" spans="1:64" hidden="1" outlineLevel="1">
      <c r="A44" s="9"/>
      <c r="B44" s="9"/>
      <c r="C44" s="46"/>
      <c r="D44" s="132" t="str">
        <f>Asset6</f>
        <v>Distribution Overhead Lines</v>
      </c>
      <c r="E44" s="9"/>
      <c r="F44" s="9"/>
      <c r="G44" s="198">
        <f>'Actual RAB roll forward'!G475</f>
        <v>0</v>
      </c>
      <c r="H44" s="113">
        <f>'Actual RAB roll forward'!H475</f>
        <v>11.253915343245509</v>
      </c>
      <c r="I44" s="113">
        <f>'Actual RAB roll forward'!I475</f>
        <v>13.003194314818009</v>
      </c>
      <c r="J44" s="113">
        <f>'Actual RAB roll forward'!J475</f>
        <v>14.341655394516</v>
      </c>
      <c r="K44" s="113">
        <f>'Actual RAB roll forward'!K475</f>
        <v>11.356293150166197</v>
      </c>
      <c r="L44" s="113">
        <f>'Actual RAB roll forward'!L475</f>
        <v>10.106077055254389</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5"/>
      <c r="BL44" s="225"/>
    </row>
    <row r="45" spans="1:64" hidden="1" outlineLevel="1">
      <c r="A45" s="9"/>
      <c r="B45" s="9"/>
      <c r="C45" s="46"/>
      <c r="D45" s="132" t="str">
        <f>Asset7</f>
        <v>Distribution Underground Lines</v>
      </c>
      <c r="E45" s="9"/>
      <c r="F45" s="9"/>
      <c r="G45" s="198">
        <f>'Actual RAB roll forward'!G476</f>
        <v>0</v>
      </c>
      <c r="H45" s="113">
        <f>'Actual RAB roll forward'!H476</f>
        <v>15.379008817383424</v>
      </c>
      <c r="I45" s="113">
        <f>'Actual RAB roll forward'!I476</f>
        <v>16.986686920649042</v>
      </c>
      <c r="J45" s="113">
        <f>'Actual RAB roll forward'!J476</f>
        <v>17.627097970931793</v>
      </c>
      <c r="K45" s="113">
        <f>'Actual RAB roll forward'!K476</f>
        <v>9.0925944513229968</v>
      </c>
      <c r="L45" s="113">
        <f>'Actual RAB roll forward'!L476</f>
        <v>13.5909160187369</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5"/>
      <c r="BL45" s="225"/>
    </row>
    <row r="46" spans="1:64" hidden="1" outlineLevel="1">
      <c r="A46" s="9"/>
      <c r="B46" s="9"/>
      <c r="C46" s="46"/>
      <c r="D46" s="132" t="str">
        <f>Asset8</f>
        <v>IT &amp; Communication Systems (Networks)</v>
      </c>
      <c r="E46" s="9"/>
      <c r="F46" s="9"/>
      <c r="G46" s="198">
        <f>'Actual RAB roll forward'!G477</f>
        <v>0</v>
      </c>
      <c r="H46" s="113">
        <f>'Actual RAB roll forward'!H477</f>
        <v>1.2527379250019115</v>
      </c>
      <c r="I46" s="113">
        <f>'Actual RAB roll forward'!I477</f>
        <v>0.88508755994023636</v>
      </c>
      <c r="J46" s="113">
        <f>'Actual RAB roll forward'!J477</f>
        <v>2.493807787768807</v>
      </c>
      <c r="K46" s="113">
        <f>'Actual RAB roll forward'!K477</f>
        <v>6.5708103891699103</v>
      </c>
      <c r="L46" s="113">
        <f>'Actual RAB roll forward'!L477</f>
        <v>20.273476342985376</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5"/>
      <c r="BL46" s="225"/>
    </row>
    <row r="47" spans="1:64" hidden="1" outlineLevel="1">
      <c r="A47" s="9"/>
      <c r="B47" s="9"/>
      <c r="C47" s="46"/>
      <c r="D47" s="132" t="str">
        <f>Asset9</f>
        <v>Motor Vehicles</v>
      </c>
      <c r="E47" s="9"/>
      <c r="F47" s="9"/>
      <c r="G47" s="198">
        <f>'Actual RAB roll forward'!G478</f>
        <v>0</v>
      </c>
      <c r="H47" s="113">
        <f>'Actual RAB roll forward'!H478</f>
        <v>0</v>
      </c>
      <c r="I47" s="113">
        <f>'Actual RAB roll forward'!I478</f>
        <v>0</v>
      </c>
      <c r="J47" s="113">
        <f>'Actual RAB roll forward'!J478</f>
        <v>0.5911887373831749</v>
      </c>
      <c r="K47" s="113">
        <f>'Actual RAB roll forward'!K478</f>
        <v>4.1587145475471461</v>
      </c>
      <c r="L47" s="113">
        <f>'Actual RAB roll forward'!L478</f>
        <v>1.7022939742388503</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5"/>
      <c r="BL47" s="225"/>
    </row>
    <row r="48" spans="1:64" hidden="1" outlineLevel="1">
      <c r="A48" s="9"/>
      <c r="B48" s="9"/>
      <c r="C48" s="46"/>
      <c r="D48" s="132" t="str">
        <f>Asset10</f>
        <v>Other Non-System Assets (Networks)</v>
      </c>
      <c r="E48" s="9"/>
      <c r="F48" s="9"/>
      <c r="G48" s="198">
        <f>'Actual RAB roll forward'!G479</f>
        <v>0</v>
      </c>
      <c r="H48" s="113">
        <f>'Actual RAB roll forward'!H479</f>
        <v>0.97838896074733217</v>
      </c>
      <c r="I48" s="113">
        <f>'Actual RAB roll forward'!I479</f>
        <v>0.49878332662210395</v>
      </c>
      <c r="J48" s="113">
        <f>'Actual RAB roll forward'!J479</f>
        <v>0.39910912788934444</v>
      </c>
      <c r="K48" s="113">
        <f>'Actual RAB roll forward'!K479</f>
        <v>0.60212284348577183</v>
      </c>
      <c r="L48" s="113">
        <f>'Actual RAB roll forward'!L479</f>
        <v>0.64260239850688627</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5"/>
      <c r="BL48" s="225"/>
    </row>
    <row r="49" spans="1:64" hidden="1" outlineLevel="1">
      <c r="A49" s="9"/>
      <c r="B49" s="9"/>
      <c r="C49" s="46"/>
      <c r="D49" s="132" t="str">
        <f>Asset11</f>
        <v>IT Systems (Corporate)</v>
      </c>
      <c r="E49" s="9"/>
      <c r="F49" s="9"/>
      <c r="G49" s="198">
        <f>'Actual RAB roll forward'!G480</f>
        <v>0</v>
      </c>
      <c r="H49" s="113">
        <f>'Actual RAB roll forward'!H480</f>
        <v>0.92593433539887537</v>
      </c>
      <c r="I49" s="113">
        <f>'Actual RAB roll forward'!I480</f>
        <v>0.2823097137348704</v>
      </c>
      <c r="J49" s="113">
        <f>'Actual RAB roll forward'!J480</f>
        <v>1.4582130955236707</v>
      </c>
      <c r="K49" s="113">
        <f>'Actual RAB roll forward'!K480</f>
        <v>2.8993767857028745</v>
      </c>
      <c r="L49" s="113">
        <f>'Actual RAB roll forward'!L480</f>
        <v>6.906190751409941</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5"/>
      <c r="BL49" s="225"/>
    </row>
    <row r="50" spans="1:64" hidden="1" outlineLevel="1">
      <c r="A50" s="9"/>
      <c r="B50" s="9"/>
      <c r="C50" s="46"/>
      <c r="D50" s="132" t="str">
        <f>Asset12</f>
        <v>Telecommunications (Corporate)</v>
      </c>
      <c r="E50" s="9"/>
      <c r="F50" s="9"/>
      <c r="G50" s="198">
        <f>'Actual RAB roll forward'!G481</f>
        <v>0</v>
      </c>
      <c r="H50" s="113">
        <f>'Actual RAB roll forward'!H481</f>
        <v>0.25541504467914988</v>
      </c>
      <c r="I50" s="113">
        <f>'Actual RAB roll forward'!I481</f>
        <v>8.5904691302312208E-2</v>
      </c>
      <c r="J50" s="113">
        <f>'Actual RAB roll forward'!J481</f>
        <v>4.1025252726231955E-2</v>
      </c>
      <c r="K50" s="113">
        <f>'Actual RAB roll forward'!K481</f>
        <v>5.3572350794737864E-2</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5"/>
      <c r="BL50" s="225"/>
    </row>
    <row r="51" spans="1:64" hidden="1" outlineLevel="1">
      <c r="A51" s="9"/>
      <c r="B51" s="9"/>
      <c r="C51" s="46"/>
      <c r="D51" s="132" t="str">
        <f>Asset13</f>
        <v>Other Non-System Assets (Corporate)</v>
      </c>
      <c r="E51" s="9"/>
      <c r="F51" s="9"/>
      <c r="G51" s="198">
        <f>'Actual RAB roll forward'!G482</f>
        <v>0</v>
      </c>
      <c r="H51" s="113">
        <f>'Actual RAB roll forward'!H482</f>
        <v>3.3820682986797004</v>
      </c>
      <c r="I51" s="113">
        <f>'Actual RAB roll forward'!I482</f>
        <v>4.0680739062117572</v>
      </c>
      <c r="J51" s="113">
        <f>'Actual RAB roll forward'!J482</f>
        <v>0.61769865449108818</v>
      </c>
      <c r="K51" s="113">
        <f>'Actual RAB roll forward'!K482</f>
        <v>0.68539437127198122</v>
      </c>
      <c r="L51" s="113">
        <f>'Actual RAB roll forward'!L482</f>
        <v>1.2005142246344618</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5"/>
      <c r="BL51" s="225"/>
    </row>
    <row r="52" spans="1:64" hidden="1" outlineLevel="1">
      <c r="A52" s="9"/>
      <c r="B52" s="9"/>
      <c r="C52" s="46"/>
      <c r="D52" s="132" t="str">
        <f>Asset14</f>
        <v>Land</v>
      </c>
      <c r="E52" s="9"/>
      <c r="F52" s="9"/>
      <c r="G52" s="198">
        <f>'Actual RAB roll forward'!G483</f>
        <v>0</v>
      </c>
      <c r="H52" s="113">
        <f>'Actual RAB roll forward'!H483</f>
        <v>2.4270565356726159</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5"/>
      <c r="BL52" s="225"/>
    </row>
    <row r="53" spans="1:64" hidden="1" outlineLevel="1">
      <c r="A53" s="9"/>
      <c r="B53" s="9"/>
      <c r="C53" s="46"/>
      <c r="D53" s="132" t="str">
        <f>Asset15</f>
        <v>Buildings</v>
      </c>
      <c r="E53" s="9"/>
      <c r="F53" s="9"/>
      <c r="G53" s="198">
        <f>'Actual RAB roll forward'!G484</f>
        <v>0</v>
      </c>
      <c r="H53" s="113">
        <f>'Actual RAB roll forward'!H484</f>
        <v>6.2291400526928884</v>
      </c>
      <c r="I53" s="113">
        <f>'Actual RAB roll forward'!I484</f>
        <v>9.4122235427563226</v>
      </c>
      <c r="J53" s="113">
        <f>'Actual RAB roll forward'!J484</f>
        <v>0.7648579868372698</v>
      </c>
      <c r="K53" s="113">
        <f>'Actual RAB roll forward'!K484</f>
        <v>1.1703444669307388</v>
      </c>
      <c r="L53" s="113">
        <f>'Actual RAB roll forward'!L484</f>
        <v>1.7704202532896478</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5"/>
      <c r="BL53" s="225"/>
    </row>
    <row r="54" spans="1:64" hidden="1" outlineLevel="1">
      <c r="A54" s="9"/>
      <c r="B54" s="9"/>
      <c r="C54" s="46"/>
      <c r="D54" s="132" t="str">
        <f>Asset16</f>
        <v>Equity raising costs</v>
      </c>
      <c r="E54" s="9"/>
      <c r="F54" s="9"/>
      <c r="G54" s="198">
        <f>'Actual RAB roll forward'!G485</f>
        <v>0</v>
      </c>
      <c r="H54" s="113">
        <f>'Actual RAB roll forward'!H485</f>
        <v>0.24054330525835993</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5"/>
      <c r="BL54" s="225"/>
    </row>
    <row r="55" spans="1:64" hidden="1" outlineLevel="1">
      <c r="A55" s="9"/>
      <c r="B55" s="9"/>
      <c r="C55" s="46"/>
      <c r="D55" s="132">
        <f>Asset17</f>
        <v>0</v>
      </c>
      <c r="E55" s="9"/>
      <c r="F55" s="9"/>
      <c r="G55" s="198">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5"/>
      <c r="BL55" s="225"/>
    </row>
    <row r="56" spans="1:64" hidden="1" outlineLevel="1">
      <c r="A56" s="9"/>
      <c r="B56" s="9"/>
      <c r="C56" s="46"/>
      <c r="D56" s="132">
        <f>Asset18</f>
        <v>0</v>
      </c>
      <c r="E56" s="9"/>
      <c r="F56" s="9"/>
      <c r="G56" s="198">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5"/>
      <c r="BL56" s="225"/>
    </row>
    <row r="57" spans="1:64" hidden="1" outlineLevel="1">
      <c r="A57" s="9"/>
      <c r="B57" s="9"/>
      <c r="C57" s="46"/>
      <c r="D57" s="132">
        <f>Asset19</f>
        <v>0</v>
      </c>
      <c r="E57" s="9"/>
      <c r="F57" s="9"/>
      <c r="G57" s="198">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5"/>
      <c r="BL57" s="225"/>
    </row>
    <row r="58" spans="1:64" hidden="1" outlineLevel="1">
      <c r="A58" s="9"/>
      <c r="B58" s="9"/>
      <c r="C58" s="46"/>
      <c r="D58" s="132">
        <f>Asset20</f>
        <v>0</v>
      </c>
      <c r="E58" s="9"/>
      <c r="F58" s="9"/>
      <c r="G58" s="198">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5"/>
      <c r="BL58" s="225"/>
    </row>
    <row r="59" spans="1:64" hidden="1" outlineLevel="1">
      <c r="A59" s="9"/>
      <c r="B59" s="9"/>
      <c r="C59" s="46"/>
      <c r="D59" s="132">
        <f>Asset21</f>
        <v>0</v>
      </c>
      <c r="E59" s="9"/>
      <c r="F59" s="9"/>
      <c r="G59" s="198">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5"/>
      <c r="BL59" s="225"/>
    </row>
    <row r="60" spans="1:64" hidden="1" outlineLevel="1">
      <c r="A60" s="9"/>
      <c r="B60" s="9"/>
      <c r="C60" s="46"/>
      <c r="D60" s="132">
        <f>Asset22</f>
        <v>0</v>
      </c>
      <c r="E60" s="9"/>
      <c r="F60" s="9"/>
      <c r="G60" s="198">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5"/>
      <c r="BL60" s="225"/>
    </row>
    <row r="61" spans="1:64" hidden="1" outlineLevel="1">
      <c r="A61" s="9"/>
      <c r="B61" s="9"/>
      <c r="C61" s="46"/>
      <c r="D61" s="132">
        <f>Asset23</f>
        <v>0</v>
      </c>
      <c r="E61" s="9"/>
      <c r="F61" s="9"/>
      <c r="G61" s="198">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5"/>
      <c r="BL61" s="225"/>
    </row>
    <row r="62" spans="1:64" hidden="1" outlineLevel="1">
      <c r="A62" s="9"/>
      <c r="B62" s="9"/>
      <c r="C62" s="46"/>
      <c r="D62" s="132">
        <f>Asset24</f>
        <v>0</v>
      </c>
      <c r="E62" s="9"/>
      <c r="F62" s="9"/>
      <c r="G62" s="198">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5"/>
      <c r="BL62" s="225"/>
    </row>
    <row r="63" spans="1:64" hidden="1" outlineLevel="1">
      <c r="A63" s="9"/>
      <c r="B63" s="9"/>
      <c r="C63" s="46"/>
      <c r="D63" s="132">
        <f>Asset25</f>
        <v>0</v>
      </c>
      <c r="E63" s="9"/>
      <c r="F63" s="9"/>
      <c r="G63" s="198">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5"/>
      <c r="BL63" s="225"/>
    </row>
    <row r="64" spans="1:64" hidden="1" outlineLevel="1">
      <c r="A64" s="9"/>
      <c r="B64" s="9"/>
      <c r="C64" s="46"/>
      <c r="D64" s="132">
        <f>Asset26</f>
        <v>0</v>
      </c>
      <c r="E64" s="9"/>
      <c r="F64" s="9"/>
      <c r="G64" s="198">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5"/>
      <c r="BL64" s="225"/>
    </row>
    <row r="65" spans="1:64" hidden="1" outlineLevel="1">
      <c r="A65" s="9"/>
      <c r="B65" s="9"/>
      <c r="C65" s="46"/>
      <c r="D65" s="132">
        <f>Asset27</f>
        <v>0</v>
      </c>
      <c r="E65" s="9"/>
      <c r="F65" s="9"/>
      <c r="G65" s="198">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5"/>
      <c r="BL65" s="225"/>
    </row>
    <row r="66" spans="1:64" hidden="1" outlineLevel="1">
      <c r="A66" s="9"/>
      <c r="B66" s="9"/>
      <c r="C66" s="46"/>
      <c r="D66" s="132">
        <f>Asset28</f>
        <v>0</v>
      </c>
      <c r="E66" s="9"/>
      <c r="F66" s="9"/>
      <c r="G66" s="198">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5"/>
      <c r="BL66" s="225"/>
    </row>
    <row r="67" spans="1:64" hidden="1" outlineLevel="1">
      <c r="A67" s="9"/>
      <c r="B67" s="9"/>
      <c r="C67" s="46"/>
      <c r="D67" s="132">
        <f>Asset29</f>
        <v>0</v>
      </c>
      <c r="E67" s="9"/>
      <c r="F67" s="9"/>
      <c r="G67" s="198">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5"/>
      <c r="BL67" s="225"/>
    </row>
    <row r="68" spans="1:64" hidden="1" outlineLevel="1">
      <c r="A68" s="9"/>
      <c r="B68" s="9"/>
      <c r="C68" s="46"/>
      <c r="D68" s="132">
        <f>Asset30</f>
        <v>0</v>
      </c>
      <c r="E68" s="9"/>
      <c r="F68" s="9"/>
      <c r="G68" s="198">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5"/>
      <c r="BL68" s="225"/>
    </row>
    <row r="69" spans="1:64" collapsed="1">
      <c r="A69" s="9"/>
      <c r="B69" s="9"/>
      <c r="C69" s="46"/>
      <c r="D69" s="116"/>
      <c r="E69" s="9"/>
      <c r="F69" s="9"/>
      <c r="G69" s="209"/>
      <c r="H69" s="37"/>
      <c r="I69" s="37"/>
      <c r="J69" s="37"/>
      <c r="K69" s="37"/>
      <c r="L69" s="37"/>
      <c r="M69" s="37"/>
      <c r="N69" s="102"/>
      <c r="O69" s="29"/>
      <c r="P69" s="29"/>
      <c r="Q69" s="29"/>
      <c r="R69" s="29"/>
      <c r="S69" s="102"/>
      <c r="T69" s="102"/>
      <c r="U69" s="102"/>
      <c r="V69" s="102"/>
      <c r="W69" s="102"/>
      <c r="X69" s="102"/>
      <c r="Y69" s="102"/>
      <c r="Z69" s="102"/>
      <c r="AA69" s="102"/>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5"/>
      <c r="BL69" s="225"/>
    </row>
    <row r="70" spans="1:64">
      <c r="A70" s="9"/>
      <c r="B70" s="9"/>
      <c r="C70" s="229" t="s">
        <v>76</v>
      </c>
      <c r="D70" s="225"/>
      <c r="E70" s="9"/>
      <c r="F70" s="9"/>
      <c r="G70" s="199">
        <f>SUM(G71:G100)</f>
        <v>-4.1592114193485834</v>
      </c>
      <c r="H70" s="37">
        <f>SUM(H71:H100)</f>
        <v>-17.136557098435482</v>
      </c>
      <c r="I70" s="37">
        <f t="shared" ref="I70:Q70" si="7">SUM(I71:I100)</f>
        <v>-13.36489040690293</v>
      </c>
      <c r="J70" s="37">
        <f t="shared" si="7"/>
        <v>-11.799143098681785</v>
      </c>
      <c r="K70" s="37">
        <f t="shared" si="7"/>
        <v>-23.813367469247062</v>
      </c>
      <c r="L70" s="37">
        <f t="shared" si="7"/>
        <v>-22.26352347914467</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5"/>
      <c r="BL70" s="225"/>
    </row>
    <row r="71" spans="1:64" hidden="1" outlineLevel="1">
      <c r="A71" s="9"/>
      <c r="B71" s="9"/>
      <c r="C71" s="46"/>
      <c r="D71" s="132" t="str">
        <f>Asset1</f>
        <v>Opening Distribution Assets</v>
      </c>
      <c r="E71" s="9"/>
      <c r="F71" s="9"/>
      <c r="G71" s="198">
        <f>'Actual RAB roll forward'!G502</f>
        <v>-4.1592114193485834</v>
      </c>
      <c r="H71" s="113">
        <f>'Actual RAB roll forward'!H502</f>
        <v>-17.136557098435482</v>
      </c>
      <c r="I71" s="113">
        <f>'Actual RAB roll forward'!I502</f>
        <v>-12.745165085585091</v>
      </c>
      <c r="J71" s="113">
        <f>'Actual RAB roll forward'!J502</f>
        <v>-11.195508634999737</v>
      </c>
      <c r="K71" s="113">
        <f>'Actual RAB roll forward'!K502</f>
        <v>-20.364544199289433</v>
      </c>
      <c r="L71" s="113">
        <f>'Actual RAB roll forward'!L502</f>
        <v>-18.05901207102319</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5"/>
      <c r="BL71" s="225"/>
    </row>
    <row r="72" spans="1:64" hidden="1" outlineLevel="1">
      <c r="A72" s="9"/>
      <c r="B72" s="9"/>
      <c r="C72" s="46"/>
      <c r="D72" s="132" t="str">
        <f>Asset2</f>
        <v>Sub-transmission Overhead</v>
      </c>
      <c r="E72" s="9"/>
      <c r="F72" s="9"/>
      <c r="G72" s="198">
        <f>'Actual RAB roll forward'!G503</f>
        <v>0</v>
      </c>
      <c r="H72" s="113">
        <f>'Actual RAB roll forward'!H503</f>
        <v>0</v>
      </c>
      <c r="I72" s="113">
        <f>'Actual RAB roll forward'!I503</f>
        <v>0</v>
      </c>
      <c r="J72" s="113">
        <f>'Actual RAB roll forward'!J503</f>
        <v>0</v>
      </c>
      <c r="K72" s="113">
        <f>'Actual RAB roll forward'!K503</f>
        <v>0</v>
      </c>
      <c r="L72" s="113">
        <f>'Actual RAB roll forward'!L503</f>
        <v>0</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5"/>
      <c r="BL72" s="225"/>
    </row>
    <row r="73" spans="1:64" hidden="1" outlineLevel="1">
      <c r="A73" s="9"/>
      <c r="B73" s="9"/>
      <c r="C73" s="46"/>
      <c r="D73" s="132" t="str">
        <f>Asset3</f>
        <v>Sub-transmission Underground</v>
      </c>
      <c r="E73" s="9"/>
      <c r="F73" s="9"/>
      <c r="G73" s="198">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5"/>
      <c r="BL73" s="225"/>
    </row>
    <row r="74" spans="1:64" hidden="1" outlineLevel="1">
      <c r="A74" s="9"/>
      <c r="B74" s="9"/>
      <c r="C74" s="46"/>
      <c r="D74" s="132" t="str">
        <f>Asset4</f>
        <v>Zone Substation</v>
      </c>
      <c r="E74" s="9"/>
      <c r="F74" s="9"/>
      <c r="G74" s="198">
        <f>'Actual RAB roll forward'!G505</f>
        <v>0</v>
      </c>
      <c r="H74" s="113">
        <f>'Actual RAB roll forward'!H505</f>
        <v>0</v>
      </c>
      <c r="I74" s="113">
        <f>'Actual RAB roll forward'!I505</f>
        <v>2.471132076940153E-3</v>
      </c>
      <c r="J74" s="113">
        <f>'Actual RAB roll forward'!J505</f>
        <v>6.5130096238512451E-3</v>
      </c>
      <c r="K74" s="113">
        <f>'Actual RAB roll forward'!K505</f>
        <v>-7.6993613322550412E-3</v>
      </c>
      <c r="L74" s="113">
        <f>'Actual RAB roll forward'!L505</f>
        <v>-3.2483243333542924E-3</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5"/>
      <c r="BL74" s="225"/>
    </row>
    <row r="75" spans="1:64" hidden="1" outlineLevel="1">
      <c r="A75" s="9"/>
      <c r="B75" s="9"/>
      <c r="C75" s="46"/>
      <c r="D75" s="132" t="str">
        <f>Asset5</f>
        <v>Distribution Substations</v>
      </c>
      <c r="E75" s="9"/>
      <c r="F75" s="9"/>
      <c r="G75" s="198">
        <f>'Actual RAB roll forward'!G506</f>
        <v>0</v>
      </c>
      <c r="H75" s="113">
        <f>'Actual RAB roll forward'!H506</f>
        <v>0</v>
      </c>
      <c r="I75" s="113">
        <f>'Actual RAB roll forward'!I506</f>
        <v>3.1036393532890727E-2</v>
      </c>
      <c r="J75" s="113">
        <f>'Actual RAB roll forward'!J506</f>
        <v>0.18113417245183983</v>
      </c>
      <c r="K75" s="113">
        <f>'Actual RAB roll forward'!K506</f>
        <v>-0.29274762569648416</v>
      </c>
      <c r="L75" s="113">
        <f>'Actual RAB roll forward'!L506</f>
        <v>-9.1522719399188768E-2</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5"/>
      <c r="BL75" s="225"/>
    </row>
    <row r="76" spans="1:64" hidden="1" outlineLevel="1">
      <c r="A76" s="9"/>
      <c r="B76" s="9"/>
      <c r="C76" s="46"/>
      <c r="D76" s="132" t="str">
        <f>Asset6</f>
        <v>Distribution Overhead Lines</v>
      </c>
      <c r="E76" s="9"/>
      <c r="F76" s="9"/>
      <c r="G76" s="198">
        <f>'Actual RAB roll forward'!G507</f>
        <v>0</v>
      </c>
      <c r="H76" s="113">
        <f>'Actual RAB roll forward'!H507</f>
        <v>0</v>
      </c>
      <c r="I76" s="113">
        <f>'Actual RAB roll forward'!I507</f>
        <v>9.1024304843493525E-2</v>
      </c>
      <c r="J76" s="113">
        <f>'Actual RAB roll forward'!J507</f>
        <v>0.32208210418665872</v>
      </c>
      <c r="K76" s="113">
        <f>'Actual RAB roll forward'!K507</f>
        <v>-0.12907390880208813</v>
      </c>
      <c r="L76" s="113">
        <f>'Actual RAB roll forward'!L507</f>
        <v>0.16850693226936708</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5"/>
      <c r="BL76" s="225"/>
    </row>
    <row r="77" spans="1:64" hidden="1" outlineLevel="1">
      <c r="A77" s="9"/>
      <c r="B77" s="9"/>
      <c r="C77" s="46"/>
      <c r="D77" s="132" t="str">
        <f>Asset7</f>
        <v>Distribution Underground Lines</v>
      </c>
      <c r="E77" s="9"/>
      <c r="F77" s="9"/>
      <c r="G77" s="198">
        <f>'Actual RAB roll forward'!G508</f>
        <v>0</v>
      </c>
      <c r="H77" s="113">
        <f>'Actual RAB roll forward'!H508</f>
        <v>0</v>
      </c>
      <c r="I77" s="113">
        <f>'Actual RAB roll forward'!I508</f>
        <v>0.17658544111277852</v>
      </c>
      <c r="J77" s="113">
        <f>'Actual RAB roll forward'!J508</f>
        <v>0.54339419009450207</v>
      </c>
      <c r="K77" s="113">
        <f>'Actual RAB roll forward'!K508</f>
        <v>1.167229487399446E-2</v>
      </c>
      <c r="L77" s="113">
        <f>'Actual RAB roll forward'!L508</f>
        <v>0.41340114624106072</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5"/>
      <c r="BL77" s="225"/>
    </row>
    <row r="78" spans="1:64" hidden="1" outlineLevel="1">
      <c r="A78" s="9"/>
      <c r="B78" s="9"/>
      <c r="C78" s="46"/>
      <c r="D78" s="132" t="str">
        <f>Asset8</f>
        <v>IT &amp; Communication Systems (Networks)</v>
      </c>
      <c r="E78" s="9"/>
      <c r="F78" s="9"/>
      <c r="G78" s="198">
        <f>'Actual RAB roll forward'!G509</f>
        <v>0</v>
      </c>
      <c r="H78" s="113">
        <f>'Actual RAB roll forward'!H509</f>
        <v>0</v>
      </c>
      <c r="I78" s="113">
        <f>'Actual RAB roll forward'!I509</f>
        <v>-9.1910694967104745E-2</v>
      </c>
      <c r="J78" s="113">
        <f>'Actual RAB roll forward'!J509</f>
        <v>-0.15286714437522048</v>
      </c>
      <c r="K78" s="113">
        <f>'Actual RAB roll forward'!K509</f>
        <v>-0.41024412192501208</v>
      </c>
      <c r="L78" s="113">
        <f>'Actual RAB roll forward'!L509</f>
        <v>-0.90643345660188679</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5"/>
      <c r="BL78" s="225"/>
    </row>
    <row r="79" spans="1:64" hidden="1" outlineLevel="1">
      <c r="A79" s="9"/>
      <c r="B79" s="9"/>
      <c r="C79" s="46"/>
      <c r="D79" s="132" t="str">
        <f>Asset9</f>
        <v>Motor Vehicles</v>
      </c>
      <c r="E79" s="9"/>
      <c r="F79" s="9"/>
      <c r="G79" s="198">
        <f>'Actual RAB roll forward'!G510</f>
        <v>0</v>
      </c>
      <c r="H79" s="113">
        <f>'Actual RAB roll forward'!H510</f>
        <v>0</v>
      </c>
      <c r="I79" s="113">
        <f>'Actual RAB roll forward'!I510</f>
        <v>0</v>
      </c>
      <c r="J79" s="113">
        <f>'Actual RAB roll forward'!J510</f>
        <v>0</v>
      </c>
      <c r="K79" s="113">
        <f>'Actual RAB roll forward'!K510</f>
        <v>-7.6896660946069936E-2</v>
      </c>
      <c r="L79" s="113">
        <f>'Actual RAB roll forward'!L510</f>
        <v>-0.57894857666923449</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5"/>
      <c r="BL79" s="225"/>
    </row>
    <row r="80" spans="1:64" hidden="1" outlineLevel="1">
      <c r="A80" s="9"/>
      <c r="B80" s="9"/>
      <c r="C80" s="46"/>
      <c r="D80" s="132" t="str">
        <f>Asset10</f>
        <v>Other Non-System Assets (Networks)</v>
      </c>
      <c r="E80" s="9"/>
      <c r="F80" s="9"/>
      <c r="G80" s="198">
        <f>'Actual RAB roll forward'!G511</f>
        <v>0</v>
      </c>
      <c r="H80" s="113">
        <f>'Actual RAB roll forward'!H511</f>
        <v>0</v>
      </c>
      <c r="I80" s="113">
        <f>'Actual RAB roll forward'!I511</f>
        <v>-0.171401973619563</v>
      </c>
      <c r="J80" s="113">
        <f>'Actual RAB roll forward'!J511</f>
        <v>-0.26324613506936884</v>
      </c>
      <c r="K80" s="113">
        <f>'Actual RAB roll forward'!K511</f>
        <v>-0.37503988156208123</v>
      </c>
      <c r="L80" s="113">
        <f>'Actual RAB roll forward'!L511</f>
        <v>-0.48917750705329383</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5"/>
      <c r="BL80" s="225"/>
    </row>
    <row r="81" spans="1:64" hidden="1" outlineLevel="1">
      <c r="A81" s="9"/>
      <c r="B81" s="9"/>
      <c r="C81" s="46"/>
      <c r="D81" s="132" t="str">
        <f>Asset11</f>
        <v>IT Systems (Corporate)</v>
      </c>
      <c r="E81" s="9"/>
      <c r="F81" s="9"/>
      <c r="G81" s="198">
        <f>'Actual RAB roll forward'!G512</f>
        <v>0</v>
      </c>
      <c r="H81" s="113">
        <f>'Actual RAB roll forward'!H512</f>
        <v>0</v>
      </c>
      <c r="I81" s="113">
        <f>'Actual RAB roll forward'!I512</f>
        <v>-0.16221255441011825</v>
      </c>
      <c r="J81" s="113">
        <f>'Actual RAB roll forward'!J512</f>
        <v>-0.21653721531377546</v>
      </c>
      <c r="K81" s="113">
        <f>'Actual RAB roll forward'!K512</f>
        <v>-0.52173172295836756</v>
      </c>
      <c r="L81" s="113">
        <f>'Actual RAB roll forward'!L512</f>
        <v>-1.0477681840773776</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5"/>
      <c r="BL81" s="225"/>
    </row>
    <row r="82" spans="1:64" hidden="1" outlineLevel="1">
      <c r="A82" s="9"/>
      <c r="B82" s="9"/>
      <c r="C82" s="46"/>
      <c r="D82" s="132" t="str">
        <f>Asset12</f>
        <v>Telecommunications (Corporate)</v>
      </c>
      <c r="E82" s="9"/>
      <c r="F82" s="9"/>
      <c r="G82" s="198">
        <f>'Actual RAB roll forward'!G513</f>
        <v>0</v>
      </c>
      <c r="H82" s="113">
        <f>'Actual RAB roll forward'!H513</f>
        <v>0</v>
      </c>
      <c r="I82" s="113">
        <f>'Actual RAB roll forward'!I513</f>
        <v>-4.4745642588501104E-2</v>
      </c>
      <c r="J82" s="113">
        <f>'Actual RAB roll forward'!J513</f>
        <v>-6.1110529718525146E-2</v>
      </c>
      <c r="K82" s="113">
        <f>'Actual RAB roll forward'!K513</f>
        <v>-7.7183626676733605E-2</v>
      </c>
      <c r="L82" s="113">
        <f>'Actual RAB roll forward'!L513</f>
        <v>-8.8212134857435925E-2</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5"/>
      <c r="BL82" s="225"/>
    </row>
    <row r="83" spans="1:64" hidden="1" outlineLevel="1">
      <c r="A83" s="9"/>
      <c r="B83" s="9"/>
      <c r="C83" s="46"/>
      <c r="D83" s="132" t="str">
        <f>Asset13</f>
        <v>Other Non-System Assets (Corporate)</v>
      </c>
      <c r="E83" s="9"/>
      <c r="F83" s="9"/>
      <c r="G83" s="198">
        <f>'Actual RAB roll forward'!G514</f>
        <v>0</v>
      </c>
      <c r="H83" s="113">
        <f>'Actual RAB roll forward'!H514</f>
        <v>0</v>
      </c>
      <c r="I83" s="113">
        <f>'Actual RAB roll forward'!I514</f>
        <v>-0.59249767175118762</v>
      </c>
      <c r="J83" s="113">
        <f>'Actual RAB roll forward'!J514</f>
        <v>-1.3126560344264417</v>
      </c>
      <c r="K83" s="113">
        <f>'Actual RAB roll forward'!K514</f>
        <v>-1.6165453485629917</v>
      </c>
      <c r="L83" s="113">
        <f>'Actual RAB roll forward'!L514</f>
        <v>-1.7669195679394665</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5"/>
      <c r="BL83" s="225"/>
    </row>
    <row r="84" spans="1:64" hidden="1" outlineLevel="1">
      <c r="A84" s="9"/>
      <c r="B84" s="9"/>
      <c r="C84" s="46"/>
      <c r="D84" s="132" t="str">
        <f>Asset14</f>
        <v>Land</v>
      </c>
      <c r="E84" s="9"/>
      <c r="F84" s="9"/>
      <c r="G84" s="198">
        <f>'Actual RAB roll forward'!G515</f>
        <v>0</v>
      </c>
      <c r="H84" s="113">
        <f>'Actual RAB roll forward'!H515</f>
        <v>0</v>
      </c>
      <c r="I84" s="113">
        <f>'Actual RAB roll forward'!I515</f>
        <v>6.9055235857809316E-2</v>
      </c>
      <c r="J84" s="113">
        <f>'Actual RAB roll forward'!J515</f>
        <v>8.4601702569251938E-2</v>
      </c>
      <c r="K84" s="113">
        <f>'Actual RAB roll forward'!K515</f>
        <v>4.5492305008052819E-2</v>
      </c>
      <c r="L84" s="113">
        <f>'Actual RAB roll forward'!L515</f>
        <v>6.4339117082817462E-2</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5"/>
      <c r="BL84" s="225"/>
    </row>
    <row r="85" spans="1:64" hidden="1" outlineLevel="1">
      <c r="A85" s="9"/>
      <c r="B85" s="9"/>
      <c r="C85" s="46"/>
      <c r="D85" s="132" t="str">
        <f>Asset15</f>
        <v>Buildings</v>
      </c>
      <c r="E85" s="9"/>
      <c r="F85" s="9"/>
      <c r="G85" s="198">
        <f>'Actual RAB roll forward'!G516</f>
        <v>0</v>
      </c>
      <c r="H85" s="113">
        <f>'Actual RAB roll forward'!H516</f>
        <v>0</v>
      </c>
      <c r="I85" s="113">
        <f>'Actual RAB roll forward'!I516</f>
        <v>7.1524469295752666E-2</v>
      </c>
      <c r="J85" s="113">
        <f>'Actual RAB roll forward'!J516</f>
        <v>0.26251314267671749</v>
      </c>
      <c r="K85" s="113">
        <f>'Actual RAB roll forward'!K516</f>
        <v>2.7113815769742033E-3</v>
      </c>
      <c r="L85" s="113">
        <f>'Actual RAB roll forward'!L516</f>
        <v>0.12147003830313624</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5"/>
      <c r="BL85" s="225"/>
    </row>
    <row r="86" spans="1:64" hidden="1" outlineLevel="1">
      <c r="A86" s="9"/>
      <c r="B86" s="9"/>
      <c r="C86" s="46"/>
      <c r="D86" s="132" t="str">
        <f>Asset16</f>
        <v>Equity raising costs</v>
      </c>
      <c r="E86" s="9"/>
      <c r="F86" s="9"/>
      <c r="G86" s="198">
        <f>'Actual RAB roll forward'!G517</f>
        <v>0</v>
      </c>
      <c r="H86" s="113">
        <f>'Actual RAB roll forward'!H517</f>
        <v>0</v>
      </c>
      <c r="I86" s="113">
        <f>'Actual RAB roll forward'!I517</f>
        <v>1.3462392989737962E-3</v>
      </c>
      <c r="J86" s="113">
        <f>'Actual RAB roll forward'!J517</f>
        <v>2.5442736184612021E-3</v>
      </c>
      <c r="K86" s="113">
        <f>'Actual RAB roll forward'!K517</f>
        <v>-1.5369929545720352E-3</v>
      </c>
      <c r="L86" s="113">
        <f>'Actual RAB roll forward'!L517</f>
        <v>1.8289133842533736E-6</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5"/>
      <c r="BL86" s="225"/>
    </row>
    <row r="87" spans="1:64" hidden="1" outlineLevel="1">
      <c r="A87" s="9"/>
      <c r="B87" s="9"/>
      <c r="C87" s="46"/>
      <c r="D87" s="132">
        <f>Asset17</f>
        <v>0</v>
      </c>
      <c r="E87" s="9"/>
      <c r="F87" s="9"/>
      <c r="G87" s="198">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5"/>
      <c r="BL87" s="225"/>
    </row>
    <row r="88" spans="1:64" hidden="1" outlineLevel="1">
      <c r="A88" s="9"/>
      <c r="B88" s="9"/>
      <c r="C88" s="46"/>
      <c r="D88" s="132">
        <f>Asset18</f>
        <v>0</v>
      </c>
      <c r="E88" s="9"/>
      <c r="F88" s="9"/>
      <c r="G88" s="198">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5"/>
      <c r="BL88" s="225"/>
    </row>
    <row r="89" spans="1:64" hidden="1" outlineLevel="1">
      <c r="A89" s="9"/>
      <c r="B89" s="9"/>
      <c r="C89" s="46"/>
      <c r="D89" s="132">
        <f>Asset19</f>
        <v>0</v>
      </c>
      <c r="E89" s="9"/>
      <c r="F89" s="9"/>
      <c r="G89" s="198">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5"/>
      <c r="BL89" s="225"/>
    </row>
    <row r="90" spans="1:64" hidden="1" outlineLevel="1">
      <c r="A90" s="9"/>
      <c r="B90" s="9"/>
      <c r="C90" s="46"/>
      <c r="D90" s="132">
        <f>Asset20</f>
        <v>0</v>
      </c>
      <c r="E90" s="9"/>
      <c r="F90" s="9"/>
      <c r="G90" s="198">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5"/>
      <c r="BL90" s="225"/>
    </row>
    <row r="91" spans="1:64" hidden="1" outlineLevel="1">
      <c r="A91" s="9"/>
      <c r="B91" s="9"/>
      <c r="C91" s="46"/>
      <c r="D91" s="132">
        <f>Asset21</f>
        <v>0</v>
      </c>
      <c r="E91" s="9"/>
      <c r="F91" s="9"/>
      <c r="G91" s="198">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5"/>
      <c r="BL91" s="225"/>
    </row>
    <row r="92" spans="1:64" hidden="1" outlineLevel="1">
      <c r="A92" s="9"/>
      <c r="B92" s="9"/>
      <c r="C92" s="46"/>
      <c r="D92" s="132">
        <f>Asset22</f>
        <v>0</v>
      </c>
      <c r="E92" s="9"/>
      <c r="F92" s="9"/>
      <c r="G92" s="198">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5"/>
      <c r="BL92" s="225"/>
    </row>
    <row r="93" spans="1:64" hidden="1" outlineLevel="1">
      <c r="A93" s="9"/>
      <c r="B93" s="9"/>
      <c r="C93" s="46"/>
      <c r="D93" s="132">
        <f>Asset23</f>
        <v>0</v>
      </c>
      <c r="E93" s="9"/>
      <c r="F93" s="9"/>
      <c r="G93" s="198">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5"/>
      <c r="BL93" s="225"/>
    </row>
    <row r="94" spans="1:64" hidden="1" outlineLevel="1">
      <c r="A94" s="9"/>
      <c r="B94" s="9"/>
      <c r="C94" s="46"/>
      <c r="D94" s="132">
        <f>Asset24</f>
        <v>0</v>
      </c>
      <c r="E94" s="9"/>
      <c r="F94" s="9"/>
      <c r="G94" s="198">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5"/>
      <c r="BL94" s="225"/>
    </row>
    <row r="95" spans="1:64" hidden="1" outlineLevel="1">
      <c r="A95" s="9"/>
      <c r="B95" s="9"/>
      <c r="C95" s="46"/>
      <c r="D95" s="132">
        <f>Asset25</f>
        <v>0</v>
      </c>
      <c r="E95" s="9"/>
      <c r="F95" s="9"/>
      <c r="G95" s="198">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5"/>
      <c r="BL95" s="225"/>
    </row>
    <row r="96" spans="1:64" hidden="1" outlineLevel="1">
      <c r="A96" s="9"/>
      <c r="B96" s="9"/>
      <c r="C96" s="46"/>
      <c r="D96" s="132">
        <f>Asset26</f>
        <v>0</v>
      </c>
      <c r="E96" s="9"/>
      <c r="F96" s="9"/>
      <c r="G96" s="198">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5"/>
      <c r="BL96" s="225"/>
    </row>
    <row r="97" spans="1:64" hidden="1" outlineLevel="1">
      <c r="A97" s="9"/>
      <c r="B97" s="9"/>
      <c r="C97" s="46"/>
      <c r="D97" s="132">
        <f>Asset27</f>
        <v>0</v>
      </c>
      <c r="E97" s="9"/>
      <c r="F97" s="9"/>
      <c r="G97" s="198">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5"/>
      <c r="BL97" s="225"/>
    </row>
    <row r="98" spans="1:64" hidden="1" outlineLevel="1">
      <c r="A98" s="9"/>
      <c r="B98" s="9"/>
      <c r="C98" s="46"/>
      <c r="D98" s="132">
        <f>Asset28</f>
        <v>0</v>
      </c>
      <c r="E98" s="9"/>
      <c r="F98" s="9"/>
      <c r="G98" s="198">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5"/>
      <c r="BL98" s="225"/>
    </row>
    <row r="99" spans="1:64" hidden="1" outlineLevel="1">
      <c r="A99" s="9"/>
      <c r="B99" s="9"/>
      <c r="C99" s="46"/>
      <c r="D99" s="132">
        <f>Asset29</f>
        <v>0</v>
      </c>
      <c r="E99" s="9"/>
      <c r="F99" s="9"/>
      <c r="G99" s="198">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5"/>
      <c r="BL99" s="225"/>
    </row>
    <row r="100" spans="1:64" hidden="1" outlineLevel="1">
      <c r="A100" s="9"/>
      <c r="B100" s="9"/>
      <c r="C100" s="46"/>
      <c r="D100" s="132">
        <f>Asset30</f>
        <v>0</v>
      </c>
      <c r="E100" s="9"/>
      <c r="F100" s="9"/>
      <c r="G100" s="198">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5"/>
      <c r="BL100" s="225"/>
    </row>
    <row r="101" spans="1:64" collapsed="1">
      <c r="A101" s="9"/>
      <c r="B101" s="9"/>
      <c r="C101" s="46"/>
      <c r="D101" s="132"/>
      <c r="E101" s="9"/>
      <c r="F101" s="9"/>
      <c r="G101" s="209"/>
      <c r="H101" s="113"/>
      <c r="I101" s="113"/>
      <c r="J101" s="113"/>
      <c r="K101" s="113"/>
      <c r="L101" s="113"/>
      <c r="M101" s="113"/>
      <c r="N101" s="102"/>
      <c r="O101" s="29"/>
      <c r="P101" s="29"/>
      <c r="Q101" s="29"/>
      <c r="R101" s="29"/>
      <c r="S101" s="102"/>
      <c r="T101" s="102"/>
      <c r="U101" s="102"/>
      <c r="V101" s="102"/>
      <c r="W101" s="102"/>
      <c r="X101" s="102"/>
      <c r="Y101" s="102"/>
      <c r="Z101" s="102"/>
      <c r="AA101" s="102"/>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5"/>
      <c r="BL101" s="225"/>
    </row>
    <row r="102" spans="1:64">
      <c r="A102" s="9"/>
      <c r="B102" s="9"/>
      <c r="C102" s="46" t="s">
        <v>53</v>
      </c>
      <c r="D102" s="116"/>
      <c r="E102" s="9"/>
      <c r="F102" s="9"/>
      <c r="G102" s="205">
        <f>SUM(G103:G122)</f>
        <v>0</v>
      </c>
      <c r="H102" s="37"/>
      <c r="I102" s="37"/>
      <c r="J102" s="37"/>
      <c r="K102" s="37"/>
      <c r="L102" s="37"/>
      <c r="M102" s="37"/>
      <c r="N102" s="102"/>
      <c r="O102" s="29"/>
      <c r="P102" s="29"/>
      <c r="Q102" s="29"/>
      <c r="R102" s="29"/>
      <c r="S102" s="102"/>
      <c r="T102" s="102"/>
      <c r="U102" s="102"/>
      <c r="V102" s="102"/>
      <c r="W102" s="102"/>
      <c r="X102" s="102"/>
      <c r="Y102" s="102"/>
      <c r="Z102" s="102"/>
      <c r="AA102" s="102"/>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5"/>
      <c r="BL102" s="225"/>
    </row>
    <row r="103" spans="1:64" hidden="1" outlineLevel="1">
      <c r="A103" s="9"/>
      <c r="B103" s="9"/>
      <c r="C103" s="9"/>
      <c r="D103" s="132" t="str">
        <f>Asset1</f>
        <v>Opening Distribution Assets</v>
      </c>
      <c r="E103" s="9"/>
      <c r="F103" s="9"/>
      <c r="G103" s="201">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5"/>
      <c r="BL103" s="225"/>
    </row>
    <row r="104" spans="1:64" hidden="1" outlineLevel="1">
      <c r="A104" s="9"/>
      <c r="B104" s="9"/>
      <c r="C104" s="46"/>
      <c r="D104" s="132" t="str">
        <f>Asset2</f>
        <v>Sub-transmission Overhead</v>
      </c>
      <c r="E104" s="9"/>
      <c r="F104" s="9"/>
      <c r="G104" s="201">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5"/>
      <c r="BL104" s="225"/>
    </row>
    <row r="105" spans="1:64" hidden="1" outlineLevel="1">
      <c r="A105" s="9"/>
      <c r="B105" s="9"/>
      <c r="C105" s="46"/>
      <c r="D105" s="132" t="str">
        <f>Asset3</f>
        <v>Sub-transmission Underground</v>
      </c>
      <c r="E105" s="9"/>
      <c r="F105" s="9"/>
      <c r="G105" s="201">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5"/>
      <c r="BL105" s="225"/>
    </row>
    <row r="106" spans="1:64" hidden="1" outlineLevel="1">
      <c r="A106" s="9"/>
      <c r="B106" s="9"/>
      <c r="C106" s="46"/>
      <c r="D106" s="132" t="str">
        <f>Asset4</f>
        <v>Zone Substation</v>
      </c>
      <c r="E106" s="9"/>
      <c r="F106" s="9"/>
      <c r="G106" s="201">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5"/>
      <c r="BL106" s="225"/>
    </row>
    <row r="107" spans="1:64" hidden="1" outlineLevel="1">
      <c r="A107" s="9"/>
      <c r="B107" s="9"/>
      <c r="C107" s="46"/>
      <c r="D107" s="132" t="str">
        <f>Asset5</f>
        <v>Distribution Substations</v>
      </c>
      <c r="E107" s="9"/>
      <c r="F107" s="9"/>
      <c r="G107" s="201">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5"/>
      <c r="BL107" s="225"/>
    </row>
    <row r="108" spans="1:64" hidden="1" outlineLevel="1">
      <c r="A108" s="9"/>
      <c r="B108" s="9"/>
      <c r="C108" s="46"/>
      <c r="D108" s="132" t="str">
        <f>Asset6</f>
        <v>Distribution Overhead Lines</v>
      </c>
      <c r="E108" s="9"/>
      <c r="F108" s="9"/>
      <c r="G108" s="201">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5"/>
      <c r="BL108" s="225"/>
    </row>
    <row r="109" spans="1:64" hidden="1" outlineLevel="1">
      <c r="A109" s="9"/>
      <c r="B109" s="9"/>
      <c r="C109" s="46"/>
      <c r="D109" s="132" t="str">
        <f>Asset7</f>
        <v>Distribution Underground Lines</v>
      </c>
      <c r="E109" s="9"/>
      <c r="F109" s="9"/>
      <c r="G109" s="201">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5"/>
      <c r="BL109" s="225"/>
    </row>
    <row r="110" spans="1:64" hidden="1" outlineLevel="1">
      <c r="A110" s="9"/>
      <c r="B110" s="9"/>
      <c r="C110" s="46"/>
      <c r="D110" s="132" t="str">
        <f>Asset8</f>
        <v>IT &amp; Communication Systems (Networks)</v>
      </c>
      <c r="E110" s="9"/>
      <c r="F110" s="9"/>
      <c r="G110" s="201">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5"/>
      <c r="BL110" s="225"/>
    </row>
    <row r="111" spans="1:64" hidden="1" outlineLevel="1">
      <c r="A111" s="9"/>
      <c r="B111" s="9"/>
      <c r="C111" s="46"/>
      <c r="D111" s="132" t="str">
        <f>Asset9</f>
        <v>Motor Vehicles</v>
      </c>
      <c r="E111" s="9"/>
      <c r="F111" s="9"/>
      <c r="G111" s="201">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5"/>
      <c r="BL111" s="225"/>
    </row>
    <row r="112" spans="1:64" hidden="1" outlineLevel="1">
      <c r="A112" s="9"/>
      <c r="B112" s="9"/>
      <c r="C112" s="46"/>
      <c r="D112" s="132" t="str">
        <f>Asset10</f>
        <v>Other Non-System Assets (Networks)</v>
      </c>
      <c r="E112" s="9"/>
      <c r="F112" s="9"/>
      <c r="G112" s="201">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5"/>
      <c r="BL112" s="225"/>
    </row>
    <row r="113" spans="1:64" hidden="1" outlineLevel="1">
      <c r="A113" s="9"/>
      <c r="B113" s="9"/>
      <c r="C113" s="46"/>
      <c r="D113" s="132" t="str">
        <f>Asset11</f>
        <v>IT Systems (Corporate)</v>
      </c>
      <c r="E113" s="9"/>
      <c r="F113" s="9"/>
      <c r="G113" s="201">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5"/>
      <c r="BL113" s="225"/>
    </row>
    <row r="114" spans="1:64" hidden="1" outlineLevel="1">
      <c r="A114" s="9"/>
      <c r="B114" s="9"/>
      <c r="C114" s="46"/>
      <c r="D114" s="132" t="str">
        <f>Asset12</f>
        <v>Telecommunications (Corporate)</v>
      </c>
      <c r="E114" s="9"/>
      <c r="F114" s="9"/>
      <c r="G114" s="201">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5"/>
      <c r="BL114" s="225"/>
    </row>
    <row r="115" spans="1:64" hidden="1" outlineLevel="1">
      <c r="A115" s="9"/>
      <c r="B115" s="9"/>
      <c r="C115" s="46"/>
      <c r="D115" s="132" t="str">
        <f>Asset13</f>
        <v>Other Non-System Assets (Corporate)</v>
      </c>
      <c r="E115" s="9"/>
      <c r="F115" s="9"/>
      <c r="G115" s="201">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5"/>
      <c r="BL115" s="225"/>
    </row>
    <row r="116" spans="1:64" hidden="1" outlineLevel="1">
      <c r="A116" s="9"/>
      <c r="B116" s="9"/>
      <c r="C116" s="46"/>
      <c r="D116" s="132" t="str">
        <f>Asset14</f>
        <v>Land</v>
      </c>
      <c r="E116" s="9"/>
      <c r="F116" s="9"/>
      <c r="G116" s="201">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5"/>
      <c r="BL116" s="225"/>
    </row>
    <row r="117" spans="1:64" hidden="1" outlineLevel="1">
      <c r="A117" s="9"/>
      <c r="B117" s="9"/>
      <c r="C117" s="46"/>
      <c r="D117" s="132" t="str">
        <f>Asset15</f>
        <v>Buildings</v>
      </c>
      <c r="E117" s="9"/>
      <c r="F117" s="9"/>
      <c r="G117" s="201">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5"/>
      <c r="BL117" s="225"/>
    </row>
    <row r="118" spans="1:64" hidden="1" outlineLevel="1">
      <c r="A118" s="9"/>
      <c r="B118" s="9"/>
      <c r="C118" s="46"/>
      <c r="D118" s="132" t="str">
        <f>Asset16</f>
        <v>Equity raising costs</v>
      </c>
      <c r="E118" s="9"/>
      <c r="F118" s="9"/>
      <c r="G118" s="201">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5"/>
      <c r="BL118" s="225"/>
    </row>
    <row r="119" spans="1:64" hidden="1" outlineLevel="1">
      <c r="A119" s="9"/>
      <c r="B119" s="9"/>
      <c r="C119" s="46"/>
      <c r="D119" s="132">
        <f>Asset17</f>
        <v>0</v>
      </c>
      <c r="E119" s="9"/>
      <c r="F119" s="9"/>
      <c r="G119" s="201">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5"/>
      <c r="BL119" s="225"/>
    </row>
    <row r="120" spans="1:64" hidden="1" outlineLevel="1">
      <c r="A120" s="9"/>
      <c r="B120" s="9"/>
      <c r="C120" s="46"/>
      <c r="D120" s="132">
        <f>Asset18</f>
        <v>0</v>
      </c>
      <c r="E120" s="9"/>
      <c r="F120" s="9"/>
      <c r="G120" s="201">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5"/>
      <c r="BL120" s="225"/>
    </row>
    <row r="121" spans="1:64" hidden="1" outlineLevel="1">
      <c r="A121" s="9"/>
      <c r="B121" s="9"/>
      <c r="C121" s="46"/>
      <c r="D121" s="132">
        <f>Asset19</f>
        <v>0</v>
      </c>
      <c r="E121" s="9"/>
      <c r="F121" s="9"/>
      <c r="G121" s="201">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5"/>
      <c r="BL121" s="225"/>
    </row>
    <row r="122" spans="1:64" hidden="1" outlineLevel="1">
      <c r="A122" s="9"/>
      <c r="B122" s="9"/>
      <c r="C122" s="46"/>
      <c r="D122" s="132">
        <f>Asset20</f>
        <v>0</v>
      </c>
      <c r="E122" s="9"/>
      <c r="F122" s="9"/>
      <c r="G122" s="201">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5"/>
      <c r="BL122" s="225"/>
    </row>
    <row r="123" spans="1:64" hidden="1" outlineLevel="1">
      <c r="A123" s="9"/>
      <c r="B123" s="9"/>
      <c r="C123" s="46"/>
      <c r="D123" s="132">
        <f>Asset21</f>
        <v>0</v>
      </c>
      <c r="E123" s="9"/>
      <c r="F123" s="9"/>
      <c r="G123" s="201">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5"/>
      <c r="BL123" s="225"/>
    </row>
    <row r="124" spans="1:64" hidden="1" outlineLevel="1">
      <c r="A124" s="9"/>
      <c r="B124" s="9"/>
      <c r="C124" s="46"/>
      <c r="D124" s="132">
        <f>Asset22</f>
        <v>0</v>
      </c>
      <c r="E124" s="9"/>
      <c r="F124" s="9"/>
      <c r="G124" s="201">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5"/>
      <c r="BL124" s="225"/>
    </row>
    <row r="125" spans="1:64" hidden="1" outlineLevel="1">
      <c r="A125" s="9"/>
      <c r="B125" s="9"/>
      <c r="C125" s="46"/>
      <c r="D125" s="132">
        <f>Asset23</f>
        <v>0</v>
      </c>
      <c r="E125" s="9"/>
      <c r="F125" s="9"/>
      <c r="G125" s="201">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5"/>
      <c r="BL125" s="225"/>
    </row>
    <row r="126" spans="1:64" hidden="1" outlineLevel="1">
      <c r="A126" s="9"/>
      <c r="B126" s="9"/>
      <c r="C126" s="46"/>
      <c r="D126" s="132">
        <f>Asset24</f>
        <v>0</v>
      </c>
      <c r="E126" s="9"/>
      <c r="F126" s="9"/>
      <c r="G126" s="201">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5"/>
      <c r="BL126" s="225"/>
    </row>
    <row r="127" spans="1:64" hidden="1" outlineLevel="1">
      <c r="A127" s="9"/>
      <c r="B127" s="9"/>
      <c r="C127" s="46"/>
      <c r="D127" s="132">
        <f>Asset25</f>
        <v>0</v>
      </c>
      <c r="E127" s="9"/>
      <c r="F127" s="9"/>
      <c r="G127" s="201">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5"/>
      <c r="BL127" s="225"/>
    </row>
    <row r="128" spans="1:64" hidden="1" outlineLevel="1">
      <c r="A128" s="9"/>
      <c r="B128" s="9"/>
      <c r="C128" s="46"/>
      <c r="D128" s="132">
        <f>Asset26</f>
        <v>0</v>
      </c>
      <c r="E128" s="9"/>
      <c r="F128" s="9"/>
      <c r="G128" s="201">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5"/>
      <c r="BL128" s="225"/>
    </row>
    <row r="129" spans="1:64" hidden="1" outlineLevel="1">
      <c r="A129" s="9"/>
      <c r="B129" s="9"/>
      <c r="C129" s="46"/>
      <c r="D129" s="132">
        <f>Asset27</f>
        <v>0</v>
      </c>
      <c r="E129" s="9"/>
      <c r="F129" s="9"/>
      <c r="G129" s="201">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5"/>
      <c r="BL129" s="225"/>
    </row>
    <row r="130" spans="1:64" hidden="1" outlineLevel="1">
      <c r="A130" s="9"/>
      <c r="B130" s="9"/>
      <c r="C130" s="46"/>
      <c r="D130" s="132">
        <f>Asset28</f>
        <v>0</v>
      </c>
      <c r="E130" s="9"/>
      <c r="F130" s="9"/>
      <c r="G130" s="201">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5"/>
      <c r="BL130" s="225"/>
    </row>
    <row r="131" spans="1:64" hidden="1" outlineLevel="1">
      <c r="A131" s="9"/>
      <c r="B131" s="9"/>
      <c r="C131" s="46"/>
      <c r="D131" s="132">
        <f>Asset29</f>
        <v>0</v>
      </c>
      <c r="E131" s="9"/>
      <c r="F131" s="9"/>
      <c r="G131" s="201">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5"/>
      <c r="BL131" s="225"/>
    </row>
    <row r="132" spans="1:64" hidden="1" outlineLevel="1">
      <c r="A132" s="9"/>
      <c r="B132" s="9"/>
      <c r="C132" s="46"/>
      <c r="D132" s="132">
        <f>Asset30</f>
        <v>0</v>
      </c>
      <c r="E132" s="9"/>
      <c r="F132" s="9"/>
      <c r="G132" s="201">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5"/>
      <c r="BL132" s="225"/>
    </row>
    <row r="133" spans="1:64" s="9" customFormat="1" collapsed="1">
      <c r="G133" s="208"/>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row>
    <row r="134" spans="1:64">
      <c r="A134" s="9"/>
      <c r="B134" s="9"/>
      <c r="C134" s="46" t="s">
        <v>65</v>
      </c>
      <c r="D134" s="116"/>
      <c r="E134" s="9"/>
      <c r="F134" s="9"/>
      <c r="G134" s="205">
        <f>SUM(G135:G154)</f>
        <v>0</v>
      </c>
      <c r="H134" s="37"/>
      <c r="I134" s="37"/>
      <c r="J134" s="37"/>
      <c r="K134" s="37"/>
      <c r="L134" s="37"/>
      <c r="M134" s="37"/>
      <c r="N134" s="102"/>
      <c r="O134" s="29"/>
      <c r="P134" s="29"/>
      <c r="Q134" s="29"/>
      <c r="R134" s="29"/>
      <c r="S134" s="102"/>
      <c r="T134" s="102"/>
      <c r="U134" s="102"/>
      <c r="V134" s="102"/>
      <c r="W134" s="102"/>
      <c r="X134" s="102"/>
      <c r="Y134" s="102"/>
      <c r="Z134" s="102"/>
      <c r="AA134" s="102"/>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25"/>
      <c r="BL134" s="225"/>
    </row>
    <row r="135" spans="1:64" hidden="1" outlineLevel="1">
      <c r="A135" s="9"/>
      <c r="B135" s="9"/>
      <c r="C135" s="9"/>
      <c r="D135" s="132" t="str">
        <f>Asset1</f>
        <v>Opening Distribution Assets</v>
      </c>
      <c r="E135" s="9"/>
      <c r="F135" s="9"/>
      <c r="G135" s="201">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5"/>
      <c r="BL135" s="225"/>
    </row>
    <row r="136" spans="1:64" hidden="1" outlineLevel="1">
      <c r="A136" s="9"/>
      <c r="B136" s="9"/>
      <c r="C136" s="46"/>
      <c r="D136" s="132" t="str">
        <f>Asset2</f>
        <v>Sub-transmission Overhead</v>
      </c>
      <c r="E136" s="9"/>
      <c r="F136" s="9"/>
      <c r="G136" s="201">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5"/>
      <c r="BL136" s="225"/>
    </row>
    <row r="137" spans="1:64" hidden="1" outlineLevel="1">
      <c r="A137" s="9"/>
      <c r="B137" s="9"/>
      <c r="C137" s="46"/>
      <c r="D137" s="132" t="str">
        <f>Asset3</f>
        <v>Sub-transmission Underground</v>
      </c>
      <c r="E137" s="9"/>
      <c r="F137" s="9"/>
      <c r="G137" s="201">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5"/>
      <c r="BL137" s="225"/>
    </row>
    <row r="138" spans="1:64" hidden="1" outlineLevel="1">
      <c r="A138" s="9"/>
      <c r="B138" s="9"/>
      <c r="C138" s="46"/>
      <c r="D138" s="132" t="str">
        <f>Asset4</f>
        <v>Zone Substation</v>
      </c>
      <c r="E138" s="9"/>
      <c r="F138" s="9"/>
      <c r="G138" s="201">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5"/>
      <c r="BL138" s="225"/>
    </row>
    <row r="139" spans="1:64" hidden="1" outlineLevel="1">
      <c r="A139" s="9"/>
      <c r="B139" s="9"/>
      <c r="C139" s="46"/>
      <c r="D139" s="132" t="str">
        <f>Asset5</f>
        <v>Distribution Substations</v>
      </c>
      <c r="E139" s="9"/>
      <c r="F139" s="9"/>
      <c r="G139" s="201">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5"/>
      <c r="BL139" s="225"/>
    </row>
    <row r="140" spans="1:64" hidden="1" outlineLevel="1">
      <c r="A140" s="9"/>
      <c r="B140" s="9"/>
      <c r="C140" s="46"/>
      <c r="D140" s="132" t="str">
        <f>Asset6</f>
        <v>Distribution Overhead Lines</v>
      </c>
      <c r="E140" s="9"/>
      <c r="F140" s="9"/>
      <c r="G140" s="201">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5"/>
      <c r="BL140" s="225"/>
    </row>
    <row r="141" spans="1:64" hidden="1" outlineLevel="1">
      <c r="A141" s="9"/>
      <c r="B141" s="9"/>
      <c r="C141" s="46"/>
      <c r="D141" s="132" t="str">
        <f>Asset7</f>
        <v>Distribution Underground Lines</v>
      </c>
      <c r="E141" s="9"/>
      <c r="F141" s="9"/>
      <c r="G141" s="201">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5"/>
      <c r="BL141" s="225"/>
    </row>
    <row r="142" spans="1:64" hidden="1" outlineLevel="1">
      <c r="A142" s="9"/>
      <c r="B142" s="9"/>
      <c r="C142" s="46"/>
      <c r="D142" s="132" t="str">
        <f>Asset8</f>
        <v>IT &amp; Communication Systems (Networks)</v>
      </c>
      <c r="E142" s="9"/>
      <c r="F142" s="9"/>
      <c r="G142" s="201">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5"/>
      <c r="BL142" s="225"/>
    </row>
    <row r="143" spans="1:64" hidden="1" outlineLevel="1">
      <c r="A143" s="9"/>
      <c r="B143" s="9"/>
      <c r="C143" s="46"/>
      <c r="D143" s="132" t="str">
        <f>Asset9</f>
        <v>Motor Vehicles</v>
      </c>
      <c r="E143" s="9"/>
      <c r="F143" s="9"/>
      <c r="G143" s="201">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5"/>
      <c r="BL143" s="225"/>
    </row>
    <row r="144" spans="1:64" hidden="1" outlineLevel="1">
      <c r="A144" s="9"/>
      <c r="B144" s="9"/>
      <c r="C144" s="46"/>
      <c r="D144" s="132" t="str">
        <f>Asset10</f>
        <v>Other Non-System Assets (Networks)</v>
      </c>
      <c r="E144" s="9"/>
      <c r="F144" s="9"/>
      <c r="G144" s="201">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5"/>
      <c r="BL144" s="225"/>
    </row>
    <row r="145" spans="1:64" hidden="1" outlineLevel="1">
      <c r="A145" s="9"/>
      <c r="B145" s="9"/>
      <c r="C145" s="46"/>
      <c r="D145" s="132" t="str">
        <f>Asset11</f>
        <v>IT Systems (Corporate)</v>
      </c>
      <c r="E145" s="9"/>
      <c r="F145" s="9"/>
      <c r="G145" s="201">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5"/>
      <c r="BL145" s="225"/>
    </row>
    <row r="146" spans="1:64" hidden="1" outlineLevel="1">
      <c r="A146" s="9"/>
      <c r="B146" s="9"/>
      <c r="C146" s="46"/>
      <c r="D146" s="132" t="str">
        <f>Asset12</f>
        <v>Telecommunications (Corporate)</v>
      </c>
      <c r="E146" s="9"/>
      <c r="F146" s="9"/>
      <c r="G146" s="201">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5"/>
      <c r="BL146" s="225"/>
    </row>
    <row r="147" spans="1:64" hidden="1" outlineLevel="1">
      <c r="A147" s="9"/>
      <c r="B147" s="9"/>
      <c r="C147" s="46"/>
      <c r="D147" s="132" t="str">
        <f>Asset13</f>
        <v>Other Non-System Assets (Corporate)</v>
      </c>
      <c r="E147" s="9"/>
      <c r="F147" s="9"/>
      <c r="G147" s="201">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5"/>
      <c r="BL147" s="225"/>
    </row>
    <row r="148" spans="1:64" hidden="1" outlineLevel="1">
      <c r="A148" s="9"/>
      <c r="B148" s="9"/>
      <c r="C148" s="46"/>
      <c r="D148" s="132" t="str">
        <f>Asset14</f>
        <v>Land</v>
      </c>
      <c r="E148" s="9"/>
      <c r="F148" s="9"/>
      <c r="G148" s="201">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5"/>
      <c r="BL148" s="225"/>
    </row>
    <row r="149" spans="1:64" hidden="1" outlineLevel="1">
      <c r="A149" s="9"/>
      <c r="B149" s="9"/>
      <c r="C149" s="46"/>
      <c r="D149" s="132" t="str">
        <f>Asset15</f>
        <v>Buildings</v>
      </c>
      <c r="E149" s="9"/>
      <c r="F149" s="9"/>
      <c r="G149" s="201">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5"/>
      <c r="BL149" s="225"/>
    </row>
    <row r="150" spans="1:64" hidden="1" outlineLevel="1">
      <c r="A150" s="9"/>
      <c r="B150" s="9"/>
      <c r="C150" s="46"/>
      <c r="D150" s="132" t="str">
        <f>Asset16</f>
        <v>Equity raising costs</v>
      </c>
      <c r="E150" s="9"/>
      <c r="F150" s="9"/>
      <c r="G150" s="201">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5"/>
      <c r="BL150" s="225"/>
    </row>
    <row r="151" spans="1:64" hidden="1" outlineLevel="1">
      <c r="A151" s="9"/>
      <c r="B151" s="9"/>
      <c r="C151" s="46"/>
      <c r="D151" s="132">
        <f>Asset17</f>
        <v>0</v>
      </c>
      <c r="E151" s="9"/>
      <c r="F151" s="9"/>
      <c r="G151" s="201">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5"/>
      <c r="BL151" s="225"/>
    </row>
    <row r="152" spans="1:64" hidden="1" outlineLevel="1">
      <c r="A152" s="9"/>
      <c r="B152" s="9"/>
      <c r="C152" s="46"/>
      <c r="D152" s="132">
        <f>Asset18</f>
        <v>0</v>
      </c>
      <c r="E152" s="9"/>
      <c r="F152" s="9"/>
      <c r="G152" s="201">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5"/>
      <c r="BL152" s="225"/>
    </row>
    <row r="153" spans="1:64" hidden="1" outlineLevel="1">
      <c r="A153" s="9"/>
      <c r="B153" s="9"/>
      <c r="C153" s="46"/>
      <c r="D153" s="132">
        <f>Asset19</f>
        <v>0</v>
      </c>
      <c r="E153" s="9"/>
      <c r="F153" s="9"/>
      <c r="G153" s="201">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5"/>
      <c r="BL153" s="225"/>
    </row>
    <row r="154" spans="1:64" hidden="1" outlineLevel="1">
      <c r="A154" s="9"/>
      <c r="B154" s="9"/>
      <c r="C154" s="46"/>
      <c r="D154" s="132">
        <f>Asset20</f>
        <v>0</v>
      </c>
      <c r="E154" s="9"/>
      <c r="F154" s="9"/>
      <c r="G154" s="201">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5"/>
      <c r="BL154" s="225"/>
    </row>
    <row r="155" spans="1:64" hidden="1" outlineLevel="1">
      <c r="A155" s="9"/>
      <c r="B155" s="9"/>
      <c r="C155" s="46"/>
      <c r="D155" s="132">
        <f>Asset21</f>
        <v>0</v>
      </c>
      <c r="E155" s="9"/>
      <c r="F155" s="9"/>
      <c r="G155" s="201">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5"/>
      <c r="BL155" s="225"/>
    </row>
    <row r="156" spans="1:64" hidden="1" outlineLevel="1">
      <c r="A156" s="9"/>
      <c r="B156" s="9"/>
      <c r="C156" s="46"/>
      <c r="D156" s="132">
        <f>Asset22</f>
        <v>0</v>
      </c>
      <c r="E156" s="9"/>
      <c r="F156" s="9"/>
      <c r="G156" s="201">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5"/>
      <c r="BL156" s="225"/>
    </row>
    <row r="157" spans="1:64" hidden="1" outlineLevel="1">
      <c r="A157" s="9"/>
      <c r="B157" s="9"/>
      <c r="C157" s="46"/>
      <c r="D157" s="132">
        <f>Asset23</f>
        <v>0</v>
      </c>
      <c r="E157" s="9"/>
      <c r="F157" s="9"/>
      <c r="G157" s="201">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5"/>
      <c r="BL157" s="225"/>
    </row>
    <row r="158" spans="1:64" hidden="1" outlineLevel="1">
      <c r="A158" s="9"/>
      <c r="B158" s="9"/>
      <c r="C158" s="46"/>
      <c r="D158" s="132">
        <f>Asset24</f>
        <v>0</v>
      </c>
      <c r="E158" s="9"/>
      <c r="F158" s="9"/>
      <c r="G158" s="201">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5"/>
      <c r="BL158" s="225"/>
    </row>
    <row r="159" spans="1:64" hidden="1" outlineLevel="1">
      <c r="A159" s="9"/>
      <c r="B159" s="9"/>
      <c r="C159" s="46"/>
      <c r="D159" s="132">
        <f>Asset25</f>
        <v>0</v>
      </c>
      <c r="E159" s="9"/>
      <c r="F159" s="9"/>
      <c r="G159" s="201">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5"/>
      <c r="BL159" s="225"/>
    </row>
    <row r="160" spans="1:64" hidden="1" outlineLevel="1">
      <c r="A160" s="9"/>
      <c r="B160" s="9"/>
      <c r="C160" s="46"/>
      <c r="D160" s="132">
        <f>Asset26</f>
        <v>0</v>
      </c>
      <c r="E160" s="9"/>
      <c r="F160" s="9"/>
      <c r="G160" s="201">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5"/>
      <c r="BL160" s="225"/>
    </row>
    <row r="161" spans="1:64" hidden="1" outlineLevel="1">
      <c r="A161" s="9"/>
      <c r="B161" s="9"/>
      <c r="C161" s="46"/>
      <c r="D161" s="132">
        <f>Asset27</f>
        <v>0</v>
      </c>
      <c r="E161" s="9"/>
      <c r="F161" s="9"/>
      <c r="G161" s="201">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5"/>
      <c r="BL161" s="225"/>
    </row>
    <row r="162" spans="1:64" hidden="1" outlineLevel="1">
      <c r="A162" s="9"/>
      <c r="B162" s="9"/>
      <c r="C162" s="46"/>
      <c r="D162" s="132">
        <f>Asset28</f>
        <v>0</v>
      </c>
      <c r="E162" s="9"/>
      <c r="F162" s="9"/>
      <c r="G162" s="201">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5"/>
      <c r="BL162" s="225"/>
    </row>
    <row r="163" spans="1:64" hidden="1" outlineLevel="1">
      <c r="A163" s="9"/>
      <c r="B163" s="9"/>
      <c r="C163" s="46"/>
      <c r="D163" s="132">
        <f>Asset29</f>
        <v>0</v>
      </c>
      <c r="E163" s="9"/>
      <c r="F163" s="9"/>
      <c r="G163" s="201">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5"/>
      <c r="BL163" s="225"/>
    </row>
    <row r="164" spans="1:64" hidden="1" outlineLevel="1">
      <c r="A164" s="9"/>
      <c r="B164" s="9"/>
      <c r="C164" s="46"/>
      <c r="D164" s="132">
        <f>Asset30</f>
        <v>0</v>
      </c>
      <c r="E164" s="9"/>
      <c r="F164" s="9"/>
      <c r="G164" s="201">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5"/>
      <c r="BL164" s="225"/>
    </row>
    <row r="165" spans="1:64" collapsed="1">
      <c r="A165" s="9"/>
      <c r="B165" s="9"/>
      <c r="C165" s="46"/>
      <c r="D165" s="116"/>
      <c r="E165" s="9"/>
      <c r="F165" s="9"/>
      <c r="G165" s="209"/>
      <c r="H165" s="37"/>
      <c r="I165" s="37"/>
      <c r="J165" s="37"/>
      <c r="K165" s="37"/>
      <c r="L165" s="37"/>
      <c r="M165" s="37"/>
      <c r="N165" s="102"/>
      <c r="O165" s="29"/>
      <c r="P165" s="29"/>
      <c r="Q165" s="29"/>
      <c r="R165" s="29"/>
      <c r="S165" s="102"/>
      <c r="T165" s="102"/>
      <c r="U165" s="102"/>
      <c r="V165" s="102"/>
      <c r="W165" s="102"/>
      <c r="X165" s="102"/>
      <c r="Y165" s="102"/>
      <c r="Z165" s="102"/>
      <c r="AA165" s="102"/>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5"/>
      <c r="BL165" s="225"/>
    </row>
    <row r="166" spans="1:64">
      <c r="A166" s="9"/>
      <c r="B166" s="9"/>
      <c r="C166" s="46" t="s">
        <v>62</v>
      </c>
      <c r="D166" s="132"/>
      <c r="E166" s="9"/>
      <c r="F166" s="9"/>
      <c r="G166" s="205">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5"/>
      <c r="BL166" s="225"/>
    </row>
    <row r="167" spans="1:64" hidden="1" outlineLevel="1">
      <c r="A167" s="9"/>
      <c r="B167" s="9"/>
      <c r="C167" s="46"/>
      <c r="D167" s="132" t="str">
        <f>Asset1</f>
        <v>Opening Distribution Assets</v>
      </c>
      <c r="E167" s="9"/>
      <c r="F167" s="9"/>
      <c r="G167" s="201">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5"/>
      <c r="BL167" s="225"/>
    </row>
    <row r="168" spans="1:64" hidden="1" outlineLevel="1">
      <c r="A168" s="9"/>
      <c r="B168" s="9"/>
      <c r="C168" s="46"/>
      <c r="D168" s="132" t="str">
        <f>Asset2</f>
        <v>Sub-transmission Overhead</v>
      </c>
      <c r="E168" s="9"/>
      <c r="F168" s="9"/>
      <c r="G168" s="201">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5"/>
      <c r="BL168" s="225"/>
    </row>
    <row r="169" spans="1:64" hidden="1" outlineLevel="1">
      <c r="A169" s="9"/>
      <c r="B169" s="9"/>
      <c r="C169" s="46"/>
      <c r="D169" s="132" t="str">
        <f>Asset3</f>
        <v>Sub-transmission Underground</v>
      </c>
      <c r="E169" s="9"/>
      <c r="F169" s="9"/>
      <c r="G169" s="201">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5"/>
      <c r="BL169" s="225"/>
    </row>
    <row r="170" spans="1:64" hidden="1" outlineLevel="1">
      <c r="A170" s="9"/>
      <c r="B170" s="9"/>
      <c r="C170" s="46"/>
      <c r="D170" s="132" t="str">
        <f>Asset4</f>
        <v>Zone Substation</v>
      </c>
      <c r="E170" s="9"/>
      <c r="F170" s="9"/>
      <c r="G170" s="201">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5"/>
      <c r="BL170" s="225"/>
    </row>
    <row r="171" spans="1:64" hidden="1" outlineLevel="1">
      <c r="A171" s="9"/>
      <c r="B171" s="9"/>
      <c r="C171" s="46"/>
      <c r="D171" s="132" t="str">
        <f>Asset5</f>
        <v>Distribution Substations</v>
      </c>
      <c r="E171" s="9"/>
      <c r="F171" s="9"/>
      <c r="G171" s="201">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5"/>
      <c r="BL171" s="225"/>
    </row>
    <row r="172" spans="1:64" hidden="1" outlineLevel="1">
      <c r="A172" s="9"/>
      <c r="B172" s="9"/>
      <c r="C172" s="46"/>
      <c r="D172" s="132" t="str">
        <f>Asset6</f>
        <v>Distribution Overhead Lines</v>
      </c>
      <c r="E172" s="9"/>
      <c r="F172" s="9"/>
      <c r="G172" s="201">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5"/>
      <c r="BL172" s="225"/>
    </row>
    <row r="173" spans="1:64" hidden="1" outlineLevel="1">
      <c r="A173" s="9"/>
      <c r="B173" s="9"/>
      <c r="C173" s="46"/>
      <c r="D173" s="132" t="str">
        <f>Asset7</f>
        <v>Distribution Underground Lines</v>
      </c>
      <c r="E173" s="9"/>
      <c r="F173" s="9"/>
      <c r="G173" s="201">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5"/>
      <c r="BL173" s="225"/>
    </row>
    <row r="174" spans="1:64" hidden="1" outlineLevel="1">
      <c r="A174" s="9"/>
      <c r="B174" s="9"/>
      <c r="C174" s="46"/>
      <c r="D174" s="132" t="str">
        <f>Asset8</f>
        <v>IT &amp; Communication Systems (Networks)</v>
      </c>
      <c r="E174" s="9"/>
      <c r="F174" s="9"/>
      <c r="G174" s="201">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5"/>
      <c r="BL174" s="225"/>
    </row>
    <row r="175" spans="1:64" hidden="1" outlineLevel="1">
      <c r="A175" s="9"/>
      <c r="B175" s="9"/>
      <c r="C175" s="46"/>
      <c r="D175" s="132" t="str">
        <f>Asset9</f>
        <v>Motor Vehicles</v>
      </c>
      <c r="E175" s="9"/>
      <c r="F175" s="9"/>
      <c r="G175" s="201">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5"/>
      <c r="BL175" s="225"/>
    </row>
    <row r="176" spans="1:64" hidden="1" outlineLevel="1">
      <c r="A176" s="9"/>
      <c r="B176" s="9"/>
      <c r="C176" s="46"/>
      <c r="D176" s="132" t="str">
        <f>Asset10</f>
        <v>Other Non-System Assets (Networks)</v>
      </c>
      <c r="E176" s="9"/>
      <c r="F176" s="9"/>
      <c r="G176" s="201">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5"/>
      <c r="BL176" s="225"/>
    </row>
    <row r="177" spans="1:64" hidden="1" outlineLevel="1">
      <c r="A177" s="9"/>
      <c r="B177" s="9"/>
      <c r="C177" s="46"/>
      <c r="D177" s="132" t="str">
        <f>Asset11</f>
        <v>IT Systems (Corporate)</v>
      </c>
      <c r="E177" s="9"/>
      <c r="F177" s="9"/>
      <c r="G177" s="201">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5"/>
      <c r="BL177" s="225"/>
    </row>
    <row r="178" spans="1:64" hidden="1" outlineLevel="1">
      <c r="A178" s="9"/>
      <c r="B178" s="9"/>
      <c r="C178" s="46"/>
      <c r="D178" s="132" t="str">
        <f>Asset12</f>
        <v>Telecommunications (Corporate)</v>
      </c>
      <c r="E178" s="9"/>
      <c r="F178" s="9"/>
      <c r="G178" s="201">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5"/>
      <c r="BL178" s="225"/>
    </row>
    <row r="179" spans="1:64" hidden="1" outlineLevel="1">
      <c r="A179" s="9"/>
      <c r="B179" s="9"/>
      <c r="C179" s="46"/>
      <c r="D179" s="132" t="str">
        <f>Asset13</f>
        <v>Other Non-System Assets (Corporate)</v>
      </c>
      <c r="E179" s="9"/>
      <c r="F179" s="9"/>
      <c r="G179" s="201">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5"/>
      <c r="BL179" s="225"/>
    </row>
    <row r="180" spans="1:64" hidden="1" outlineLevel="1">
      <c r="A180" s="9"/>
      <c r="B180" s="9"/>
      <c r="C180" s="46"/>
      <c r="D180" s="132" t="str">
        <f>Asset14</f>
        <v>Land</v>
      </c>
      <c r="E180" s="9"/>
      <c r="F180" s="9"/>
      <c r="G180" s="201">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5"/>
      <c r="BL180" s="225"/>
    </row>
    <row r="181" spans="1:64" hidden="1" outlineLevel="1">
      <c r="A181" s="9"/>
      <c r="B181" s="9"/>
      <c r="C181" s="46"/>
      <c r="D181" s="132" t="str">
        <f>Asset15</f>
        <v>Buildings</v>
      </c>
      <c r="E181" s="9"/>
      <c r="F181" s="9"/>
      <c r="G181" s="201">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5"/>
      <c r="BL181" s="225"/>
    </row>
    <row r="182" spans="1:64" hidden="1" outlineLevel="1">
      <c r="A182" s="9"/>
      <c r="B182" s="9"/>
      <c r="C182" s="46"/>
      <c r="D182" s="132" t="str">
        <f>Asset16</f>
        <v>Equity raising costs</v>
      </c>
      <c r="E182" s="9"/>
      <c r="F182" s="9"/>
      <c r="G182" s="201">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5"/>
      <c r="BL182" s="225"/>
    </row>
    <row r="183" spans="1:64" hidden="1" outlineLevel="1">
      <c r="A183" s="9"/>
      <c r="B183" s="9"/>
      <c r="C183" s="46"/>
      <c r="D183" s="132">
        <f>Asset17</f>
        <v>0</v>
      </c>
      <c r="E183" s="9"/>
      <c r="F183" s="9"/>
      <c r="G183" s="201">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5"/>
      <c r="BL183" s="225"/>
    </row>
    <row r="184" spans="1:64" hidden="1" outlineLevel="1">
      <c r="A184" s="9"/>
      <c r="B184" s="9"/>
      <c r="C184" s="46"/>
      <c r="D184" s="132">
        <f>Asset18</f>
        <v>0</v>
      </c>
      <c r="E184" s="9"/>
      <c r="F184" s="9"/>
      <c r="G184" s="201">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5"/>
      <c r="BL184" s="225"/>
    </row>
    <row r="185" spans="1:64" hidden="1" outlineLevel="1">
      <c r="A185" s="9"/>
      <c r="B185" s="9"/>
      <c r="C185" s="46"/>
      <c r="D185" s="132">
        <f>Asset19</f>
        <v>0</v>
      </c>
      <c r="E185" s="9"/>
      <c r="F185" s="9"/>
      <c r="G185" s="201">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5"/>
      <c r="BL185" s="225"/>
    </row>
    <row r="186" spans="1:64" ht="12" hidden="1" customHeight="1" outlineLevel="1">
      <c r="A186" s="9"/>
      <c r="B186" s="9"/>
      <c r="C186" s="46"/>
      <c r="D186" s="132">
        <f>Asset20</f>
        <v>0</v>
      </c>
      <c r="E186" s="9"/>
      <c r="F186" s="9"/>
      <c r="G186" s="201">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5"/>
      <c r="BL186" s="225"/>
    </row>
    <row r="187" spans="1:64" ht="12" hidden="1" customHeight="1" outlineLevel="1">
      <c r="A187" s="9"/>
      <c r="B187" s="9"/>
      <c r="C187" s="46"/>
      <c r="D187" s="132">
        <f>Asset21</f>
        <v>0</v>
      </c>
      <c r="E187" s="9"/>
      <c r="F187" s="9"/>
      <c r="G187" s="201">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5"/>
      <c r="BL187" s="225"/>
    </row>
    <row r="188" spans="1:64" ht="12" hidden="1" customHeight="1" outlineLevel="1">
      <c r="A188" s="9"/>
      <c r="B188" s="9"/>
      <c r="C188" s="46"/>
      <c r="D188" s="132">
        <f>Asset22</f>
        <v>0</v>
      </c>
      <c r="E188" s="9"/>
      <c r="F188" s="9"/>
      <c r="G188" s="201">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5"/>
      <c r="BL188" s="225"/>
    </row>
    <row r="189" spans="1:64" ht="12" hidden="1" customHeight="1" outlineLevel="1">
      <c r="A189" s="9"/>
      <c r="B189" s="9"/>
      <c r="C189" s="46"/>
      <c r="D189" s="132">
        <f>Asset23</f>
        <v>0</v>
      </c>
      <c r="E189" s="9"/>
      <c r="F189" s="9"/>
      <c r="G189" s="201">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5"/>
      <c r="BL189" s="225"/>
    </row>
    <row r="190" spans="1:64" ht="12" hidden="1" customHeight="1" outlineLevel="1">
      <c r="A190" s="9"/>
      <c r="B190" s="9"/>
      <c r="C190" s="46"/>
      <c r="D190" s="132">
        <f>Asset24</f>
        <v>0</v>
      </c>
      <c r="E190" s="9"/>
      <c r="F190" s="9"/>
      <c r="G190" s="201">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5"/>
      <c r="BL190" s="225"/>
    </row>
    <row r="191" spans="1:64" ht="12" hidden="1" customHeight="1" outlineLevel="1">
      <c r="A191" s="9"/>
      <c r="B191" s="9"/>
      <c r="C191" s="46"/>
      <c r="D191" s="132">
        <f>Asset25</f>
        <v>0</v>
      </c>
      <c r="E191" s="9"/>
      <c r="F191" s="9"/>
      <c r="G191" s="201">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5"/>
      <c r="BL191" s="225"/>
    </row>
    <row r="192" spans="1:64" ht="12" hidden="1" customHeight="1" outlineLevel="1">
      <c r="A192" s="9"/>
      <c r="B192" s="9"/>
      <c r="C192" s="46"/>
      <c r="D192" s="132">
        <f>Asset26</f>
        <v>0</v>
      </c>
      <c r="E192" s="9"/>
      <c r="F192" s="9"/>
      <c r="G192" s="201">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5"/>
      <c r="BL192" s="225"/>
    </row>
    <row r="193" spans="1:64" ht="12" hidden="1" customHeight="1" outlineLevel="1">
      <c r="A193" s="9"/>
      <c r="B193" s="9"/>
      <c r="C193" s="46"/>
      <c r="D193" s="132">
        <f>Asset27</f>
        <v>0</v>
      </c>
      <c r="E193" s="9"/>
      <c r="F193" s="9"/>
      <c r="G193" s="201">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5"/>
      <c r="BL193" s="225"/>
    </row>
    <row r="194" spans="1:64" ht="12" hidden="1" customHeight="1" outlineLevel="1">
      <c r="A194" s="9"/>
      <c r="B194" s="9"/>
      <c r="C194" s="46"/>
      <c r="D194" s="132">
        <f>Asset28</f>
        <v>0</v>
      </c>
      <c r="E194" s="9"/>
      <c r="F194" s="9"/>
      <c r="G194" s="201">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5"/>
      <c r="BL194" s="225"/>
    </row>
    <row r="195" spans="1:64" ht="12" hidden="1" customHeight="1" outlineLevel="1">
      <c r="A195" s="9"/>
      <c r="B195" s="9"/>
      <c r="C195" s="46"/>
      <c r="D195" s="132">
        <f>Asset29</f>
        <v>0</v>
      </c>
      <c r="E195" s="9"/>
      <c r="F195" s="9"/>
      <c r="G195" s="201">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5"/>
      <c r="BL195" s="225"/>
    </row>
    <row r="196" spans="1:64" ht="12" hidden="1" customHeight="1" outlineLevel="1">
      <c r="A196" s="9"/>
      <c r="B196" s="9"/>
      <c r="C196" s="46"/>
      <c r="D196" s="132">
        <f>Asset30</f>
        <v>0</v>
      </c>
      <c r="E196" s="9"/>
      <c r="F196" s="9"/>
      <c r="G196" s="201">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5"/>
      <c r="BL196" s="225"/>
    </row>
    <row r="197" spans="1:64" collapsed="1">
      <c r="A197" s="9"/>
      <c r="B197" s="9"/>
      <c r="C197" s="46"/>
      <c r="D197" s="132"/>
      <c r="E197" s="9"/>
      <c r="F197" s="9"/>
      <c r="G197" s="143"/>
      <c r="H197" s="113"/>
      <c r="I197" s="113"/>
      <c r="J197" s="113"/>
      <c r="K197" s="113"/>
      <c r="L197" s="113"/>
      <c r="M197" s="113"/>
      <c r="N197" s="102"/>
      <c r="O197" s="29"/>
      <c r="P197" s="29"/>
      <c r="Q197" s="29"/>
      <c r="R197" s="29"/>
      <c r="S197" s="102"/>
      <c r="T197" s="102"/>
      <c r="U197" s="102"/>
      <c r="V197" s="102"/>
      <c r="W197" s="102"/>
      <c r="X197" s="102"/>
      <c r="Y197" s="102"/>
      <c r="Z197" s="102"/>
      <c r="AA197" s="102"/>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5"/>
      <c r="BL197" s="225"/>
    </row>
    <row r="198" spans="1:64">
      <c r="A198" s="75"/>
      <c r="B198" s="75"/>
      <c r="C198" s="82" t="s">
        <v>49</v>
      </c>
      <c r="D198" s="160"/>
      <c r="E198" s="82"/>
      <c r="F198" s="82"/>
      <c r="G198" s="317">
        <f>SUM(G199:G228)</f>
        <v>523.28094164003767</v>
      </c>
      <c r="H198" s="318">
        <f>SUM(H199:H228)</f>
        <v>559.64809540994338</v>
      </c>
      <c r="I198" s="318">
        <f t="shared" ref="I198:Q198" si="8">SUM(I199:I228)</f>
        <v>603.76047452900184</v>
      </c>
      <c r="J198" s="318">
        <f t="shared" si="8"/>
        <v>641.13377927933436</v>
      </c>
      <c r="K198" s="318">
        <f t="shared" si="8"/>
        <v>662.35743437547535</v>
      </c>
      <c r="L198" s="318">
        <f t="shared" si="8"/>
        <v>706.66644580334503</v>
      </c>
      <c r="M198" s="159">
        <f t="shared" si="8"/>
        <v>0</v>
      </c>
      <c r="N198" s="159">
        <f t="shared" si="8"/>
        <v>0</v>
      </c>
      <c r="O198" s="159">
        <f t="shared" si="8"/>
        <v>0</v>
      </c>
      <c r="P198" s="159">
        <f t="shared" si="8"/>
        <v>0</v>
      </c>
      <c r="Q198" s="159">
        <f t="shared" si="8"/>
        <v>0</v>
      </c>
      <c r="R198" s="159"/>
      <c r="S198" s="102"/>
      <c r="T198" s="102"/>
      <c r="U198" s="102"/>
      <c r="V198" s="102"/>
      <c r="W198" s="102"/>
      <c r="X198" s="102"/>
      <c r="Y198" s="102"/>
      <c r="Z198" s="102"/>
      <c r="AA198" s="102"/>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5"/>
      <c r="BL198" s="225"/>
    </row>
    <row r="199" spans="1:64" hidden="1" outlineLevel="1">
      <c r="A199" s="9"/>
      <c r="B199" s="12"/>
      <c r="C199" s="46"/>
      <c r="D199" s="132" t="str">
        <f>Asset1</f>
        <v>Opening Distribution Assets</v>
      </c>
      <c r="E199" s="12"/>
      <c r="F199" s="12"/>
      <c r="G199" s="198">
        <f t="shared" ref="G199:G218" si="9">G7+G39+G71+G103+G135+G167</f>
        <v>523.28094164003767</v>
      </c>
      <c r="H199" s="158">
        <f t="shared" ref="H199:L208" si="10">H7+H39+H71</f>
        <v>506.14438454160216</v>
      </c>
      <c r="I199" s="158">
        <f t="shared" si="10"/>
        <v>493.39921945601708</v>
      </c>
      <c r="J199" s="158">
        <f t="shared" si="10"/>
        <v>482.20371082101735</v>
      </c>
      <c r="K199" s="158">
        <f t="shared" si="10"/>
        <v>461.83916662172794</v>
      </c>
      <c r="L199" s="158">
        <f t="shared" si="10"/>
        <v>443.78015455070476</v>
      </c>
      <c r="M199" s="158">
        <f>IF(Input!M$173&gt;0, M7+M39+M71, 0)</f>
        <v>0</v>
      </c>
      <c r="N199" s="158">
        <f>IF(Input!N$173&gt;0, N7+N39+N71, 0)</f>
        <v>0</v>
      </c>
      <c r="O199" s="158">
        <f>IF(Input!O$173&gt;0, O7+O39+O71, 0)</f>
        <v>0</v>
      </c>
      <c r="P199" s="158">
        <f>IF(Input!P$173&gt;0, P7+P39+P71, 0)</f>
        <v>0</v>
      </c>
      <c r="Q199" s="158">
        <f>IF(Input!Q$173&gt;0, Q7+Q39+Q71, 0)</f>
        <v>0</v>
      </c>
      <c r="R199" s="102"/>
      <c r="S199" s="102"/>
      <c r="T199" s="102"/>
      <c r="U199" s="102"/>
      <c r="V199" s="102"/>
      <c r="W199" s="102"/>
      <c r="X199" s="102"/>
      <c r="Y199" s="102"/>
      <c r="Z199" s="102"/>
      <c r="AA199" s="102"/>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5"/>
      <c r="BL199" s="225"/>
    </row>
    <row r="200" spans="1:64" hidden="1" outlineLevel="1">
      <c r="A200" s="9"/>
      <c r="B200" s="12"/>
      <c r="C200" s="46"/>
      <c r="D200" s="132" t="str">
        <f>Asset2</f>
        <v>Sub-transmission Overhead</v>
      </c>
      <c r="E200" s="12"/>
      <c r="F200" s="12"/>
      <c r="G200" s="198">
        <f t="shared" si="9"/>
        <v>0</v>
      </c>
      <c r="H200" s="158">
        <f t="shared" si="10"/>
        <v>0</v>
      </c>
      <c r="I200" s="158">
        <f t="shared" si="10"/>
        <v>0</v>
      </c>
      <c r="J200" s="158">
        <f t="shared" si="10"/>
        <v>0</v>
      </c>
      <c r="K200" s="158">
        <f t="shared" si="10"/>
        <v>0</v>
      </c>
      <c r="L200" s="158">
        <f t="shared" si="10"/>
        <v>0</v>
      </c>
      <c r="M200" s="158">
        <f>IF(Input!M$173&gt;0, M8+M40+M72, 0)</f>
        <v>0</v>
      </c>
      <c r="N200" s="158">
        <f>IF(Input!N$173&gt;0, N8+N40+N72, 0)</f>
        <v>0</v>
      </c>
      <c r="O200" s="158">
        <f>IF(Input!O$173&gt;0, O8+O40+O72, 0)</f>
        <v>0</v>
      </c>
      <c r="P200" s="158">
        <f>IF(Input!P$173&gt;0, P8+P40+P72, 0)</f>
        <v>0</v>
      </c>
      <c r="Q200" s="158">
        <f>IF(Input!Q$173&gt;0, Q8+Q40+Q72, 0)</f>
        <v>0</v>
      </c>
      <c r="R200" s="102"/>
      <c r="S200" s="102"/>
      <c r="T200" s="102"/>
      <c r="U200" s="102"/>
      <c r="V200" s="102"/>
      <c r="W200" s="102"/>
      <c r="X200" s="102"/>
      <c r="Y200" s="102"/>
      <c r="Z200" s="102"/>
      <c r="AA200" s="102"/>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5"/>
      <c r="BL200" s="225"/>
    </row>
    <row r="201" spans="1:64" hidden="1" outlineLevel="1">
      <c r="A201" s="9"/>
      <c r="B201" s="12"/>
      <c r="C201" s="46"/>
      <c r="D201" s="132" t="str">
        <f>Asset3</f>
        <v>Sub-transmission Underground</v>
      </c>
      <c r="E201" s="12"/>
      <c r="F201" s="12"/>
      <c r="G201" s="198">
        <f t="shared" si="9"/>
        <v>0</v>
      </c>
      <c r="H201" s="158">
        <f t="shared" si="10"/>
        <v>0</v>
      </c>
      <c r="I201" s="158">
        <f t="shared" si="10"/>
        <v>0</v>
      </c>
      <c r="J201" s="158">
        <f t="shared" si="10"/>
        <v>0</v>
      </c>
      <c r="K201" s="158">
        <f t="shared" si="10"/>
        <v>0</v>
      </c>
      <c r="L201" s="158">
        <f t="shared" si="10"/>
        <v>0</v>
      </c>
      <c r="M201" s="158">
        <f>IF(Input!M$173&gt;0, M9+M41+M73, 0)</f>
        <v>0</v>
      </c>
      <c r="N201" s="158">
        <f>IF(Input!N$173&gt;0, N9+N41+N73, 0)</f>
        <v>0</v>
      </c>
      <c r="O201" s="158">
        <f>IF(Input!O$173&gt;0, O9+O41+O73, 0)</f>
        <v>0</v>
      </c>
      <c r="P201" s="158">
        <f>IF(Input!P$173&gt;0, P9+P41+P73, 0)</f>
        <v>0</v>
      </c>
      <c r="Q201" s="158">
        <f>IF(Input!Q$173&gt;0, Q9+Q41+Q73, 0)</f>
        <v>0</v>
      </c>
      <c r="R201" s="102"/>
      <c r="S201" s="102"/>
      <c r="T201" s="102"/>
      <c r="U201" s="102"/>
      <c r="V201" s="102"/>
      <c r="W201" s="102"/>
      <c r="X201" s="102"/>
      <c r="Y201" s="102"/>
      <c r="Z201" s="102"/>
      <c r="AA201" s="102"/>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5"/>
      <c r="BL201" s="225"/>
    </row>
    <row r="202" spans="1:64" hidden="1" outlineLevel="1">
      <c r="A202" s="9"/>
      <c r="B202" s="12"/>
      <c r="C202" s="46"/>
      <c r="D202" s="132" t="str">
        <f>Asset4</f>
        <v>Zone Substation</v>
      </c>
      <c r="E202" s="12"/>
      <c r="F202" s="12"/>
      <c r="G202" s="198">
        <f t="shared" si="9"/>
        <v>0</v>
      </c>
      <c r="H202" s="158">
        <f t="shared" si="10"/>
        <v>0.8244722972041908</v>
      </c>
      <c r="I202" s="158">
        <f t="shared" si="10"/>
        <v>0.83539863136000281</v>
      </c>
      <c r="J202" s="158">
        <f t="shared" si="10"/>
        <v>0.84191164098385407</v>
      </c>
      <c r="K202" s="158">
        <f t="shared" si="10"/>
        <v>1.62826491929481</v>
      </c>
      <c r="L202" s="158">
        <f t="shared" si="10"/>
        <v>1.792652176842412</v>
      </c>
      <c r="M202" s="158">
        <f>IF(Input!M$173&gt;0, M10+M42+M74, 0)</f>
        <v>0</v>
      </c>
      <c r="N202" s="158">
        <f>IF(Input!N$173&gt;0, N10+N42+N74, 0)</f>
        <v>0</v>
      </c>
      <c r="O202" s="158">
        <f>IF(Input!O$173&gt;0, O10+O42+O74, 0)</f>
        <v>0</v>
      </c>
      <c r="P202" s="158">
        <f>IF(Input!P$173&gt;0, P10+P42+P74, 0)</f>
        <v>0</v>
      </c>
      <c r="Q202" s="158">
        <f>IF(Input!Q$173&gt;0, Q10+Q42+Q74, 0)</f>
        <v>0</v>
      </c>
      <c r="R202" s="102"/>
      <c r="S202" s="102"/>
      <c r="T202" s="102"/>
      <c r="U202" s="102"/>
      <c r="V202" s="102"/>
      <c r="W202" s="102"/>
      <c r="X202" s="102"/>
      <c r="Y202" s="102"/>
      <c r="Z202" s="102"/>
      <c r="AA202" s="102"/>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5"/>
      <c r="BL202" s="225"/>
    </row>
    <row r="203" spans="1:64" hidden="1" outlineLevel="1">
      <c r="A203" s="9"/>
      <c r="B203" s="12"/>
      <c r="C203" s="46"/>
      <c r="D203" s="132" t="str">
        <f>Asset5</f>
        <v>Distribution Substations</v>
      </c>
      <c r="E203" s="12"/>
      <c r="F203" s="12"/>
      <c r="G203" s="198">
        <f t="shared" si="9"/>
        <v>0</v>
      </c>
      <c r="H203" s="158">
        <f t="shared" si="10"/>
        <v>10.355029952377336</v>
      </c>
      <c r="I203" s="158">
        <f t="shared" si="10"/>
        <v>22.632616693757978</v>
      </c>
      <c r="J203" s="158">
        <f t="shared" si="10"/>
        <v>33.651544707156702</v>
      </c>
      <c r="K203" s="158">
        <f t="shared" si="10"/>
        <v>41.012543650812887</v>
      </c>
      <c r="L203" s="158">
        <f t="shared" si="10"/>
        <v>51.133429237490319</v>
      </c>
      <c r="M203" s="158">
        <f>IF(Input!M$173&gt;0, M11+M43+M75, 0)</f>
        <v>0</v>
      </c>
      <c r="N203" s="158">
        <f>IF(Input!N$173&gt;0, N11+N43+N75, 0)</f>
        <v>0</v>
      </c>
      <c r="O203" s="158">
        <f>IF(Input!O$173&gt;0, O11+O43+O75, 0)</f>
        <v>0</v>
      </c>
      <c r="P203" s="158">
        <f>IF(Input!P$173&gt;0, P11+P43+P75, 0)</f>
        <v>0</v>
      </c>
      <c r="Q203" s="158">
        <f>IF(Input!Q$173&gt;0, Q11+Q43+Q75, 0)</f>
        <v>0</v>
      </c>
      <c r="R203" s="102"/>
      <c r="S203" s="102"/>
      <c r="T203" s="102"/>
      <c r="U203" s="102"/>
      <c r="V203" s="102"/>
      <c r="W203" s="102"/>
      <c r="X203" s="102"/>
      <c r="Y203" s="102"/>
      <c r="Z203" s="102"/>
      <c r="AA203" s="102"/>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5"/>
      <c r="BL203" s="225"/>
    </row>
    <row r="204" spans="1:64" hidden="1" outlineLevel="1">
      <c r="A204" s="9"/>
      <c r="B204" s="12"/>
      <c r="C204" s="46"/>
      <c r="D204" s="132" t="str">
        <f>Asset6</f>
        <v>Distribution Overhead Lines</v>
      </c>
      <c r="E204" s="12"/>
      <c r="F204" s="12"/>
      <c r="G204" s="198">
        <f t="shared" si="9"/>
        <v>0</v>
      </c>
      <c r="H204" s="158">
        <f t="shared" si="10"/>
        <v>11.253915343245509</v>
      </c>
      <c r="I204" s="158">
        <f t="shared" si="10"/>
        <v>24.348133962907013</v>
      </c>
      <c r="J204" s="158">
        <f t="shared" si="10"/>
        <v>39.011871461609665</v>
      </c>
      <c r="K204" s="158">
        <f t="shared" si="10"/>
        <v>50.239090702973769</v>
      </c>
      <c r="L204" s="158">
        <f t="shared" si="10"/>
        <v>60.513674690497524</v>
      </c>
      <c r="M204" s="158">
        <f>IF(Input!M$173&gt;0, M12+M44+M76, 0)</f>
        <v>0</v>
      </c>
      <c r="N204" s="158">
        <f>IF(Input!N$173&gt;0, N12+N44+N76, 0)</f>
        <v>0</v>
      </c>
      <c r="O204" s="158">
        <f>IF(Input!O$173&gt;0, O12+O44+O76, 0)</f>
        <v>0</v>
      </c>
      <c r="P204" s="158">
        <f>IF(Input!P$173&gt;0, P12+P44+P76, 0)</f>
        <v>0</v>
      </c>
      <c r="Q204" s="158">
        <f>IF(Input!Q$173&gt;0, Q12+Q44+Q76, 0)</f>
        <v>0</v>
      </c>
      <c r="R204" s="102"/>
      <c r="S204" s="102"/>
      <c r="T204" s="102"/>
      <c r="U204" s="102"/>
      <c r="V204" s="102"/>
      <c r="W204" s="102"/>
      <c r="X204" s="102"/>
      <c r="Y204" s="102"/>
      <c r="Z204" s="102"/>
      <c r="AA204" s="102"/>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5"/>
      <c r="BL204" s="225"/>
    </row>
    <row r="205" spans="1:64" hidden="1" outlineLevel="1">
      <c r="A205" s="9"/>
      <c r="B205" s="12"/>
      <c r="C205" s="46"/>
      <c r="D205" s="132" t="str">
        <f>Asset7</f>
        <v>Distribution Underground Lines</v>
      </c>
      <c r="E205" s="12"/>
      <c r="F205" s="12"/>
      <c r="G205" s="198">
        <f t="shared" si="9"/>
        <v>0</v>
      </c>
      <c r="H205" s="158">
        <f t="shared" si="10"/>
        <v>15.379008817383424</v>
      </c>
      <c r="I205" s="158">
        <f t="shared" si="10"/>
        <v>32.542281179145242</v>
      </c>
      <c r="J205" s="158">
        <f t="shared" si="10"/>
        <v>50.712773340171537</v>
      </c>
      <c r="K205" s="158">
        <f t="shared" si="10"/>
        <v>59.817040086368529</v>
      </c>
      <c r="L205" s="158">
        <f t="shared" si="10"/>
        <v>73.821357251346484</v>
      </c>
      <c r="M205" s="158">
        <f>IF(Input!M$173&gt;0, M13+M45+M77, 0)</f>
        <v>0</v>
      </c>
      <c r="N205" s="158">
        <f>IF(Input!N$173&gt;0, N13+N45+N77, 0)</f>
        <v>0</v>
      </c>
      <c r="O205" s="158">
        <f>IF(Input!O$173&gt;0, O13+O45+O77, 0)</f>
        <v>0</v>
      </c>
      <c r="P205" s="158">
        <f>IF(Input!P$173&gt;0, P13+P45+P77, 0)</f>
        <v>0</v>
      </c>
      <c r="Q205" s="158">
        <f>IF(Input!Q$173&gt;0, Q13+Q45+Q77, 0)</f>
        <v>0</v>
      </c>
      <c r="R205" s="102"/>
      <c r="S205" s="102"/>
      <c r="T205" s="102"/>
      <c r="U205" s="102"/>
      <c r="V205" s="102"/>
      <c r="W205" s="102"/>
      <c r="X205" s="102"/>
      <c r="Y205" s="102"/>
      <c r="Z205" s="102"/>
      <c r="AA205" s="102"/>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5"/>
      <c r="BL205" s="225"/>
    </row>
    <row r="206" spans="1:64" hidden="1" outlineLevel="1">
      <c r="A206" s="9"/>
      <c r="B206" s="12"/>
      <c r="C206" s="46"/>
      <c r="D206" s="132" t="str">
        <f>Asset8</f>
        <v>IT &amp; Communication Systems (Networks)</v>
      </c>
      <c r="E206" s="12"/>
      <c r="F206" s="12"/>
      <c r="G206" s="198">
        <f t="shared" si="9"/>
        <v>0</v>
      </c>
      <c r="H206" s="158">
        <f t="shared" si="10"/>
        <v>1.2527379250019115</v>
      </c>
      <c r="I206" s="158">
        <f t="shared" si="10"/>
        <v>2.0459147899750434</v>
      </c>
      <c r="J206" s="158">
        <f t="shared" si="10"/>
        <v>4.3868554333686296</v>
      </c>
      <c r="K206" s="158">
        <f t="shared" si="10"/>
        <v>10.547421700613528</v>
      </c>
      <c r="L206" s="158">
        <f t="shared" si="10"/>
        <v>29.914464586997013</v>
      </c>
      <c r="M206" s="158">
        <f>IF(Input!M$173&gt;0, M14+M46+M78, 0)</f>
        <v>0</v>
      </c>
      <c r="N206" s="158">
        <f>IF(Input!N$173&gt;0, N14+N46+N78, 0)</f>
        <v>0</v>
      </c>
      <c r="O206" s="158">
        <f>IF(Input!O$173&gt;0, O14+O46+O78, 0)</f>
        <v>0</v>
      </c>
      <c r="P206" s="158">
        <f>IF(Input!P$173&gt;0, P14+P46+P78, 0)</f>
        <v>0</v>
      </c>
      <c r="Q206" s="158">
        <f>IF(Input!Q$173&gt;0, Q14+Q46+Q78, 0)</f>
        <v>0</v>
      </c>
      <c r="R206" s="102"/>
      <c r="S206" s="102"/>
      <c r="T206" s="102"/>
      <c r="U206" s="102"/>
      <c r="V206" s="102"/>
      <c r="W206" s="102"/>
      <c r="X206" s="102"/>
      <c r="Y206" s="102"/>
      <c r="Z206" s="102"/>
      <c r="AA206" s="102"/>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5"/>
      <c r="BL206" s="225"/>
    </row>
    <row r="207" spans="1:64" hidden="1" outlineLevel="1">
      <c r="A207" s="9"/>
      <c r="B207" s="12"/>
      <c r="C207" s="46"/>
      <c r="D207" s="132" t="str">
        <f>Asset9</f>
        <v>Motor Vehicles</v>
      </c>
      <c r="E207" s="12"/>
      <c r="F207" s="12"/>
      <c r="G207" s="198">
        <f t="shared" si="9"/>
        <v>0</v>
      </c>
      <c r="H207" s="158">
        <f t="shared" si="10"/>
        <v>0</v>
      </c>
      <c r="I207" s="158">
        <f t="shared" si="10"/>
        <v>0</v>
      </c>
      <c r="J207" s="158">
        <f t="shared" si="10"/>
        <v>0.5911887373831749</v>
      </c>
      <c r="K207" s="158">
        <f t="shared" si="10"/>
        <v>4.6730066239842509</v>
      </c>
      <c r="L207" s="158">
        <f t="shared" si="10"/>
        <v>5.7963520215538669</v>
      </c>
      <c r="M207" s="158">
        <f>IF(Input!M$173&gt;0, M15+M47+M79, 0)</f>
        <v>0</v>
      </c>
      <c r="N207" s="158">
        <f>IF(Input!N$173&gt;0, N15+N47+N79, 0)</f>
        <v>0</v>
      </c>
      <c r="O207" s="158">
        <f>IF(Input!O$173&gt;0, O15+O47+O79, 0)</f>
        <v>0</v>
      </c>
      <c r="P207" s="158">
        <f>IF(Input!P$173&gt;0, P15+P47+P79, 0)</f>
        <v>0</v>
      </c>
      <c r="Q207" s="158">
        <f>IF(Input!Q$173&gt;0, Q15+Q47+Q79, 0)</f>
        <v>0</v>
      </c>
      <c r="R207" s="102"/>
      <c r="S207" s="102"/>
      <c r="T207" s="102"/>
      <c r="U207" s="102"/>
      <c r="V207" s="102"/>
      <c r="W207" s="102"/>
      <c r="X207" s="102"/>
      <c r="Y207" s="102"/>
      <c r="Z207" s="102"/>
      <c r="AA207" s="102"/>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5"/>
      <c r="BL207" s="225"/>
    </row>
    <row r="208" spans="1:64" hidden="1" outlineLevel="1">
      <c r="A208" s="9"/>
      <c r="B208" s="12"/>
      <c r="C208" s="46"/>
      <c r="D208" s="132" t="str">
        <f>Asset10</f>
        <v>Other Non-System Assets (Networks)</v>
      </c>
      <c r="E208" s="12"/>
      <c r="F208" s="12"/>
      <c r="G208" s="198">
        <f t="shared" si="9"/>
        <v>0</v>
      </c>
      <c r="H208" s="158">
        <f t="shared" si="10"/>
        <v>0.97838896074733217</v>
      </c>
      <c r="I208" s="158">
        <f t="shared" si="10"/>
        <v>1.3057703137498731</v>
      </c>
      <c r="J208" s="158">
        <f t="shared" si="10"/>
        <v>1.4416333065698486</v>
      </c>
      <c r="K208" s="158">
        <f t="shared" si="10"/>
        <v>1.6687162684935393</v>
      </c>
      <c r="L208" s="158">
        <f t="shared" si="10"/>
        <v>1.8221411599471318</v>
      </c>
      <c r="M208" s="158">
        <f>IF(Input!M$173&gt;0, M16+M48+M80, 0)</f>
        <v>0</v>
      </c>
      <c r="N208" s="158">
        <f>IF(Input!N$173&gt;0, N16+N48+N80, 0)</f>
        <v>0</v>
      </c>
      <c r="O208" s="158">
        <f>IF(Input!O$173&gt;0, O16+O48+O80, 0)</f>
        <v>0</v>
      </c>
      <c r="P208" s="158">
        <f>IF(Input!P$173&gt;0, P16+P48+P80, 0)</f>
        <v>0</v>
      </c>
      <c r="Q208" s="158">
        <f>IF(Input!Q$173&gt;0, Q16+Q48+Q80, 0)</f>
        <v>0</v>
      </c>
      <c r="R208" s="102"/>
      <c r="S208" s="102"/>
      <c r="T208" s="102"/>
      <c r="U208" s="102"/>
      <c r="V208" s="102"/>
      <c r="W208" s="102"/>
      <c r="X208" s="102"/>
      <c r="Y208" s="102"/>
      <c r="Z208" s="102"/>
      <c r="AA208" s="102"/>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5"/>
      <c r="BL208" s="225"/>
    </row>
    <row r="209" spans="1:64" hidden="1" outlineLevel="1">
      <c r="A209" s="9"/>
      <c r="B209" s="12"/>
      <c r="C209" s="46"/>
      <c r="D209" s="132" t="str">
        <f>Asset11</f>
        <v>IT Systems (Corporate)</v>
      </c>
      <c r="E209" s="12"/>
      <c r="F209" s="12"/>
      <c r="G209" s="198">
        <f t="shared" si="9"/>
        <v>0</v>
      </c>
      <c r="H209" s="158">
        <f t="shared" ref="H209:L218" si="11">H17+H49+H81</f>
        <v>0.92593433539887537</v>
      </c>
      <c r="I209" s="158">
        <f t="shared" si="11"/>
        <v>1.0460314947236276</v>
      </c>
      <c r="J209" s="158">
        <f t="shared" si="11"/>
        <v>2.2877073749335226</v>
      </c>
      <c r="K209" s="158">
        <f t="shared" si="11"/>
        <v>4.6653524376780293</v>
      </c>
      <c r="L209" s="158">
        <f t="shared" si="11"/>
        <v>10.523775005010593</v>
      </c>
      <c r="M209" s="158">
        <f>IF(Input!M$173&gt;0, M17+M49+M81, 0)</f>
        <v>0</v>
      </c>
      <c r="N209" s="158">
        <f>IF(Input!N$173&gt;0, N17+N49+N81, 0)</f>
        <v>0</v>
      </c>
      <c r="O209" s="158">
        <f>IF(Input!O$173&gt;0, O17+O49+O81, 0)</f>
        <v>0</v>
      </c>
      <c r="P209" s="158">
        <f>IF(Input!P$173&gt;0, P17+P49+P81, 0)</f>
        <v>0</v>
      </c>
      <c r="Q209" s="158">
        <f>IF(Input!Q$173&gt;0, Q17+Q49+Q81, 0)</f>
        <v>0</v>
      </c>
      <c r="R209" s="102"/>
      <c r="S209" s="102"/>
      <c r="T209" s="102"/>
      <c r="U209" s="102"/>
      <c r="V209" s="102"/>
      <c r="W209" s="102"/>
      <c r="X209" s="102"/>
      <c r="Y209" s="102"/>
      <c r="Z209" s="102"/>
      <c r="AA209" s="102"/>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5"/>
      <c r="BL209" s="225"/>
    </row>
    <row r="210" spans="1:64" hidden="1" outlineLevel="1">
      <c r="A210" s="9"/>
      <c r="B210" s="12"/>
      <c r="C210" s="46"/>
      <c r="D210" s="132" t="str">
        <f>Asset12</f>
        <v>Telecommunications (Corporate)</v>
      </c>
      <c r="E210" s="12"/>
      <c r="F210" s="12"/>
      <c r="G210" s="198">
        <f t="shared" si="9"/>
        <v>0</v>
      </c>
      <c r="H210" s="158">
        <f t="shared" si="11"/>
        <v>0.25541504467914988</v>
      </c>
      <c r="I210" s="158">
        <f t="shared" si="11"/>
        <v>0.29657409339296098</v>
      </c>
      <c r="J210" s="158">
        <f t="shared" si="11"/>
        <v>0.2764888164006678</v>
      </c>
      <c r="K210" s="158">
        <f t="shared" si="11"/>
        <v>0.25287754051867206</v>
      </c>
      <c r="L210" s="158">
        <f t="shared" si="11"/>
        <v>0.16466540566123614</v>
      </c>
      <c r="M210" s="158">
        <f>IF(Input!M$173&gt;0, M18+M50+M82, 0)</f>
        <v>0</v>
      </c>
      <c r="N210" s="158">
        <f>IF(Input!N$173&gt;0, N18+N50+N82, 0)</f>
        <v>0</v>
      </c>
      <c r="O210" s="158">
        <f>IF(Input!O$173&gt;0, O18+O50+O82, 0)</f>
        <v>0</v>
      </c>
      <c r="P210" s="158">
        <f>IF(Input!P$173&gt;0, P18+P50+P82, 0)</f>
        <v>0</v>
      </c>
      <c r="Q210" s="158">
        <f>IF(Input!Q$173&gt;0, Q18+Q50+Q82, 0)</f>
        <v>0</v>
      </c>
      <c r="R210" s="102"/>
      <c r="S210" s="102"/>
      <c r="T210" s="102"/>
      <c r="U210" s="102"/>
      <c r="V210" s="102"/>
      <c r="W210" s="102"/>
      <c r="X210" s="102"/>
      <c r="Y210" s="102"/>
      <c r="Z210" s="102"/>
      <c r="AA210" s="102"/>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5"/>
      <c r="BL210" s="225"/>
    </row>
    <row r="211" spans="1:64" hidden="1" outlineLevel="1">
      <c r="A211" s="9"/>
      <c r="B211" s="12"/>
      <c r="C211" s="46"/>
      <c r="D211" s="132" t="str">
        <f>Asset13</f>
        <v>Other Non-System Assets (Corporate)</v>
      </c>
      <c r="E211" s="12"/>
      <c r="F211" s="12"/>
      <c r="G211" s="198">
        <f t="shared" si="9"/>
        <v>0</v>
      </c>
      <c r="H211" s="158">
        <f t="shared" si="11"/>
        <v>3.3820682986797004</v>
      </c>
      <c r="I211" s="158">
        <f t="shared" si="11"/>
        <v>6.8576445331402702</v>
      </c>
      <c r="J211" s="158">
        <f t="shared" si="11"/>
        <v>6.1626871532049163</v>
      </c>
      <c r="K211" s="158">
        <f t="shared" si="11"/>
        <v>5.2315361759139059</v>
      </c>
      <c r="L211" s="158">
        <f t="shared" si="11"/>
        <v>4.6651308326089014</v>
      </c>
      <c r="M211" s="158">
        <f>IF(Input!M$173&gt;0, M19+M51+M83, 0)</f>
        <v>0</v>
      </c>
      <c r="N211" s="158">
        <f>IF(Input!N$173&gt;0, N19+N51+N83, 0)</f>
        <v>0</v>
      </c>
      <c r="O211" s="158">
        <f>IF(Input!O$173&gt;0, O19+O51+O83, 0)</f>
        <v>0</v>
      </c>
      <c r="P211" s="158">
        <f>IF(Input!P$173&gt;0, P19+P51+P83, 0)</f>
        <v>0</v>
      </c>
      <c r="Q211" s="158">
        <f>IF(Input!Q$173&gt;0, Q19+Q51+Q83, 0)</f>
        <v>0</v>
      </c>
      <c r="R211" s="102"/>
      <c r="S211" s="102"/>
      <c r="T211" s="102"/>
      <c r="U211" s="102"/>
      <c r="V211" s="102"/>
      <c r="W211" s="102"/>
      <c r="X211" s="102"/>
      <c r="Y211" s="102"/>
      <c r="Z211" s="102"/>
      <c r="AA211" s="102"/>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5"/>
      <c r="BL211" s="225"/>
    </row>
    <row r="212" spans="1:64" hidden="1" outlineLevel="1">
      <c r="A212" s="9"/>
      <c r="B212" s="12"/>
      <c r="C212" s="46"/>
      <c r="D212" s="132" t="str">
        <f>Asset14</f>
        <v>Land</v>
      </c>
      <c r="E212" s="12"/>
      <c r="F212" s="12"/>
      <c r="G212" s="198">
        <f t="shared" si="9"/>
        <v>0</v>
      </c>
      <c r="H212" s="158">
        <f t="shared" si="11"/>
        <v>2.4270565356726159</v>
      </c>
      <c r="I212" s="158">
        <f t="shared" si="11"/>
        <v>2.4961117715304253</v>
      </c>
      <c r="J212" s="158">
        <f t="shared" si="11"/>
        <v>2.5807134740996771</v>
      </c>
      <c r="K212" s="158">
        <f t="shared" si="11"/>
        <v>2.62620577910773</v>
      </c>
      <c r="L212" s="158">
        <f t="shared" si="11"/>
        <v>2.6905448961905476</v>
      </c>
      <c r="M212" s="158">
        <f>IF(Input!M$173&gt;0, M20+M52+M84, 0)</f>
        <v>0</v>
      </c>
      <c r="N212" s="158">
        <f>IF(Input!N$173&gt;0, N20+N52+N84, 0)</f>
        <v>0</v>
      </c>
      <c r="O212" s="158">
        <f>IF(Input!O$173&gt;0, O20+O52+O84, 0)</f>
        <v>0</v>
      </c>
      <c r="P212" s="158">
        <f>IF(Input!P$173&gt;0, P20+P52+P84, 0)</f>
        <v>0</v>
      </c>
      <c r="Q212" s="158">
        <f>IF(Input!Q$173&gt;0, Q20+Q52+Q84, 0)</f>
        <v>0</v>
      </c>
      <c r="R212" s="102"/>
      <c r="S212" s="102"/>
      <c r="T212" s="102"/>
      <c r="U212" s="102"/>
      <c r="V212" s="102"/>
      <c r="W212" s="102"/>
      <c r="X212" s="102"/>
      <c r="Y212" s="102"/>
      <c r="Z212" s="102"/>
      <c r="AA212" s="102"/>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5"/>
      <c r="BL212" s="225"/>
    </row>
    <row r="213" spans="1:64" hidden="1" outlineLevel="1">
      <c r="A213" s="9"/>
      <c r="B213" s="12"/>
      <c r="C213" s="46"/>
      <c r="D213" s="132" t="str">
        <f>Asset15</f>
        <v>Buildings</v>
      </c>
      <c r="E213" s="12"/>
      <c r="F213" s="12"/>
      <c r="G213" s="198">
        <f t="shared" si="9"/>
        <v>0</v>
      </c>
      <c r="H213" s="158">
        <f t="shared" si="11"/>
        <v>6.2291400526928884</v>
      </c>
      <c r="I213" s="158">
        <f t="shared" si="11"/>
        <v>15.712888064744963</v>
      </c>
      <c r="J213" s="158">
        <f t="shared" si="11"/>
        <v>16.74025919425895</v>
      </c>
      <c r="K213" s="158">
        <f t="shared" si="11"/>
        <v>17.913315042766666</v>
      </c>
      <c r="L213" s="158">
        <f t="shared" si="11"/>
        <v>19.805205334359449</v>
      </c>
      <c r="M213" s="158">
        <f>IF(Input!M$173&gt;0, M21+M53+M85, 0)</f>
        <v>0</v>
      </c>
      <c r="N213" s="158">
        <f>IF(Input!N$173&gt;0, N21+N53+N85, 0)</f>
        <v>0</v>
      </c>
      <c r="O213" s="158">
        <f>IF(Input!O$173&gt;0, O21+O53+O85, 0)</f>
        <v>0</v>
      </c>
      <c r="P213" s="158">
        <f>IF(Input!P$173&gt;0, P21+P53+P85, 0)</f>
        <v>0</v>
      </c>
      <c r="Q213" s="158">
        <f>IF(Input!Q$173&gt;0, Q21+Q53+Q85, 0)</f>
        <v>0</v>
      </c>
      <c r="R213" s="102"/>
      <c r="S213" s="102"/>
      <c r="T213" s="102"/>
      <c r="U213" s="102"/>
      <c r="V213" s="102"/>
      <c r="W213" s="102"/>
      <c r="X213" s="102"/>
      <c r="Y213" s="102"/>
      <c r="Z213" s="102"/>
      <c r="AA213" s="102"/>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5"/>
      <c r="BL213" s="225"/>
    </row>
    <row r="214" spans="1:64" hidden="1" outlineLevel="1">
      <c r="A214" s="9"/>
      <c r="B214" s="12"/>
      <c r="C214" s="46"/>
      <c r="D214" s="132" t="str">
        <f>Asset16</f>
        <v>Equity raising costs</v>
      </c>
      <c r="E214" s="12"/>
      <c r="F214" s="12"/>
      <c r="G214" s="198">
        <f t="shared" si="9"/>
        <v>0</v>
      </c>
      <c r="H214" s="158">
        <f t="shared" si="11"/>
        <v>0.24054330525835993</v>
      </c>
      <c r="I214" s="158">
        <f t="shared" si="11"/>
        <v>0.24188954455733372</v>
      </c>
      <c r="J214" s="158">
        <f t="shared" si="11"/>
        <v>0.24443381817579493</v>
      </c>
      <c r="K214" s="158">
        <f t="shared" si="11"/>
        <v>0.24289682522122288</v>
      </c>
      <c r="L214" s="158">
        <f t="shared" si="11"/>
        <v>0.24289865413460715</v>
      </c>
      <c r="M214" s="158">
        <f>IF(Input!M$173&gt;0, M22+M54+M86, 0)</f>
        <v>0</v>
      </c>
      <c r="N214" s="158">
        <f>IF(Input!N$173&gt;0, N22+N54+N86, 0)</f>
        <v>0</v>
      </c>
      <c r="O214" s="158">
        <f>IF(Input!O$173&gt;0, O22+O54+O86, 0)</f>
        <v>0</v>
      </c>
      <c r="P214" s="158">
        <f>IF(Input!P$173&gt;0, P22+P54+P86, 0)</f>
        <v>0</v>
      </c>
      <c r="Q214" s="158">
        <f>IF(Input!Q$173&gt;0, Q22+Q54+Q86, 0)</f>
        <v>0</v>
      </c>
      <c r="R214" s="102"/>
      <c r="S214" s="102"/>
      <c r="T214" s="102"/>
      <c r="U214" s="102"/>
      <c r="V214" s="102"/>
      <c r="W214" s="102"/>
      <c r="X214" s="102"/>
      <c r="Y214" s="102"/>
      <c r="Z214" s="102"/>
      <c r="AA214" s="102"/>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5"/>
      <c r="BL214" s="225"/>
    </row>
    <row r="215" spans="1:64" hidden="1" outlineLevel="1">
      <c r="A215" s="9"/>
      <c r="B215" s="12"/>
      <c r="C215" s="46"/>
      <c r="D215" s="132">
        <f>Asset17</f>
        <v>0</v>
      </c>
      <c r="E215" s="12"/>
      <c r="F215" s="12"/>
      <c r="G215" s="198">
        <f t="shared" si="9"/>
        <v>0</v>
      </c>
      <c r="H215" s="158">
        <f t="shared" si="11"/>
        <v>0</v>
      </c>
      <c r="I215" s="158">
        <f t="shared" si="11"/>
        <v>0</v>
      </c>
      <c r="J215" s="158">
        <f t="shared" si="11"/>
        <v>0</v>
      </c>
      <c r="K215" s="158">
        <f t="shared" si="11"/>
        <v>0</v>
      </c>
      <c r="L215" s="158">
        <f t="shared" si="11"/>
        <v>0</v>
      </c>
      <c r="M215" s="158">
        <f>IF(Input!M$173&gt;0, M23+M55+M87, 0)</f>
        <v>0</v>
      </c>
      <c r="N215" s="158">
        <f>IF(Input!N$173&gt;0, N23+N55+N87, 0)</f>
        <v>0</v>
      </c>
      <c r="O215" s="158">
        <f>IF(Input!O$173&gt;0, O23+O55+O87, 0)</f>
        <v>0</v>
      </c>
      <c r="P215" s="158">
        <f>IF(Input!P$173&gt;0, P23+P55+P87, 0)</f>
        <v>0</v>
      </c>
      <c r="Q215" s="158">
        <f>IF(Input!Q$173&gt;0, Q23+Q55+Q87, 0)</f>
        <v>0</v>
      </c>
      <c r="R215" s="102"/>
      <c r="S215" s="102"/>
      <c r="T215" s="102"/>
      <c r="U215" s="102"/>
      <c r="V215" s="102"/>
      <c r="W215" s="102"/>
      <c r="X215" s="102"/>
      <c r="Y215" s="102"/>
      <c r="Z215" s="102"/>
      <c r="AA215" s="102"/>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5"/>
      <c r="BL215" s="225"/>
    </row>
    <row r="216" spans="1:64" hidden="1" outlineLevel="1">
      <c r="A216" s="9"/>
      <c r="B216" s="12"/>
      <c r="C216" s="46"/>
      <c r="D216" s="132">
        <f>Asset18</f>
        <v>0</v>
      </c>
      <c r="E216" s="12"/>
      <c r="F216" s="12"/>
      <c r="G216" s="198">
        <f t="shared" si="9"/>
        <v>0</v>
      </c>
      <c r="H216" s="158">
        <f t="shared" si="11"/>
        <v>0</v>
      </c>
      <c r="I216" s="158">
        <f t="shared" si="11"/>
        <v>0</v>
      </c>
      <c r="J216" s="158">
        <f t="shared" si="11"/>
        <v>0</v>
      </c>
      <c r="K216" s="158">
        <f t="shared" si="11"/>
        <v>0</v>
      </c>
      <c r="L216" s="158">
        <f t="shared" si="11"/>
        <v>0</v>
      </c>
      <c r="M216" s="158">
        <f>IF(Input!M$173&gt;0, M24+M56+M88, 0)</f>
        <v>0</v>
      </c>
      <c r="N216" s="158">
        <f>IF(Input!N$173&gt;0, N24+N56+N88, 0)</f>
        <v>0</v>
      </c>
      <c r="O216" s="158">
        <f>IF(Input!O$173&gt;0, O24+O56+O88, 0)</f>
        <v>0</v>
      </c>
      <c r="P216" s="158">
        <f>IF(Input!P$173&gt;0, P24+P56+P88, 0)</f>
        <v>0</v>
      </c>
      <c r="Q216" s="158">
        <f>IF(Input!Q$173&gt;0, Q24+Q56+Q88, 0)</f>
        <v>0</v>
      </c>
      <c r="R216" s="102"/>
      <c r="S216" s="102"/>
      <c r="T216" s="102"/>
      <c r="U216" s="102"/>
      <c r="V216" s="102"/>
      <c r="W216" s="102"/>
      <c r="X216" s="102"/>
      <c r="Y216" s="102"/>
      <c r="Z216" s="102"/>
      <c r="AA216" s="102"/>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5"/>
      <c r="BL216" s="225"/>
    </row>
    <row r="217" spans="1:64" hidden="1" outlineLevel="1">
      <c r="A217" s="9"/>
      <c r="B217" s="12"/>
      <c r="C217" s="46"/>
      <c r="D217" s="132">
        <f>Asset19</f>
        <v>0</v>
      </c>
      <c r="E217" s="12"/>
      <c r="F217" s="12"/>
      <c r="G217" s="198">
        <f t="shared" si="9"/>
        <v>0</v>
      </c>
      <c r="H217" s="158">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2"/>
      <c r="S217" s="102"/>
      <c r="T217" s="102"/>
      <c r="U217" s="102"/>
      <c r="V217" s="102"/>
      <c r="W217" s="102"/>
      <c r="X217" s="102"/>
      <c r="Y217" s="102"/>
      <c r="Z217" s="102"/>
      <c r="AA217" s="102"/>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5"/>
      <c r="BL217" s="225"/>
    </row>
    <row r="218" spans="1:64" hidden="1" outlineLevel="1">
      <c r="A218" s="9"/>
      <c r="B218" s="12"/>
      <c r="C218" s="46"/>
      <c r="D218" s="132">
        <f>Asset20</f>
        <v>0</v>
      </c>
      <c r="E218" s="12"/>
      <c r="F218" s="12"/>
      <c r="G218" s="198">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2"/>
      <c r="S218" s="102"/>
      <c r="T218" s="102"/>
      <c r="U218" s="102"/>
      <c r="V218" s="102"/>
      <c r="W218" s="102"/>
      <c r="X218" s="102"/>
      <c r="Y218" s="102"/>
      <c r="Z218" s="102"/>
      <c r="AA218" s="102"/>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5"/>
      <c r="BL218" s="225"/>
    </row>
    <row r="219" spans="1:64" hidden="1" outlineLevel="1">
      <c r="A219" s="9"/>
      <c r="B219" s="12"/>
      <c r="C219" s="46"/>
      <c r="D219" s="132">
        <f>Asset21</f>
        <v>0</v>
      </c>
      <c r="E219" s="12"/>
      <c r="F219" s="12"/>
      <c r="G219" s="198">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2"/>
      <c r="S219" s="102"/>
      <c r="T219" s="102"/>
      <c r="U219" s="102"/>
      <c r="V219" s="102"/>
      <c r="W219" s="102"/>
      <c r="X219" s="102"/>
      <c r="Y219" s="102"/>
      <c r="Z219" s="102"/>
      <c r="AA219" s="102"/>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5"/>
      <c r="BL219" s="225"/>
    </row>
    <row r="220" spans="1:64" hidden="1" outlineLevel="1">
      <c r="A220" s="9"/>
      <c r="B220" s="12"/>
      <c r="C220" s="46"/>
      <c r="D220" s="132">
        <f>Asset22</f>
        <v>0</v>
      </c>
      <c r="E220" s="12"/>
      <c r="F220" s="12"/>
      <c r="G220" s="198">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2"/>
      <c r="S220" s="102"/>
      <c r="T220" s="102"/>
      <c r="U220" s="102"/>
      <c r="V220" s="102"/>
      <c r="W220" s="102"/>
      <c r="X220" s="102"/>
      <c r="Y220" s="102"/>
      <c r="Z220" s="102"/>
      <c r="AA220" s="102"/>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5"/>
      <c r="BL220" s="225"/>
    </row>
    <row r="221" spans="1:64" hidden="1" outlineLevel="1">
      <c r="A221" s="9"/>
      <c r="B221" s="12"/>
      <c r="C221" s="46"/>
      <c r="D221" s="132">
        <f>Asset23</f>
        <v>0</v>
      </c>
      <c r="E221" s="12"/>
      <c r="F221" s="12"/>
      <c r="G221" s="198">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2"/>
      <c r="S221" s="102"/>
      <c r="T221" s="102"/>
      <c r="U221" s="102"/>
      <c r="V221" s="102"/>
      <c r="W221" s="102"/>
      <c r="X221" s="102"/>
      <c r="Y221" s="102"/>
      <c r="Z221" s="102"/>
      <c r="AA221" s="102"/>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5"/>
      <c r="BL221" s="225"/>
    </row>
    <row r="222" spans="1:64" hidden="1" outlineLevel="1">
      <c r="A222" s="9"/>
      <c r="B222" s="12"/>
      <c r="C222" s="46"/>
      <c r="D222" s="132">
        <f>Asset24</f>
        <v>0</v>
      </c>
      <c r="E222" s="12"/>
      <c r="F222" s="12"/>
      <c r="G222" s="198">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2"/>
      <c r="S222" s="102"/>
      <c r="T222" s="102"/>
      <c r="U222" s="102"/>
      <c r="V222" s="102"/>
      <c r="W222" s="102"/>
      <c r="X222" s="102"/>
      <c r="Y222" s="102"/>
      <c r="Z222" s="102"/>
      <c r="AA222" s="102"/>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5"/>
      <c r="BL222" s="225"/>
    </row>
    <row r="223" spans="1:64" hidden="1" outlineLevel="1">
      <c r="A223" s="9"/>
      <c r="B223" s="12"/>
      <c r="C223" s="46"/>
      <c r="D223" s="132">
        <f>Asset25</f>
        <v>0</v>
      </c>
      <c r="E223" s="12"/>
      <c r="F223" s="12"/>
      <c r="G223" s="198">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2"/>
      <c r="S223" s="102"/>
      <c r="T223" s="102"/>
      <c r="U223" s="102"/>
      <c r="V223" s="102"/>
      <c r="W223" s="102"/>
      <c r="X223" s="102"/>
      <c r="Y223" s="102"/>
      <c r="Z223" s="102"/>
      <c r="AA223" s="102"/>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5"/>
      <c r="BL223" s="225"/>
    </row>
    <row r="224" spans="1:64" hidden="1" outlineLevel="1">
      <c r="A224" s="9"/>
      <c r="B224" s="12"/>
      <c r="C224" s="46"/>
      <c r="D224" s="132">
        <f>Asset26</f>
        <v>0</v>
      </c>
      <c r="E224" s="12"/>
      <c r="F224" s="12"/>
      <c r="G224" s="198">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2"/>
      <c r="S224" s="102"/>
      <c r="T224" s="102"/>
      <c r="U224" s="102"/>
      <c r="V224" s="102"/>
      <c r="W224" s="102"/>
      <c r="X224" s="102"/>
      <c r="Y224" s="102"/>
      <c r="Z224" s="102"/>
      <c r="AA224" s="102"/>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5"/>
      <c r="BL224" s="225"/>
    </row>
    <row r="225" spans="1:64" hidden="1" outlineLevel="1">
      <c r="A225" s="9"/>
      <c r="B225" s="12"/>
      <c r="C225" s="46"/>
      <c r="D225" s="132">
        <f>Asset27</f>
        <v>0</v>
      </c>
      <c r="E225" s="12"/>
      <c r="F225" s="12"/>
      <c r="G225" s="198">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2"/>
      <c r="S225" s="102"/>
      <c r="T225" s="102"/>
      <c r="U225" s="102"/>
      <c r="V225" s="102"/>
      <c r="W225" s="102"/>
      <c r="X225" s="102"/>
      <c r="Y225" s="102"/>
      <c r="Z225" s="102"/>
      <c r="AA225" s="102"/>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5"/>
      <c r="BL225" s="225"/>
    </row>
    <row r="226" spans="1:64" hidden="1" outlineLevel="1">
      <c r="A226" s="9"/>
      <c r="B226" s="12"/>
      <c r="C226" s="46"/>
      <c r="D226" s="132">
        <f>Asset28</f>
        <v>0</v>
      </c>
      <c r="E226" s="12"/>
      <c r="F226" s="12"/>
      <c r="G226" s="198">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2"/>
      <c r="S226" s="102"/>
      <c r="T226" s="102"/>
      <c r="U226" s="102"/>
      <c r="V226" s="102"/>
      <c r="W226" s="102"/>
      <c r="X226" s="102"/>
      <c r="Y226" s="102"/>
      <c r="Z226" s="102"/>
      <c r="AA226" s="102"/>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5"/>
      <c r="BL226" s="225"/>
    </row>
    <row r="227" spans="1:64" hidden="1" outlineLevel="1">
      <c r="A227" s="9"/>
      <c r="B227" s="12"/>
      <c r="C227" s="46"/>
      <c r="D227" s="132">
        <f>Asset29</f>
        <v>0</v>
      </c>
      <c r="E227" s="12"/>
      <c r="F227" s="12"/>
      <c r="G227" s="198">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102"/>
      <c r="S227" s="102"/>
      <c r="T227" s="102"/>
      <c r="U227" s="102"/>
      <c r="V227" s="102"/>
      <c r="W227" s="102"/>
      <c r="X227" s="102"/>
      <c r="Y227" s="102"/>
      <c r="Z227" s="102"/>
      <c r="AA227" s="102"/>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5"/>
      <c r="BL227" s="225"/>
    </row>
    <row r="228" spans="1:64" hidden="1" outlineLevel="1">
      <c r="A228" s="9"/>
      <c r="B228" s="12"/>
      <c r="C228" s="46"/>
      <c r="D228" s="132">
        <f>Asset30</f>
        <v>0</v>
      </c>
      <c r="E228" s="12"/>
      <c r="F228" s="12"/>
      <c r="G228" s="198">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102"/>
      <c r="S228" s="102"/>
      <c r="T228" s="102"/>
      <c r="U228" s="102"/>
      <c r="V228" s="102"/>
      <c r="W228" s="102"/>
      <c r="X228" s="102"/>
      <c r="Y228" s="102"/>
      <c r="Z228" s="102"/>
      <c r="AA228" s="102"/>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5"/>
      <c r="BL228" s="225"/>
    </row>
    <row r="229" spans="1:64" collapsed="1">
      <c r="A229" s="9"/>
      <c r="B229" s="12"/>
      <c r="C229" s="91"/>
      <c r="D229" s="116"/>
      <c r="E229" s="12"/>
      <c r="F229" s="12"/>
      <c r="G229" s="157"/>
      <c r="H229" s="145"/>
      <c r="I229" s="145"/>
      <c r="J229" s="145"/>
      <c r="K229" s="145"/>
      <c r="L229" s="145"/>
      <c r="M229" s="145"/>
      <c r="N229" s="102"/>
      <c r="O229" s="102"/>
      <c r="P229" s="102"/>
      <c r="Q229" s="102"/>
      <c r="R229" s="102"/>
      <c r="S229" s="102"/>
      <c r="T229" s="102"/>
      <c r="U229" s="102"/>
      <c r="V229" s="102"/>
      <c r="W229" s="102"/>
      <c r="X229" s="102"/>
      <c r="Y229" s="102"/>
      <c r="Z229" s="102"/>
      <c r="AA229" s="102"/>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5"/>
      <c r="BL229" s="225"/>
    </row>
    <row r="230" spans="1:64" s="9" customFormat="1">
      <c r="B230" s="12"/>
      <c r="C230" s="91" t="s">
        <v>38</v>
      </c>
      <c r="D230" s="12"/>
      <c r="E230" s="12"/>
      <c r="F230" s="12"/>
      <c r="G230" s="117"/>
      <c r="H230" s="119"/>
      <c r="I230" s="119"/>
      <c r="J230" s="119"/>
      <c r="K230" s="119"/>
      <c r="L230" s="119">
        <f t="shared" ref="L230:Q230" si="15">SUM(L231:L260)</f>
        <v>-6.9715883181420004</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c r="BH230" s="219"/>
      <c r="BI230" s="219"/>
      <c r="BJ230" s="219"/>
      <c r="BK230" s="225"/>
      <c r="BL230" s="225"/>
    </row>
    <row r="231" spans="1:64" ht="12" hidden="1" customHeight="1" outlineLevel="1">
      <c r="A231" s="9"/>
      <c r="B231" s="9"/>
      <c r="C231" s="9"/>
      <c r="D231" s="132" t="str">
        <f>Asset1</f>
        <v>Opening Distribution Assets</v>
      </c>
      <c r="E231" s="9"/>
      <c r="F231" s="9"/>
      <c r="G231" s="9"/>
      <c r="H231" s="113"/>
      <c r="I231" s="113"/>
      <c r="J231" s="113"/>
      <c r="K231" s="113"/>
      <c r="L231" s="113">
        <f>IF(L$198&gt;0, IF(M$198=0, 'Adjustment for previous period'!$G76, 0), 0)</f>
        <v>-6.9715883181420004</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row>
    <row r="232" spans="1:64" ht="12" hidden="1" customHeight="1" outlineLevel="1">
      <c r="A232" s="9"/>
      <c r="B232" s="9"/>
      <c r="C232" s="9"/>
      <c r="D232" s="132" t="str">
        <f>Asset2</f>
        <v>Sub-transmission Overhead</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row>
    <row r="233" spans="1:64" ht="12" hidden="1" customHeight="1" outlineLevel="1">
      <c r="A233" s="9"/>
      <c r="B233" s="9"/>
      <c r="C233" s="9"/>
      <c r="D233" s="132" t="str">
        <f>Asset3</f>
        <v>Sub-transmission Underground</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row>
    <row r="234" spans="1:64" ht="12" hidden="1" customHeight="1" outlineLevel="1">
      <c r="A234" s="9"/>
      <c r="B234" s="9"/>
      <c r="C234" s="9"/>
      <c r="D234" s="132" t="str">
        <f>Asset4</f>
        <v>Zone Substation</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row>
    <row r="235" spans="1:64" ht="12" hidden="1" customHeight="1" outlineLevel="1">
      <c r="A235" s="9"/>
      <c r="B235" s="9"/>
      <c r="C235" s="9"/>
      <c r="D235" s="132" t="str">
        <f>Asset5</f>
        <v>Distribution Substations</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row>
    <row r="236" spans="1:64" ht="12" hidden="1" customHeight="1" outlineLevel="1">
      <c r="A236" s="9"/>
      <c r="B236" s="9"/>
      <c r="C236" s="9"/>
      <c r="D236" s="132" t="str">
        <f>Asset6</f>
        <v>Distribution Overhead Lines</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row>
    <row r="237" spans="1:64" ht="12" hidden="1" customHeight="1" outlineLevel="1">
      <c r="A237" s="9"/>
      <c r="B237" s="9"/>
      <c r="C237" s="9"/>
      <c r="D237" s="132" t="str">
        <f>Asset7</f>
        <v>Distribution Underground Lines</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row>
    <row r="238" spans="1:64" ht="12" hidden="1" customHeight="1" outlineLevel="1">
      <c r="A238" s="9"/>
      <c r="B238" s="9"/>
      <c r="C238" s="9"/>
      <c r="D238" s="132" t="str">
        <f>Asset8</f>
        <v>IT &amp; Communication Systems (Networks)</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row>
    <row r="239" spans="1:64" ht="12" hidden="1" customHeight="1" outlineLevel="1">
      <c r="A239" s="9"/>
      <c r="B239" s="9"/>
      <c r="C239" s="9"/>
      <c r="D239" s="132" t="str">
        <f>Asset9</f>
        <v>Motor Vehicles</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row>
    <row r="240" spans="1:64" ht="12" hidden="1" customHeight="1" outlineLevel="1">
      <c r="A240" s="9"/>
      <c r="B240" s="9"/>
      <c r="C240" s="9"/>
      <c r="D240" s="132" t="str">
        <f>Asset10</f>
        <v>Other Non-System Assets (Networks)</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row>
    <row r="241" spans="1:64" ht="12" hidden="1" customHeight="1" outlineLevel="1">
      <c r="A241" s="9"/>
      <c r="B241" s="9"/>
      <c r="C241" s="9"/>
      <c r="D241" s="132" t="str">
        <f>Asset11</f>
        <v>IT Systems (Corporate)</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row>
    <row r="242" spans="1:64" ht="12" hidden="1" customHeight="1" outlineLevel="1">
      <c r="A242" s="9"/>
      <c r="B242" s="9"/>
      <c r="C242" s="9"/>
      <c r="D242" s="132" t="str">
        <f>Asset12</f>
        <v>Telecommunications (Corporate)</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row>
    <row r="243" spans="1:64" ht="12" hidden="1" customHeight="1" outlineLevel="1">
      <c r="A243" s="9"/>
      <c r="B243" s="9"/>
      <c r="C243" s="9"/>
      <c r="D243" s="132" t="str">
        <f>Asset13</f>
        <v>Other Non-System Assets (Corporate)</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row>
    <row r="244" spans="1:64" ht="12" hidden="1" customHeight="1" outlineLevel="1">
      <c r="A244" s="9"/>
      <c r="B244" s="9"/>
      <c r="C244" s="9"/>
      <c r="D244" s="132" t="str">
        <f>Asset14</f>
        <v>Land</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row>
    <row r="245" spans="1:64" ht="12" hidden="1" customHeight="1" outlineLevel="1">
      <c r="A245" s="9"/>
      <c r="B245" s="9"/>
      <c r="C245" s="9"/>
      <c r="D245" s="132" t="str">
        <f>Asset15</f>
        <v>Buildings</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row>
    <row r="246" spans="1:64" ht="12" hidden="1" customHeight="1" outlineLevel="1">
      <c r="A246" s="9"/>
      <c r="B246" s="9"/>
      <c r="C246" s="9"/>
      <c r="D246" s="132" t="str">
        <f>Asset16</f>
        <v>Equity raising costs</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row>
    <row r="262" spans="1:64" ht="12" customHeight="1">
      <c r="A262" s="9"/>
      <c r="B262" s="12"/>
      <c r="C262" s="91" t="s">
        <v>59</v>
      </c>
      <c r="D262" s="12"/>
      <c r="E262" s="12"/>
      <c r="F262" s="12"/>
      <c r="G262" s="117"/>
      <c r="H262" s="123"/>
      <c r="I262" s="123"/>
      <c r="J262" s="123"/>
      <c r="K262" s="123"/>
      <c r="L262" s="123">
        <f t="shared" ref="L262:Q262" si="16">SUM(L263:L292)</f>
        <v>-3.6381606654171859</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row>
    <row r="263" spans="1:64" ht="12" hidden="1" customHeight="1" outlineLevel="1">
      <c r="A263" s="9"/>
      <c r="B263" s="9"/>
      <c r="C263" s="9"/>
      <c r="D263" s="132" t="str">
        <f>Asset1</f>
        <v>Opening Distribution Assets</v>
      </c>
      <c r="E263" s="9"/>
      <c r="F263" s="9"/>
      <c r="G263" s="9"/>
      <c r="H263" s="113"/>
      <c r="I263" s="113"/>
      <c r="J263" s="113"/>
      <c r="K263" s="113"/>
      <c r="L263" s="113">
        <f>IF(M$198=0, 'Adjustment for previous period'!L109, 0)</f>
        <v>-3.6381606654171859</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row>
    <row r="264" spans="1:64" hidden="1" outlineLevel="1">
      <c r="A264" s="9"/>
      <c r="B264" s="9"/>
      <c r="C264" s="9"/>
      <c r="D264" s="132" t="str">
        <f>Asset2</f>
        <v>Sub-transmission Overhead</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5"/>
      <c r="BL264" s="225"/>
    </row>
    <row r="265" spans="1:64" ht="12" hidden="1" customHeight="1" outlineLevel="1">
      <c r="A265" s="9"/>
      <c r="B265" s="9"/>
      <c r="C265" s="9"/>
      <c r="D265" s="132" t="str">
        <f>Asset3</f>
        <v>Sub-transmission Underground</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row>
    <row r="266" spans="1:64" ht="12" hidden="1" customHeight="1" outlineLevel="1">
      <c r="A266" s="9"/>
      <c r="B266" s="9"/>
      <c r="C266" s="9"/>
      <c r="D266" s="132" t="str">
        <f>Asset4</f>
        <v>Zone Substation</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25"/>
      <c r="BK266" s="225"/>
      <c r="BL266" s="225"/>
    </row>
    <row r="267" spans="1:64" ht="12" hidden="1" customHeight="1" outlineLevel="1">
      <c r="A267" s="9"/>
      <c r="B267" s="9"/>
      <c r="C267" s="9"/>
      <c r="D267" s="132" t="str">
        <f>Asset5</f>
        <v>Distribution Substations</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25"/>
      <c r="BK267" s="225"/>
      <c r="BL267" s="225"/>
    </row>
    <row r="268" spans="1:64" hidden="1" outlineLevel="1">
      <c r="A268" s="9"/>
      <c r="B268" s="9"/>
      <c r="C268" s="9"/>
      <c r="D268" s="132" t="str">
        <f>Asset6</f>
        <v>Distribution Overhead Lines</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25"/>
      <c r="BK268" s="225"/>
      <c r="BL268" s="225"/>
    </row>
    <row r="269" spans="1:64" hidden="1" outlineLevel="1">
      <c r="A269" s="9"/>
      <c r="B269" s="9"/>
      <c r="C269" s="9"/>
      <c r="D269" s="132" t="str">
        <f>Asset7</f>
        <v>Distribution Underground Lines</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row>
    <row r="270" spans="1:64" hidden="1" outlineLevel="1">
      <c r="A270" s="9"/>
      <c r="B270" s="9"/>
      <c r="C270" s="9"/>
      <c r="D270" s="132" t="str">
        <f>Asset8</f>
        <v>IT &amp; Communication Systems (Networks)</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row>
    <row r="271" spans="1:64" hidden="1" outlineLevel="1">
      <c r="A271" s="9"/>
      <c r="B271" s="9"/>
      <c r="C271" s="9"/>
      <c r="D271" s="132" t="str">
        <f>Asset9</f>
        <v>Motor Vehicles</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row>
    <row r="272" spans="1:64" hidden="1" outlineLevel="1">
      <c r="A272" s="9"/>
      <c r="B272" s="9"/>
      <c r="C272" s="9"/>
      <c r="D272" s="132" t="str">
        <f>Asset10</f>
        <v>Other Non-System Assets (Networks)</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row>
    <row r="273" spans="1:64" hidden="1" outlineLevel="1">
      <c r="A273" s="9"/>
      <c r="B273" s="9"/>
      <c r="C273" s="9"/>
      <c r="D273" s="132" t="str">
        <f>Asset11</f>
        <v>IT Systems (Corporate)</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row>
    <row r="274" spans="1:64" hidden="1" outlineLevel="1">
      <c r="A274" s="9"/>
      <c r="B274" s="9"/>
      <c r="C274" s="9"/>
      <c r="D274" s="132" t="str">
        <f>Asset12</f>
        <v>Telecommunications (Corporate)</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row>
    <row r="275" spans="1:64" hidden="1" outlineLevel="1">
      <c r="A275" s="9"/>
      <c r="B275" s="9"/>
      <c r="C275" s="9"/>
      <c r="D275" s="132" t="str">
        <f>Asset13</f>
        <v>Other Non-System Assets (Corporate)</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row>
    <row r="276" spans="1:64" hidden="1" outlineLevel="1">
      <c r="A276" s="9"/>
      <c r="B276" s="9"/>
      <c r="C276" s="9"/>
      <c r="D276" s="132" t="str">
        <f>Asset14</f>
        <v>Land</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row>
    <row r="277" spans="1:64" hidden="1" outlineLevel="1">
      <c r="A277" s="9"/>
      <c r="B277" s="9"/>
      <c r="C277" s="9"/>
      <c r="D277" s="132" t="str">
        <f>Asset15</f>
        <v>Buildings</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row>
    <row r="278" spans="1:64" hidden="1" outlineLevel="1">
      <c r="A278" s="9"/>
      <c r="B278" s="9"/>
      <c r="C278" s="9"/>
      <c r="D278" s="132" t="str">
        <f>Asset16</f>
        <v>Equity raising costs</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row>
    <row r="295" spans="1:64" hidden="1" outlineLevel="1">
      <c r="A295" s="9"/>
      <c r="B295" s="9"/>
      <c r="C295" s="9"/>
      <c r="D295" s="132" t="str">
        <f>Asset1</f>
        <v>Opening Distribution Assets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row>
    <row r="296" spans="1:64" hidden="1" outlineLevel="1">
      <c r="A296" s="9"/>
      <c r="B296" s="9"/>
      <c r="C296" s="9"/>
      <c r="D296" s="132" t="str">
        <f>Asset2</f>
        <v>Sub-transmission Overhead</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row>
    <row r="297" spans="1:64" hidden="1" outlineLevel="1">
      <c r="A297" s="9"/>
      <c r="B297" s="9"/>
      <c r="C297" s="9"/>
      <c r="D297" s="132" t="str">
        <f>Asset3</f>
        <v>Sub-transmission Underground</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row>
    <row r="298" spans="1:64" hidden="1" outlineLevel="1">
      <c r="A298" s="9"/>
      <c r="B298" s="9"/>
      <c r="C298" s="9"/>
      <c r="D298" s="132" t="str">
        <f>Asset4</f>
        <v>Zone Substation</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row>
    <row r="299" spans="1:64" hidden="1" outlineLevel="1">
      <c r="A299" s="9"/>
      <c r="B299" s="9"/>
      <c r="C299" s="9"/>
      <c r="D299" s="132" t="str">
        <f>Asset5</f>
        <v>Distribution Substations</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row>
    <row r="300" spans="1:64" hidden="1" outlineLevel="1">
      <c r="A300" s="9"/>
      <c r="B300" s="9"/>
      <c r="C300" s="9"/>
      <c r="D300" s="132" t="str">
        <f>Asset6</f>
        <v>Distribution Overhead Lines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row>
    <row r="301" spans="1:64" hidden="1" outlineLevel="1">
      <c r="A301" s="9"/>
      <c r="B301" s="9"/>
      <c r="C301" s="9"/>
      <c r="D301" s="132" t="str">
        <f>Asset7</f>
        <v>Distribution Underground Lines</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row>
    <row r="302" spans="1:64" hidden="1" outlineLevel="1">
      <c r="A302" s="9"/>
      <c r="B302" s="9"/>
      <c r="C302" s="9"/>
      <c r="D302" s="132" t="str">
        <f>Asset8</f>
        <v>IT &amp; Communication Systems (Networks)</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row>
    <row r="303" spans="1:64" hidden="1" outlineLevel="1">
      <c r="A303" s="9"/>
      <c r="B303" s="9"/>
      <c r="C303" s="9"/>
      <c r="D303" s="132" t="str">
        <f>Asset9</f>
        <v>Motor Vehicles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row>
    <row r="304" spans="1:64" hidden="1" outlineLevel="1">
      <c r="A304" s="9"/>
      <c r="B304" s="9"/>
      <c r="C304" s="9"/>
      <c r="D304" s="132" t="str">
        <f>Asset10</f>
        <v>Other Non-System Assets (Networks)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row>
    <row r="305" spans="1:64" hidden="1" outlineLevel="1">
      <c r="A305" s="9"/>
      <c r="B305" s="9"/>
      <c r="C305" s="9"/>
      <c r="D305" s="132" t="str">
        <f>Asset11</f>
        <v>IT Systems (Corporate)</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row>
    <row r="306" spans="1:64" hidden="1" outlineLevel="1">
      <c r="A306" s="9"/>
      <c r="B306" s="9"/>
      <c r="C306" s="9"/>
      <c r="D306" s="132" t="str">
        <f>Asset12</f>
        <v>Telecommunications (Corporate)</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row>
    <row r="307" spans="1:64" hidden="1" outlineLevel="1">
      <c r="A307" s="9"/>
      <c r="B307" s="9"/>
      <c r="C307" s="9"/>
      <c r="D307" s="132" t="str">
        <f>Asset13</f>
        <v>Other Non-System Assets (Corporate)</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row>
    <row r="308" spans="1:64" hidden="1" outlineLevel="1">
      <c r="A308" s="9"/>
      <c r="B308" s="9"/>
      <c r="C308" s="9"/>
      <c r="D308" s="132" t="str">
        <f>Asset14</f>
        <v>Land</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row>
    <row r="309" spans="1:64" hidden="1" outlineLevel="1">
      <c r="A309" s="9"/>
      <c r="B309" s="9"/>
      <c r="C309" s="9"/>
      <c r="D309" s="132" t="str">
        <f>Asset15</f>
        <v>Buildings</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row>
    <row r="310" spans="1:64" hidden="1" outlineLevel="1">
      <c r="A310" s="9"/>
      <c r="B310" s="9"/>
      <c r="C310" s="9"/>
      <c r="D310" s="132" t="str">
        <f>Asset16</f>
        <v>Equity raising costs</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58">
        <f>IF(Q$198&gt;0, IF(R$198=0, 'Adjustment for previous period'!$G256, 0), 0)</f>
        <v>0</v>
      </c>
      <c r="R314" s="9"/>
      <c r="S314" s="9"/>
      <c r="T314" s="9"/>
      <c r="U314" s="9"/>
      <c r="V314" s="9"/>
      <c r="W314" s="9"/>
      <c r="X314" s="9"/>
      <c r="Y314" s="9"/>
      <c r="Z314" s="9"/>
      <c r="AA314" s="9"/>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58">
        <f>IF(Q$198&gt;0, IF(R$198=0, 'Adjustment for previous period'!$G257, 0), 0)</f>
        <v>0</v>
      </c>
      <c r="R315" s="9"/>
      <c r="S315" s="9"/>
      <c r="T315" s="9"/>
      <c r="U315" s="9"/>
      <c r="V315" s="9"/>
      <c r="W315" s="9"/>
      <c r="X315" s="9"/>
      <c r="Y315" s="9"/>
      <c r="Z315" s="9"/>
      <c r="AA315" s="9"/>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58">
        <f>IF(Q$198&gt;0, IF(R$198=0, 'Adjustment for previous period'!$G258, 0), 0)</f>
        <v>0</v>
      </c>
      <c r="R316" s="9"/>
      <c r="S316" s="9"/>
      <c r="T316" s="9"/>
      <c r="U316" s="9"/>
      <c r="V316" s="9"/>
      <c r="W316" s="9"/>
      <c r="X316" s="9"/>
      <c r="Y316" s="9"/>
      <c r="Z316" s="9"/>
      <c r="AA316" s="9"/>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58">
        <f>IF(Q$198&gt;0, IF(R$198=0, 'Adjustment for previous period'!$G259, 0), 0)</f>
        <v>0</v>
      </c>
      <c r="R317" s="9"/>
      <c r="S317" s="9"/>
      <c r="T317" s="9"/>
      <c r="U317" s="9"/>
      <c r="V317" s="9"/>
      <c r="W317" s="9"/>
      <c r="X317" s="9"/>
      <c r="Y317" s="9"/>
      <c r="Z317" s="9"/>
      <c r="AA317" s="9"/>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58">
        <f>IF(Q$198&gt;0, IF(R$198=0, 'Adjustment for previous period'!$G260, 0), 0)</f>
        <v>0</v>
      </c>
      <c r="R318" s="9"/>
      <c r="S318" s="9"/>
      <c r="T318" s="9"/>
      <c r="U318" s="9"/>
      <c r="V318" s="9"/>
      <c r="W318" s="9"/>
      <c r="X318" s="9"/>
      <c r="Y318" s="9"/>
      <c r="Z318" s="9"/>
      <c r="AA318" s="9"/>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58">
        <f>IF(Q$198&gt;0, IF(R$198=0, 'Adjustment for previous period'!$G261, 0), 0)</f>
        <v>0</v>
      </c>
      <c r="R319" s="9"/>
      <c r="S319" s="9"/>
      <c r="T319" s="9"/>
      <c r="U319" s="9"/>
      <c r="V319" s="9"/>
      <c r="W319" s="9"/>
      <c r="X319" s="9"/>
      <c r="Y319" s="9"/>
      <c r="Z319" s="9"/>
      <c r="AA319" s="9"/>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58">
        <f>IF(Q$198&gt;0, IF(R$198=0, 'Adjustment for previous period'!$G262, 0), 0)</f>
        <v>0</v>
      </c>
      <c r="R320" s="9"/>
      <c r="S320" s="9"/>
      <c r="T320" s="9"/>
      <c r="U320" s="9"/>
      <c r="V320" s="9"/>
      <c r="W320" s="9"/>
      <c r="X320" s="9"/>
      <c r="Y320" s="9"/>
      <c r="Z320" s="9"/>
      <c r="AA320" s="9"/>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58">
        <f>IF(Q$198&gt;0, IF(R$198=0, 'Adjustment for previous period'!$G263, 0), 0)</f>
        <v>0</v>
      </c>
      <c r="R321" s="9"/>
      <c r="S321" s="9"/>
      <c r="T321" s="9"/>
      <c r="U321" s="9"/>
      <c r="V321" s="9"/>
      <c r="W321" s="9"/>
      <c r="X321" s="9"/>
      <c r="Y321" s="9"/>
      <c r="Z321" s="9"/>
      <c r="AA321" s="9"/>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58">
        <f>IF(Q$198&gt;0, IF(R$198=0, 'Adjustment for previous period'!$G264, 0), 0)</f>
        <v>0</v>
      </c>
      <c r="R322" s="9"/>
      <c r="S322" s="9"/>
      <c r="T322" s="9"/>
      <c r="U322" s="9"/>
      <c r="V322" s="9"/>
      <c r="W322" s="9"/>
      <c r="X322" s="9"/>
      <c r="Y322" s="9"/>
      <c r="Z322" s="9"/>
      <c r="AA322" s="9"/>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58">
        <f>IF(Q$198&gt;0, IF(R$198=0, 'Adjustment for previous period'!$G265, 0), 0)</f>
        <v>0</v>
      </c>
      <c r="R323" s="9"/>
      <c r="S323" s="9"/>
      <c r="T323" s="9"/>
      <c r="U323" s="9"/>
      <c r="V323" s="9"/>
      <c r="W323" s="9"/>
      <c r="X323" s="9"/>
      <c r="Y323" s="9"/>
      <c r="Z323" s="9"/>
      <c r="AA323" s="9"/>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58">
        <f>IF(Q$198&gt;0, IF(R$198=0, 'Adjustment for previous period'!$G266, 0), 0)</f>
        <v>0</v>
      </c>
      <c r="R324" s="9"/>
      <c r="S324" s="9"/>
      <c r="T324" s="9"/>
      <c r="U324" s="9"/>
      <c r="V324" s="9"/>
      <c r="W324" s="9"/>
      <c r="X324" s="9"/>
      <c r="Y324" s="9"/>
      <c r="Z324" s="9"/>
      <c r="AA324" s="9"/>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row>
    <row r="327" spans="1:64" hidden="1" outlineLevel="1">
      <c r="A327" s="9"/>
      <c r="B327" s="9"/>
      <c r="C327" s="9"/>
      <c r="D327" s="132" t="str">
        <f>Asset1</f>
        <v>Opening Distribution Assets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row>
    <row r="328" spans="1:64" hidden="1" outlineLevel="1">
      <c r="A328" s="9"/>
      <c r="B328" s="9"/>
      <c r="C328" s="9"/>
      <c r="D328" s="132" t="str">
        <f>Asset2</f>
        <v>Sub-transmission Overhead</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row>
    <row r="329" spans="1:64" hidden="1" outlineLevel="1">
      <c r="A329" s="9"/>
      <c r="B329" s="9"/>
      <c r="C329" s="9"/>
      <c r="D329" s="132" t="str">
        <f>Asset3</f>
        <v>Sub-transmission Underground</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row>
    <row r="330" spans="1:64" hidden="1" outlineLevel="1">
      <c r="A330" s="9"/>
      <c r="B330" s="9"/>
      <c r="C330" s="9"/>
      <c r="D330" s="132" t="str">
        <f>Asset4</f>
        <v>Zone Substation</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row>
    <row r="331" spans="1:64" hidden="1" outlineLevel="1">
      <c r="A331" s="9"/>
      <c r="B331" s="9"/>
      <c r="C331" s="9"/>
      <c r="D331" s="132" t="str">
        <f>Asset5</f>
        <v>Distribution Substations</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row>
    <row r="332" spans="1:64" hidden="1" outlineLevel="1">
      <c r="A332" s="9"/>
      <c r="B332" s="9"/>
      <c r="C332" s="9"/>
      <c r="D332" s="132" t="str">
        <f>Asset6</f>
        <v>Distribution Overhead Lines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row>
    <row r="333" spans="1:64" hidden="1" outlineLevel="1">
      <c r="A333" s="9"/>
      <c r="B333" s="9"/>
      <c r="C333" s="9"/>
      <c r="D333" s="132" t="str">
        <f>Asset7</f>
        <v>Distribution Underground Lines</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row>
    <row r="334" spans="1:64" hidden="1" outlineLevel="1">
      <c r="A334" s="9"/>
      <c r="B334" s="9"/>
      <c r="C334" s="9"/>
      <c r="D334" s="132" t="str">
        <f>Asset8</f>
        <v>IT &amp; Communication Systems (Networks)</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row>
    <row r="335" spans="1:64" hidden="1" outlineLevel="1">
      <c r="A335" s="9"/>
      <c r="B335" s="9"/>
      <c r="C335" s="9"/>
      <c r="D335" s="132" t="str">
        <f>Asset9</f>
        <v>Motor Vehicles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row>
    <row r="336" spans="1:64" hidden="1" outlineLevel="1">
      <c r="A336" s="9"/>
      <c r="B336" s="9"/>
      <c r="C336" s="9"/>
      <c r="D336" s="132" t="str">
        <f>Asset10</f>
        <v>Other Non-System Assets (Networks)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row>
    <row r="337" spans="1:64" hidden="1" outlineLevel="1">
      <c r="A337" s="9"/>
      <c r="B337" s="9"/>
      <c r="C337" s="9"/>
      <c r="D337" s="132" t="str">
        <f>Asset11</f>
        <v>IT Systems (Corporate)</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row>
    <row r="338" spans="1:64" hidden="1" outlineLevel="1">
      <c r="A338" s="9"/>
      <c r="B338" s="9"/>
      <c r="C338" s="9"/>
      <c r="D338" s="132" t="str">
        <f>Asset12</f>
        <v>Telecommunications (Corporate)</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row>
    <row r="339" spans="1:64" hidden="1" outlineLevel="1">
      <c r="A339" s="9"/>
      <c r="B339" s="9"/>
      <c r="C339" s="9"/>
      <c r="D339" s="132" t="str">
        <f>Asset13</f>
        <v>Other Non-System Assets (Corporate)</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row>
    <row r="340" spans="1:64" hidden="1" outlineLevel="1">
      <c r="A340" s="9"/>
      <c r="B340" s="9"/>
      <c r="C340" s="9"/>
      <c r="D340" s="132" t="str">
        <f>Asset14</f>
        <v>Land</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row>
    <row r="341" spans="1:64" hidden="1" outlineLevel="1">
      <c r="A341" s="9"/>
      <c r="B341" s="9"/>
      <c r="C341" s="9"/>
      <c r="D341" s="132" t="str">
        <f>Asset15</f>
        <v>Buildings</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row>
    <row r="342" spans="1:64" hidden="1" outlineLevel="1">
      <c r="A342" s="9"/>
      <c r="B342" s="9"/>
      <c r="C342" s="9"/>
      <c r="D342" s="132" t="str">
        <f>Asset16</f>
        <v>Equity raising costs</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row>
    <row r="357" spans="1:64" collapsed="1">
      <c r="A357" s="9"/>
      <c r="B357" s="9"/>
      <c r="C357" s="9"/>
      <c r="D357" s="9"/>
      <c r="E357" s="9"/>
      <c r="F357" s="9"/>
      <c r="G357" s="9"/>
      <c r="H357" s="9"/>
      <c r="I357" s="9"/>
      <c r="J357" s="9"/>
      <c r="K357" s="277"/>
      <c r="L357" s="21"/>
      <c r="M357" s="9"/>
      <c r="N357" s="12"/>
      <c r="O357" s="9"/>
      <c r="P357" s="9"/>
      <c r="Q357" s="9"/>
      <c r="R357" s="9"/>
      <c r="S357" s="9"/>
      <c r="T357" s="279"/>
      <c r="U357" s="9"/>
      <c r="V357" s="9"/>
      <c r="W357" s="9"/>
      <c r="X357" s="9"/>
      <c r="Y357" s="9"/>
      <c r="Z357" s="9"/>
      <c r="AA357" s="9"/>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row>
    <row r="358" spans="1:64" ht="15">
      <c r="A358" s="75"/>
      <c r="B358" s="75"/>
      <c r="C358" s="82" t="s">
        <v>48</v>
      </c>
      <c r="D358" s="75"/>
      <c r="E358" s="75"/>
      <c r="F358" s="75"/>
      <c r="G358" s="75"/>
      <c r="H358" s="75"/>
      <c r="I358" s="75"/>
      <c r="J358" s="75"/>
      <c r="K358" s="75"/>
      <c r="L358" s="159">
        <f>SUM(L359:L388)</f>
        <v>696.05669681978588</v>
      </c>
      <c r="M358" s="159">
        <f t="shared" ref="M358:Q358" si="18">SUM(M359:M388)</f>
        <v>0</v>
      </c>
      <c r="N358" s="159">
        <f t="shared" si="18"/>
        <v>0</v>
      </c>
      <c r="O358" s="159">
        <f t="shared" si="18"/>
        <v>0</v>
      </c>
      <c r="P358" s="159">
        <f t="shared" si="18"/>
        <v>0</v>
      </c>
      <c r="Q358" s="159">
        <f t="shared" si="18"/>
        <v>0</v>
      </c>
      <c r="R358" s="159"/>
      <c r="S358" s="9"/>
      <c r="T358" s="277"/>
      <c r="U358" s="9"/>
      <c r="V358" s="337"/>
      <c r="W358" s="9"/>
      <c r="X358" s="9"/>
      <c r="Y358" s="9"/>
      <c r="Z358" s="9"/>
      <c r="AA358" s="277"/>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row>
    <row r="359" spans="1:64" hidden="1" outlineLevel="1">
      <c r="B359" s="9"/>
      <c r="C359" s="9"/>
      <c r="D359" s="132" t="str">
        <f>Asset1</f>
        <v>Opening Distribution Assets</v>
      </c>
      <c r="E359" s="9"/>
      <c r="F359" s="9"/>
      <c r="G359" s="9"/>
      <c r="H359" s="9"/>
      <c r="I359" s="9"/>
      <c r="J359" s="9"/>
      <c r="K359" s="9"/>
      <c r="L359" s="37">
        <f>IF(M$198=0, L199+L231+L263+L295+L327, 0)</f>
        <v>433.17040556714562</v>
      </c>
      <c r="M359" s="37">
        <f t="shared" ref="M359:Q359" si="19">IF(N$198=0, M199+M231+M263+M295+M327, 0)</f>
        <v>0</v>
      </c>
      <c r="N359" s="37">
        <f t="shared" si="19"/>
        <v>0</v>
      </c>
      <c r="O359" s="37">
        <f t="shared" si="19"/>
        <v>0</v>
      </c>
      <c r="P359" s="37">
        <f t="shared" si="19"/>
        <v>0</v>
      </c>
      <c r="Q359" s="37">
        <f t="shared" si="19"/>
        <v>0</v>
      </c>
      <c r="R359" s="9"/>
      <c r="S359" s="9"/>
      <c r="T359" s="277"/>
      <c r="U359" s="9"/>
      <c r="V359" s="264"/>
      <c r="W359" s="9"/>
      <c r="X359" s="9"/>
      <c r="Y359" s="9"/>
      <c r="Z359" s="9"/>
      <c r="AA359" s="277"/>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row>
    <row r="360" spans="1:64" hidden="1" outlineLevel="1">
      <c r="B360" s="9"/>
      <c r="C360" s="9"/>
      <c r="D360" s="132" t="str">
        <f>Asset2</f>
        <v>Sub-transmission Overhead</v>
      </c>
      <c r="E360" s="9"/>
      <c r="F360" s="9"/>
      <c r="G360" s="9"/>
      <c r="H360" s="9"/>
      <c r="I360" s="9"/>
      <c r="J360" s="9"/>
      <c r="K360" s="9"/>
      <c r="L360" s="37">
        <f t="shared" ref="L360:Q369" si="20">IF(M$198=0, L200+L232+L264+L296+L328, 0)</f>
        <v>0</v>
      </c>
      <c r="M360" s="37">
        <f t="shared" si="20"/>
        <v>0</v>
      </c>
      <c r="N360" s="37">
        <f t="shared" si="20"/>
        <v>0</v>
      </c>
      <c r="O360" s="37">
        <f t="shared" si="20"/>
        <v>0</v>
      </c>
      <c r="P360" s="37">
        <f t="shared" si="20"/>
        <v>0</v>
      </c>
      <c r="Q360" s="37">
        <f t="shared" si="20"/>
        <v>0</v>
      </c>
      <c r="R360" s="9"/>
      <c r="S360" s="9"/>
      <c r="T360" s="277"/>
      <c r="U360" s="9"/>
      <c r="V360" s="278"/>
      <c r="W360" s="9"/>
      <c r="X360" s="9"/>
      <c r="Y360" s="9"/>
      <c r="Z360" s="9"/>
      <c r="AA360" s="277"/>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row>
    <row r="361" spans="1:64" hidden="1" outlineLevel="1">
      <c r="B361" s="9"/>
      <c r="C361" s="9"/>
      <c r="D361" s="132" t="str">
        <f>Asset3</f>
        <v>Sub-transmission Underground</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277"/>
      <c r="U361" s="9"/>
      <c r="V361" s="278"/>
      <c r="W361" s="9"/>
      <c r="X361" s="9"/>
      <c r="Y361" s="9"/>
      <c r="Z361" s="9"/>
      <c r="AA361" s="277"/>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row>
    <row r="362" spans="1:64" hidden="1" outlineLevel="1">
      <c r="B362" s="9"/>
      <c r="C362" s="9"/>
      <c r="D362" s="132" t="str">
        <f>Asset4</f>
        <v>Zone Substation</v>
      </c>
      <c r="E362" s="9"/>
      <c r="F362" s="9"/>
      <c r="G362" s="9"/>
      <c r="H362" s="9"/>
      <c r="I362" s="9"/>
      <c r="J362" s="9"/>
      <c r="K362" s="9"/>
      <c r="L362" s="37">
        <f t="shared" si="20"/>
        <v>1.792652176842412</v>
      </c>
      <c r="M362" s="37">
        <f t="shared" si="20"/>
        <v>0</v>
      </c>
      <c r="N362" s="37">
        <f t="shared" si="20"/>
        <v>0</v>
      </c>
      <c r="O362" s="37">
        <f t="shared" si="20"/>
        <v>0</v>
      </c>
      <c r="P362" s="37">
        <f t="shared" si="20"/>
        <v>0</v>
      </c>
      <c r="Q362" s="37">
        <f t="shared" si="20"/>
        <v>0</v>
      </c>
      <c r="R362" s="9"/>
      <c r="S362" s="9"/>
      <c r="T362" s="277"/>
      <c r="U362" s="9"/>
      <c r="V362" s="264"/>
      <c r="W362" s="9"/>
      <c r="X362" s="9"/>
      <c r="Y362" s="9"/>
      <c r="Z362" s="9"/>
      <c r="AA362" s="277"/>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row>
    <row r="363" spans="1:64" hidden="1" outlineLevel="1">
      <c r="B363" s="9"/>
      <c r="C363" s="9"/>
      <c r="D363" s="132" t="str">
        <f>Asset5</f>
        <v>Distribution Substations</v>
      </c>
      <c r="E363" s="9"/>
      <c r="F363" s="9"/>
      <c r="G363" s="9"/>
      <c r="H363" s="9"/>
      <c r="I363" s="9"/>
      <c r="J363" s="9"/>
      <c r="K363" s="9"/>
      <c r="L363" s="37">
        <f t="shared" si="20"/>
        <v>51.133429237490319</v>
      </c>
      <c r="M363" s="37">
        <f t="shared" si="20"/>
        <v>0</v>
      </c>
      <c r="N363" s="37">
        <f t="shared" si="20"/>
        <v>0</v>
      </c>
      <c r="O363" s="37">
        <f t="shared" si="20"/>
        <v>0</v>
      </c>
      <c r="P363" s="37">
        <f t="shared" si="20"/>
        <v>0</v>
      </c>
      <c r="Q363" s="37">
        <f t="shared" si="20"/>
        <v>0</v>
      </c>
      <c r="R363" s="9"/>
      <c r="S363" s="9"/>
      <c r="T363" s="277"/>
      <c r="U363" s="9"/>
      <c r="V363" s="278"/>
      <c r="W363" s="9"/>
      <c r="X363" s="9"/>
      <c r="Y363" s="264"/>
      <c r="Z363" s="9"/>
      <c r="AA363" s="277"/>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row>
    <row r="364" spans="1:64" hidden="1" outlineLevel="1">
      <c r="B364" s="9"/>
      <c r="C364" s="9"/>
      <c r="D364" s="132" t="str">
        <f>Asset6</f>
        <v>Distribution Overhead Lines</v>
      </c>
      <c r="E364" s="9"/>
      <c r="F364" s="9"/>
      <c r="G364" s="9"/>
      <c r="H364" s="9"/>
      <c r="I364" s="9"/>
      <c r="J364" s="9"/>
      <c r="K364" s="9"/>
      <c r="L364" s="37">
        <f t="shared" si="20"/>
        <v>60.513674690497524</v>
      </c>
      <c r="M364" s="37">
        <f t="shared" si="20"/>
        <v>0</v>
      </c>
      <c r="N364" s="37">
        <f t="shared" si="20"/>
        <v>0</v>
      </c>
      <c r="O364" s="37">
        <f t="shared" si="20"/>
        <v>0</v>
      </c>
      <c r="P364" s="37">
        <f t="shared" si="20"/>
        <v>0</v>
      </c>
      <c r="Q364" s="37">
        <f t="shared" si="20"/>
        <v>0</v>
      </c>
      <c r="R364" s="9"/>
      <c r="S364" s="9"/>
      <c r="T364" s="277"/>
      <c r="U364" s="9"/>
      <c r="V364" s="278"/>
      <c r="W364" s="9"/>
      <c r="X364" s="9"/>
      <c r="Y364" s="264"/>
      <c r="Z364" s="9"/>
      <c r="AA364" s="277"/>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row>
    <row r="365" spans="1:64" hidden="1" outlineLevel="1">
      <c r="B365" s="9"/>
      <c r="C365" s="9"/>
      <c r="D365" s="132" t="str">
        <f>Asset7</f>
        <v>Distribution Underground Lines</v>
      </c>
      <c r="E365" s="9"/>
      <c r="F365" s="9"/>
      <c r="G365" s="9"/>
      <c r="H365" s="9"/>
      <c r="I365" s="9"/>
      <c r="J365" s="9"/>
      <c r="K365" s="9"/>
      <c r="L365" s="37">
        <f t="shared" si="20"/>
        <v>73.821357251346484</v>
      </c>
      <c r="M365" s="37">
        <f t="shared" si="20"/>
        <v>0</v>
      </c>
      <c r="N365" s="37">
        <f t="shared" si="20"/>
        <v>0</v>
      </c>
      <c r="O365" s="37">
        <f t="shared" si="20"/>
        <v>0</v>
      </c>
      <c r="P365" s="37">
        <f t="shared" si="20"/>
        <v>0</v>
      </c>
      <c r="Q365" s="37">
        <f t="shared" si="20"/>
        <v>0</v>
      </c>
      <c r="R365" s="9"/>
      <c r="S365" s="9"/>
      <c r="T365" s="277"/>
      <c r="U365" s="9"/>
      <c r="V365" s="278"/>
      <c r="W365" s="9"/>
      <c r="X365" s="9"/>
      <c r="Y365" s="9"/>
      <c r="Z365" s="9"/>
      <c r="AA365" s="277"/>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row>
    <row r="366" spans="1:64" hidden="1" outlineLevel="1">
      <c r="B366" s="9"/>
      <c r="C366" s="9"/>
      <c r="D366" s="132" t="str">
        <f>Asset8</f>
        <v>IT &amp; Communication Systems (Networks)</v>
      </c>
      <c r="E366" s="9"/>
      <c r="F366" s="9"/>
      <c r="G366" s="9"/>
      <c r="H366" s="9"/>
      <c r="I366" s="9"/>
      <c r="J366" s="9"/>
      <c r="K366" s="9"/>
      <c r="L366" s="37">
        <f t="shared" si="20"/>
        <v>29.914464586997013</v>
      </c>
      <c r="M366" s="37">
        <f t="shared" si="20"/>
        <v>0</v>
      </c>
      <c r="N366" s="37">
        <f t="shared" si="20"/>
        <v>0</v>
      </c>
      <c r="O366" s="37">
        <f t="shared" si="20"/>
        <v>0</v>
      </c>
      <c r="P366" s="37">
        <f t="shared" si="20"/>
        <v>0</v>
      </c>
      <c r="Q366" s="37">
        <f t="shared" si="20"/>
        <v>0</v>
      </c>
      <c r="R366" s="9"/>
      <c r="S366" s="9"/>
      <c r="T366" s="277"/>
      <c r="U366" s="9"/>
      <c r="V366" s="279"/>
      <c r="W366" s="9"/>
      <c r="X366" s="9"/>
      <c r="Y366" s="9"/>
      <c r="Z366" s="9"/>
      <c r="AA366" s="277"/>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row>
    <row r="367" spans="1:64" hidden="1" outlineLevel="1">
      <c r="B367" s="9"/>
      <c r="C367" s="9"/>
      <c r="D367" s="132" t="str">
        <f>Asset9</f>
        <v>Motor Vehicles</v>
      </c>
      <c r="E367" s="9"/>
      <c r="F367" s="9"/>
      <c r="G367" s="9"/>
      <c r="H367" s="9"/>
      <c r="I367" s="9"/>
      <c r="J367" s="9"/>
      <c r="K367" s="9"/>
      <c r="L367" s="37">
        <f t="shared" si="20"/>
        <v>5.7963520215538669</v>
      </c>
      <c r="M367" s="37">
        <f t="shared" si="20"/>
        <v>0</v>
      </c>
      <c r="N367" s="37">
        <f t="shared" si="20"/>
        <v>0</v>
      </c>
      <c r="O367" s="37">
        <f t="shared" si="20"/>
        <v>0</v>
      </c>
      <c r="P367" s="37">
        <f t="shared" si="20"/>
        <v>0</v>
      </c>
      <c r="Q367" s="37">
        <f t="shared" si="20"/>
        <v>0</v>
      </c>
      <c r="R367" s="9"/>
      <c r="S367" s="9"/>
      <c r="T367" s="277"/>
      <c r="U367" s="9"/>
      <c r="V367" s="279"/>
      <c r="W367" s="9"/>
      <c r="X367" s="9"/>
      <c r="Y367" s="9"/>
      <c r="Z367" s="9"/>
      <c r="AA367" s="277"/>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row>
    <row r="368" spans="1:64" hidden="1" outlineLevel="1">
      <c r="B368" s="9"/>
      <c r="C368" s="9"/>
      <c r="D368" s="132" t="str">
        <f>Asset10</f>
        <v>Other Non-System Assets (Networks)</v>
      </c>
      <c r="E368" s="9"/>
      <c r="F368" s="9"/>
      <c r="G368" s="9"/>
      <c r="H368" s="9"/>
      <c r="I368" s="9"/>
      <c r="J368" s="9"/>
      <c r="K368" s="9"/>
      <c r="L368" s="37">
        <f t="shared" si="20"/>
        <v>1.8221411599471318</v>
      </c>
      <c r="M368" s="37">
        <f t="shared" si="20"/>
        <v>0</v>
      </c>
      <c r="N368" s="37">
        <f t="shared" si="20"/>
        <v>0</v>
      </c>
      <c r="O368" s="37">
        <f t="shared" si="20"/>
        <v>0</v>
      </c>
      <c r="P368" s="37">
        <f t="shared" si="20"/>
        <v>0</v>
      </c>
      <c r="Q368" s="37">
        <f t="shared" si="20"/>
        <v>0</v>
      </c>
      <c r="R368" s="9"/>
      <c r="S368" s="9"/>
      <c r="T368" s="277"/>
      <c r="U368" s="9"/>
      <c r="V368" s="279"/>
      <c r="W368" s="9"/>
      <c r="X368" s="9"/>
      <c r="Y368" s="9"/>
      <c r="Z368" s="9"/>
      <c r="AA368" s="277"/>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row>
    <row r="369" spans="2:64" hidden="1" outlineLevel="1">
      <c r="B369" s="9"/>
      <c r="C369" s="9"/>
      <c r="D369" s="132" t="str">
        <f>Asset11</f>
        <v>IT Systems (Corporate)</v>
      </c>
      <c r="E369" s="9"/>
      <c r="F369" s="9"/>
      <c r="G369" s="9"/>
      <c r="H369" s="9"/>
      <c r="I369" s="9"/>
      <c r="J369" s="9"/>
      <c r="K369" s="9"/>
      <c r="L369" s="37">
        <f t="shared" si="20"/>
        <v>10.523775005010593</v>
      </c>
      <c r="M369" s="37">
        <f t="shared" si="20"/>
        <v>0</v>
      </c>
      <c r="N369" s="37">
        <f t="shared" si="20"/>
        <v>0</v>
      </c>
      <c r="O369" s="37">
        <f t="shared" si="20"/>
        <v>0</v>
      </c>
      <c r="P369" s="37">
        <f t="shared" si="20"/>
        <v>0</v>
      </c>
      <c r="Q369" s="37">
        <f t="shared" si="20"/>
        <v>0</v>
      </c>
      <c r="R369" s="9"/>
      <c r="S369" s="9"/>
      <c r="T369" s="277"/>
      <c r="U369" s="9"/>
      <c r="V369" s="279"/>
      <c r="W369" s="9"/>
      <c r="X369" s="9"/>
      <c r="Y369" s="9"/>
      <c r="Z369" s="9"/>
      <c r="AA369" s="277"/>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row>
    <row r="370" spans="2:64" hidden="1" outlineLevel="1">
      <c r="B370" s="9"/>
      <c r="C370" s="9"/>
      <c r="D370" s="132" t="str">
        <f>Asset12</f>
        <v>Telecommunications (Corporate)</v>
      </c>
      <c r="E370" s="9"/>
      <c r="F370" s="9"/>
      <c r="G370" s="9"/>
      <c r="H370" s="9"/>
      <c r="I370" s="9"/>
      <c r="J370" s="9"/>
      <c r="K370" s="9"/>
      <c r="L370" s="37">
        <f t="shared" ref="L370:Q379" si="21">IF(M$198=0, L210+L242+L274+L306+L338, 0)</f>
        <v>0.16466540566123614</v>
      </c>
      <c r="M370" s="37">
        <f t="shared" si="21"/>
        <v>0</v>
      </c>
      <c r="N370" s="37">
        <f t="shared" si="21"/>
        <v>0</v>
      </c>
      <c r="O370" s="37">
        <f t="shared" si="21"/>
        <v>0</v>
      </c>
      <c r="P370" s="37">
        <f t="shared" si="21"/>
        <v>0</v>
      </c>
      <c r="Q370" s="37">
        <f t="shared" si="21"/>
        <v>0</v>
      </c>
      <c r="R370" s="9"/>
      <c r="S370" s="9"/>
      <c r="T370" s="277"/>
      <c r="U370" s="9"/>
      <c r="V370" s="279"/>
      <c r="W370" s="9"/>
      <c r="X370" s="9"/>
      <c r="Y370" s="9"/>
      <c r="Z370" s="9"/>
      <c r="AA370" s="277"/>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row>
    <row r="371" spans="2:64" hidden="1" outlineLevel="1">
      <c r="B371" s="9"/>
      <c r="C371" s="9"/>
      <c r="D371" s="132" t="str">
        <f>Asset13</f>
        <v>Other Non-System Assets (Corporate)</v>
      </c>
      <c r="E371" s="9"/>
      <c r="F371" s="9"/>
      <c r="G371" s="9"/>
      <c r="H371" s="9"/>
      <c r="I371" s="9"/>
      <c r="J371" s="9"/>
      <c r="K371" s="9"/>
      <c r="L371" s="37">
        <f t="shared" si="21"/>
        <v>4.6651308326089014</v>
      </c>
      <c r="M371" s="37">
        <f t="shared" si="21"/>
        <v>0</v>
      </c>
      <c r="N371" s="37">
        <f t="shared" si="21"/>
        <v>0</v>
      </c>
      <c r="O371" s="37">
        <f t="shared" si="21"/>
        <v>0</v>
      </c>
      <c r="P371" s="37">
        <f t="shared" si="21"/>
        <v>0</v>
      </c>
      <c r="Q371" s="37">
        <f t="shared" si="21"/>
        <v>0</v>
      </c>
      <c r="R371" s="9"/>
      <c r="S371" s="9"/>
      <c r="T371" s="277"/>
      <c r="U371" s="9"/>
      <c r="V371" s="279"/>
      <c r="W371" s="9"/>
      <c r="X371" s="9"/>
      <c r="Y371" s="9"/>
      <c r="Z371" s="9"/>
      <c r="AA371" s="277"/>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row>
    <row r="372" spans="2:64" hidden="1" outlineLevel="1">
      <c r="B372" s="9"/>
      <c r="C372" s="9"/>
      <c r="D372" s="132" t="str">
        <f>Asset14</f>
        <v>Land</v>
      </c>
      <c r="E372" s="9"/>
      <c r="F372" s="9"/>
      <c r="G372" s="9"/>
      <c r="H372" s="9"/>
      <c r="I372" s="9"/>
      <c r="J372" s="9"/>
      <c r="K372" s="9"/>
      <c r="L372" s="37">
        <f t="shared" si="21"/>
        <v>2.6905448961905476</v>
      </c>
      <c r="M372" s="37">
        <f t="shared" si="21"/>
        <v>0</v>
      </c>
      <c r="N372" s="37">
        <f t="shared" si="21"/>
        <v>0</v>
      </c>
      <c r="O372" s="37">
        <f t="shared" si="21"/>
        <v>0</v>
      </c>
      <c r="P372" s="37">
        <f t="shared" si="21"/>
        <v>0</v>
      </c>
      <c r="Q372" s="37">
        <f t="shared" si="21"/>
        <v>0</v>
      </c>
      <c r="R372" s="9"/>
      <c r="S372" s="9"/>
      <c r="T372" s="277"/>
      <c r="U372" s="9"/>
      <c r="V372" s="264"/>
      <c r="W372" s="279"/>
      <c r="X372" s="9"/>
      <c r="Y372" s="9"/>
      <c r="Z372" s="9"/>
      <c r="AA372" s="277"/>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row>
    <row r="373" spans="2:64" hidden="1" outlineLevel="1">
      <c r="B373" s="9"/>
      <c r="C373" s="9"/>
      <c r="D373" s="132" t="str">
        <f>Asset15</f>
        <v>Buildings</v>
      </c>
      <c r="E373" s="9"/>
      <c r="F373" s="9"/>
      <c r="G373" s="9"/>
      <c r="H373" s="9"/>
      <c r="I373" s="9"/>
      <c r="J373" s="9"/>
      <c r="K373" s="9"/>
      <c r="L373" s="37">
        <f t="shared" si="21"/>
        <v>19.805205334359449</v>
      </c>
      <c r="M373" s="37">
        <f t="shared" si="21"/>
        <v>0</v>
      </c>
      <c r="N373" s="37">
        <f t="shared" si="21"/>
        <v>0</v>
      </c>
      <c r="O373" s="37">
        <f t="shared" si="21"/>
        <v>0</v>
      </c>
      <c r="P373" s="37">
        <f t="shared" si="21"/>
        <v>0</v>
      </c>
      <c r="Q373" s="37">
        <f t="shared" si="21"/>
        <v>0</v>
      </c>
      <c r="R373" s="9"/>
      <c r="S373" s="9"/>
      <c r="T373" s="277"/>
      <c r="U373" s="9"/>
      <c r="V373" s="279"/>
      <c r="W373" s="9"/>
      <c r="X373" s="9"/>
      <c r="Y373" s="9"/>
      <c r="Z373" s="9"/>
      <c r="AA373" s="277"/>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row>
    <row r="374" spans="2:64" hidden="1" outlineLevel="1">
      <c r="B374" s="9"/>
      <c r="C374" s="9"/>
      <c r="D374" s="132" t="str">
        <f>Asset16</f>
        <v>Equity raising costs</v>
      </c>
      <c r="E374" s="9"/>
      <c r="F374" s="9"/>
      <c r="G374" s="9"/>
      <c r="H374" s="9"/>
      <c r="I374" s="9"/>
      <c r="J374" s="9"/>
      <c r="K374" s="9"/>
      <c r="L374" s="37">
        <f t="shared" si="21"/>
        <v>0.24289865413460715</v>
      </c>
      <c r="M374" s="37">
        <f t="shared" si="21"/>
        <v>0</v>
      </c>
      <c r="N374" s="37">
        <f t="shared" si="21"/>
        <v>0</v>
      </c>
      <c r="O374" s="37">
        <f t="shared" si="21"/>
        <v>0</v>
      </c>
      <c r="P374" s="37">
        <f t="shared" si="21"/>
        <v>0</v>
      </c>
      <c r="Q374" s="37">
        <f t="shared" si="21"/>
        <v>0</v>
      </c>
      <c r="R374" s="9"/>
      <c r="S374" s="9"/>
      <c r="T374" s="277"/>
      <c r="U374" s="9"/>
      <c r="V374" s="279"/>
      <c r="W374" s="9"/>
      <c r="X374" s="9"/>
      <c r="Y374" s="9"/>
      <c r="Z374" s="9"/>
      <c r="AA374" s="277"/>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row>
    <row r="375" spans="2:64" hidden="1" outlineLevel="1">
      <c r="B375" s="9"/>
      <c r="C375" s="9"/>
      <c r="D375" s="132">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279"/>
      <c r="W375" s="9"/>
      <c r="X375" s="9"/>
      <c r="Y375" s="9"/>
      <c r="Z375" s="9"/>
      <c r="AA375" s="277"/>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row>
    <row r="376" spans="2:64" hidden="1" outlineLevel="1">
      <c r="B376" s="9"/>
      <c r="C376" s="9"/>
      <c r="D376" s="132">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row>
    <row r="377" spans="2:64" hidden="1" outlineLevel="1">
      <c r="B377" s="9"/>
      <c r="C377" s="9"/>
      <c r="D377" s="132">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row>
    <row r="378" spans="2:64" hidden="1" outlineLevel="1">
      <c r="B378" s="9"/>
      <c r="C378" s="9"/>
      <c r="D378" s="132">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row>
    <row r="379" spans="2:64" hidden="1" outlineLevel="1">
      <c r="B379" s="9"/>
      <c r="C379" s="9"/>
      <c r="D379" s="132">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264"/>
      <c r="W379" s="9"/>
      <c r="X379" s="9"/>
      <c r="Y379" s="9"/>
      <c r="Z379" s="9"/>
      <c r="AA379" s="9"/>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row>
    <row r="380" spans="2:64" hidden="1" outlineLevel="1">
      <c r="B380" s="9"/>
      <c r="C380" s="9"/>
      <c r="D380" s="132">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277"/>
      <c r="W380" s="9"/>
      <c r="X380" s="9"/>
      <c r="Y380" s="9"/>
      <c r="Z380" s="9"/>
      <c r="AA380" s="9"/>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row>
    <row r="381" spans="2:64" hidden="1" outlineLevel="1">
      <c r="B381" s="9"/>
      <c r="C381" s="9"/>
      <c r="D381" s="132">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row>
    <row r="382" spans="2:64" hidden="1" outlineLevel="1">
      <c r="B382" s="9"/>
      <c r="C382" s="9"/>
      <c r="D382" s="132">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row>
    <row r="383" spans="2:64" hidden="1" outlineLevel="1">
      <c r="B383" s="9"/>
      <c r="C383" s="9"/>
      <c r="D383" s="132">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row>
    <row r="384" spans="2:64" hidden="1" outlineLevel="1">
      <c r="B384" s="9"/>
      <c r="C384" s="9"/>
      <c r="D384" s="132">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row>
    <row r="385" spans="1:64" hidden="1" outlineLevel="1">
      <c r="B385" s="9"/>
      <c r="C385" s="9"/>
      <c r="D385" s="132">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row>
    <row r="386" spans="1:64" hidden="1" outlineLevel="1">
      <c r="B386" s="9"/>
      <c r="C386" s="9"/>
      <c r="D386" s="132">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row>
    <row r="387" spans="1:64" hidden="1" outlineLevel="1">
      <c r="B387" s="9"/>
      <c r="C387" s="9"/>
      <c r="D387" s="132">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row>
    <row r="388" spans="1:64" hidden="1" outlineLevel="1">
      <c r="B388" s="9"/>
      <c r="C388" s="9"/>
      <c r="D388" s="132">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row>
    <row r="461" spans="1:66">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row>
    <row r="462" spans="1:66">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row>
    <row r="463" spans="1:66">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row>
    <row r="464" spans="1:66">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row>
    <row r="465" spans="2:66">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row>
    <row r="466" spans="2:66">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row>
    <row r="467" spans="2:66">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row>
    <row r="468" spans="2:66">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row>
    <row r="469" spans="2:66">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row>
    <row r="470" spans="2:66">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192"/>
      <c r="BK1" s="192"/>
      <c r="BL1" s="192"/>
      <c r="BM1" s="192"/>
      <c r="BN1" s="192"/>
      <c r="BO1" s="192"/>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6"/>
      <c r="BK3" s="216"/>
      <c r="BL3" s="216"/>
      <c r="BM3" s="216"/>
      <c r="BN3" s="216"/>
      <c r="BO3" s="21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192"/>
      <c r="BK4" s="192"/>
      <c r="BL4" s="192"/>
      <c r="BM4" s="192"/>
      <c r="BN4" s="192"/>
      <c r="BO4" s="192"/>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2"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row>
    <row r="6" spans="1:256" s="192"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row>
    <row r="7" spans="1:256" s="192" customFormat="1">
      <c r="A7" s="9"/>
      <c r="B7" s="46" t="s">
        <v>71</v>
      </c>
      <c r="C7" s="9"/>
      <c r="D7" s="9"/>
      <c r="E7" s="9"/>
      <c r="G7" s="319">
        <f t="shared" ref="G7:L7" si="1">SUM(G8:G27)</f>
        <v>399.29428322833485</v>
      </c>
      <c r="H7" s="320">
        <f t="shared" si="1"/>
        <v>412.23662113507027</v>
      </c>
      <c r="I7" s="320">
        <f t="shared" si="1"/>
        <v>452.71594161000792</v>
      </c>
      <c r="J7" s="320">
        <f t="shared" si="1"/>
        <v>499.06152302558547</v>
      </c>
      <c r="K7" s="320">
        <f t="shared" si="1"/>
        <v>532.49350747379367</v>
      </c>
      <c r="L7" s="320">
        <f t="shared" si="1"/>
        <v>563.00661337067231</v>
      </c>
      <c r="M7" s="320">
        <f t="shared" ref="M7:R7" si="2">SUM(M8:M27)</f>
        <v>609.14668511450895</v>
      </c>
      <c r="N7" s="118">
        <f t="shared" si="2"/>
        <v>0</v>
      </c>
      <c r="O7" s="118">
        <f t="shared" si="2"/>
        <v>0</v>
      </c>
      <c r="P7" s="118">
        <f t="shared" si="2"/>
        <v>0</v>
      </c>
      <c r="Q7" s="118">
        <f t="shared" si="2"/>
        <v>0</v>
      </c>
      <c r="R7" s="118">
        <f t="shared" si="2"/>
        <v>0</v>
      </c>
      <c r="S7" s="108"/>
      <c r="T7" s="108"/>
      <c r="U7" s="108"/>
      <c r="V7" s="108"/>
      <c r="W7" s="108"/>
      <c r="X7" s="108"/>
      <c r="Y7" s="108"/>
      <c r="Z7" s="108"/>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row>
    <row r="8" spans="1:256" s="192" customFormat="1" hidden="1" outlineLevel="1">
      <c r="A8" s="9"/>
      <c r="B8" s="9"/>
      <c r="C8" s="132" t="str">
        <f>Asset1</f>
        <v>Opening Distribution Assets</v>
      </c>
      <c r="D8" s="9"/>
      <c r="E8" s="9"/>
      <c r="F8" s="9"/>
      <c r="G8" s="321">
        <f>A1taxvalue</f>
        <v>399.29428322833485</v>
      </c>
      <c r="H8" s="322">
        <f t="shared" ref="H8:M8" si="3">G8+G40+G85</f>
        <v>412.23662113507027</v>
      </c>
      <c r="I8" s="322">
        <f t="shared" si="3"/>
        <v>394.73437359195111</v>
      </c>
      <c r="J8" s="322">
        <f t="shared" si="3"/>
        <v>377.23212604883196</v>
      </c>
      <c r="K8" s="322">
        <f t="shared" si="3"/>
        <v>359.7298785057128</v>
      </c>
      <c r="L8" s="322">
        <f t="shared" si="3"/>
        <v>342.22763096259365</v>
      </c>
      <c r="M8" s="322">
        <f t="shared" si="3"/>
        <v>324.7253834194745</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row>
    <row r="9" spans="1:256" s="192" customFormat="1" hidden="1" outlineLevel="1">
      <c r="A9" s="9"/>
      <c r="B9" s="46"/>
      <c r="C9" s="132" t="str">
        <f>Asset2</f>
        <v>Sub-transmission Overhead</v>
      </c>
      <c r="D9" s="9"/>
      <c r="E9" s="9"/>
      <c r="F9" s="9"/>
      <c r="G9" s="321">
        <f>A2taxvalue</f>
        <v>0</v>
      </c>
      <c r="H9" s="322">
        <f t="shared" ref="H9:M9" si="4">G9+G41+G99</f>
        <v>0</v>
      </c>
      <c r="I9" s="322">
        <f t="shared" si="4"/>
        <v>0</v>
      </c>
      <c r="J9" s="322">
        <f t="shared" si="4"/>
        <v>0</v>
      </c>
      <c r="K9" s="322">
        <f t="shared" si="4"/>
        <v>0</v>
      </c>
      <c r="L9" s="322">
        <f t="shared" si="4"/>
        <v>0</v>
      </c>
      <c r="M9" s="322">
        <f t="shared" si="4"/>
        <v>0</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row>
    <row r="10" spans="1:256" s="192" customFormat="1" hidden="1" outlineLevel="1">
      <c r="A10" s="9"/>
      <c r="B10" s="46"/>
      <c r="C10" s="132" t="str">
        <f>Asset3</f>
        <v>Sub-transmission Underground</v>
      </c>
      <c r="D10" s="9"/>
      <c r="E10" s="9"/>
      <c r="F10" s="9"/>
      <c r="G10" s="321">
        <f>A3taxvalue</f>
        <v>0</v>
      </c>
      <c r="H10" s="322">
        <f t="shared" ref="H10:M10" si="5">G10+G42+G113</f>
        <v>0</v>
      </c>
      <c r="I10" s="322">
        <f t="shared" si="5"/>
        <v>0</v>
      </c>
      <c r="J10" s="322">
        <f t="shared" si="5"/>
        <v>0</v>
      </c>
      <c r="K10" s="322">
        <f t="shared" si="5"/>
        <v>0</v>
      </c>
      <c r="L10" s="322">
        <f t="shared" si="5"/>
        <v>0</v>
      </c>
      <c r="M10" s="322">
        <f t="shared" si="5"/>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row>
    <row r="11" spans="1:256" s="192" customFormat="1" hidden="1" outlineLevel="1">
      <c r="A11" s="9"/>
      <c r="B11" s="46"/>
      <c r="C11" s="132" t="str">
        <f>Asset4</f>
        <v>Zone Substation</v>
      </c>
      <c r="D11" s="9"/>
      <c r="E11" s="9"/>
      <c r="F11" s="9"/>
      <c r="G11" s="321">
        <f>A4taxvalue</f>
        <v>0</v>
      </c>
      <c r="H11" s="322">
        <f t="shared" ref="H11:M11" si="6">G11+G43+G127</f>
        <v>0</v>
      </c>
      <c r="I11" s="322">
        <f t="shared" si="6"/>
        <v>0.7930148802741549</v>
      </c>
      <c r="J11" s="322">
        <f t="shared" si="6"/>
        <v>0.78128147294857142</v>
      </c>
      <c r="K11" s="322">
        <f t="shared" si="6"/>
        <v>0.76125380182468583</v>
      </c>
      <c r="L11" s="322">
        <f t="shared" si="6"/>
        <v>1.6414976573330238</v>
      </c>
      <c r="M11" s="322">
        <f t="shared" si="6"/>
        <v>1.7934101750954998</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row>
    <row r="12" spans="1:256" s="192" customFormat="1" hidden="1" outlineLevel="1">
      <c r="A12" s="9"/>
      <c r="B12" s="46"/>
      <c r="C12" s="132" t="str">
        <f>Asset5</f>
        <v>Distribution Substations</v>
      </c>
      <c r="D12" s="9"/>
      <c r="E12" s="9"/>
      <c r="F12" s="9"/>
      <c r="G12" s="321">
        <f>A5taxvalue</f>
        <v>0</v>
      </c>
      <c r="H12" s="322">
        <f t="shared" ref="H12:M12" si="7">G12+G44+G141</f>
        <v>0</v>
      </c>
      <c r="I12" s="322">
        <f t="shared" si="7"/>
        <v>12.2938196461266</v>
      </c>
      <c r="J12" s="322">
        <f t="shared" si="7"/>
        <v>28.500216829086579</v>
      </c>
      <c r="K12" s="322">
        <f t="shared" si="7"/>
        <v>41.790471506579088</v>
      </c>
      <c r="L12" s="322">
        <f t="shared" si="7"/>
        <v>53.569313165047426</v>
      </c>
      <c r="M12" s="322">
        <f t="shared" si="7"/>
        <v>65.676508423460021</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row>
    <row r="13" spans="1:256" s="192" customFormat="1" hidden="1" outlineLevel="1">
      <c r="A13" s="9"/>
      <c r="B13" s="46"/>
      <c r="C13" s="132" t="str">
        <f>Asset6</f>
        <v>Distribution Overhead Lines</v>
      </c>
      <c r="D13" s="9"/>
      <c r="E13" s="9"/>
      <c r="F13" s="9"/>
      <c r="G13" s="321">
        <f>A6taxvalue</f>
        <v>0</v>
      </c>
      <c r="H13" s="322">
        <f t="shared" ref="H13:M13" si="8">G13+G45+G155</f>
        <v>0</v>
      </c>
      <c r="I13" s="322">
        <f t="shared" si="8"/>
        <v>10.824526619999999</v>
      </c>
      <c r="J13" s="322">
        <f t="shared" si="8"/>
        <v>23.028555724</v>
      </c>
      <c r="K13" s="322">
        <f t="shared" si="8"/>
        <v>36.200834446000009</v>
      </c>
      <c r="L13" s="322">
        <f t="shared" si="8"/>
        <v>46.305609859111115</v>
      </c>
      <c r="M13" s="322">
        <f t="shared" si="8"/>
        <v>54.932069736429568</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row>
    <row r="14" spans="1:256" s="192" customFormat="1" hidden="1" outlineLevel="1">
      <c r="A14" s="9"/>
      <c r="B14" s="46"/>
      <c r="C14" s="132" t="str">
        <f>Asset7</f>
        <v>Distribution Underground Lines</v>
      </c>
      <c r="D14" s="9"/>
      <c r="E14" s="9"/>
      <c r="F14" s="9"/>
      <c r="G14" s="321">
        <f>A7taxvalue</f>
        <v>0</v>
      </c>
      <c r="H14" s="322">
        <f t="shared" ref="H14:M14" si="9">G14+G46+G169</f>
        <v>0</v>
      </c>
      <c r="I14" s="322">
        <f t="shared" si="9"/>
        <v>18.977617213873398</v>
      </c>
      <c r="J14" s="322">
        <f t="shared" si="9"/>
        <v>41.021205375482786</v>
      </c>
      <c r="K14" s="322">
        <f t="shared" si="9"/>
        <v>61.627305485589076</v>
      </c>
      <c r="L14" s="322">
        <f t="shared" si="9"/>
        <v>74.370987766042035</v>
      </c>
      <c r="M14" s="322">
        <f t="shared" si="9"/>
        <v>91.036612293175452</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row>
    <row r="15" spans="1:256" s="192" customFormat="1" hidden="1" outlineLevel="1">
      <c r="A15" s="9"/>
      <c r="B15" s="46"/>
      <c r="C15" s="132" t="str">
        <f>Asset8</f>
        <v>IT &amp; Communication Systems (Networks)</v>
      </c>
      <c r="D15" s="9"/>
      <c r="E15" s="9"/>
      <c r="F15" s="9"/>
      <c r="G15" s="321">
        <f>A8taxvalue</f>
        <v>0</v>
      </c>
      <c r="H15" s="322">
        <f t="shared" ref="H15:M15" si="10">G15+G47+G183</f>
        <v>0</v>
      </c>
      <c r="I15" s="322">
        <f t="shared" si="10"/>
        <v>1.2049402011190273</v>
      </c>
      <c r="J15" s="322">
        <f t="shared" si="10"/>
        <v>1.9315101787754396</v>
      </c>
      <c r="K15" s="322">
        <f t="shared" si="10"/>
        <v>4.1066944636141356</v>
      </c>
      <c r="L15" s="322">
        <f t="shared" si="10"/>
        <v>9.9853393601998501</v>
      </c>
      <c r="M15" s="322">
        <f t="shared" si="10"/>
        <v>28.349834801917314</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row>
    <row r="16" spans="1:256" s="192" customFormat="1" hidden="1" outlineLevel="1">
      <c r="A16" s="9"/>
      <c r="B16" s="46"/>
      <c r="C16" s="132" t="str">
        <f>Asset9</f>
        <v>Motor Vehicles</v>
      </c>
      <c r="D16" s="9"/>
      <c r="E16" s="9"/>
      <c r="F16" s="9"/>
      <c r="G16" s="321">
        <f>A9taxvalue</f>
        <v>0</v>
      </c>
      <c r="H16" s="322">
        <f t="shared" ref="H16:M16" si="11">G16+G48+G197</f>
        <v>0</v>
      </c>
      <c r="I16" s="322">
        <f t="shared" si="11"/>
        <v>0</v>
      </c>
      <c r="J16" s="322">
        <f t="shared" si="11"/>
        <v>0</v>
      </c>
      <c r="K16" s="322">
        <f t="shared" si="11"/>
        <v>0.56430035826181035</v>
      </c>
      <c r="L16" s="322">
        <f t="shared" si="11"/>
        <v>4.4949298713526051</v>
      </c>
      <c r="M16" s="322">
        <f t="shared" si="11"/>
        <v>5.5565497913474591</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row>
    <row r="17" spans="1:61" s="192" customFormat="1" hidden="1" outlineLevel="1">
      <c r="A17" s="9"/>
      <c r="B17" s="46"/>
      <c r="C17" s="132" t="str">
        <f>Asset10</f>
        <v>Other Non-System Assets (Networks)</v>
      </c>
      <c r="D17" s="9"/>
      <c r="E17" s="9"/>
      <c r="F17" s="9"/>
      <c r="G17" s="321">
        <f>A10taxvalue</f>
        <v>0</v>
      </c>
      <c r="H17" s="322">
        <f t="shared" ref="H17:M17" si="12">G17+G49+G211</f>
        <v>0</v>
      </c>
      <c r="I17" s="322">
        <f t="shared" si="12"/>
        <v>0.9410589139254546</v>
      </c>
      <c r="J17" s="322">
        <f t="shared" si="12"/>
        <v>1.2561628589075577</v>
      </c>
      <c r="K17" s="322">
        <f t="shared" si="12"/>
        <v>1.3925655445245657</v>
      </c>
      <c r="L17" s="322">
        <f t="shared" si="12"/>
        <v>1.6616413186221597</v>
      </c>
      <c r="M17" s="322">
        <f t="shared" si="12"/>
        <v>1.8677049703644386</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row>
    <row r="18" spans="1:61" s="192" customFormat="1" hidden="1" outlineLevel="1">
      <c r="A18" s="9"/>
      <c r="B18" s="46"/>
      <c r="C18" s="132" t="str">
        <f>Asset11</f>
        <v>IT Systems (Corporate)</v>
      </c>
      <c r="D18" s="9"/>
      <c r="E18" s="9"/>
      <c r="F18" s="9"/>
      <c r="G18" s="321">
        <f>A11taxvalue</f>
        <v>0</v>
      </c>
      <c r="H18" s="322">
        <f t="shared" ref="H18:M18" si="13">G18+G50+G225</f>
        <v>0</v>
      </c>
      <c r="I18" s="322">
        <f t="shared" si="13"/>
        <v>0.89060567422099191</v>
      </c>
      <c r="J18" s="322">
        <f t="shared" si="13"/>
        <v>0.94356640251947188</v>
      </c>
      <c r="K18" s="322">
        <f t="shared" si="13"/>
        <v>2.0523383620385456</v>
      </c>
      <c r="L18" s="322">
        <f t="shared" si="13"/>
        <v>4.219271613188762</v>
      </c>
      <c r="M18" s="322">
        <f t="shared" si="13"/>
        <v>9.5385315851941641</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row>
    <row r="19" spans="1:61" s="192" customFormat="1" hidden="1" outlineLevel="1">
      <c r="A19" s="9"/>
      <c r="B19" s="46"/>
      <c r="C19" s="132" t="str">
        <f>Asset12</f>
        <v>Telecommunications (Corporate)</v>
      </c>
      <c r="D19" s="9"/>
      <c r="E19" s="9"/>
      <c r="F19" s="9"/>
      <c r="G19" s="321">
        <f>A12taxvalue</f>
        <v>0</v>
      </c>
      <c r="H19" s="322">
        <f t="shared" ref="H19:M19" si="14">G19+G51+G239</f>
        <v>0</v>
      </c>
      <c r="I19" s="322">
        <f t="shared" si="14"/>
        <v>0.24566978388879748</v>
      </c>
      <c r="J19" s="322">
        <f t="shared" si="14"/>
        <v>0.29121685825955945</v>
      </c>
      <c r="K19" s="322">
        <f t="shared" si="14"/>
        <v>0.28143829611039411</v>
      </c>
      <c r="L19" s="322">
        <f t="shared" si="14"/>
        <v>0.27819854048456083</v>
      </c>
      <c r="M19" s="322">
        <f t="shared" si="14"/>
        <v>0.21572299287183447</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row>
    <row r="20" spans="1:61" s="192" customFormat="1" hidden="1" outlineLevel="1">
      <c r="A20" s="9"/>
      <c r="B20" s="46"/>
      <c r="C20" s="132" t="str">
        <f>Asset13</f>
        <v>Other Non-System Assets (Corporate)</v>
      </c>
      <c r="D20" s="9"/>
      <c r="E20" s="9"/>
      <c r="F20" s="9"/>
      <c r="G20" s="321">
        <f>A13taxvalue</f>
        <v>0</v>
      </c>
      <c r="H20" s="322">
        <f t="shared" ref="H20:M20" si="15">G20+G52+G253</f>
        <v>0</v>
      </c>
      <c r="I20" s="322">
        <f t="shared" si="15"/>
        <v>3.2530268100594033</v>
      </c>
      <c r="J20" s="322">
        <f t="shared" si="15"/>
        <v>6.5756288813639134</v>
      </c>
      <c r="K20" s="322">
        <f t="shared" si="15"/>
        <v>5.9114903937125476</v>
      </c>
      <c r="L20" s="322">
        <f t="shared" si="15"/>
        <v>5.2137370535320899</v>
      </c>
      <c r="M20" s="322">
        <f t="shared" si="15"/>
        <v>4.8920198114587476</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row>
    <row r="21" spans="1:61" s="192" customFormat="1" hidden="1" outlineLevel="1">
      <c r="A21" s="9"/>
      <c r="B21" s="46"/>
      <c r="C21" s="132" t="str">
        <f>Asset14</f>
        <v>Land</v>
      </c>
      <c r="D21" s="9"/>
      <c r="E21" s="9"/>
      <c r="F21" s="9"/>
      <c r="G21" s="321">
        <f>A14taxvalue</f>
        <v>0</v>
      </c>
      <c r="H21" s="322">
        <f t="shared" ref="H21:M21" si="16">G21+G53+G267</f>
        <v>0</v>
      </c>
      <c r="I21" s="322">
        <f t="shared" si="16"/>
        <v>2.334453146068959</v>
      </c>
      <c r="J21" s="322">
        <f t="shared" si="16"/>
        <v>2.334453146068959</v>
      </c>
      <c r="K21" s="322">
        <f t="shared" si="16"/>
        <v>2.334453146068959</v>
      </c>
      <c r="L21" s="322">
        <f t="shared" si="16"/>
        <v>2.334453146068959</v>
      </c>
      <c r="M21" s="322">
        <f t="shared" si="16"/>
        <v>2.334453146068959</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row>
    <row r="22" spans="1:61" s="192" customFormat="1" hidden="1" outlineLevel="1">
      <c r="A22" s="9"/>
      <c r="B22" s="46"/>
      <c r="C22" s="132" t="str">
        <f>Asset15</f>
        <v>Buildings</v>
      </c>
      <c r="D22" s="9"/>
      <c r="E22" s="9"/>
      <c r="F22" s="9"/>
      <c r="G22" s="321">
        <f>A15taxvalue</f>
        <v>0</v>
      </c>
      <c r="H22" s="322">
        <f t="shared" ref="H22:M22" si="17">G22+G54+G281</f>
        <v>0</v>
      </c>
      <c r="I22" s="322">
        <f t="shared" si="17"/>
        <v>5.9914696586509937</v>
      </c>
      <c r="J22" s="322">
        <f t="shared" si="17"/>
        <v>14.9394272482308</v>
      </c>
      <c r="K22" s="322">
        <f t="shared" si="17"/>
        <v>15.519504631386456</v>
      </c>
      <c r="L22" s="322">
        <f t="shared" si="17"/>
        <v>16.488217993464453</v>
      </c>
      <c r="M22" s="322">
        <f t="shared" si="17"/>
        <v>18.017292372758629</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row>
    <row r="23" spans="1:61" s="192" customFormat="1" hidden="1" outlineLevel="1">
      <c r="A23" s="9"/>
      <c r="B23" s="46"/>
      <c r="C23" s="132" t="str">
        <f>Asset16</f>
        <v>Equity raising costs</v>
      </c>
      <c r="D23" s="9"/>
      <c r="E23" s="9"/>
      <c r="F23" s="9"/>
      <c r="G23" s="321">
        <f>A16taxvalue</f>
        <v>0</v>
      </c>
      <c r="H23" s="322">
        <f t="shared" ref="H23:M23" si="18">G23+G55+G295</f>
        <v>0</v>
      </c>
      <c r="I23" s="322">
        <f t="shared" si="18"/>
        <v>0.23136546984909195</v>
      </c>
      <c r="J23" s="322">
        <f t="shared" si="18"/>
        <v>0.22617200110986985</v>
      </c>
      <c r="K23" s="322">
        <f t="shared" si="18"/>
        <v>0.22097853237064774</v>
      </c>
      <c r="L23" s="322">
        <f t="shared" si="18"/>
        <v>0.21578506363142563</v>
      </c>
      <c r="M23" s="322">
        <f t="shared" si="18"/>
        <v>0.21059159489220353</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row>
    <row r="24" spans="1:61" s="192" customFormat="1" hidden="1" outlineLevel="1">
      <c r="A24" s="9"/>
      <c r="B24" s="46"/>
      <c r="C24" s="132">
        <f>Asset17</f>
        <v>0</v>
      </c>
      <c r="D24" s="9"/>
      <c r="E24" s="9"/>
      <c r="F24" s="9"/>
      <c r="G24" s="321">
        <f>A17taxvalue</f>
        <v>0</v>
      </c>
      <c r="H24" s="322">
        <f t="shared" ref="H24:M24" si="19">G24+G56+G309</f>
        <v>0</v>
      </c>
      <c r="I24" s="322">
        <f t="shared" si="19"/>
        <v>0</v>
      </c>
      <c r="J24" s="322">
        <f t="shared" si="19"/>
        <v>0</v>
      </c>
      <c r="K24" s="322">
        <f t="shared" si="19"/>
        <v>0</v>
      </c>
      <c r="L24" s="322">
        <f t="shared" si="19"/>
        <v>0</v>
      </c>
      <c r="M24" s="322">
        <f t="shared" si="19"/>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row>
    <row r="25" spans="1:61" s="192" customFormat="1" hidden="1" outlineLevel="1">
      <c r="A25" s="9"/>
      <c r="B25" s="46"/>
      <c r="C25" s="132">
        <f>Asset18</f>
        <v>0</v>
      </c>
      <c r="D25" s="9"/>
      <c r="E25" s="9"/>
      <c r="F25" s="9"/>
      <c r="G25" s="321">
        <f>A18taxvalue</f>
        <v>0</v>
      </c>
      <c r="H25" s="322">
        <f t="shared" ref="H25:M25" si="20">G25+G57+G323</f>
        <v>0</v>
      </c>
      <c r="I25" s="322">
        <f t="shared" si="20"/>
        <v>0</v>
      </c>
      <c r="J25" s="322">
        <f t="shared" si="20"/>
        <v>0</v>
      </c>
      <c r="K25" s="322">
        <f t="shared" si="20"/>
        <v>0</v>
      </c>
      <c r="L25" s="322">
        <f t="shared" si="20"/>
        <v>0</v>
      </c>
      <c r="M25" s="322">
        <f t="shared" si="20"/>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row>
    <row r="26" spans="1:61" s="192" customFormat="1" hidden="1" outlineLevel="1">
      <c r="A26" s="9"/>
      <c r="B26" s="46"/>
      <c r="C26" s="132">
        <f>Asset19</f>
        <v>0</v>
      </c>
      <c r="D26" s="9"/>
      <c r="E26" s="9"/>
      <c r="F26" s="9"/>
      <c r="G26" s="321">
        <f>A19taxvalue</f>
        <v>0</v>
      </c>
      <c r="H26" s="322">
        <f t="shared" ref="H26:M26" si="21">G26+G58+G337</f>
        <v>0</v>
      </c>
      <c r="I26" s="322">
        <f t="shared" si="21"/>
        <v>0</v>
      </c>
      <c r="J26" s="322">
        <f t="shared" si="21"/>
        <v>0</v>
      </c>
      <c r="K26" s="322">
        <f t="shared" si="21"/>
        <v>0</v>
      </c>
      <c r="L26" s="322">
        <f t="shared" si="21"/>
        <v>0</v>
      </c>
      <c r="M26" s="322">
        <f t="shared" si="21"/>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row>
    <row r="27" spans="1:61" s="192" customFormat="1" hidden="1" outlineLevel="1">
      <c r="A27" s="9"/>
      <c r="B27" s="46"/>
      <c r="C27" s="132">
        <f>Asset20</f>
        <v>0</v>
      </c>
      <c r="D27" s="9"/>
      <c r="E27" s="9"/>
      <c r="F27" s="9"/>
      <c r="G27" s="321">
        <f>A20taxvalue</f>
        <v>0</v>
      </c>
      <c r="H27" s="322">
        <f t="shared" ref="H27:M27" si="22">G27+G59+G351</f>
        <v>0</v>
      </c>
      <c r="I27" s="322">
        <f t="shared" si="22"/>
        <v>0</v>
      </c>
      <c r="J27" s="322">
        <f t="shared" si="22"/>
        <v>0</v>
      </c>
      <c r="K27" s="322">
        <f t="shared" si="22"/>
        <v>0</v>
      </c>
      <c r="L27" s="322">
        <f t="shared" si="22"/>
        <v>0</v>
      </c>
      <c r="M27" s="322">
        <f t="shared" si="22"/>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row>
    <row r="28" spans="1:61" s="192" customFormat="1" hidden="1" outlineLevel="1">
      <c r="A28" s="9"/>
      <c r="B28" s="46"/>
      <c r="C28" s="132">
        <f>Asset21</f>
        <v>0</v>
      </c>
      <c r="D28" s="9"/>
      <c r="E28" s="9"/>
      <c r="F28" s="9"/>
      <c r="G28" s="321">
        <f>A21taxvalue</f>
        <v>0</v>
      </c>
      <c r="H28" s="322">
        <f t="shared" ref="H28:M28" si="23">G28+G60+G365</f>
        <v>0</v>
      </c>
      <c r="I28" s="322">
        <f t="shared" si="23"/>
        <v>0</v>
      </c>
      <c r="J28" s="322">
        <f t="shared" si="23"/>
        <v>0</v>
      </c>
      <c r="K28" s="322">
        <f t="shared" si="23"/>
        <v>0</v>
      </c>
      <c r="L28" s="322">
        <f t="shared" si="23"/>
        <v>0</v>
      </c>
      <c r="M28" s="322">
        <f t="shared" si="23"/>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row>
    <row r="29" spans="1:61" s="192" customFormat="1" hidden="1" outlineLevel="1">
      <c r="A29" s="9"/>
      <c r="B29" s="46"/>
      <c r="C29" s="132">
        <f>Asset22</f>
        <v>0</v>
      </c>
      <c r="D29" s="9"/>
      <c r="E29" s="9"/>
      <c r="F29" s="9"/>
      <c r="G29" s="321">
        <f>A22taxvalue</f>
        <v>0</v>
      </c>
      <c r="H29" s="322">
        <f t="shared" ref="H29:M29" si="24">G29+G61+G379</f>
        <v>0</v>
      </c>
      <c r="I29" s="322">
        <f t="shared" si="24"/>
        <v>0</v>
      </c>
      <c r="J29" s="322">
        <f t="shared" si="24"/>
        <v>0</v>
      </c>
      <c r="K29" s="322">
        <f t="shared" si="24"/>
        <v>0</v>
      </c>
      <c r="L29" s="322">
        <f t="shared" si="24"/>
        <v>0</v>
      </c>
      <c r="M29" s="322">
        <f t="shared" si="24"/>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row>
    <row r="30" spans="1:61" s="192" customFormat="1" hidden="1" outlineLevel="1">
      <c r="A30" s="9"/>
      <c r="B30" s="46"/>
      <c r="C30" s="132">
        <f>Asset23</f>
        <v>0</v>
      </c>
      <c r="D30" s="9"/>
      <c r="E30" s="9"/>
      <c r="F30" s="9"/>
      <c r="G30" s="321">
        <f>A23taxvalue</f>
        <v>0</v>
      </c>
      <c r="H30" s="322">
        <f t="shared" ref="H30:M30" si="25">G30+G62+G393</f>
        <v>0</v>
      </c>
      <c r="I30" s="322">
        <f t="shared" si="25"/>
        <v>0</v>
      </c>
      <c r="J30" s="322">
        <f t="shared" si="25"/>
        <v>0</v>
      </c>
      <c r="K30" s="322">
        <f t="shared" si="25"/>
        <v>0</v>
      </c>
      <c r="L30" s="322">
        <f t="shared" si="25"/>
        <v>0</v>
      </c>
      <c r="M30" s="322">
        <f t="shared" si="25"/>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row>
    <row r="31" spans="1:61" s="192" customFormat="1" hidden="1" outlineLevel="1">
      <c r="A31" s="9"/>
      <c r="B31" s="46"/>
      <c r="C31" s="132">
        <f>Asset24</f>
        <v>0</v>
      </c>
      <c r="D31" s="9"/>
      <c r="E31" s="9"/>
      <c r="F31" s="9"/>
      <c r="G31" s="321">
        <f>A24taxvalue</f>
        <v>0</v>
      </c>
      <c r="H31" s="322">
        <f t="shared" ref="H31:M31" si="26">G31+G63+G407</f>
        <v>0</v>
      </c>
      <c r="I31" s="322">
        <f t="shared" si="26"/>
        <v>0</v>
      </c>
      <c r="J31" s="322">
        <f t="shared" si="26"/>
        <v>0</v>
      </c>
      <c r="K31" s="322">
        <f t="shared" si="26"/>
        <v>0</v>
      </c>
      <c r="L31" s="322">
        <f t="shared" si="26"/>
        <v>0</v>
      </c>
      <c r="M31" s="322">
        <f t="shared" si="26"/>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row>
    <row r="32" spans="1:61" s="192" customFormat="1" hidden="1" outlineLevel="1">
      <c r="A32" s="9"/>
      <c r="B32" s="46"/>
      <c r="C32" s="132">
        <f>Asset25</f>
        <v>0</v>
      </c>
      <c r="D32" s="9"/>
      <c r="E32" s="9"/>
      <c r="F32" s="9"/>
      <c r="G32" s="321">
        <f>A25taxvalue</f>
        <v>0</v>
      </c>
      <c r="H32" s="322">
        <f t="shared" ref="H32:M32" si="27">G32+G64+G421</f>
        <v>0</v>
      </c>
      <c r="I32" s="322">
        <f t="shared" si="27"/>
        <v>0</v>
      </c>
      <c r="J32" s="322">
        <f t="shared" si="27"/>
        <v>0</v>
      </c>
      <c r="K32" s="322">
        <f t="shared" si="27"/>
        <v>0</v>
      </c>
      <c r="L32" s="322">
        <f t="shared" si="27"/>
        <v>0</v>
      </c>
      <c r="M32" s="322">
        <f t="shared" si="27"/>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row>
    <row r="33" spans="1:61" s="192" customFormat="1" hidden="1" outlineLevel="1">
      <c r="A33" s="9"/>
      <c r="B33" s="46"/>
      <c r="C33" s="132">
        <f>Asset26</f>
        <v>0</v>
      </c>
      <c r="D33" s="9"/>
      <c r="E33" s="9"/>
      <c r="F33" s="9"/>
      <c r="G33" s="321">
        <f>A26taxvalue</f>
        <v>0</v>
      </c>
      <c r="H33" s="322">
        <f t="shared" ref="H33:M33" si="28">G33+G65+G435</f>
        <v>0</v>
      </c>
      <c r="I33" s="322">
        <f t="shared" si="28"/>
        <v>0</v>
      </c>
      <c r="J33" s="322">
        <f t="shared" si="28"/>
        <v>0</v>
      </c>
      <c r="K33" s="322">
        <f t="shared" si="28"/>
        <v>0</v>
      </c>
      <c r="L33" s="322">
        <f t="shared" si="28"/>
        <v>0</v>
      </c>
      <c r="M33" s="322">
        <f t="shared" si="28"/>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row>
    <row r="34" spans="1:61" s="192" customFormat="1" hidden="1" outlineLevel="1">
      <c r="A34" s="9"/>
      <c r="B34" s="46"/>
      <c r="C34" s="132">
        <f>Asset27</f>
        <v>0</v>
      </c>
      <c r="D34" s="9"/>
      <c r="E34" s="9"/>
      <c r="F34" s="9"/>
      <c r="G34" s="321">
        <f>A27taxvalue</f>
        <v>0</v>
      </c>
      <c r="H34" s="322">
        <f t="shared" ref="H34:M34" si="29">G34+G66+G449</f>
        <v>0</v>
      </c>
      <c r="I34" s="322">
        <f t="shared" si="29"/>
        <v>0</v>
      </c>
      <c r="J34" s="322">
        <f t="shared" si="29"/>
        <v>0</v>
      </c>
      <c r="K34" s="322">
        <f t="shared" si="29"/>
        <v>0</v>
      </c>
      <c r="L34" s="322">
        <f t="shared" si="29"/>
        <v>0</v>
      </c>
      <c r="M34" s="322">
        <f t="shared" si="29"/>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row>
    <row r="35" spans="1:61" s="192" customFormat="1" hidden="1" outlineLevel="1">
      <c r="A35" s="9"/>
      <c r="B35" s="46"/>
      <c r="C35" s="132">
        <f>Asset28</f>
        <v>0</v>
      </c>
      <c r="D35" s="9"/>
      <c r="E35" s="9"/>
      <c r="F35" s="9"/>
      <c r="G35" s="321">
        <f>A28taxvalue</f>
        <v>0</v>
      </c>
      <c r="H35" s="322">
        <f t="shared" ref="H35:M35" si="30">G35+G67+G463</f>
        <v>0</v>
      </c>
      <c r="I35" s="322">
        <f t="shared" si="30"/>
        <v>0</v>
      </c>
      <c r="J35" s="322">
        <f t="shared" si="30"/>
        <v>0</v>
      </c>
      <c r="K35" s="322">
        <f t="shared" si="30"/>
        <v>0</v>
      </c>
      <c r="L35" s="322">
        <f t="shared" si="30"/>
        <v>0</v>
      </c>
      <c r="M35" s="322">
        <f t="shared" si="30"/>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row>
    <row r="36" spans="1:61" s="192" customFormat="1" hidden="1" outlineLevel="1">
      <c r="A36" s="9"/>
      <c r="B36" s="46"/>
      <c r="C36" s="132">
        <f>Asset29</f>
        <v>0</v>
      </c>
      <c r="D36" s="9"/>
      <c r="E36" s="9"/>
      <c r="F36" s="9"/>
      <c r="G36" s="321">
        <f>A29taxvalue</f>
        <v>0</v>
      </c>
      <c r="H36" s="322">
        <f t="shared" ref="H36:M36" si="31">G36+G68+G477</f>
        <v>0</v>
      </c>
      <c r="I36" s="322">
        <f t="shared" si="31"/>
        <v>0</v>
      </c>
      <c r="J36" s="322">
        <f t="shared" si="31"/>
        <v>0</v>
      </c>
      <c r="K36" s="322">
        <f t="shared" si="31"/>
        <v>0</v>
      </c>
      <c r="L36" s="322">
        <f t="shared" si="31"/>
        <v>0</v>
      </c>
      <c r="M36" s="322">
        <f t="shared" si="31"/>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row>
    <row r="37" spans="1:61" s="192" customFormat="1" hidden="1" outlineLevel="1">
      <c r="A37" s="9"/>
      <c r="B37" s="46"/>
      <c r="C37" s="132">
        <f>Asset30</f>
        <v>0</v>
      </c>
      <c r="D37" s="9"/>
      <c r="E37" s="9"/>
      <c r="F37" s="9"/>
      <c r="G37" s="321">
        <f>A30taxvalue</f>
        <v>0</v>
      </c>
      <c r="H37" s="322">
        <f t="shared" ref="H37:M37" si="32">G37+G69+G491</f>
        <v>0</v>
      </c>
      <c r="I37" s="322">
        <f t="shared" si="32"/>
        <v>0</v>
      </c>
      <c r="J37" s="322">
        <f t="shared" si="32"/>
        <v>0</v>
      </c>
      <c r="K37" s="322">
        <f t="shared" si="32"/>
        <v>0</v>
      </c>
      <c r="L37" s="322">
        <f t="shared" si="32"/>
        <v>0</v>
      </c>
      <c r="M37" s="322">
        <f t="shared" si="32"/>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row>
    <row r="38" spans="1:61" s="192" customFormat="1" collapsed="1">
      <c r="A38" s="12"/>
      <c r="B38" s="17"/>
      <c r="C38" s="12"/>
      <c r="D38" s="12"/>
      <c r="E38" s="12"/>
      <c r="F38" s="117"/>
      <c r="G38" s="323"/>
      <c r="H38" s="324"/>
      <c r="I38" s="324"/>
      <c r="J38" s="324"/>
      <c r="K38" s="324"/>
      <c r="L38" s="324"/>
      <c r="M38" s="324"/>
      <c r="N38" s="108"/>
      <c r="O38" s="108"/>
      <c r="P38" s="108"/>
      <c r="Q38" s="108"/>
      <c r="R38" s="108"/>
      <c r="S38" s="108"/>
      <c r="T38" s="108"/>
      <c r="U38" s="108"/>
      <c r="V38" s="108"/>
      <c r="W38" s="108"/>
      <c r="X38" s="108"/>
      <c r="Y38" s="108"/>
      <c r="Z38" s="108"/>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row>
    <row r="39" spans="1:61" s="192" customFormat="1">
      <c r="A39" s="12"/>
      <c r="B39" s="46" t="s">
        <v>70</v>
      </c>
      <c r="C39" s="9"/>
      <c r="D39" s="12"/>
      <c r="E39" s="12"/>
      <c r="F39" s="117"/>
      <c r="G39" s="323">
        <f>SUM(G40:G59)</f>
        <v>29.777257953161545</v>
      </c>
      <c r="H39" s="324">
        <f t="shared" ref="H39:Q39" si="33">SUM(H40:H59)</f>
        <v>57.981568018056876</v>
      </c>
      <c r="I39" s="324">
        <f t="shared" si="33"/>
        <v>65.96754541043579</v>
      </c>
      <c r="J39" s="324">
        <f t="shared" si="33"/>
        <v>55.210296321393514</v>
      </c>
      <c r="K39" s="324">
        <f t="shared" si="33"/>
        <v>54.20489797187178</v>
      </c>
      <c r="L39" s="324">
        <f t="shared" si="33"/>
        <v>72.74564522494515</v>
      </c>
      <c r="M39" s="324">
        <f t="shared" si="33"/>
        <v>0</v>
      </c>
      <c r="N39" s="108">
        <f t="shared" si="33"/>
        <v>0</v>
      </c>
      <c r="O39" s="108">
        <f t="shared" si="33"/>
        <v>0</v>
      </c>
      <c r="P39" s="108">
        <f t="shared" si="33"/>
        <v>0</v>
      </c>
      <c r="Q39" s="108">
        <f t="shared" si="33"/>
        <v>0</v>
      </c>
      <c r="R39" s="108"/>
      <c r="S39" s="108"/>
      <c r="T39" s="108"/>
      <c r="U39" s="108"/>
      <c r="V39" s="108"/>
      <c r="W39" s="108"/>
      <c r="X39" s="108"/>
      <c r="Y39" s="108"/>
      <c r="Z39" s="108"/>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row>
    <row r="40" spans="1:61" s="192" customFormat="1" hidden="1" outlineLevel="1">
      <c r="A40" s="12"/>
      <c r="B40" s="9"/>
      <c r="C40" s="132" t="str">
        <f>Asset1</f>
        <v>Opening Distribution Assets</v>
      </c>
      <c r="D40" s="12"/>
      <c r="E40" s="12"/>
      <c r="F40" s="117"/>
      <c r="G40" s="323">
        <f>Input!G41-Input!G75</f>
        <v>29.777257953161545</v>
      </c>
      <c r="H40" s="324">
        <f>Input!H41-Input!H75</f>
        <v>0</v>
      </c>
      <c r="I40" s="324">
        <f>Input!I41-Input!I75</f>
        <v>0</v>
      </c>
      <c r="J40" s="324">
        <f>Input!J41-Input!J75</f>
        <v>0</v>
      </c>
      <c r="K40" s="324">
        <f>Input!K41-Input!K75</f>
        <v>0</v>
      </c>
      <c r="L40" s="324">
        <f>Input!L41-Input!L75</f>
        <v>0</v>
      </c>
      <c r="M40" s="324">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row>
    <row r="41" spans="1:61" s="192" customFormat="1" hidden="1" outlineLevel="1">
      <c r="A41" s="12"/>
      <c r="B41" s="46"/>
      <c r="C41" s="132" t="str">
        <f>Asset2</f>
        <v>Sub-transmission Overhead</v>
      </c>
      <c r="D41" s="12"/>
      <c r="E41" s="12"/>
      <c r="F41" s="117"/>
      <c r="G41" s="323">
        <f>Input!G42-Input!G76</f>
        <v>0</v>
      </c>
      <c r="H41" s="324">
        <f>Input!H42-Input!H76</f>
        <v>0</v>
      </c>
      <c r="I41" s="324">
        <f>Input!I42-Input!I76</f>
        <v>0</v>
      </c>
      <c r="J41" s="324">
        <f>Input!J42-Input!J76</f>
        <v>0</v>
      </c>
      <c r="K41" s="324">
        <f>Input!K42-Input!K76</f>
        <v>0</v>
      </c>
      <c r="L41" s="324">
        <f>Input!L42-Input!L76</f>
        <v>0</v>
      </c>
      <c r="M41" s="324">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row>
    <row r="42" spans="1:61" s="192" customFormat="1" hidden="1" outlineLevel="1">
      <c r="A42" s="12"/>
      <c r="B42" s="46"/>
      <c r="C42" s="132" t="str">
        <f>Asset3</f>
        <v>Sub-transmission Underground</v>
      </c>
      <c r="D42" s="12"/>
      <c r="E42" s="12"/>
      <c r="F42" s="117"/>
      <c r="G42" s="323">
        <f>Input!G43-Input!G77</f>
        <v>0</v>
      </c>
      <c r="H42" s="324">
        <f>Input!H43-Input!H77</f>
        <v>0</v>
      </c>
      <c r="I42" s="324">
        <f>Input!I43-Input!I77</f>
        <v>0</v>
      </c>
      <c r="J42" s="324">
        <f>Input!J43-Input!J77</f>
        <v>0</v>
      </c>
      <c r="K42" s="324">
        <f>Input!K43-Input!K77</f>
        <v>0</v>
      </c>
      <c r="L42" s="324">
        <f>Input!L43-Input!L77</f>
        <v>0</v>
      </c>
      <c r="M42" s="324">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row>
    <row r="43" spans="1:61" s="192" customFormat="1" hidden="1" outlineLevel="1">
      <c r="A43" s="12"/>
      <c r="B43" s="46"/>
      <c r="C43" s="132" t="str">
        <f>Asset4</f>
        <v>Zone Substation</v>
      </c>
      <c r="D43" s="12"/>
      <c r="E43" s="12"/>
      <c r="F43" s="117"/>
      <c r="G43" s="323">
        <f>Input!G44-Input!G78</f>
        <v>0</v>
      </c>
      <c r="H43" s="324">
        <f>Input!H44-Input!H78</f>
        <v>0.7930148802741549</v>
      </c>
      <c r="I43" s="324">
        <f>Input!I44-Input!I78</f>
        <v>8.09196468127041E-3</v>
      </c>
      <c r="J43" s="324">
        <f>Input!J44-Input!J78</f>
        <v>0</v>
      </c>
      <c r="K43" s="324">
        <f>Input!K44-Input!K78</f>
        <v>0.90027152663222343</v>
      </c>
      <c r="L43" s="324">
        <f>Input!L44-Input!L78</f>
        <v>0.19444697705216729</v>
      </c>
      <c r="M43" s="324">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row>
    <row r="44" spans="1:61" s="192" customFormat="1" hidden="1" outlineLevel="1">
      <c r="A44" s="12"/>
      <c r="B44" s="46"/>
      <c r="C44" s="132" t="str">
        <f>Asset5</f>
        <v>Distribution Substations</v>
      </c>
      <c r="D44" s="12"/>
      <c r="E44" s="12"/>
      <c r="F44" s="117"/>
      <c r="G44" s="323">
        <f>Input!G45-Input!G79</f>
        <v>0</v>
      </c>
      <c r="H44" s="324">
        <f>Input!H45-Input!H79</f>
        <v>12.2938196461266</v>
      </c>
      <c r="I44" s="324">
        <f>Input!I45-Input!I79</f>
        <v>16.513742674113143</v>
      </c>
      <c r="J44" s="324">
        <f>Input!J45-Input!J79</f>
        <v>14.010443735498505</v>
      </c>
      <c r="K44" s="324">
        <f>Input!K45-Input!K79</f>
        <v>12.849291809861798</v>
      </c>
      <c r="L44" s="324">
        <f>Input!L45-Input!L79</f>
        <v>13.498877705052596</v>
      </c>
      <c r="M44" s="324">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row>
    <row r="45" spans="1:61" s="192" customFormat="1" hidden="1" outlineLevel="1">
      <c r="A45" s="12"/>
      <c r="B45" s="46"/>
      <c r="C45" s="132" t="str">
        <f>Asset6</f>
        <v>Distribution Overhead Lines</v>
      </c>
      <c r="D45" s="12"/>
      <c r="E45" s="12"/>
      <c r="F45" s="117"/>
      <c r="G45" s="323">
        <f>Input!G46-Input!G80</f>
        <v>0</v>
      </c>
      <c r="H45" s="324">
        <f>Input!H46-Input!H80</f>
        <v>10.824526619999999</v>
      </c>
      <c r="I45" s="324">
        <f>Input!I46-Input!I80</f>
        <v>12.444574140000002</v>
      </c>
      <c r="J45" s="324">
        <f>Input!J46-Input!J80</f>
        <v>13.689369850000002</v>
      </c>
      <c r="K45" s="324">
        <f>Input!K46-Input!K80</f>
        <v>10.926074759999999</v>
      </c>
      <c r="L45" s="324">
        <f>Input!L46-Input!L80</f>
        <v>9.6905608855406804</v>
      </c>
      <c r="M45" s="324">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row>
    <row r="46" spans="1:61" s="192" customFormat="1" hidden="1" outlineLevel="1">
      <c r="A46" s="12"/>
      <c r="B46" s="46"/>
      <c r="C46" s="132" t="str">
        <f>Asset7</f>
        <v>Distribution Underground Lines</v>
      </c>
      <c r="D46" s="12"/>
      <c r="E46" s="12"/>
      <c r="F46" s="117"/>
      <c r="G46" s="323">
        <f>Input!G47-Input!G81</f>
        <v>0</v>
      </c>
      <c r="H46" s="324">
        <f>Input!H47-Input!H81</f>
        <v>18.977617213873398</v>
      </c>
      <c r="I46" s="324">
        <f>Input!I47-Input!I81</f>
        <v>22.42314050588686</v>
      </c>
      <c r="J46" s="324">
        <f>Input!J47-Input!J81</f>
        <v>21.434115264501493</v>
      </c>
      <c r="K46" s="324">
        <f>Input!K47-Input!K81</f>
        <v>14.000379740138197</v>
      </c>
      <c r="L46" s="324">
        <f>Input!L47-Input!L81</f>
        <v>18.202329581621413</v>
      </c>
      <c r="M46" s="324">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row>
    <row r="47" spans="1:61" s="192" customFormat="1" hidden="1" outlineLevel="1">
      <c r="A47" s="12"/>
      <c r="B47" s="46"/>
      <c r="C47" s="132" t="str">
        <f>Asset8</f>
        <v>IT &amp; Communication Systems (Networks)</v>
      </c>
      <c r="D47" s="12"/>
      <c r="E47" s="12"/>
      <c r="F47" s="117"/>
      <c r="G47" s="323">
        <f>Input!G48-Input!G82</f>
        <v>0</v>
      </c>
      <c r="H47" s="324">
        <f>Input!H48-Input!H82</f>
        <v>1.2049402011190273</v>
      </c>
      <c r="I47" s="324">
        <f>Input!I48-Input!I82</f>
        <v>0.84706399776831498</v>
      </c>
      <c r="J47" s="324">
        <f>Input!J48-Input!J82</f>
        <v>2.3803847047274296</v>
      </c>
      <c r="K47" s="324">
        <f>Input!K48-Input!K82</f>
        <v>6.3218837869471924</v>
      </c>
      <c r="L47" s="324">
        <f>Input!L48-Input!L82</f>
        <v>19.439922710773658</v>
      </c>
      <c r="M47" s="324">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row>
    <row r="48" spans="1:61" s="192" customFormat="1" hidden="1" outlineLevel="1">
      <c r="A48" s="12"/>
      <c r="B48" s="46"/>
      <c r="C48" s="132" t="str">
        <f>Asset9</f>
        <v>Motor Vehicles</v>
      </c>
      <c r="D48" s="12"/>
      <c r="E48" s="12"/>
      <c r="F48" s="117"/>
      <c r="G48" s="323">
        <f>Input!G49-Input!G83</f>
        <v>0</v>
      </c>
      <c r="H48" s="324">
        <f>Input!H49-Input!H83</f>
        <v>0</v>
      </c>
      <c r="I48" s="324">
        <f>Input!I49-Input!I83</f>
        <v>0</v>
      </c>
      <c r="J48" s="324">
        <f>Input!J49-Input!J83</f>
        <v>0.56430035826181035</v>
      </c>
      <c r="K48" s="324">
        <f>Input!K49-Input!K83</f>
        <v>4.0011670578735208</v>
      </c>
      <c r="L48" s="324">
        <f>Input!L49-Input!L83</f>
        <v>1.6323033470117705</v>
      </c>
      <c r="M48" s="324">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row>
    <row r="49" spans="1:61" s="192" customFormat="1" hidden="1" outlineLevel="1">
      <c r="A49" s="12"/>
      <c r="B49" s="46"/>
      <c r="C49" s="132" t="str">
        <f>Asset10</f>
        <v>Other Non-System Assets (Networks)</v>
      </c>
      <c r="D49" s="12"/>
      <c r="E49" s="12"/>
      <c r="F49" s="117"/>
      <c r="G49" s="323">
        <f>Input!G50-Input!G84</f>
        <v>0</v>
      </c>
      <c r="H49" s="324">
        <f>Input!H50-Input!H84</f>
        <v>0.9410589139254546</v>
      </c>
      <c r="I49" s="324">
        <f>Input!I50-Input!I84</f>
        <v>0.47735548186580218</v>
      </c>
      <c r="J49" s="324">
        <f>Input!J50-Input!J84</f>
        <v>0.3809568917879142</v>
      </c>
      <c r="K49" s="324">
        <f>Input!K50-Input!K84</f>
        <v>0.57931220299055441</v>
      </c>
      <c r="L49" s="324">
        <f>Input!L50-Input!L84</f>
        <v>0.61618149494395547</v>
      </c>
      <c r="M49" s="324">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row>
    <row r="50" spans="1:61" s="192" customFormat="1" hidden="1" outlineLevel="1">
      <c r="A50" s="12"/>
      <c r="B50" s="46"/>
      <c r="C50" s="132" t="str">
        <f>Asset11</f>
        <v>IT Systems (Corporate)</v>
      </c>
      <c r="D50" s="12"/>
      <c r="E50" s="12"/>
      <c r="F50" s="117"/>
      <c r="G50" s="323">
        <f>Input!G51-Input!G85</f>
        <v>0</v>
      </c>
      <c r="H50" s="324">
        <f>Input!H51-Input!H85</f>
        <v>0.89060567422099191</v>
      </c>
      <c r="I50" s="324">
        <f>Input!I51-Input!I85</f>
        <v>0.27018162444994143</v>
      </c>
      <c r="J50" s="324">
        <f>Input!J51-Input!J85</f>
        <v>1.391890812853448</v>
      </c>
      <c r="K50" s="324">
        <f>Input!K51-Input!K85</f>
        <v>2.7895376685951869</v>
      </c>
      <c r="L50" s="324">
        <f>Input!L51-Input!L85</f>
        <v>6.6222394305711489</v>
      </c>
      <c r="M50" s="324">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row>
    <row r="51" spans="1:61" s="192" customFormat="1" hidden="1" outlineLevel="1">
      <c r="A51" s="12"/>
      <c r="B51" s="46"/>
      <c r="C51" s="132" t="str">
        <f>Asset12</f>
        <v>Telecommunications (Corporate)</v>
      </c>
      <c r="D51" s="12"/>
      <c r="E51" s="12"/>
      <c r="F51" s="117"/>
      <c r="G51" s="323">
        <f>Input!G52-Input!G86</f>
        <v>0</v>
      </c>
      <c r="H51" s="324">
        <f>Input!H52-Input!H86</f>
        <v>0.24566978388879748</v>
      </c>
      <c r="I51" s="324">
        <f>Input!I52-Input!I86</f>
        <v>8.2214206294463119E-2</v>
      </c>
      <c r="J51" s="324">
        <f>Input!J52-Input!J86</f>
        <v>3.915934683341088E-2</v>
      </c>
      <c r="K51" s="324">
        <f>Input!K52-Input!K86</f>
        <v>5.1542831988595245E-2</v>
      </c>
      <c r="L51" s="324">
        <f>Input!L52-Input!L86</f>
        <v>0</v>
      </c>
      <c r="M51" s="324">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row>
    <row r="52" spans="1:61" s="192" customFormat="1" hidden="1" outlineLevel="1">
      <c r="A52" s="12"/>
      <c r="B52" s="46"/>
      <c r="C52" s="132" t="str">
        <f>Asset13</f>
        <v>Other Non-System Assets (Corporate)</v>
      </c>
      <c r="D52" s="12"/>
      <c r="E52" s="12"/>
      <c r="F52" s="117"/>
      <c r="G52" s="323">
        <f>Input!G53-Input!G87</f>
        <v>0</v>
      </c>
      <c r="H52" s="324">
        <f>Input!H53-Input!H87</f>
        <v>3.2530268100594033</v>
      </c>
      <c r="I52" s="324">
        <f>Input!I53-Input!I87</f>
        <v>3.8933085292096687</v>
      </c>
      <c r="J52" s="324">
        <f>Input!J53-Input!J87</f>
        <v>0.58960455432566472</v>
      </c>
      <c r="K52" s="324">
        <f>Input!K53-Input!K87</f>
        <v>0.65942909729230337</v>
      </c>
      <c r="L52" s="324">
        <f>Input!L53-Input!L87</f>
        <v>1.1511545107138581</v>
      </c>
      <c r="M52" s="324">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row>
    <row r="53" spans="1:61" s="192" customFormat="1" hidden="1" outlineLevel="1">
      <c r="A53" s="12"/>
      <c r="B53" s="46"/>
      <c r="C53" s="132" t="str">
        <f>Asset14</f>
        <v>Land</v>
      </c>
      <c r="D53" s="12"/>
      <c r="E53" s="12"/>
      <c r="F53" s="117"/>
      <c r="G53" s="323">
        <f>Input!G54-Input!G88</f>
        <v>0</v>
      </c>
      <c r="H53" s="324">
        <f>Input!H54-Input!H88</f>
        <v>2.334453146068959</v>
      </c>
      <c r="I53" s="324">
        <f>Input!I54-Input!I88</f>
        <v>0</v>
      </c>
      <c r="J53" s="324">
        <f>Input!J54-Input!J88</f>
        <v>0</v>
      </c>
      <c r="K53" s="324">
        <f>Input!K54-Input!K88</f>
        <v>0</v>
      </c>
      <c r="L53" s="324">
        <f>Input!L54-Input!L88</f>
        <v>0</v>
      </c>
      <c r="M53" s="324">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row>
    <row r="54" spans="1:61" s="192" customFormat="1" hidden="1" outlineLevel="1">
      <c r="A54" s="12"/>
      <c r="B54" s="46"/>
      <c r="C54" s="132" t="str">
        <f>Asset15</f>
        <v>Buildings</v>
      </c>
      <c r="D54" s="12"/>
      <c r="E54" s="12"/>
      <c r="F54" s="117"/>
      <c r="G54" s="323">
        <f>Input!G55-Input!G89</f>
        <v>0</v>
      </c>
      <c r="H54" s="324">
        <f>Input!H55-Input!H89</f>
        <v>5.9914696586509937</v>
      </c>
      <c r="I54" s="324">
        <f>Input!I55-Input!I89</f>
        <v>9.0078722861663163</v>
      </c>
      <c r="J54" s="324">
        <f>Input!J55-Input!J89</f>
        <v>0.73007080260382828</v>
      </c>
      <c r="K54" s="324">
        <f>Input!K55-Input!K89</f>
        <v>1.1260074895522101</v>
      </c>
      <c r="L54" s="324">
        <f>Input!L55-Input!L89</f>
        <v>1.6976285816639094</v>
      </c>
      <c r="M54" s="324">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row>
    <row r="55" spans="1:61" s="192" customFormat="1" hidden="1" outlineLevel="1">
      <c r="A55" s="12"/>
      <c r="B55" s="46"/>
      <c r="C55" s="132" t="str">
        <f>Asset16</f>
        <v>Equity raising costs</v>
      </c>
      <c r="D55" s="12"/>
      <c r="E55" s="12"/>
      <c r="F55" s="117"/>
      <c r="G55" s="323">
        <f>Input!G56-Input!G90</f>
        <v>0</v>
      </c>
      <c r="H55" s="324">
        <f>Input!H56-Input!H90</f>
        <v>0.23136546984909195</v>
      </c>
      <c r="I55" s="324">
        <f>Input!I56-Input!I90</f>
        <v>0</v>
      </c>
      <c r="J55" s="324">
        <f>Input!J56-Input!J90</f>
        <v>0</v>
      </c>
      <c r="K55" s="324">
        <f>Input!K56-Input!K90</f>
        <v>0</v>
      </c>
      <c r="L55" s="324">
        <f>Input!L56-Input!L90</f>
        <v>0</v>
      </c>
      <c r="M55" s="324">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row>
    <row r="56" spans="1:61" s="192" customFormat="1" hidden="1" outlineLevel="1">
      <c r="A56" s="12"/>
      <c r="B56" s="46"/>
      <c r="C56" s="132">
        <f>Asset17</f>
        <v>0</v>
      </c>
      <c r="D56" s="12"/>
      <c r="E56" s="12"/>
      <c r="F56" s="117"/>
      <c r="G56" s="323">
        <f>Input!G57-Input!G91</f>
        <v>0</v>
      </c>
      <c r="H56" s="324">
        <f>Input!H57-Input!H91</f>
        <v>0</v>
      </c>
      <c r="I56" s="324">
        <f>Input!I57-Input!I91</f>
        <v>0</v>
      </c>
      <c r="J56" s="324">
        <f>Input!J57-Input!J91</f>
        <v>0</v>
      </c>
      <c r="K56" s="324">
        <f>Input!K57-Input!K91</f>
        <v>0</v>
      </c>
      <c r="L56" s="324">
        <f>Input!L57-Input!L91</f>
        <v>0</v>
      </c>
      <c r="M56" s="324">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row>
    <row r="57" spans="1:61" s="192" customFormat="1" hidden="1" outlineLevel="1">
      <c r="A57" s="12"/>
      <c r="B57" s="46"/>
      <c r="C57" s="132">
        <f>Asset18</f>
        <v>0</v>
      </c>
      <c r="D57" s="12"/>
      <c r="E57" s="12"/>
      <c r="F57" s="117"/>
      <c r="G57" s="323">
        <f>Input!G58-Input!G92</f>
        <v>0</v>
      </c>
      <c r="H57" s="324">
        <f>Input!H58-Input!H92</f>
        <v>0</v>
      </c>
      <c r="I57" s="324">
        <f>Input!I58-Input!I92</f>
        <v>0</v>
      </c>
      <c r="J57" s="324">
        <f>Input!J58-Input!J92</f>
        <v>0</v>
      </c>
      <c r="K57" s="324">
        <f>Input!K58-Input!K92</f>
        <v>0</v>
      </c>
      <c r="L57" s="324">
        <f>Input!L58-Input!L92</f>
        <v>0</v>
      </c>
      <c r="M57" s="324">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row>
    <row r="58" spans="1:61" s="192" customFormat="1" hidden="1" outlineLevel="1">
      <c r="A58" s="12"/>
      <c r="B58" s="46"/>
      <c r="C58" s="132">
        <f>Asset19</f>
        <v>0</v>
      </c>
      <c r="D58" s="12"/>
      <c r="E58" s="12"/>
      <c r="F58" s="117"/>
      <c r="G58" s="323">
        <f>Input!G59-Input!G93</f>
        <v>0</v>
      </c>
      <c r="H58" s="324">
        <f>Input!H59-Input!H93</f>
        <v>0</v>
      </c>
      <c r="I58" s="324">
        <f>Input!I59-Input!I93</f>
        <v>0</v>
      </c>
      <c r="J58" s="324">
        <f>Input!J59-Input!J93</f>
        <v>0</v>
      </c>
      <c r="K58" s="324">
        <f>Input!K59-Input!K93</f>
        <v>0</v>
      </c>
      <c r="L58" s="324">
        <f>Input!L59-Input!L93</f>
        <v>0</v>
      </c>
      <c r="M58" s="324">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row>
    <row r="59" spans="1:61" s="192" customFormat="1" hidden="1" outlineLevel="1">
      <c r="A59" s="12"/>
      <c r="B59" s="46"/>
      <c r="C59" s="132">
        <f>Asset20</f>
        <v>0</v>
      </c>
      <c r="D59" s="12"/>
      <c r="E59" s="12"/>
      <c r="F59" s="117"/>
      <c r="G59" s="323">
        <f>Input!G60-Input!G94</f>
        <v>0</v>
      </c>
      <c r="H59" s="324">
        <f>Input!H60-Input!H94</f>
        <v>0</v>
      </c>
      <c r="I59" s="324">
        <f>Input!I60-Input!I94</f>
        <v>0</v>
      </c>
      <c r="J59" s="324">
        <f>Input!J60-Input!J94</f>
        <v>0</v>
      </c>
      <c r="K59" s="324">
        <f>Input!K60-Input!K94</f>
        <v>0</v>
      </c>
      <c r="L59" s="324">
        <f>Input!L60-Input!L94</f>
        <v>0</v>
      </c>
      <c r="M59" s="324">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row>
    <row r="60" spans="1:61" s="192" customFormat="1" hidden="1" outlineLevel="1">
      <c r="A60" s="12"/>
      <c r="B60" s="46"/>
      <c r="C60" s="132">
        <f>Asset21</f>
        <v>0</v>
      </c>
      <c r="D60" s="12"/>
      <c r="E60" s="12"/>
      <c r="F60" s="117"/>
      <c r="G60" s="323">
        <f>Input!G61-Input!G95</f>
        <v>0</v>
      </c>
      <c r="H60" s="324">
        <f>Input!H61-Input!H95</f>
        <v>0</v>
      </c>
      <c r="I60" s="324">
        <f>Input!I61-Input!I95</f>
        <v>0</v>
      </c>
      <c r="J60" s="324">
        <f>Input!J61-Input!J95</f>
        <v>0</v>
      </c>
      <c r="K60" s="324">
        <f>Input!K61-Input!K95</f>
        <v>0</v>
      </c>
      <c r="L60" s="324">
        <f>Input!L61-Input!L95</f>
        <v>0</v>
      </c>
      <c r="M60" s="324">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row>
    <row r="61" spans="1:61" s="192" customFormat="1" hidden="1" outlineLevel="1">
      <c r="A61" s="12"/>
      <c r="B61" s="46"/>
      <c r="C61" s="132">
        <f>Asset22</f>
        <v>0</v>
      </c>
      <c r="D61" s="12"/>
      <c r="E61" s="12"/>
      <c r="F61" s="117"/>
      <c r="G61" s="323">
        <f>Input!G62-Input!G96</f>
        <v>0</v>
      </c>
      <c r="H61" s="324">
        <f>Input!H62-Input!H96</f>
        <v>0</v>
      </c>
      <c r="I61" s="324">
        <f>Input!I62-Input!I96</f>
        <v>0</v>
      </c>
      <c r="J61" s="324">
        <f>Input!J62-Input!J96</f>
        <v>0</v>
      </c>
      <c r="K61" s="324">
        <f>Input!K62-Input!K96</f>
        <v>0</v>
      </c>
      <c r="L61" s="324">
        <f>Input!L62-Input!L96</f>
        <v>0</v>
      </c>
      <c r="M61" s="324">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row>
    <row r="62" spans="1:61" s="192" customFormat="1" hidden="1" outlineLevel="1">
      <c r="A62" s="12"/>
      <c r="B62" s="46"/>
      <c r="C62" s="132">
        <f>Asset23</f>
        <v>0</v>
      </c>
      <c r="D62" s="12"/>
      <c r="E62" s="12"/>
      <c r="F62" s="117"/>
      <c r="G62" s="323">
        <f>Input!G63-Input!G97</f>
        <v>0</v>
      </c>
      <c r="H62" s="324">
        <f>Input!H63-Input!H97</f>
        <v>0</v>
      </c>
      <c r="I62" s="324">
        <f>Input!I63-Input!I97</f>
        <v>0</v>
      </c>
      <c r="J62" s="324">
        <f>Input!J63-Input!J97</f>
        <v>0</v>
      </c>
      <c r="K62" s="324">
        <f>Input!K63-Input!K97</f>
        <v>0</v>
      </c>
      <c r="L62" s="324">
        <f>Input!L63-Input!L97</f>
        <v>0</v>
      </c>
      <c r="M62" s="324">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row>
    <row r="63" spans="1:61" s="192" customFormat="1" hidden="1" outlineLevel="1">
      <c r="A63" s="12"/>
      <c r="B63" s="46"/>
      <c r="C63" s="132">
        <f>Asset24</f>
        <v>0</v>
      </c>
      <c r="D63" s="12"/>
      <c r="E63" s="12"/>
      <c r="F63" s="117"/>
      <c r="G63" s="323">
        <f>Input!G64-Input!G98</f>
        <v>0</v>
      </c>
      <c r="H63" s="324">
        <f>Input!H64-Input!H98</f>
        <v>0</v>
      </c>
      <c r="I63" s="324">
        <f>Input!I64-Input!I98</f>
        <v>0</v>
      </c>
      <c r="J63" s="324">
        <f>Input!J64-Input!J98</f>
        <v>0</v>
      </c>
      <c r="K63" s="324">
        <f>Input!K64-Input!K98</f>
        <v>0</v>
      </c>
      <c r="L63" s="324">
        <f>Input!L64-Input!L98</f>
        <v>0</v>
      </c>
      <c r="M63" s="324">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row>
    <row r="64" spans="1:61" s="192" customFormat="1" hidden="1" outlineLevel="1">
      <c r="A64" s="12"/>
      <c r="B64" s="46"/>
      <c r="C64" s="132">
        <f>Asset25</f>
        <v>0</v>
      </c>
      <c r="D64" s="12"/>
      <c r="E64" s="12"/>
      <c r="F64" s="117"/>
      <c r="G64" s="323">
        <f>Input!G65-Input!G99</f>
        <v>0</v>
      </c>
      <c r="H64" s="324">
        <f>Input!H65-Input!H99</f>
        <v>0</v>
      </c>
      <c r="I64" s="324">
        <f>Input!I65-Input!I99</f>
        <v>0</v>
      </c>
      <c r="J64" s="324">
        <f>Input!J65-Input!J99</f>
        <v>0</v>
      </c>
      <c r="K64" s="324">
        <f>Input!K65-Input!K99</f>
        <v>0</v>
      </c>
      <c r="L64" s="324">
        <f>Input!L65-Input!L99</f>
        <v>0</v>
      </c>
      <c r="M64" s="324">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row>
    <row r="65" spans="1:61" s="192" customFormat="1" hidden="1" outlineLevel="1">
      <c r="A65" s="12"/>
      <c r="B65" s="46"/>
      <c r="C65" s="132">
        <f>Asset26</f>
        <v>0</v>
      </c>
      <c r="D65" s="12"/>
      <c r="E65" s="12"/>
      <c r="F65" s="117"/>
      <c r="G65" s="323">
        <f>Input!G66-Input!G100</f>
        <v>0</v>
      </c>
      <c r="H65" s="324">
        <f>Input!H66-Input!H100</f>
        <v>0</v>
      </c>
      <c r="I65" s="324">
        <f>Input!I66-Input!I100</f>
        <v>0</v>
      </c>
      <c r="J65" s="324">
        <f>Input!J66-Input!J100</f>
        <v>0</v>
      </c>
      <c r="K65" s="324">
        <f>Input!K66-Input!K100</f>
        <v>0</v>
      </c>
      <c r="L65" s="324">
        <f>Input!L66-Input!L100</f>
        <v>0</v>
      </c>
      <c r="M65" s="324">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row>
    <row r="66" spans="1:61" s="192" customFormat="1" hidden="1" outlineLevel="1">
      <c r="A66" s="12"/>
      <c r="B66" s="46"/>
      <c r="C66" s="132">
        <f>Asset27</f>
        <v>0</v>
      </c>
      <c r="D66" s="12"/>
      <c r="E66" s="12"/>
      <c r="F66" s="117"/>
      <c r="G66" s="323">
        <f>Input!G67-Input!G101</f>
        <v>0</v>
      </c>
      <c r="H66" s="324">
        <f>Input!H67-Input!H101</f>
        <v>0</v>
      </c>
      <c r="I66" s="324">
        <f>Input!I67-Input!I101</f>
        <v>0</v>
      </c>
      <c r="J66" s="324">
        <f>Input!J67-Input!J101</f>
        <v>0</v>
      </c>
      <c r="K66" s="324">
        <f>Input!K67-Input!K101</f>
        <v>0</v>
      </c>
      <c r="L66" s="324">
        <f>Input!L67-Input!L101</f>
        <v>0</v>
      </c>
      <c r="M66" s="324">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row>
    <row r="67" spans="1:61" s="192" customFormat="1" hidden="1" outlineLevel="1">
      <c r="A67" s="12"/>
      <c r="B67" s="46"/>
      <c r="C67" s="132">
        <f>Asset28</f>
        <v>0</v>
      </c>
      <c r="D67" s="12"/>
      <c r="E67" s="12"/>
      <c r="F67" s="117"/>
      <c r="G67" s="323">
        <f>Input!G68-Input!G102</f>
        <v>0</v>
      </c>
      <c r="H67" s="324">
        <f>Input!H68-Input!H102</f>
        <v>0</v>
      </c>
      <c r="I67" s="324">
        <f>Input!I68-Input!I102</f>
        <v>0</v>
      </c>
      <c r="J67" s="324">
        <f>Input!J68-Input!J102</f>
        <v>0</v>
      </c>
      <c r="K67" s="324">
        <f>Input!K68-Input!K102</f>
        <v>0</v>
      </c>
      <c r="L67" s="324">
        <f>Input!L68-Input!L102</f>
        <v>0</v>
      </c>
      <c r="M67" s="324">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row>
    <row r="68" spans="1:61" s="192" customFormat="1" hidden="1" outlineLevel="1">
      <c r="A68" s="12"/>
      <c r="B68" s="46"/>
      <c r="C68" s="132">
        <f>Asset29</f>
        <v>0</v>
      </c>
      <c r="D68" s="12"/>
      <c r="E68" s="12"/>
      <c r="F68" s="117"/>
      <c r="G68" s="323">
        <f>Input!G69-Input!G103</f>
        <v>0</v>
      </c>
      <c r="H68" s="324">
        <f>Input!H69-Input!H103</f>
        <v>0</v>
      </c>
      <c r="I68" s="324">
        <f>Input!I69-Input!I103</f>
        <v>0</v>
      </c>
      <c r="J68" s="324">
        <f>Input!J69-Input!J103</f>
        <v>0</v>
      </c>
      <c r="K68" s="324">
        <f>Input!K69-Input!K103</f>
        <v>0</v>
      </c>
      <c r="L68" s="324">
        <f>Input!L69-Input!L103</f>
        <v>0</v>
      </c>
      <c r="M68" s="324">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row>
    <row r="69" spans="1:61" s="192" customFormat="1" hidden="1" outlineLevel="1">
      <c r="A69" s="12"/>
      <c r="B69" s="46"/>
      <c r="C69" s="132">
        <f>Asset30</f>
        <v>0</v>
      </c>
      <c r="D69" s="12"/>
      <c r="E69" s="12"/>
      <c r="F69" s="117"/>
      <c r="G69" s="323">
        <f>Input!G70-Input!G104</f>
        <v>0</v>
      </c>
      <c r="H69" s="324">
        <f>Input!H70-Input!H104</f>
        <v>0</v>
      </c>
      <c r="I69" s="324">
        <f>Input!I70-Input!I104</f>
        <v>0</v>
      </c>
      <c r="J69" s="324">
        <f>Input!J70-Input!J104</f>
        <v>0</v>
      </c>
      <c r="K69" s="324">
        <f>Input!K70-Input!K104</f>
        <v>0</v>
      </c>
      <c r="L69" s="324">
        <f>Input!L70-Input!L104</f>
        <v>0</v>
      </c>
      <c r="M69" s="324">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row>
    <row r="70" spans="1:61" s="192" customFormat="1" collapsed="1">
      <c r="A70" s="12"/>
      <c r="B70" s="17"/>
      <c r="C70" s="12"/>
      <c r="D70" s="12"/>
      <c r="E70" s="12"/>
      <c r="F70" s="117"/>
      <c r="G70" s="323"/>
      <c r="H70" s="324"/>
      <c r="I70" s="324"/>
      <c r="J70" s="324"/>
      <c r="K70" s="324"/>
      <c r="L70" s="324"/>
      <c r="M70" s="324"/>
      <c r="N70" s="108"/>
      <c r="O70" s="108"/>
      <c r="P70" s="108"/>
      <c r="Q70" s="108"/>
      <c r="R70" s="108"/>
      <c r="S70" s="108"/>
      <c r="T70" s="108"/>
      <c r="U70" s="108"/>
      <c r="V70" s="108"/>
      <c r="W70" s="108"/>
      <c r="X70" s="108"/>
      <c r="Y70" s="108"/>
      <c r="Z70" s="1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row>
    <row r="71" spans="1:61" s="192" customFormat="1">
      <c r="A71" s="9"/>
      <c r="B71" s="9" t="s">
        <v>73</v>
      </c>
      <c r="C71" s="9"/>
      <c r="D71" s="9"/>
      <c r="E71" s="9"/>
      <c r="F71" s="23"/>
      <c r="G71" s="323">
        <f>G85+G99+G113+G127+G141+G155+G169+G183+G197+G211+G225+G239+G253+G267+G281+G295+G309+G323+G337+G351</f>
        <v>-16.83492004642611</v>
      </c>
      <c r="H71" s="325">
        <f t="shared" ref="H71:Q71" si="34">H85+H99+H113+H127+H141+H155+H169+H183+H197+H211+H225+H239+H253+H267+H281+H295+H309+H323+H337+H351</f>
        <v>-17.502247543119168</v>
      </c>
      <c r="I71" s="325">
        <f t="shared" si="34"/>
        <v>-19.621963994858302</v>
      </c>
      <c r="J71" s="325">
        <f t="shared" si="34"/>
        <v>-21.77831187318527</v>
      </c>
      <c r="K71" s="325">
        <f t="shared" si="34"/>
        <v>-23.691792074993394</v>
      </c>
      <c r="L71" s="325">
        <f t="shared" si="34"/>
        <v>-26.6055734811085</v>
      </c>
      <c r="M71" s="325">
        <f>M85+M99+M113+M127+M141+M155+M169+M183+M197+M211+M225+M239+M253+M267+M281+M295+M309+M323+M337+M351</f>
        <v>0</v>
      </c>
      <c r="N71" s="121">
        <f t="shared" si="34"/>
        <v>0</v>
      </c>
      <c r="O71" s="121">
        <f t="shared" si="34"/>
        <v>0</v>
      </c>
      <c r="P71" s="121">
        <f t="shared" si="34"/>
        <v>0</v>
      </c>
      <c r="Q71" s="121">
        <f t="shared" si="34"/>
        <v>0</v>
      </c>
      <c r="R71" s="114"/>
      <c r="S71" s="195"/>
      <c r="T71" s="195"/>
      <c r="U71" s="195"/>
      <c r="V71" s="195"/>
      <c r="W71" s="195"/>
      <c r="X71" s="195"/>
      <c r="Y71" s="195"/>
      <c r="Z71" s="195"/>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61" s="192" customFormat="1" ht="12.75" hidden="1" customHeight="1" outlineLevel="2">
      <c r="A72" s="9"/>
      <c r="B72" s="32" t="str">
        <f>Asset1</f>
        <v>Opening Distribution Assets</v>
      </c>
      <c r="C72" s="33"/>
      <c r="D72" s="34" t="s">
        <v>69</v>
      </c>
      <c r="E72" s="33"/>
      <c r="F72" s="35"/>
      <c r="G72" s="210">
        <f>IF(G$3&gt;A1taxremlife,A1taxvalue-SUM($F72:F72),IF(A1taxremlife="N/A","n/a",A1taxvalue/A1taxremlife))</f>
        <v>16.83492004642611</v>
      </c>
      <c r="H72" s="69">
        <f>IF(H$3&gt;A1taxremlife,A1taxvalue-SUM($F72:G72),IF(A1taxremlife="N/A","n/a",A1taxvalue/A1taxremlife))</f>
        <v>16.83492004642611</v>
      </c>
      <c r="I72" s="69">
        <f>IF(I$3&gt;A1taxremlife,A1taxvalue-SUM($F72:H72),IF(A1taxremlife="N/A","n/a",A1taxvalue/A1taxremlife))</f>
        <v>16.83492004642611</v>
      </c>
      <c r="J72" s="69">
        <f>IF(J$3&gt;A1taxremlife,A1taxvalue-SUM($F72:I72),IF(A1taxremlife="N/A","n/a",A1taxvalue/A1taxremlife))</f>
        <v>16.83492004642611</v>
      </c>
      <c r="K72" s="69">
        <f>IF(K$3&gt;A1taxremlife,A1taxvalue-SUM($F72:J72),IF(A1taxremlife="N/A","n/a",A1taxvalue/A1taxremlife))</f>
        <v>16.83492004642611</v>
      </c>
      <c r="L72" s="69">
        <f>IF(L$3&gt;A1taxremlife,A1taxvalue-SUM($F72:K72),IF(A1taxremlife="N/A","n/a",A1taxvalue/A1taxremlife))</f>
        <v>16.83492004642611</v>
      </c>
      <c r="M72" s="69">
        <f>IF(M$3&gt;A1taxremlife,A1taxvalue-SUM($F72:L72),IF(A1taxremlife="N/A","n/a",A1taxvalue/A1taxremlife))</f>
        <v>16.83492004642611</v>
      </c>
      <c r="N72" s="69">
        <f>IF(N$3&gt;A1taxremlife,A1taxvalue-SUM($F72:M72),IF(A1taxremlife="N/A","n/a",A1taxvalue/A1taxremlife))</f>
        <v>16.83492004642611</v>
      </c>
      <c r="O72" s="69">
        <f>IF(O$3&gt;A1taxremlife,A1taxvalue-SUM($F72:N72),IF(A1taxremlife="N/A","n/a",A1taxvalue/A1taxremlife))</f>
        <v>16.83492004642611</v>
      </c>
      <c r="P72" s="69">
        <f>IF(P$3&gt;A1taxremlife,A1taxvalue-SUM($F72:O72),IF(A1taxremlife="N/A","n/a",A1taxvalue/A1taxremlife))</f>
        <v>16.83492004642611</v>
      </c>
      <c r="Q72" s="69">
        <f>IF(Q$3&gt;A1taxremlife,A1taxvalue-SUM($F72:P72),IF(A1taxremlife="N/A","n/a",A1taxvalue/A1taxremlife))</f>
        <v>16.83492004642611</v>
      </c>
      <c r="R72" s="69"/>
      <c r="S72" s="105"/>
      <c r="T72" s="105"/>
      <c r="U72" s="105"/>
      <c r="V72" s="105"/>
      <c r="W72" s="105"/>
      <c r="X72" s="105"/>
      <c r="Y72" s="105"/>
      <c r="Z72" s="105"/>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row>
    <row r="73" spans="1:61" s="192" customFormat="1" ht="12.75" hidden="1" customHeight="1" outlineLevel="2">
      <c r="A73" s="9"/>
      <c r="B73" s="26"/>
      <c r="C73" s="25"/>
      <c r="D73" s="335" t="s">
        <v>87</v>
      </c>
      <c r="E73" s="88">
        <v>0</v>
      </c>
      <c r="F73" s="27"/>
      <c r="G73" s="211"/>
      <c r="H73" s="70"/>
      <c r="I73" s="70"/>
      <c r="J73" s="70"/>
      <c r="K73" s="70"/>
      <c r="L73" s="70"/>
      <c r="M73" s="70"/>
      <c r="N73" s="70"/>
      <c r="O73" s="70"/>
      <c r="P73" s="70"/>
      <c r="Q73" s="70"/>
      <c r="R73" s="70"/>
      <c r="S73" s="105"/>
      <c r="T73" s="105"/>
      <c r="U73" s="105"/>
      <c r="V73" s="105"/>
      <c r="W73" s="105"/>
      <c r="X73" s="105"/>
      <c r="Y73" s="105"/>
      <c r="Z73" s="105"/>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row>
    <row r="74" spans="1:61" s="192" customFormat="1" ht="12.75" hidden="1" customHeight="1" outlineLevel="2">
      <c r="A74" s="9"/>
      <c r="B74" s="26"/>
      <c r="C74" s="25"/>
      <c r="D74" s="336"/>
      <c r="E74" s="88">
        <v>1</v>
      </c>
      <c r="F74" s="27"/>
      <c r="G74" s="212"/>
      <c r="H74" s="70">
        <f>IF(A1taxstdlife="n/a","n/a",IF(H$3&gt;(A1taxstdlife+$E74),(Input!$G$41-Input!$G$75)-SUM($G74:G74),(Input!$G$41-Input!$G$75)/A1taxstdlife))</f>
        <v>0.66732749669305669</v>
      </c>
      <c r="I74" s="70">
        <f>IF(A1taxstdlife="n/a","n/a",IF(I$3&gt;(A1taxstdlife+$E74),(Input!$G$41-Input!$G$75)-SUM($G74:H74),(Input!$G$41-Input!$G$75)/A1taxstdlife))</f>
        <v>0.66732749669305669</v>
      </c>
      <c r="J74" s="70">
        <f>IF(A1taxstdlife="n/a","n/a",IF(J$3&gt;(A1taxstdlife+$E74),(Input!$G$41-Input!$G$75)-SUM($G74:I74),(Input!$G$41-Input!$G$75)/A1taxstdlife))</f>
        <v>0.66732749669305669</v>
      </c>
      <c r="K74" s="70">
        <f>IF(A1taxstdlife="n/a","n/a",IF(K$3&gt;(A1taxstdlife+$E74),(Input!$G$41-Input!$G$75)-SUM($G74:J74),(Input!$G$41-Input!$G$75)/A1taxstdlife))</f>
        <v>0.66732749669305669</v>
      </c>
      <c r="L74" s="70">
        <f>IF(A1taxstdlife="n/a","n/a",IF(L$3&gt;(A1taxstdlife+$E74),(Input!$G$41-Input!$G$75)-SUM($G74:K74),(Input!$G$41-Input!$G$75)/A1taxstdlife))</f>
        <v>0.66732749669305669</v>
      </c>
      <c r="M74" s="70">
        <f>IF(A1taxstdlife="n/a","n/a",IF(M$3&gt;(A1taxstdlife+$E74),(Input!$G$41-Input!$G$75)-SUM($G74:L74),(Input!$G$41-Input!$G$75)/A1taxstdlife))</f>
        <v>0.66732749669305669</v>
      </c>
      <c r="N74" s="70">
        <f>IF(A1taxstdlife="n/a","n/a",IF(N$3&gt;(A1taxstdlife+$E74),(Input!$G$41-Input!$G$75)-SUM($G74:M74),(Input!$G$41-Input!$G$75)/A1taxstdlife))</f>
        <v>0.66732749669305669</v>
      </c>
      <c r="O74" s="70">
        <f>IF(A1taxstdlife="n/a","n/a",IF(O$3&gt;(A1taxstdlife+$E74),(Input!$G$41-Input!$G$75)-SUM($G74:N74),(Input!$G$41-Input!$G$75)/A1taxstdlife))</f>
        <v>0.66732749669305669</v>
      </c>
      <c r="P74" s="70">
        <f>IF(A1taxstdlife="n/a","n/a",IF(P$3&gt;(A1taxstdlife+$E74),(Input!$G$41-Input!$G$75)-SUM($G74:O74),(Input!$G$41-Input!$G$75)/A1taxstdlife))</f>
        <v>0.66732749669305669</v>
      </c>
      <c r="Q74" s="70">
        <f>IF(A1taxstdlife="n/a","n/a",IF(Q$3&gt;(A1taxstdlife+$E74),(Input!$G$41-Input!$G$75)-SUM($G74:P74),(Input!$G$41-Input!$G$75)/A1taxstdlife))</f>
        <v>0.66732749669305669</v>
      </c>
      <c r="R74" s="70"/>
      <c r="S74" s="105"/>
      <c r="T74" s="248"/>
      <c r="U74" s="105"/>
      <c r="V74" s="105"/>
      <c r="W74" s="105"/>
      <c r="X74" s="105"/>
      <c r="Y74" s="105"/>
      <c r="Z74" s="105"/>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row>
    <row r="75" spans="1:61" s="192" customFormat="1" ht="12.75" hidden="1" customHeight="1" outlineLevel="2">
      <c r="A75" s="9"/>
      <c r="B75" s="26"/>
      <c r="C75" s="25"/>
      <c r="D75" s="336"/>
      <c r="E75" s="88">
        <v>2</v>
      </c>
      <c r="F75" s="27"/>
      <c r="G75" s="213"/>
      <c r="H75" s="151"/>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row>
    <row r="76" spans="1:61" s="192" customFormat="1" ht="12.75" hidden="1" customHeight="1" outlineLevel="2">
      <c r="A76" s="9"/>
      <c r="B76" s="26"/>
      <c r="C76" s="25"/>
      <c r="D76" s="336"/>
      <c r="E76" s="88">
        <v>3</v>
      </c>
      <c r="F76" s="27"/>
      <c r="G76" s="213"/>
      <c r="H76" s="152"/>
      <c r="I76" s="151"/>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row>
    <row r="77" spans="1:61" s="192" customFormat="1" ht="12.75" hidden="1" customHeight="1" outlineLevel="2">
      <c r="A77" s="9"/>
      <c r="B77" s="26"/>
      <c r="C77" s="25"/>
      <c r="D77" s="336"/>
      <c r="E77" s="88">
        <v>4</v>
      </c>
      <c r="F77" s="27"/>
      <c r="G77" s="213"/>
      <c r="H77" s="152"/>
      <c r="I77" s="152"/>
      <c r="J77" s="151"/>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row>
    <row r="78" spans="1:61" s="192" customFormat="1" ht="12.75" hidden="1" customHeight="1" outlineLevel="2">
      <c r="A78" s="9"/>
      <c r="B78" s="26"/>
      <c r="C78" s="25"/>
      <c r="D78" s="336"/>
      <c r="E78" s="88">
        <v>5</v>
      </c>
      <c r="F78" s="27"/>
      <c r="G78" s="213"/>
      <c r="H78" s="152"/>
      <c r="I78" s="152"/>
      <c r="J78" s="152"/>
      <c r="K78" s="151"/>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row>
    <row r="79" spans="1:61" s="192" customFormat="1" ht="12.75" hidden="1" customHeight="1" outlineLevel="2">
      <c r="A79" s="9"/>
      <c r="B79" s="26"/>
      <c r="C79" s="25"/>
      <c r="D79" s="336"/>
      <c r="E79" s="88">
        <v>6</v>
      </c>
      <c r="F79" s="27"/>
      <c r="G79" s="213"/>
      <c r="H79" s="152"/>
      <c r="I79" s="152"/>
      <c r="J79" s="152"/>
      <c r="K79" s="152"/>
      <c r="L79" s="151"/>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row>
    <row r="80" spans="1:61" s="192" customFormat="1" ht="12.75" hidden="1" customHeight="1" outlineLevel="2">
      <c r="A80" s="9"/>
      <c r="B80" s="26"/>
      <c r="C80" s="25"/>
      <c r="D80" s="336"/>
      <c r="E80" s="88">
        <v>7</v>
      </c>
      <c r="F80" s="27"/>
      <c r="G80" s="213"/>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row>
    <row r="81" spans="1:62" s="192" customFormat="1" ht="12.75" hidden="1" customHeight="1" outlineLevel="2">
      <c r="A81" s="9"/>
      <c r="B81" s="26"/>
      <c r="C81" s="25"/>
      <c r="D81" s="336"/>
      <c r="E81" s="88">
        <v>8</v>
      </c>
      <c r="F81" s="27"/>
      <c r="G81" s="213"/>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row>
    <row r="82" spans="1:62" s="192" customFormat="1" ht="12.75" hidden="1" customHeight="1" outlineLevel="2">
      <c r="A82" s="9"/>
      <c r="B82" s="26"/>
      <c r="C82" s="25"/>
      <c r="D82" s="336"/>
      <c r="E82" s="88">
        <v>9</v>
      </c>
      <c r="F82" s="27"/>
      <c r="G82" s="213"/>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row>
    <row r="83" spans="1:62" s="192" customFormat="1" ht="12.75" hidden="1" customHeight="1" outlineLevel="2">
      <c r="A83" s="9"/>
      <c r="B83" s="26"/>
      <c r="C83" s="25"/>
      <c r="D83" s="336"/>
      <c r="E83" s="88">
        <v>10</v>
      </c>
      <c r="F83" s="27"/>
      <c r="G83" s="213"/>
      <c r="H83" s="152"/>
      <c r="I83" s="152"/>
      <c r="J83" s="152"/>
      <c r="K83" s="152"/>
      <c r="L83" s="152"/>
      <c r="M83" s="152"/>
      <c r="N83" s="152"/>
      <c r="O83" s="152"/>
      <c r="P83" s="151"/>
      <c r="Q83" s="70">
        <f>IF(A1taxstdlife="n/a","n/a",IF(Q$3&gt;(A1taxstdlife+$E83),(Input!$P$41-Input!$P$75)-SUM($P83:P83),(Input!$P$41-Input!$P$75)/A1taxstdlife))</f>
        <v>0</v>
      </c>
      <c r="R83" s="70"/>
      <c r="S83" s="105"/>
      <c r="T83" s="105"/>
      <c r="U83" s="105"/>
      <c r="V83" s="105"/>
      <c r="W83" s="105"/>
      <c r="X83" s="105"/>
      <c r="Y83" s="105"/>
      <c r="Z83" s="105"/>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row>
    <row r="84" spans="1:62" s="192" customFormat="1" ht="12.75" hidden="1" customHeight="1" outlineLevel="2">
      <c r="A84" s="9"/>
      <c r="B84" s="26"/>
      <c r="C84" s="25"/>
      <c r="D84" s="336"/>
      <c r="E84" s="89">
        <v>11</v>
      </c>
      <c r="F84" s="27"/>
      <c r="G84" s="213"/>
      <c r="H84" s="152"/>
      <c r="I84" s="152"/>
      <c r="J84" s="152"/>
      <c r="K84" s="152"/>
      <c r="L84" s="152"/>
      <c r="M84" s="152"/>
      <c r="N84" s="152"/>
      <c r="O84" s="152"/>
      <c r="P84" s="194"/>
      <c r="Q84" s="151"/>
      <c r="R84" s="70"/>
      <c r="S84" s="105"/>
      <c r="T84" s="105"/>
      <c r="U84" s="105"/>
      <c r="V84" s="105"/>
      <c r="W84" s="105"/>
      <c r="X84" s="105"/>
      <c r="Y84" s="105"/>
      <c r="Z84" s="105"/>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row>
    <row r="85" spans="1:62" s="192" customFormat="1" hidden="1" outlineLevel="1" collapsed="1">
      <c r="A85" s="9"/>
      <c r="B85" s="9"/>
      <c r="C85" s="26" t="str">
        <f>Asset1</f>
        <v>Opening Distribution Assets</v>
      </c>
      <c r="D85" s="9"/>
      <c r="E85" s="9"/>
      <c r="F85" s="23"/>
      <c r="G85" s="214">
        <f t="shared" ref="G85:L85" si="35">-SUM(G72:G84)</f>
        <v>-16.83492004642611</v>
      </c>
      <c r="H85" s="168">
        <f t="shared" si="35"/>
        <v>-17.502247543119168</v>
      </c>
      <c r="I85" s="168">
        <f t="shared" si="35"/>
        <v>-17.502247543119168</v>
      </c>
      <c r="J85" s="168">
        <f t="shared" si="35"/>
        <v>-17.502247543119168</v>
      </c>
      <c r="K85" s="168">
        <f t="shared" si="35"/>
        <v>-17.502247543119168</v>
      </c>
      <c r="L85" s="168">
        <f t="shared" si="35"/>
        <v>-17.502247543119168</v>
      </c>
      <c r="M85" s="168">
        <f>IF(Input!M173&gt;0, -SUM(M72:M84), 0)</f>
        <v>0</v>
      </c>
      <c r="N85" s="168">
        <f>IF(Input!N173&gt;0, -SUM(N72:N84), 0)</f>
        <v>0</v>
      </c>
      <c r="O85" s="168">
        <f>IF(Input!O173&gt;0, -SUM(O72:O84), 0)</f>
        <v>0</v>
      </c>
      <c r="P85" s="168">
        <f>IF(Input!P173&gt;0, -SUM(P72:P84), 0)</f>
        <v>0</v>
      </c>
      <c r="Q85" s="168">
        <f>IF(Input!Q173&gt;0, -SUM(Q72:Q84), 0)</f>
        <v>0</v>
      </c>
      <c r="R85" s="66"/>
      <c r="S85" s="104"/>
      <c r="T85" s="104"/>
      <c r="U85" s="104"/>
      <c r="V85" s="104"/>
      <c r="W85" s="104"/>
      <c r="X85" s="104"/>
      <c r="Y85" s="104"/>
      <c r="Z85" s="104"/>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row>
    <row r="86" spans="1:62" s="192" customFormat="1" ht="12.75" hidden="1" customHeight="1" outlineLevel="2">
      <c r="A86" s="9"/>
      <c r="B86" s="32" t="str">
        <f>Asset2</f>
        <v>Sub-transmission Overhead</v>
      </c>
      <c r="C86" s="33"/>
      <c r="D86" s="34" t="s">
        <v>69</v>
      </c>
      <c r="E86" s="33"/>
      <c r="F86" s="35"/>
      <c r="G86" s="210" t="str">
        <f>IF(G$3&gt;A2taxremlife,A2taxvalue-SUM($F86:F86),IF(A2taxremlife="N/A","n/a",A2taxvalue/A2taxremlife))</f>
        <v>n/a</v>
      </c>
      <c r="H86" s="69" t="str">
        <f>IF(H$3&gt;A2taxremlife,A2taxvalue-SUM($F86:G86),IF(A2taxremlife="N/A","n/a",A2taxvalue/A2taxremlife))</f>
        <v>n/a</v>
      </c>
      <c r="I86" s="69" t="str">
        <f>IF(I$3&gt;A2taxremlife,A2taxvalue-SUM($F86:H86),IF(A2taxremlife="N/A","n/a",A2taxvalue/A2taxremlife))</f>
        <v>n/a</v>
      </c>
      <c r="J86" s="69" t="str">
        <f>IF(J$3&gt;A2taxremlife,A2taxvalue-SUM($F86:I86),IF(A2taxremlife="N/A","n/a",A2taxvalue/A2taxremlife))</f>
        <v>n/a</v>
      </c>
      <c r="K86" s="69" t="str">
        <f>IF(K$3&gt;A2taxremlife,A2taxvalue-SUM($F86:J86),IF(A2taxremlife="N/A","n/a",A2taxvalue/A2taxremlife))</f>
        <v>n/a</v>
      </c>
      <c r="L86" s="69" t="str">
        <f>IF(L$3&gt;A2taxremlife,A2taxvalue-SUM($F86:K86),IF(A2taxremlife="N/A","n/a",A2taxvalue/A2taxremlife))</f>
        <v>n/a</v>
      </c>
      <c r="M86" s="69" t="str">
        <f>IF(M$3&gt;A2taxremlife,A2taxvalue-SUM($F86:L86),IF(A2taxremlife="N/A","n/a",A2taxvalue/A2taxremlife))</f>
        <v>n/a</v>
      </c>
      <c r="N86" s="69" t="str">
        <f>IF(N$3&gt;A2taxremlife,A2taxvalue-SUM($F86:M86),IF(A2taxremlife="N/A","n/a",A2taxvalue/A2taxremlife))</f>
        <v>n/a</v>
      </c>
      <c r="O86" s="69" t="str">
        <f>IF(O$3&gt;A2taxremlife,A2taxvalue-SUM($F86:N86),IF(A2taxremlife="N/A","n/a",A2taxvalue/A2taxremlife))</f>
        <v>n/a</v>
      </c>
      <c r="P86" s="69" t="str">
        <f>IF(P$3&gt;A2taxremlife,A2taxvalue-SUM($F86:O86),IF(A2taxremlife="N/A","n/a",A2taxvalue/A2taxremlife))</f>
        <v>n/a</v>
      </c>
      <c r="Q86" s="69" t="str">
        <f>IF(Q$3&gt;A2taxremlife,A2taxvalue-SUM($F86:P86),IF(A2taxremlife="N/A","n/a",A2taxvalue/A2taxremlife))</f>
        <v>n/a</v>
      </c>
      <c r="R86" s="69"/>
      <c r="S86" s="105"/>
      <c r="T86" s="105"/>
      <c r="U86" s="105"/>
      <c r="V86" s="105"/>
      <c r="W86" s="105"/>
      <c r="X86" s="105"/>
      <c r="Y86" s="105"/>
      <c r="Z86" s="105"/>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row>
    <row r="87" spans="1:62" s="192" customFormat="1" ht="12.75" hidden="1" customHeight="1" outlineLevel="2">
      <c r="A87" s="9"/>
      <c r="B87" s="9"/>
      <c r="C87" s="26"/>
      <c r="D87" s="335" t="s">
        <v>87</v>
      </c>
      <c r="E87" s="88">
        <v>0</v>
      </c>
      <c r="F87" s="27"/>
      <c r="G87" s="211"/>
      <c r="H87" s="70"/>
      <c r="I87" s="70"/>
      <c r="J87" s="70"/>
      <c r="K87" s="70"/>
      <c r="L87" s="70"/>
      <c r="M87" s="70"/>
      <c r="N87" s="70"/>
      <c r="O87" s="70"/>
      <c r="P87" s="70"/>
      <c r="Q87" s="70"/>
      <c r="R87" s="70"/>
      <c r="S87" s="105"/>
      <c r="T87" s="105"/>
      <c r="U87" s="105"/>
      <c r="V87" s="105"/>
      <c r="W87" s="105"/>
      <c r="X87" s="105"/>
      <c r="Y87" s="105"/>
      <c r="Z87" s="105"/>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row>
    <row r="88" spans="1:62" s="192" customFormat="1" ht="12.75" hidden="1" customHeight="1" outlineLevel="2">
      <c r="A88" s="9"/>
      <c r="B88" s="9"/>
      <c r="C88" s="26"/>
      <c r="D88" s="336"/>
      <c r="E88" s="88">
        <v>1</v>
      </c>
      <c r="F88" s="27"/>
      <c r="G88" s="212"/>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row>
    <row r="89" spans="1:62" s="192" customFormat="1" ht="12.75" hidden="1" customHeight="1" outlineLevel="2">
      <c r="A89" s="9"/>
      <c r="B89" s="9"/>
      <c r="C89" s="26"/>
      <c r="D89" s="336"/>
      <c r="E89" s="88">
        <v>2</v>
      </c>
      <c r="F89" s="27"/>
      <c r="G89" s="213"/>
      <c r="H89" s="151"/>
      <c r="I89" s="70">
        <f>IF(A2taxstdlife="n/a","n/a",IF(I$3&gt;(A2taxstdlife+$E89),(Input!$H$42-Input!$H$76)-SUM($H89:H89),(Input!$H$42-Input!$H$76)/A2taxstdlife))</f>
        <v>0</v>
      </c>
      <c r="J89" s="70">
        <f>IF(A2taxstdlife="n/a","n/a",IF(J$3&gt;(A2taxstdlife+$E89),(Input!$H$42-Input!$H$76)-SUM($H89:I89),(Input!$H$42-Input!$H$76)/A2taxstdlife))</f>
        <v>0</v>
      </c>
      <c r="K89" s="70">
        <f>IF(A2taxstdlife="n/a","n/a",IF(K$3&gt;(A2taxstdlife+$E89),(Input!$H$42-Input!$H$76)-SUM($H89:J89),(Input!$H$42-Input!$H$76)/A2taxstdlife))</f>
        <v>0</v>
      </c>
      <c r="L89" s="70">
        <f>IF(A2taxstdlife="n/a","n/a",IF(L$3&gt;(A2taxstdlife+$E89),(Input!$H$42-Input!$H$76)-SUM($H89:K89),(Input!$H$42-Input!$H$76)/A2taxstdlife))</f>
        <v>0</v>
      </c>
      <c r="M89" s="70">
        <f>IF(A2taxstdlife="n/a","n/a",IF(M$3&gt;(A2taxstdlife+$E89),(Input!$H$42-Input!$H$76)-SUM($H89:L89),(Input!$H$42-Input!$H$76)/A2taxstdlife))</f>
        <v>0</v>
      </c>
      <c r="N89" s="70">
        <f>IF(A2taxstdlife="n/a","n/a",IF(N$3&gt;(A2taxstdlife+$E89),(Input!$H$42-Input!$H$76)-SUM($H89:M89),(Input!$H$42-Input!$H$76)/A2taxstdlife))</f>
        <v>0</v>
      </c>
      <c r="O89" s="70">
        <f>IF(A2taxstdlife="n/a","n/a",IF(O$3&gt;(A2taxstdlife+$E89),(Input!$H$42-Input!$H$76)-SUM($H89:N89),(Input!$H$42-Input!$H$76)/A2taxstdlife))</f>
        <v>0</v>
      </c>
      <c r="P89" s="70">
        <f>IF(A2taxstdlife="n/a","n/a",IF(P$3&gt;(A2taxstdlife+$E89),(Input!$H$42-Input!$H$76)-SUM($H89:O89),(Input!$H$42-Input!$H$76)/A2taxstdlife))</f>
        <v>0</v>
      </c>
      <c r="Q89" s="70">
        <f>IF(A2taxstdlife="n/a","n/a",IF(Q$3&gt;(A2taxstdlife+$E89),(Input!$H$42-Input!$H$76)-SUM($H89:P89),(Input!$H$42-Input!$H$76)/A2taxstdlife))</f>
        <v>0</v>
      </c>
      <c r="R89" s="70"/>
      <c r="S89" s="105"/>
      <c r="T89" s="105"/>
      <c r="U89" s="105"/>
      <c r="V89" s="105"/>
      <c r="W89" s="105"/>
      <c r="X89" s="105"/>
      <c r="Y89" s="105"/>
      <c r="Z89" s="105"/>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3"/>
    </row>
    <row r="90" spans="1:62" s="192" customFormat="1" ht="12.75" hidden="1" customHeight="1" outlineLevel="2">
      <c r="A90" s="9"/>
      <c r="B90" s="9"/>
      <c r="C90" s="26"/>
      <c r="D90" s="336"/>
      <c r="E90" s="88">
        <v>3</v>
      </c>
      <c r="F90" s="27"/>
      <c r="G90" s="213"/>
      <c r="H90" s="152"/>
      <c r="I90" s="151"/>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row>
    <row r="91" spans="1:62" s="192" customFormat="1" ht="12.75" hidden="1" customHeight="1" outlineLevel="2">
      <c r="A91" s="9"/>
      <c r="B91" s="9"/>
      <c r="C91" s="26"/>
      <c r="D91" s="336"/>
      <c r="E91" s="88">
        <v>4</v>
      </c>
      <c r="F91" s="27"/>
      <c r="G91" s="213"/>
      <c r="H91" s="152"/>
      <c r="I91" s="152"/>
      <c r="J91" s="151"/>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row>
    <row r="92" spans="1:62" s="192" customFormat="1" ht="12.75" hidden="1" customHeight="1" outlineLevel="2">
      <c r="A92" s="9"/>
      <c r="B92" s="9"/>
      <c r="C92" s="26"/>
      <c r="D92" s="336"/>
      <c r="E92" s="88">
        <v>5</v>
      </c>
      <c r="F92" s="27"/>
      <c r="G92" s="213"/>
      <c r="H92" s="152"/>
      <c r="I92" s="152"/>
      <c r="J92" s="152"/>
      <c r="K92" s="151"/>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row>
    <row r="93" spans="1:62" s="192" customFormat="1" ht="12.75" hidden="1" customHeight="1" outlineLevel="2">
      <c r="A93" s="9"/>
      <c r="B93" s="9"/>
      <c r="C93" s="26"/>
      <c r="D93" s="336"/>
      <c r="E93" s="88">
        <v>6</v>
      </c>
      <c r="F93" s="27"/>
      <c r="G93" s="213"/>
      <c r="H93" s="152"/>
      <c r="I93" s="152"/>
      <c r="J93" s="152"/>
      <c r="K93" s="152"/>
      <c r="L93" s="151"/>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row>
    <row r="94" spans="1:62" s="192" customFormat="1" ht="12.75" hidden="1" customHeight="1" outlineLevel="2">
      <c r="A94" s="9"/>
      <c r="B94" s="9"/>
      <c r="C94" s="26"/>
      <c r="D94" s="336"/>
      <c r="E94" s="88">
        <v>7</v>
      </c>
      <c r="F94" s="27"/>
      <c r="G94" s="213"/>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row>
    <row r="95" spans="1:62" s="192" customFormat="1" ht="12.75" hidden="1" customHeight="1" outlineLevel="2">
      <c r="A95" s="9"/>
      <c r="B95" s="9"/>
      <c r="C95" s="26"/>
      <c r="D95" s="336"/>
      <c r="E95" s="88">
        <v>8</v>
      </c>
      <c r="F95" s="27"/>
      <c r="G95" s="213"/>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row>
    <row r="96" spans="1:62" s="192" customFormat="1" ht="12.75" hidden="1" customHeight="1" outlineLevel="2">
      <c r="A96" s="9"/>
      <c r="B96" s="9"/>
      <c r="C96" s="26"/>
      <c r="D96" s="336"/>
      <c r="E96" s="88">
        <v>9</v>
      </c>
      <c r="F96" s="27"/>
      <c r="G96" s="213"/>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row>
    <row r="97" spans="1:61" s="192" customFormat="1" ht="12.75" hidden="1" customHeight="1" outlineLevel="2">
      <c r="A97" s="9"/>
      <c r="B97" s="9"/>
      <c r="C97" s="26"/>
      <c r="D97" s="336"/>
      <c r="E97" s="88">
        <v>10</v>
      </c>
      <c r="F97" s="27"/>
      <c r="G97" s="213"/>
      <c r="H97" s="152"/>
      <c r="I97" s="152"/>
      <c r="J97" s="152"/>
      <c r="K97" s="152"/>
      <c r="L97" s="152"/>
      <c r="M97" s="152"/>
      <c r="N97" s="152"/>
      <c r="O97" s="152"/>
      <c r="P97" s="151"/>
      <c r="Q97" s="70">
        <f>IF(A2taxstdlife="n/a","n/a",IF(Q$3&gt;(A2taxstdlife+$E97),(Input!$P$42-Input!$P$76)-SUM($P97:P97),(Input!$P$42-Input!$P$76)/A2taxstdlife))</f>
        <v>0</v>
      </c>
      <c r="R97" s="70"/>
      <c r="S97" s="105"/>
      <c r="T97" s="105"/>
      <c r="U97" s="105"/>
      <c r="V97" s="105"/>
      <c r="W97" s="105"/>
      <c r="X97" s="105"/>
      <c r="Y97" s="105"/>
      <c r="Z97" s="105"/>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row>
    <row r="98" spans="1:61" s="192" customFormat="1" ht="12.75" hidden="1" customHeight="1" outlineLevel="2">
      <c r="A98" s="9"/>
      <c r="B98" s="9"/>
      <c r="C98" s="26"/>
      <c r="D98" s="336"/>
      <c r="E98" s="89">
        <v>11</v>
      </c>
      <c r="F98" s="27"/>
      <c r="G98" s="213"/>
      <c r="H98" s="152"/>
      <c r="I98" s="152"/>
      <c r="J98" s="152"/>
      <c r="K98" s="152"/>
      <c r="L98" s="152"/>
      <c r="M98" s="152"/>
      <c r="N98" s="152"/>
      <c r="O98" s="152"/>
      <c r="P98" s="194"/>
      <c r="Q98" s="151"/>
      <c r="R98" s="70"/>
      <c r="S98" s="105"/>
      <c r="T98" s="105"/>
      <c r="U98" s="105"/>
      <c r="V98" s="105"/>
      <c r="W98" s="105"/>
      <c r="X98" s="105"/>
      <c r="Y98" s="105"/>
      <c r="Z98" s="105"/>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row>
    <row r="99" spans="1:61" s="192" customFormat="1" hidden="1" outlineLevel="1" collapsed="1">
      <c r="A99" s="9"/>
      <c r="B99" s="9"/>
      <c r="C99" s="26" t="str">
        <f>Asset2</f>
        <v>Sub-transmission Overhead</v>
      </c>
      <c r="D99" s="9"/>
      <c r="E99" s="9"/>
      <c r="F99" s="23"/>
      <c r="G99" s="214">
        <f t="shared" ref="G99:L99" si="36">-SUM(G86:G98)</f>
        <v>0</v>
      </c>
      <c r="H99" s="168">
        <f t="shared" si="36"/>
        <v>0</v>
      </c>
      <c r="I99" s="168">
        <f t="shared" si="36"/>
        <v>0</v>
      </c>
      <c r="J99" s="168">
        <f t="shared" si="36"/>
        <v>0</v>
      </c>
      <c r="K99" s="168">
        <f t="shared" si="36"/>
        <v>0</v>
      </c>
      <c r="L99" s="168">
        <f t="shared" si="36"/>
        <v>0</v>
      </c>
      <c r="M99" s="168">
        <f>IF(Input!M173&gt;0, -SUM(M86:M98), 0)</f>
        <v>0</v>
      </c>
      <c r="N99" s="168">
        <f>IF(Input!N173&gt;0, -SUM(N86:N98), 0)</f>
        <v>0</v>
      </c>
      <c r="O99" s="168">
        <f>IF(Input!O173&gt;0, -SUM(O86:O98), 0)</f>
        <v>0</v>
      </c>
      <c r="P99" s="168">
        <f>IF(Input!P173&gt;0, -SUM(P86:P98), 0)</f>
        <v>0</v>
      </c>
      <c r="Q99" s="168">
        <f>IF(Input!Q173&gt;0, -SUM(Q86:Q98), 0)</f>
        <v>0</v>
      </c>
      <c r="R99" s="66"/>
      <c r="S99" s="104"/>
      <c r="T99" s="104"/>
      <c r="U99" s="104"/>
      <c r="V99" s="104"/>
      <c r="W99" s="104"/>
      <c r="X99" s="104"/>
      <c r="Y99" s="104"/>
      <c r="Z99" s="104"/>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row>
    <row r="100" spans="1:61" s="192" customFormat="1" ht="12.75" hidden="1" customHeight="1" outlineLevel="2">
      <c r="A100" s="9"/>
      <c r="B100" s="32" t="str">
        <f>Asset3</f>
        <v>Sub-transmission Underground</v>
      </c>
      <c r="C100" s="33"/>
      <c r="D100" s="34" t="s">
        <v>69</v>
      </c>
      <c r="E100" s="33"/>
      <c r="F100" s="35"/>
      <c r="G100" s="210" t="str">
        <f>IF(G$3&gt;A3taxremlife,A3taxvalue-SUM($F100:F100),IF(A3taxremlife="N/A","n/a",A3taxvalue/A3taxremlife))</f>
        <v>n/a</v>
      </c>
      <c r="H100" s="69" t="str">
        <f>IF(H$3&gt;A3taxremlife,A3taxvalue-SUM($F100:G100),IF(A3taxremlife="N/A","n/a",A3taxvalue/A3taxremlife))</f>
        <v>n/a</v>
      </c>
      <c r="I100" s="69" t="str">
        <f>IF(I$3&gt;A3taxremlife,A3taxvalue-SUM($F100:H100),IF(A3taxremlife="N/A","n/a",A3taxvalue/A3taxremlife))</f>
        <v>n/a</v>
      </c>
      <c r="J100" s="69" t="str">
        <f>IF(J$3&gt;A3taxremlife,A3taxvalue-SUM($F100:I100),IF(A3taxremlife="N/A","n/a",A3taxvalue/A3taxremlife))</f>
        <v>n/a</v>
      </c>
      <c r="K100" s="69" t="str">
        <f>IF(K$3&gt;A3taxremlife,A3taxvalue-SUM($F100:J100),IF(A3taxremlife="N/A","n/a",A3taxvalue/A3taxremlife))</f>
        <v>n/a</v>
      </c>
      <c r="L100" s="69" t="str">
        <f>IF(L$3&gt;A3taxremlife,A3taxvalue-SUM($F100:K100),IF(A3taxremlife="N/A","n/a",A3taxvalue/A3taxremlife))</f>
        <v>n/a</v>
      </c>
      <c r="M100" s="69" t="str">
        <f>IF(M$3&gt;A3taxremlife,A3taxvalue-SUM($F100:L100),IF(A3taxremlife="N/A","n/a",A3taxvalue/A3taxremlife))</f>
        <v>n/a</v>
      </c>
      <c r="N100" s="69" t="str">
        <f>IF(N$3&gt;A3taxremlife,A3taxvalue-SUM($F100:M100),IF(A3taxremlife="N/A","n/a",A3taxvalue/A3taxremlife))</f>
        <v>n/a</v>
      </c>
      <c r="O100" s="69" t="str">
        <f>IF(O$3&gt;A3taxremlife,A3taxvalue-SUM($F100:N100),IF(A3taxremlife="N/A","n/a",A3taxvalue/A3taxremlife))</f>
        <v>n/a</v>
      </c>
      <c r="P100" s="69" t="str">
        <f>IF(P$3&gt;A3taxremlife,A3taxvalue-SUM($F100:O100),IF(A3taxremlife="N/A","n/a",A3taxvalue/A3taxremlife))</f>
        <v>n/a</v>
      </c>
      <c r="Q100" s="69" t="str">
        <f>IF(Q$3&gt;A3taxremlife,A3taxvalue-SUM($F100:P100),IF(A3taxremlife="N/A","n/a",A3taxvalue/A3taxremlife))</f>
        <v>n/a</v>
      </c>
      <c r="R100" s="69"/>
      <c r="S100" s="105"/>
      <c r="T100" s="105"/>
      <c r="U100" s="105"/>
      <c r="V100" s="105"/>
      <c r="W100" s="105"/>
      <c r="X100" s="105"/>
      <c r="Y100" s="105"/>
      <c r="Z100" s="105"/>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row>
    <row r="101" spans="1:61" s="192" customFormat="1" ht="12.75" hidden="1" customHeight="1" outlineLevel="2">
      <c r="A101" s="9"/>
      <c r="B101" s="9"/>
      <c r="C101" s="26"/>
      <c r="D101" s="335" t="s">
        <v>87</v>
      </c>
      <c r="E101" s="88">
        <v>0</v>
      </c>
      <c r="F101" s="27"/>
      <c r="G101" s="211"/>
      <c r="H101" s="70"/>
      <c r="I101" s="70"/>
      <c r="J101" s="70"/>
      <c r="K101" s="70"/>
      <c r="L101" s="70"/>
      <c r="M101" s="70"/>
      <c r="N101" s="70"/>
      <c r="O101" s="70"/>
      <c r="P101" s="70"/>
      <c r="Q101" s="70"/>
      <c r="R101" s="70"/>
      <c r="S101" s="105"/>
      <c r="T101" s="105"/>
      <c r="U101" s="105"/>
      <c r="V101" s="105"/>
      <c r="W101" s="105"/>
      <c r="X101" s="105"/>
      <c r="Y101" s="105"/>
      <c r="Z101" s="105"/>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row>
    <row r="102" spans="1:61" s="192" customFormat="1" ht="12.75" hidden="1" customHeight="1" outlineLevel="2">
      <c r="A102" s="9"/>
      <c r="B102" s="9"/>
      <c r="C102" s="26"/>
      <c r="D102" s="336"/>
      <c r="E102" s="88">
        <v>1</v>
      </c>
      <c r="F102" s="27"/>
      <c r="G102" s="212"/>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row>
    <row r="103" spans="1:61" s="192" customFormat="1" ht="12.75" hidden="1" customHeight="1" outlineLevel="2">
      <c r="A103" s="9"/>
      <c r="B103" s="9"/>
      <c r="C103" s="26"/>
      <c r="D103" s="336"/>
      <c r="E103" s="88">
        <v>2</v>
      </c>
      <c r="F103" s="27"/>
      <c r="G103" s="213"/>
      <c r="H103" s="151"/>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row>
    <row r="104" spans="1:61" s="192" customFormat="1" ht="12.75" hidden="1" customHeight="1" outlineLevel="2">
      <c r="A104" s="9"/>
      <c r="B104" s="9"/>
      <c r="C104" s="26"/>
      <c r="D104" s="336"/>
      <c r="E104" s="88">
        <v>3</v>
      </c>
      <c r="F104" s="27"/>
      <c r="G104" s="213"/>
      <c r="H104" s="152"/>
      <c r="I104" s="151"/>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row>
    <row r="105" spans="1:61" s="192" customFormat="1" ht="12.75" hidden="1" customHeight="1" outlineLevel="2">
      <c r="A105" s="9"/>
      <c r="B105" s="9"/>
      <c r="C105" s="26"/>
      <c r="D105" s="336"/>
      <c r="E105" s="88">
        <v>4</v>
      </c>
      <c r="F105" s="27"/>
      <c r="G105" s="213"/>
      <c r="H105" s="152"/>
      <c r="I105" s="152"/>
      <c r="J105" s="151"/>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row>
    <row r="106" spans="1:61" s="192" customFormat="1" ht="12.75" hidden="1" customHeight="1" outlineLevel="2">
      <c r="A106" s="9"/>
      <c r="B106" s="9"/>
      <c r="C106" s="26"/>
      <c r="D106" s="336"/>
      <c r="E106" s="88">
        <v>5</v>
      </c>
      <c r="F106" s="27"/>
      <c r="G106" s="213"/>
      <c r="H106" s="152"/>
      <c r="I106" s="152"/>
      <c r="J106" s="152"/>
      <c r="K106" s="151"/>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row>
    <row r="107" spans="1:61" s="192" customFormat="1" ht="12.75" hidden="1" customHeight="1" outlineLevel="2">
      <c r="A107" s="9"/>
      <c r="B107" s="9"/>
      <c r="C107" s="26"/>
      <c r="D107" s="336"/>
      <c r="E107" s="88">
        <v>6</v>
      </c>
      <c r="F107" s="27"/>
      <c r="G107" s="213"/>
      <c r="H107" s="152"/>
      <c r="I107" s="152"/>
      <c r="J107" s="152"/>
      <c r="K107" s="152"/>
      <c r="L107" s="151"/>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row>
    <row r="108" spans="1:61" s="192" customFormat="1" ht="12.75" hidden="1" customHeight="1" outlineLevel="2">
      <c r="A108" s="9"/>
      <c r="B108" s="9"/>
      <c r="C108" s="26"/>
      <c r="D108" s="336"/>
      <c r="E108" s="88">
        <v>7</v>
      </c>
      <c r="F108" s="27"/>
      <c r="G108" s="213"/>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row>
    <row r="109" spans="1:61" s="192" customFormat="1" ht="12.75" hidden="1" customHeight="1" outlineLevel="2">
      <c r="A109" s="9"/>
      <c r="B109" s="9"/>
      <c r="C109" s="26"/>
      <c r="D109" s="336"/>
      <c r="E109" s="88">
        <v>8</v>
      </c>
      <c r="F109" s="27"/>
      <c r="G109" s="213"/>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row>
    <row r="110" spans="1:61" s="192" customFormat="1" ht="12.75" hidden="1" customHeight="1" outlineLevel="2">
      <c r="A110" s="9"/>
      <c r="B110" s="9"/>
      <c r="C110" s="26"/>
      <c r="D110" s="336"/>
      <c r="E110" s="88">
        <v>9</v>
      </c>
      <c r="F110" s="27"/>
      <c r="G110" s="213"/>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row>
    <row r="111" spans="1:61" s="192" customFormat="1" ht="12.75" hidden="1" customHeight="1" outlineLevel="2">
      <c r="A111" s="9"/>
      <c r="B111" s="9"/>
      <c r="C111" s="26"/>
      <c r="D111" s="336"/>
      <c r="E111" s="88">
        <v>10</v>
      </c>
      <c r="F111" s="27"/>
      <c r="G111" s="213"/>
      <c r="H111" s="152"/>
      <c r="I111" s="152"/>
      <c r="J111" s="152"/>
      <c r="K111" s="152"/>
      <c r="L111" s="152"/>
      <c r="M111" s="152"/>
      <c r="N111" s="152"/>
      <c r="O111" s="152"/>
      <c r="P111" s="151"/>
      <c r="Q111" s="70">
        <f>IF(A3taxstdlife="n/a","n/a",IF(Q$3&gt;(A3taxstdlife+$E111),(Input!$P$43-Input!$P$77)-SUM($P111:P111),(Input!$P$43-Input!$P$77)/A3taxstdlife))</f>
        <v>0</v>
      </c>
      <c r="R111" s="70"/>
      <c r="S111" s="105"/>
      <c r="T111" s="105"/>
      <c r="U111" s="105"/>
      <c r="V111" s="105"/>
      <c r="W111" s="105"/>
      <c r="X111" s="105"/>
      <c r="Y111" s="105"/>
      <c r="Z111" s="105"/>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row>
    <row r="112" spans="1:61" s="192" customFormat="1" ht="12.75" hidden="1" customHeight="1" outlineLevel="2">
      <c r="A112" s="9"/>
      <c r="B112" s="9"/>
      <c r="C112" s="26"/>
      <c r="D112" s="336"/>
      <c r="E112" s="89">
        <v>11</v>
      </c>
      <c r="F112" s="27"/>
      <c r="G112" s="213"/>
      <c r="H112" s="152"/>
      <c r="I112" s="152"/>
      <c r="J112" s="152"/>
      <c r="K112" s="152"/>
      <c r="L112" s="152"/>
      <c r="M112" s="152"/>
      <c r="N112" s="152"/>
      <c r="O112" s="152"/>
      <c r="P112" s="194"/>
      <c r="Q112" s="151"/>
      <c r="R112" s="70"/>
      <c r="S112" s="105"/>
      <c r="T112" s="105"/>
      <c r="U112" s="105"/>
      <c r="V112" s="105"/>
      <c r="W112" s="105"/>
      <c r="X112" s="105"/>
      <c r="Y112" s="105"/>
      <c r="Z112" s="105"/>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row>
    <row r="113" spans="1:61" s="192" customFormat="1" hidden="1" outlineLevel="1" collapsed="1">
      <c r="A113" s="9"/>
      <c r="B113" s="9"/>
      <c r="C113" s="26" t="str">
        <f>Asset3</f>
        <v>Sub-transmission Underground</v>
      </c>
      <c r="D113" s="9"/>
      <c r="E113" s="9"/>
      <c r="F113" s="23"/>
      <c r="G113" s="214">
        <f t="shared" ref="G113:L113" si="37">-SUM(G100:G112)</f>
        <v>0</v>
      </c>
      <c r="H113" s="168">
        <f t="shared" si="37"/>
        <v>0</v>
      </c>
      <c r="I113" s="168">
        <f t="shared" si="37"/>
        <v>0</v>
      </c>
      <c r="J113" s="168">
        <f t="shared" si="37"/>
        <v>0</v>
      </c>
      <c r="K113" s="168">
        <f t="shared" si="37"/>
        <v>0</v>
      </c>
      <c r="L113" s="168">
        <f t="shared" si="37"/>
        <v>0</v>
      </c>
      <c r="M113" s="168">
        <f>IF(Input!M173&gt;0, -SUM(M100:M112), 0)</f>
        <v>0</v>
      </c>
      <c r="N113" s="168">
        <f>IF(Input!N173&gt;0, -SUM(N100:N112), 0)</f>
        <v>0</v>
      </c>
      <c r="O113" s="168">
        <f>IF(Input!O173&gt;0, -SUM(O100:O112), 0)</f>
        <v>0</v>
      </c>
      <c r="P113" s="168">
        <f>IF(Input!P173&gt;0, -SUM(P100:P112), 0)</f>
        <v>0</v>
      </c>
      <c r="Q113" s="168">
        <f>IF(Input!Q173&gt;0, -SUM(Q100:Q112), 0)</f>
        <v>0</v>
      </c>
      <c r="R113" s="66"/>
      <c r="S113" s="104"/>
      <c r="T113" s="104"/>
      <c r="U113" s="104"/>
      <c r="V113" s="104"/>
      <c r="W113" s="104"/>
      <c r="X113" s="104"/>
      <c r="Y113" s="104"/>
      <c r="Z113" s="104"/>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c r="BH113" s="222"/>
      <c r="BI113" s="222"/>
    </row>
    <row r="114" spans="1:61" s="192" customFormat="1" ht="12.75" hidden="1" customHeight="1" outlineLevel="2">
      <c r="A114" s="9"/>
      <c r="B114" s="32" t="str">
        <f>Asset4</f>
        <v>Zone Substation</v>
      </c>
      <c r="C114" s="33"/>
      <c r="D114" s="34" t="s">
        <v>69</v>
      </c>
      <c r="E114" s="33"/>
      <c r="F114" s="35"/>
      <c r="G114" s="210" t="str">
        <f>IF(G$3&gt;A4taxremlife,A4taxvalue-SUM($F114:F114),IF(A4taxremlife="N/A","n/a",A4taxvalue/A4taxremlife))</f>
        <v>n/a</v>
      </c>
      <c r="H114" s="69" t="str">
        <f>IF(H$3&gt;A4taxremlife,A4taxvalue-SUM($F114:G114),IF(A4taxremlife="N/A","n/a",A4taxvalue/A4taxremlife))</f>
        <v>n/a</v>
      </c>
      <c r="I114" s="69" t="str">
        <f>IF(I$3&gt;A4taxremlife,A4taxvalue-SUM($F114:H114),IF(A4taxremlife="N/A","n/a",A4taxvalue/A4taxremlife))</f>
        <v>n/a</v>
      </c>
      <c r="J114" s="69" t="str">
        <f>IF(J$3&gt;A4taxremlife,A4taxvalue-SUM($F114:I114),IF(A4taxremlife="N/A","n/a",A4taxvalue/A4taxremlife))</f>
        <v>n/a</v>
      </c>
      <c r="K114" s="69" t="str">
        <f>IF(K$3&gt;A4taxremlife,A4taxvalue-SUM($F114:J114),IF(A4taxremlife="N/A","n/a",A4taxvalue/A4taxremlife))</f>
        <v>n/a</v>
      </c>
      <c r="L114" s="69" t="str">
        <f>IF(L$3&gt;A4taxremlife,A4taxvalue-SUM($F114:K114),IF(A4taxremlife="N/A","n/a",A4taxvalue/A4taxremlife))</f>
        <v>n/a</v>
      </c>
      <c r="M114" s="69" t="str">
        <f>IF(M$3&gt;A4taxremlife,A4taxvalue-SUM($F114:L114),IF(A4taxremlife="N/A","n/a",A4taxvalue/A4taxremlife))</f>
        <v>n/a</v>
      </c>
      <c r="N114" s="69" t="str">
        <f>IF(N$3&gt;A4taxremlife,A4taxvalue-SUM($F114:M114),IF(A4taxremlife="N/A","n/a",A4taxvalue/A4taxremlife))</f>
        <v>n/a</v>
      </c>
      <c r="O114" s="69" t="str">
        <f>IF(O$3&gt;A4taxremlife,A4taxvalue-SUM($F114:N114),IF(A4taxremlife="N/A","n/a",A4taxvalue/A4taxremlife))</f>
        <v>n/a</v>
      </c>
      <c r="P114" s="69" t="str">
        <f>IF(P$3&gt;A4taxremlife,A4taxvalue-SUM($F114:O114),IF(A4taxremlife="N/A","n/a",A4taxvalue/A4taxremlife))</f>
        <v>n/a</v>
      </c>
      <c r="Q114" s="69" t="str">
        <f>IF(Q$3&gt;A4taxremlife,A4taxvalue-SUM($F114:P114),IF(A4taxremlife="N/A","n/a",A4taxvalue/A4taxremlife))</f>
        <v>n/a</v>
      </c>
      <c r="R114" s="69"/>
      <c r="S114" s="105"/>
      <c r="T114" s="105"/>
      <c r="U114" s="105"/>
      <c r="V114" s="105"/>
      <c r="W114" s="105"/>
      <c r="X114" s="105"/>
      <c r="Y114" s="105"/>
      <c r="Z114" s="105"/>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row>
    <row r="115" spans="1:61" s="192" customFormat="1" ht="12.75" hidden="1" customHeight="1" outlineLevel="2">
      <c r="A115" s="9"/>
      <c r="B115" s="9"/>
      <c r="C115" s="26"/>
      <c r="D115" s="335" t="s">
        <v>87</v>
      </c>
      <c r="E115" s="88">
        <v>0</v>
      </c>
      <c r="F115" s="27"/>
      <c r="G115" s="211"/>
      <c r="H115" s="70"/>
      <c r="I115" s="70"/>
      <c r="J115" s="70"/>
      <c r="K115" s="70"/>
      <c r="L115" s="70"/>
      <c r="M115" s="70"/>
      <c r="N115" s="70"/>
      <c r="O115" s="70"/>
      <c r="P115" s="70"/>
      <c r="Q115" s="70"/>
      <c r="R115" s="70"/>
      <c r="S115" s="105"/>
      <c r="T115" s="105"/>
      <c r="U115" s="105"/>
      <c r="V115" s="105"/>
      <c r="W115" s="105"/>
      <c r="X115" s="105"/>
      <c r="Y115" s="105"/>
      <c r="Z115" s="105"/>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row>
    <row r="116" spans="1:61" s="192" customFormat="1" ht="12.75" hidden="1" customHeight="1" outlineLevel="2">
      <c r="A116" s="9"/>
      <c r="B116" s="9"/>
      <c r="C116" s="26"/>
      <c r="D116" s="336"/>
      <c r="E116" s="88">
        <v>1</v>
      </c>
      <c r="F116" s="27"/>
      <c r="G116" s="212"/>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row>
    <row r="117" spans="1:61" s="192" customFormat="1" ht="12.75" hidden="1" customHeight="1" outlineLevel="2">
      <c r="A117" s="9"/>
      <c r="B117" s="9"/>
      <c r="C117" s="26"/>
      <c r="D117" s="336"/>
      <c r="E117" s="88">
        <v>2</v>
      </c>
      <c r="F117" s="27"/>
      <c r="G117" s="213"/>
      <c r="H117" s="151"/>
      <c r="I117" s="70">
        <f>IF(A4taxstdlife="n/a","n/a",IF(I$3&gt;(A4taxstdlife+$E117),(Input!$H$44-Input!$H$78)-SUM($H117:H117),(Input!$H$44-Input!$H$78)/A4taxstdlife))</f>
        <v>1.9825372006853872E-2</v>
      </c>
      <c r="J117" s="70">
        <f>IF(A4taxstdlife="n/a","n/a",IF(J$3&gt;(A4taxstdlife+$E117),(Input!$H$44-Input!$H$78)-SUM($H117:I117),(Input!$H$44-Input!$H$78)/A4taxstdlife))</f>
        <v>1.9825372006853872E-2</v>
      </c>
      <c r="K117" s="70">
        <f>IF(A4taxstdlife="n/a","n/a",IF(K$3&gt;(A4taxstdlife+$E117),(Input!$H$44-Input!$H$78)-SUM($H117:J117),(Input!$H$44-Input!$H$78)/A4taxstdlife))</f>
        <v>1.9825372006853872E-2</v>
      </c>
      <c r="L117" s="70">
        <f>IF(A4taxstdlife="n/a","n/a",IF(L$3&gt;(A4taxstdlife+$E117),(Input!$H$44-Input!$H$78)-SUM($H117:K117),(Input!$H$44-Input!$H$78)/A4taxstdlife))</f>
        <v>1.9825372006853872E-2</v>
      </c>
      <c r="M117" s="70">
        <f>IF(A4taxstdlife="n/a","n/a",IF(M$3&gt;(A4taxstdlife+$E117),(Input!$H$44-Input!$H$78)-SUM($H117:L117),(Input!$H$44-Input!$H$78)/A4taxstdlife))</f>
        <v>1.9825372006853872E-2</v>
      </c>
      <c r="N117" s="70">
        <f>IF(A4taxstdlife="n/a","n/a",IF(N$3&gt;(A4taxstdlife+$E117),(Input!$H$44-Input!$H$78)-SUM($H117:M117),(Input!$H$44-Input!$H$78)/A4taxstdlife))</f>
        <v>1.9825372006853872E-2</v>
      </c>
      <c r="O117" s="70">
        <f>IF(A4taxstdlife="n/a","n/a",IF(O$3&gt;(A4taxstdlife+$E117),(Input!$H$44-Input!$H$78)-SUM($H117:N117),(Input!$H$44-Input!$H$78)/A4taxstdlife))</f>
        <v>1.9825372006853872E-2</v>
      </c>
      <c r="P117" s="70">
        <f>IF(A4taxstdlife="n/a","n/a",IF(P$3&gt;(A4taxstdlife+$E117),(Input!$H$44-Input!$H$78)-SUM($H117:O117),(Input!$H$44-Input!$H$78)/A4taxstdlife))</f>
        <v>1.9825372006853872E-2</v>
      </c>
      <c r="Q117" s="70">
        <f>IF(A4taxstdlife="n/a","n/a",IF(Q$3&gt;(A4taxstdlife+$E117),(Input!$H$44-Input!$H$78)-SUM($H117:P117),(Input!$H$44-Input!$H$78)/A4taxstdlife))</f>
        <v>1.9825372006853872E-2</v>
      </c>
      <c r="R117" s="70"/>
      <c r="S117" s="105"/>
      <c r="T117" s="105"/>
      <c r="U117" s="105"/>
      <c r="V117" s="105"/>
      <c r="W117" s="105"/>
      <c r="X117" s="105"/>
      <c r="Y117" s="105"/>
      <c r="Z117" s="105"/>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row>
    <row r="118" spans="1:61" s="192" customFormat="1" ht="12.75" hidden="1" customHeight="1" outlineLevel="2">
      <c r="A118" s="9"/>
      <c r="B118" s="9"/>
      <c r="C118" s="26"/>
      <c r="D118" s="336"/>
      <c r="E118" s="88">
        <v>3</v>
      </c>
      <c r="F118" s="27"/>
      <c r="G118" s="213"/>
      <c r="H118" s="152"/>
      <c r="I118" s="151"/>
      <c r="J118" s="70">
        <f>IF(A4taxstdlife="n/a","n/a",IF(J$3&gt;(A4taxstdlife+$E118),(Input!$I$44-Input!$I$78)-SUM($I118:I118),(Input!$I$44-Input!$I$78)/A4taxstdlife))</f>
        <v>2.0229911703176025E-4</v>
      </c>
      <c r="K118" s="70">
        <f>IF(A4taxstdlife="n/a","n/a",IF(K$3&gt;(A4taxstdlife+$E118),(Input!$I$44-Input!$I$78)-SUM($I118:J118),(Input!$I$44-Input!$I$78)/A4taxstdlife))</f>
        <v>2.0229911703176025E-4</v>
      </c>
      <c r="L118" s="70">
        <f>IF(A4taxstdlife="n/a","n/a",IF(L$3&gt;(A4taxstdlife+$E118),(Input!$I$44-Input!$I$78)-SUM($I118:K118),(Input!$I$44-Input!$I$78)/A4taxstdlife))</f>
        <v>2.0229911703176025E-4</v>
      </c>
      <c r="M118" s="70">
        <f>IF(A4taxstdlife="n/a","n/a",IF(M$3&gt;(A4taxstdlife+$E118),(Input!$I$44-Input!$I$78)-SUM($I118:L118),(Input!$I$44-Input!$I$78)/A4taxstdlife))</f>
        <v>2.0229911703176025E-4</v>
      </c>
      <c r="N118" s="70">
        <f>IF(A4taxstdlife="n/a","n/a",IF(N$3&gt;(A4taxstdlife+$E118),(Input!$I$44-Input!$I$78)-SUM($I118:M118),(Input!$I$44-Input!$I$78)/A4taxstdlife))</f>
        <v>2.0229911703176025E-4</v>
      </c>
      <c r="O118" s="70">
        <f>IF(A4taxstdlife="n/a","n/a",IF(O$3&gt;(A4taxstdlife+$E118),(Input!$I$44-Input!$I$78)-SUM($I118:N118),(Input!$I$44-Input!$I$78)/A4taxstdlife))</f>
        <v>2.0229911703176025E-4</v>
      </c>
      <c r="P118" s="70">
        <f>IF(A4taxstdlife="n/a","n/a",IF(P$3&gt;(A4taxstdlife+$E118),(Input!$I$44-Input!$I$78)-SUM($I118:O118),(Input!$I$44-Input!$I$78)/A4taxstdlife))</f>
        <v>2.0229911703176025E-4</v>
      </c>
      <c r="Q118" s="70">
        <f>IF(A4taxstdlife="n/a","n/a",IF(Q$3&gt;(A4taxstdlife+$E118),(Input!$I$44-Input!$I$78)-SUM($I118:P118),(Input!$I$44-Input!$I$78)/A4taxstdlife))</f>
        <v>2.0229911703176025E-4</v>
      </c>
      <c r="R118" s="70"/>
      <c r="S118" s="105"/>
      <c r="T118" s="105"/>
      <c r="U118" s="105"/>
      <c r="V118" s="105"/>
      <c r="W118" s="105"/>
      <c r="X118" s="105"/>
      <c r="Y118" s="105"/>
      <c r="Z118" s="105"/>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row>
    <row r="119" spans="1:61" s="192" customFormat="1" ht="12.75" hidden="1" customHeight="1" outlineLevel="2">
      <c r="A119" s="9"/>
      <c r="B119" s="9"/>
      <c r="C119" s="26"/>
      <c r="D119" s="336"/>
      <c r="E119" s="88">
        <v>4</v>
      </c>
      <c r="F119" s="27"/>
      <c r="G119" s="213"/>
      <c r="H119" s="152"/>
      <c r="I119" s="152"/>
      <c r="J119" s="151"/>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row>
    <row r="120" spans="1:61" s="192" customFormat="1" ht="12.75" hidden="1" customHeight="1" outlineLevel="2">
      <c r="A120" s="9"/>
      <c r="B120" s="9"/>
      <c r="C120" s="26"/>
      <c r="D120" s="336"/>
      <c r="E120" s="88">
        <v>5</v>
      </c>
      <c r="F120" s="27"/>
      <c r="G120" s="213"/>
      <c r="H120" s="152"/>
      <c r="I120" s="152"/>
      <c r="J120" s="152"/>
      <c r="K120" s="151"/>
      <c r="L120" s="70">
        <f>IF(A4taxstdlife="n/a","n/a",IF(L$3&gt;(A4taxstdlife+$E120),(Input!$K$44-Input!$K$78)-SUM($K120:K120),(Input!$K$44-Input!$K$78)/A4taxstdlife))</f>
        <v>2.2506788165805584E-2</v>
      </c>
      <c r="M120" s="70">
        <f>IF(A4taxstdlife="n/a","n/a",IF(M$3&gt;(A4taxstdlife+$E120),(Input!$K$44-Input!$K$78)-SUM($K120:L120),(Input!$K$44-Input!$K$78)/A4taxstdlife))</f>
        <v>2.2506788165805584E-2</v>
      </c>
      <c r="N120" s="70">
        <f>IF(A4taxstdlife="n/a","n/a",IF(N$3&gt;(A4taxstdlife+$E120),(Input!$K$44-Input!$K$78)-SUM($K120:M120),(Input!$K$44-Input!$K$78)/A4taxstdlife))</f>
        <v>2.2506788165805584E-2</v>
      </c>
      <c r="O120" s="70">
        <f>IF(A4taxstdlife="n/a","n/a",IF(O$3&gt;(A4taxstdlife+$E120),(Input!$K$44-Input!$K$78)-SUM($K120:N120),(Input!$K$44-Input!$K$78)/A4taxstdlife))</f>
        <v>2.2506788165805584E-2</v>
      </c>
      <c r="P120" s="70">
        <f>IF(A4taxstdlife="n/a","n/a",IF(P$3&gt;(A4taxstdlife+$E120),(Input!$K$44-Input!$K$78)-SUM($K120:O120),(Input!$K$44-Input!$K$78)/A4taxstdlife))</f>
        <v>2.2506788165805584E-2</v>
      </c>
      <c r="Q120" s="70">
        <f>IF(A4taxstdlife="n/a","n/a",IF(Q$3&gt;(A4taxstdlife+$E120),(Input!$K$44-Input!$K$78)-SUM($K120:P120),(Input!$K$44-Input!$K$78)/A4taxstdlife))</f>
        <v>2.2506788165805584E-2</v>
      </c>
      <c r="R120" s="70"/>
      <c r="S120" s="105"/>
      <c r="T120" s="105"/>
      <c r="U120" s="105"/>
      <c r="V120" s="105"/>
      <c r="W120" s="105"/>
      <c r="X120" s="105"/>
      <c r="Y120" s="105"/>
      <c r="Z120" s="105"/>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row>
    <row r="121" spans="1:61" s="192" customFormat="1" ht="12.75" hidden="1" customHeight="1" outlineLevel="2">
      <c r="A121" s="9"/>
      <c r="B121" s="9"/>
      <c r="C121" s="26"/>
      <c r="D121" s="336"/>
      <c r="E121" s="88">
        <v>6</v>
      </c>
      <c r="F121" s="27"/>
      <c r="G121" s="213"/>
      <c r="H121" s="152"/>
      <c r="I121" s="152"/>
      <c r="J121" s="152"/>
      <c r="K121" s="152"/>
      <c r="L121" s="151"/>
      <c r="M121" s="70">
        <f>IF(A4taxstdlife="n/a","n/a",IF(M$3&gt;(A4taxstdlife+$E121),(Input!$L$44-Input!$L$78)-SUM($L121:L121),(Input!$L$44-Input!$L$78)/A4taxstdlife))</f>
        <v>4.8611744263041823E-3</v>
      </c>
      <c r="N121" s="70">
        <f>IF(A4taxstdlife="n/a","n/a",IF(N$3&gt;(A4taxstdlife+$E121),(Input!$L$44-Input!$L$78)-SUM($L121:M121),(Input!$L$44-Input!$L$78)/A4taxstdlife))</f>
        <v>4.8611744263041823E-3</v>
      </c>
      <c r="O121" s="70">
        <f>IF(A4taxstdlife="n/a","n/a",IF(O$3&gt;(A4taxstdlife+$E121),(Input!$L$44-Input!$L$78)-SUM($L121:N121),(Input!$L$44-Input!$L$78)/A4taxstdlife))</f>
        <v>4.8611744263041823E-3</v>
      </c>
      <c r="P121" s="70">
        <f>IF(A4taxstdlife="n/a","n/a",IF(P$3&gt;(A4taxstdlife+$E121),(Input!$L$44-Input!$L$78)-SUM($L121:O121),(Input!$L$44-Input!$L$78)/A4taxstdlife))</f>
        <v>4.8611744263041823E-3</v>
      </c>
      <c r="Q121" s="70">
        <f>IF(A4taxstdlife="n/a","n/a",IF(Q$3&gt;(A4taxstdlife+$E121),(Input!$L$44-Input!$L$78)-SUM($L121:P121),(Input!$L$44-Input!$L$78)/A4taxstdlife))</f>
        <v>4.8611744263041823E-3</v>
      </c>
      <c r="R121" s="70"/>
      <c r="S121" s="105"/>
      <c r="T121" s="105"/>
      <c r="U121" s="105"/>
      <c r="V121" s="105"/>
      <c r="W121" s="105"/>
      <c r="X121" s="105"/>
      <c r="Y121" s="105"/>
      <c r="Z121" s="105"/>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row>
    <row r="122" spans="1:61" s="192" customFormat="1" ht="12.75" hidden="1" customHeight="1" outlineLevel="2">
      <c r="A122" s="9"/>
      <c r="B122" s="9"/>
      <c r="C122" s="26"/>
      <c r="D122" s="336"/>
      <c r="E122" s="88">
        <v>7</v>
      </c>
      <c r="F122" s="27"/>
      <c r="G122" s="213"/>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row>
    <row r="123" spans="1:61" s="192" customFormat="1" ht="12.75" hidden="1" customHeight="1" outlineLevel="2">
      <c r="A123" s="9"/>
      <c r="B123" s="9"/>
      <c r="C123" s="26"/>
      <c r="D123" s="336"/>
      <c r="E123" s="88">
        <v>8</v>
      </c>
      <c r="F123" s="27"/>
      <c r="G123" s="213"/>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row>
    <row r="124" spans="1:61" s="192" customFormat="1" ht="12.75" hidden="1" customHeight="1" outlineLevel="2">
      <c r="A124" s="9"/>
      <c r="B124" s="9"/>
      <c r="C124" s="26"/>
      <c r="D124" s="336"/>
      <c r="E124" s="88">
        <v>9</v>
      </c>
      <c r="F124" s="27"/>
      <c r="G124" s="213"/>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row>
    <row r="125" spans="1:61" s="192" customFormat="1" ht="12.75" hidden="1" customHeight="1" outlineLevel="2">
      <c r="A125" s="9"/>
      <c r="B125" s="9"/>
      <c r="C125" s="26"/>
      <c r="D125" s="336"/>
      <c r="E125" s="88">
        <v>10</v>
      </c>
      <c r="F125" s="27"/>
      <c r="G125" s="213"/>
      <c r="H125" s="152"/>
      <c r="I125" s="152"/>
      <c r="J125" s="152"/>
      <c r="K125" s="152"/>
      <c r="L125" s="152"/>
      <c r="M125" s="152"/>
      <c r="N125" s="152"/>
      <c r="O125" s="152"/>
      <c r="P125" s="151"/>
      <c r="Q125" s="70">
        <f>IF(A4taxstdlife="n/a","n/a",IF(Q$3&gt;(A4taxstdlife+$E125),(Input!$P$44-Input!$P$78)-SUM($P125:P125),(Input!$P$44-Input!$P$78)/A4taxstdlife))</f>
        <v>0</v>
      </c>
      <c r="R125" s="70"/>
      <c r="S125" s="105"/>
      <c r="T125" s="105"/>
      <c r="U125" s="105"/>
      <c r="V125" s="105"/>
      <c r="W125" s="105"/>
      <c r="X125" s="105"/>
      <c r="Y125" s="105"/>
      <c r="Z125" s="105"/>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row>
    <row r="126" spans="1:61" s="192" customFormat="1" ht="12.75" hidden="1" customHeight="1" outlineLevel="2">
      <c r="A126" s="9"/>
      <c r="B126" s="9"/>
      <c r="C126" s="26"/>
      <c r="D126" s="336"/>
      <c r="E126" s="89">
        <v>11</v>
      </c>
      <c r="F126" s="27"/>
      <c r="G126" s="213"/>
      <c r="H126" s="152"/>
      <c r="I126" s="152"/>
      <c r="J126" s="152"/>
      <c r="K126" s="152"/>
      <c r="L126" s="152"/>
      <c r="M126" s="152"/>
      <c r="N126" s="152"/>
      <c r="O126" s="152"/>
      <c r="P126" s="194"/>
      <c r="Q126" s="151"/>
      <c r="R126" s="70"/>
      <c r="S126" s="105"/>
      <c r="T126" s="105"/>
      <c r="U126" s="105"/>
      <c r="V126" s="105"/>
      <c r="W126" s="105"/>
      <c r="X126" s="105"/>
      <c r="Y126" s="105"/>
      <c r="Z126" s="105"/>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row>
    <row r="127" spans="1:61" s="192" customFormat="1" hidden="1" outlineLevel="1" collapsed="1">
      <c r="A127" s="9"/>
      <c r="B127" s="9"/>
      <c r="C127" s="26" t="str">
        <f>Asset4</f>
        <v>Zone Substation</v>
      </c>
      <c r="D127" s="9"/>
      <c r="E127" s="9"/>
      <c r="F127" s="23"/>
      <c r="G127" s="214">
        <f t="shared" ref="G127:L127" si="38">-SUM(G114:G126)</f>
        <v>0</v>
      </c>
      <c r="H127" s="168">
        <f t="shared" si="38"/>
        <v>0</v>
      </c>
      <c r="I127" s="168">
        <f t="shared" si="38"/>
        <v>-1.9825372006853872E-2</v>
      </c>
      <c r="J127" s="168">
        <f t="shared" si="38"/>
        <v>-2.0027671123885631E-2</v>
      </c>
      <c r="K127" s="168">
        <f t="shared" si="38"/>
        <v>-2.0027671123885631E-2</v>
      </c>
      <c r="L127" s="168">
        <f t="shared" si="38"/>
        <v>-4.2534459289691212E-2</v>
      </c>
      <c r="M127" s="168">
        <f>IF(Input!M173&gt;0, -SUM(M114:M126), 0)</f>
        <v>0</v>
      </c>
      <c r="N127" s="168">
        <f>IF(Input!N173&gt;0, -SUM(N114:N126), 0)</f>
        <v>0</v>
      </c>
      <c r="O127" s="168">
        <f>IF(Input!O173&gt;0, -SUM(O114:O126), 0)</f>
        <v>0</v>
      </c>
      <c r="P127" s="168">
        <f>IF(Input!P173&gt;0, -SUM(P114:P126), 0)</f>
        <v>0</v>
      </c>
      <c r="Q127" s="168">
        <f>IF(Input!Q173&gt;0, -SUM(Q114:Q126), 0)</f>
        <v>0</v>
      </c>
      <c r="R127" s="66"/>
      <c r="S127" s="104"/>
      <c r="T127" s="104"/>
      <c r="U127" s="104"/>
      <c r="V127" s="104"/>
      <c r="W127" s="104"/>
      <c r="X127" s="104"/>
      <c r="Y127" s="104"/>
      <c r="Z127" s="104"/>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row>
    <row r="128" spans="1:61" s="192" customFormat="1" ht="12.75" hidden="1" customHeight="1" outlineLevel="2">
      <c r="A128" s="9"/>
      <c r="B128" s="32" t="str">
        <f>Asset5</f>
        <v>Distribution Substations</v>
      </c>
      <c r="C128" s="33"/>
      <c r="D128" s="34" t="s">
        <v>69</v>
      </c>
      <c r="E128" s="33"/>
      <c r="F128" s="35"/>
      <c r="G128" s="210" t="str">
        <f>IF(G$3&gt;A5taxremlife,A5taxvalue-SUM($F128:F128),IF(A5taxremlife="N/A","n/a",A5taxvalue/A5taxremlife))</f>
        <v>n/a</v>
      </c>
      <c r="H128" s="69" t="str">
        <f>IF(H$3&gt;A5taxremlife,A5taxvalue-SUM($F128:G128),IF(A5taxremlife="N/A","n/a",A5taxvalue/A5taxremlife))</f>
        <v>n/a</v>
      </c>
      <c r="I128" s="69" t="str">
        <f>IF(I$3&gt;A5taxremlife,A5taxvalue-SUM($F128:H128),IF(A5taxremlife="N/A","n/a",A5taxvalue/A5taxremlife))</f>
        <v>n/a</v>
      </c>
      <c r="J128" s="69" t="str">
        <f>IF(J$3&gt;A5taxremlife,A5taxvalue-SUM($F128:I128),IF(A5taxremlife="N/A","n/a",A5taxvalue/A5taxremlife))</f>
        <v>n/a</v>
      </c>
      <c r="K128" s="69" t="str">
        <f>IF(K$3&gt;A5taxremlife,A5taxvalue-SUM($F128:J128),IF(A5taxremlife="N/A","n/a",A5taxvalue/A5taxremlife))</f>
        <v>n/a</v>
      </c>
      <c r="L128" s="69" t="str">
        <f>IF(L$3&gt;A5taxremlife,A5taxvalue-SUM($F128:K128),IF(A5taxremlife="N/A","n/a",A5taxvalue/A5taxremlife))</f>
        <v>n/a</v>
      </c>
      <c r="M128" s="69" t="str">
        <f>IF(M$3&gt;A5taxremlife,A5taxvalue-SUM($F128:L128),IF(A5taxremlife="N/A","n/a",A5taxvalue/A5taxremlife))</f>
        <v>n/a</v>
      </c>
      <c r="N128" s="69" t="str">
        <f>IF(N$3&gt;A5taxremlife,A5taxvalue-SUM($F128:M128),IF(A5taxremlife="N/A","n/a",A5taxvalue/A5taxremlife))</f>
        <v>n/a</v>
      </c>
      <c r="O128" s="69" t="str">
        <f>IF(O$3&gt;A5taxremlife,A5taxvalue-SUM($F128:N128),IF(A5taxremlife="N/A","n/a",A5taxvalue/A5taxremlife))</f>
        <v>n/a</v>
      </c>
      <c r="P128" s="69" t="str">
        <f>IF(P$3&gt;A5taxremlife,A5taxvalue-SUM($F128:O128),IF(A5taxremlife="N/A","n/a",A5taxvalue/A5taxremlife))</f>
        <v>n/a</v>
      </c>
      <c r="Q128" s="69" t="str">
        <f>IF(Q$3&gt;A5taxremlife,A5taxvalue-SUM($F128:P128),IF(A5taxremlife="N/A","n/a",A5taxvalue/A5taxremlife))</f>
        <v>n/a</v>
      </c>
      <c r="R128" s="69"/>
      <c r="S128" s="105"/>
      <c r="T128" s="105"/>
      <c r="U128" s="105"/>
      <c r="V128" s="105"/>
      <c r="W128" s="105"/>
      <c r="X128" s="105"/>
      <c r="Y128" s="105"/>
      <c r="Z128" s="105"/>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row>
    <row r="129" spans="1:256" s="192" customFormat="1" ht="12.75" hidden="1" customHeight="1" outlineLevel="2">
      <c r="A129" s="9"/>
      <c r="B129" s="9"/>
      <c r="C129" s="26"/>
      <c r="D129" s="335" t="s">
        <v>87</v>
      </c>
      <c r="E129" s="88">
        <v>0</v>
      </c>
      <c r="F129" s="27"/>
      <c r="G129" s="211"/>
      <c r="H129" s="70"/>
      <c r="I129" s="70"/>
      <c r="J129" s="70"/>
      <c r="K129" s="70"/>
      <c r="L129" s="70"/>
      <c r="M129" s="70"/>
      <c r="N129" s="70"/>
      <c r="O129" s="70"/>
      <c r="P129" s="70"/>
      <c r="Q129" s="70"/>
      <c r="R129" s="70"/>
      <c r="S129" s="105"/>
      <c r="T129" s="105"/>
      <c r="U129" s="105"/>
      <c r="V129" s="105"/>
      <c r="W129" s="105"/>
      <c r="X129" s="105"/>
      <c r="Y129" s="105"/>
      <c r="Z129" s="105"/>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row>
    <row r="130" spans="1:256" s="192" customFormat="1" ht="12.75" hidden="1" customHeight="1" outlineLevel="2">
      <c r="A130" s="9"/>
      <c r="B130" s="9"/>
      <c r="C130" s="26"/>
      <c r="D130" s="336"/>
      <c r="E130" s="88">
        <v>1</v>
      </c>
      <c r="F130" s="27"/>
      <c r="G130" s="212"/>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row>
    <row r="131" spans="1:256" s="192" customFormat="1" ht="12.75" hidden="1" customHeight="1" outlineLevel="2">
      <c r="A131" s="9"/>
      <c r="B131" s="9"/>
      <c r="C131" s="26"/>
      <c r="D131" s="336"/>
      <c r="E131" s="88">
        <v>2</v>
      </c>
      <c r="F131" s="27"/>
      <c r="G131" s="213"/>
      <c r="H131" s="151"/>
      <c r="I131" s="70">
        <f>IF(A5taxstdlife="n/a","n/a",IF(I$3&gt;(A5taxstdlife+$E131),(Input!$H$45-Input!$H$79)-SUM($H131:H131),(Input!$H$45-Input!$H$79)/A5taxstdlife))</f>
        <v>0.30734549115316501</v>
      </c>
      <c r="J131" s="70">
        <f>IF(A5taxstdlife="n/a","n/a",IF(J$3&gt;(A5taxstdlife+$E131),(Input!$H$45-Input!$H$79)-SUM($H131:I131),(Input!$H$45-Input!$H$79)/A5taxstdlife))</f>
        <v>0.30734549115316501</v>
      </c>
      <c r="K131" s="70">
        <f>IF(A5taxstdlife="n/a","n/a",IF(K$3&gt;(A5taxstdlife+$E131),(Input!$H$45-Input!$H$79)-SUM($H131:J131),(Input!$H$45-Input!$H$79)/A5taxstdlife))</f>
        <v>0.30734549115316501</v>
      </c>
      <c r="L131" s="70">
        <f>IF(A5taxstdlife="n/a","n/a",IF(L$3&gt;(A5taxstdlife+$E131),(Input!$H$45-Input!$H$79)-SUM($H131:K131),(Input!$H$45-Input!$H$79)/A5taxstdlife))</f>
        <v>0.30734549115316501</v>
      </c>
      <c r="M131" s="70">
        <f>IF(A5taxstdlife="n/a","n/a",IF(M$3&gt;(A5taxstdlife+$E131),(Input!$H$45-Input!$H$79)-SUM($H131:L131),(Input!$H$45-Input!$H$79)/A5taxstdlife))</f>
        <v>0.30734549115316501</v>
      </c>
      <c r="N131" s="70">
        <f>IF(A5taxstdlife="n/a","n/a",IF(N$3&gt;(A5taxstdlife+$E131),(Input!$H$45-Input!$H$79)-SUM($H131:M131),(Input!$H$45-Input!$H$79)/A5taxstdlife))</f>
        <v>0.30734549115316501</v>
      </c>
      <c r="O131" s="70">
        <f>IF(A5taxstdlife="n/a","n/a",IF(O$3&gt;(A5taxstdlife+$E131),(Input!$H$45-Input!$H$79)-SUM($H131:N131),(Input!$H$45-Input!$H$79)/A5taxstdlife))</f>
        <v>0.30734549115316501</v>
      </c>
      <c r="P131" s="70">
        <f>IF(A5taxstdlife="n/a","n/a",IF(P$3&gt;(A5taxstdlife+$E131),(Input!$H$45-Input!$H$79)-SUM($H131:O131),(Input!$H$45-Input!$H$79)/A5taxstdlife))</f>
        <v>0.30734549115316501</v>
      </c>
      <c r="Q131" s="70">
        <f>IF(A5taxstdlife="n/a","n/a",IF(Q$3&gt;(A5taxstdlife+$E131),(Input!$H$45-Input!$H$79)-SUM($H131:P131),(Input!$H$45-Input!$H$79)/A5taxstdlife))</f>
        <v>0.30734549115316501</v>
      </c>
      <c r="R131" s="70"/>
      <c r="S131" s="105"/>
      <c r="T131" s="105"/>
      <c r="U131" s="105"/>
      <c r="V131" s="105"/>
      <c r="W131" s="105"/>
      <c r="X131" s="105"/>
      <c r="Y131" s="105"/>
      <c r="Z131" s="105"/>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row>
    <row r="132" spans="1:256" s="192" customFormat="1" ht="12.75" hidden="1" customHeight="1" outlineLevel="2">
      <c r="A132" s="9"/>
      <c r="B132" s="9"/>
      <c r="C132" s="26"/>
      <c r="D132" s="336"/>
      <c r="E132" s="88">
        <v>3</v>
      </c>
      <c r="F132" s="27"/>
      <c r="G132" s="213"/>
      <c r="H132" s="152"/>
      <c r="I132" s="151"/>
      <c r="J132" s="70">
        <f>IF(A5taxstdlife="n/a","n/a",IF(J$3&gt;(A5taxstdlife+$E132),(Input!$I$45-Input!$I$79)-SUM($I132:I132),(Input!$I$45-Input!$I$79)/A5taxstdlife))</f>
        <v>0.41284356685282858</v>
      </c>
      <c r="K132" s="70">
        <f>IF(A5taxstdlife="n/a","n/a",IF(K$3&gt;(A5taxstdlife+$E132),(Input!$I$45-Input!$I$79)-SUM($I132:J132),(Input!$I$45-Input!$I$79)/A5taxstdlife))</f>
        <v>0.41284356685282858</v>
      </c>
      <c r="L132" s="70">
        <f>IF(A5taxstdlife="n/a","n/a",IF(L$3&gt;(A5taxstdlife+$E132),(Input!$I$45-Input!$I$79)-SUM($I132:K132),(Input!$I$45-Input!$I$79)/A5taxstdlife))</f>
        <v>0.41284356685282858</v>
      </c>
      <c r="M132" s="70">
        <f>IF(A5taxstdlife="n/a","n/a",IF(M$3&gt;(A5taxstdlife+$E132),(Input!$I$45-Input!$I$79)-SUM($I132:L132),(Input!$I$45-Input!$I$79)/A5taxstdlife))</f>
        <v>0.41284356685282858</v>
      </c>
      <c r="N132" s="70">
        <f>IF(A5taxstdlife="n/a","n/a",IF(N$3&gt;(A5taxstdlife+$E132),(Input!$I$45-Input!$I$79)-SUM($I132:M132),(Input!$I$45-Input!$I$79)/A5taxstdlife))</f>
        <v>0.41284356685282858</v>
      </c>
      <c r="O132" s="70">
        <f>IF(A5taxstdlife="n/a","n/a",IF(O$3&gt;(A5taxstdlife+$E132),(Input!$I$45-Input!$I$79)-SUM($I132:N132),(Input!$I$45-Input!$I$79)/A5taxstdlife))</f>
        <v>0.41284356685282858</v>
      </c>
      <c r="P132" s="70">
        <f>IF(A5taxstdlife="n/a","n/a",IF(P$3&gt;(A5taxstdlife+$E132),(Input!$I$45-Input!$I$79)-SUM($I132:O132),(Input!$I$45-Input!$I$79)/A5taxstdlife))</f>
        <v>0.41284356685282858</v>
      </c>
      <c r="Q132" s="70">
        <f>IF(A5taxstdlife="n/a","n/a",IF(Q$3&gt;(A5taxstdlife+$E132),(Input!$I$45-Input!$I$79)-SUM($I132:P132),(Input!$I$45-Input!$I$79)/A5taxstdlife))</f>
        <v>0.41284356685282858</v>
      </c>
      <c r="R132" s="70"/>
      <c r="S132" s="105"/>
      <c r="T132" s="105"/>
      <c r="U132" s="105"/>
      <c r="V132" s="105"/>
      <c r="W132" s="105"/>
      <c r="X132" s="105"/>
      <c r="Y132" s="105"/>
      <c r="Z132" s="105"/>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row>
    <row r="133" spans="1:256" s="192" customFormat="1" ht="12.75" hidden="1" customHeight="1" outlineLevel="2">
      <c r="A133" s="9"/>
      <c r="B133" s="9"/>
      <c r="C133" s="26"/>
      <c r="D133" s="336"/>
      <c r="E133" s="88">
        <v>4</v>
      </c>
      <c r="F133" s="27"/>
      <c r="G133" s="213"/>
      <c r="H133" s="152"/>
      <c r="I133" s="152"/>
      <c r="J133" s="151"/>
      <c r="K133" s="70">
        <f>IF(A5taxstdlife="n/a","n/a",IF(K$3&gt;(A5taxstdlife+$E133),(Input!$J$45-Input!$J$79)-SUM($J133:J133),(Input!$J$45-Input!$J$79)/A5taxstdlife))</f>
        <v>0.35026109338746264</v>
      </c>
      <c r="L133" s="70">
        <f>IF(A5taxstdlife="n/a","n/a",IF(L$3&gt;(A5taxstdlife+$E133),(Input!$J$45-Input!$J$79)-SUM($J133:K133),(Input!$J$45-Input!$J$79)/A5taxstdlife))</f>
        <v>0.35026109338746264</v>
      </c>
      <c r="M133" s="70">
        <f>IF(A5taxstdlife="n/a","n/a",IF(M$3&gt;(A5taxstdlife+$E133),(Input!$J$45-Input!$J$79)-SUM($J133:L133),(Input!$J$45-Input!$J$79)/A5taxstdlife))</f>
        <v>0.35026109338746264</v>
      </c>
      <c r="N133" s="70">
        <f>IF(A5taxstdlife="n/a","n/a",IF(N$3&gt;(A5taxstdlife+$E133),(Input!$J$45-Input!$J$79)-SUM($J133:M133),(Input!$J$45-Input!$J$79)/A5taxstdlife))</f>
        <v>0.35026109338746264</v>
      </c>
      <c r="O133" s="70">
        <f>IF(A5taxstdlife="n/a","n/a",IF(O$3&gt;(A5taxstdlife+$E133),(Input!$J$45-Input!$J$79)-SUM($J133:N133),(Input!$J$45-Input!$J$79)/A5taxstdlife))</f>
        <v>0.35026109338746264</v>
      </c>
      <c r="P133" s="70">
        <f>IF(A5taxstdlife="n/a","n/a",IF(P$3&gt;(A5taxstdlife+$E133),(Input!$J$45-Input!$J$79)-SUM($J133:O133),(Input!$J$45-Input!$J$79)/A5taxstdlife))</f>
        <v>0.35026109338746264</v>
      </c>
      <c r="Q133" s="70">
        <f>IF(A5taxstdlife="n/a","n/a",IF(Q$3&gt;(A5taxstdlife+$E133),(Input!$J$45-Input!$J$79)-SUM($J133:P133),(Input!$J$45-Input!$J$79)/A5taxstdlife))</f>
        <v>0.35026109338746264</v>
      </c>
      <c r="R133" s="70"/>
      <c r="S133" s="105"/>
      <c r="T133" s="105"/>
      <c r="U133" s="105"/>
      <c r="V133" s="105"/>
      <c r="W133" s="105"/>
      <c r="X133" s="105"/>
      <c r="Y133" s="105"/>
      <c r="Z133" s="105"/>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row>
    <row r="134" spans="1:256" s="192" customFormat="1" ht="12.75" hidden="1" customHeight="1" outlineLevel="2">
      <c r="A134" s="9"/>
      <c r="B134" s="9"/>
      <c r="C134" s="26"/>
      <c r="D134" s="336"/>
      <c r="E134" s="88">
        <v>5</v>
      </c>
      <c r="F134" s="27"/>
      <c r="G134" s="213"/>
      <c r="H134" s="152"/>
      <c r="I134" s="152"/>
      <c r="J134" s="152"/>
      <c r="K134" s="151"/>
      <c r="L134" s="70">
        <f>IF(A5taxstdlife="n/a","n/a",IF(L$3&gt;(A5taxstdlife+$E134),(Input!$K$45-Input!$K$79)-SUM($K134:K134),(Input!$K$45-Input!$K$79)/A5taxstdlife))</f>
        <v>0.32123229524654495</v>
      </c>
      <c r="M134" s="70">
        <f>IF(A5taxstdlife="n/a","n/a",IF(M$3&gt;(A5taxstdlife+$E134),(Input!$K$45-Input!$K$79)-SUM($K134:L134),(Input!$K$45-Input!$K$79)/A5taxstdlife))</f>
        <v>0.32123229524654495</v>
      </c>
      <c r="N134" s="70">
        <f>IF(A5taxstdlife="n/a","n/a",IF(N$3&gt;(A5taxstdlife+$E134),(Input!$K$45-Input!$K$79)-SUM($K134:M134),(Input!$K$45-Input!$K$79)/A5taxstdlife))</f>
        <v>0.32123229524654495</v>
      </c>
      <c r="O134" s="70">
        <f>IF(A5taxstdlife="n/a","n/a",IF(O$3&gt;(A5taxstdlife+$E134),(Input!$K$45-Input!$K$79)-SUM($K134:N134),(Input!$K$45-Input!$K$79)/A5taxstdlife))</f>
        <v>0.32123229524654495</v>
      </c>
      <c r="P134" s="70">
        <f>IF(A5taxstdlife="n/a","n/a",IF(P$3&gt;(A5taxstdlife+$E134),(Input!$K$45-Input!$K$79)-SUM($K134:O134),(Input!$K$45-Input!$K$79)/A5taxstdlife))</f>
        <v>0.32123229524654495</v>
      </c>
      <c r="Q134" s="70">
        <f>IF(A5taxstdlife="n/a","n/a",IF(Q$3&gt;(A5taxstdlife+$E134),(Input!$K$45-Input!$K$79)-SUM($K134:P134),(Input!$K$45-Input!$K$79)/A5taxstdlife))</f>
        <v>0.32123229524654495</v>
      </c>
      <c r="R134" s="70"/>
      <c r="S134" s="105"/>
      <c r="T134" s="105"/>
      <c r="U134" s="105"/>
      <c r="V134" s="105"/>
      <c r="W134" s="105"/>
      <c r="X134" s="105"/>
      <c r="Y134" s="105"/>
      <c r="Z134" s="105"/>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row>
    <row r="135" spans="1:256" s="192" customFormat="1" ht="12.75" hidden="1" customHeight="1" outlineLevel="2">
      <c r="A135" s="9"/>
      <c r="B135" s="9"/>
      <c r="C135" s="26"/>
      <c r="D135" s="336"/>
      <c r="E135" s="88">
        <v>6</v>
      </c>
      <c r="F135" s="27"/>
      <c r="G135" s="213"/>
      <c r="H135" s="152"/>
      <c r="I135" s="152"/>
      <c r="J135" s="152"/>
      <c r="K135" s="152"/>
      <c r="L135" s="151"/>
      <c r="M135" s="70">
        <f>IF(A5taxstdlife="n/a","n/a",IF(M$3&gt;(A5taxstdlife+$E135),(Input!$L$45-Input!$L$79)-SUM($L135:L135),(Input!$L$45-Input!$L$79)/A5taxstdlife))</f>
        <v>0.33747194262631491</v>
      </c>
      <c r="N135" s="70">
        <f>IF(A5taxstdlife="n/a","n/a",IF(N$3&gt;(A5taxstdlife+$E135),(Input!$L$45-Input!$L$79)-SUM($L135:M135),(Input!$L$45-Input!$L$79)/A5taxstdlife))</f>
        <v>0.33747194262631491</v>
      </c>
      <c r="O135" s="70">
        <f>IF(A5taxstdlife="n/a","n/a",IF(O$3&gt;(A5taxstdlife+$E135),(Input!$L$45-Input!$L$79)-SUM($L135:N135),(Input!$L$45-Input!$L$79)/A5taxstdlife))</f>
        <v>0.33747194262631491</v>
      </c>
      <c r="P135" s="70">
        <f>IF(A5taxstdlife="n/a","n/a",IF(P$3&gt;(A5taxstdlife+$E135),(Input!$L$45-Input!$L$79)-SUM($L135:O135),(Input!$L$45-Input!$L$79)/A5taxstdlife))</f>
        <v>0.33747194262631491</v>
      </c>
      <c r="Q135" s="70">
        <f>IF(A5taxstdlife="n/a","n/a",IF(Q$3&gt;(A5taxstdlife+$E135),(Input!$L$45-Input!$L$79)-SUM($L135:P135),(Input!$L$45-Input!$L$79)/A5taxstdlife))</f>
        <v>0.33747194262631491</v>
      </c>
      <c r="R135" s="70"/>
      <c r="S135" s="105"/>
      <c r="T135" s="105"/>
      <c r="U135" s="105"/>
      <c r="V135" s="105"/>
      <c r="W135" s="105"/>
      <c r="X135" s="105"/>
      <c r="Y135" s="105"/>
      <c r="Z135" s="105"/>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row>
    <row r="136" spans="1:256" s="192" customFormat="1" ht="12.75" hidden="1" customHeight="1" outlineLevel="2">
      <c r="A136" s="9"/>
      <c r="B136" s="9"/>
      <c r="C136" s="26"/>
      <c r="D136" s="336"/>
      <c r="E136" s="88">
        <v>7</v>
      </c>
      <c r="F136" s="27"/>
      <c r="G136" s="213"/>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row>
    <row r="137" spans="1:256" s="192" customFormat="1" ht="12.75" hidden="1" customHeight="1" outlineLevel="2">
      <c r="A137" s="9"/>
      <c r="B137" s="9"/>
      <c r="C137" s="26"/>
      <c r="D137" s="336"/>
      <c r="E137" s="88">
        <v>8</v>
      </c>
      <c r="F137" s="27"/>
      <c r="G137" s="213"/>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row>
    <row r="138" spans="1:256" s="192" customFormat="1" ht="12.75" hidden="1" customHeight="1" outlineLevel="2">
      <c r="A138" s="9"/>
      <c r="B138" s="9"/>
      <c r="C138" s="26"/>
      <c r="D138" s="336"/>
      <c r="E138" s="88">
        <v>9</v>
      </c>
      <c r="F138" s="27"/>
      <c r="G138" s="213"/>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row>
    <row r="139" spans="1:256" s="192" customFormat="1" ht="12.75" hidden="1" customHeight="1" outlineLevel="2">
      <c r="A139" s="9"/>
      <c r="B139" s="9"/>
      <c r="C139" s="26"/>
      <c r="D139" s="336"/>
      <c r="E139" s="88">
        <v>10</v>
      </c>
      <c r="F139" s="27"/>
      <c r="G139" s="213"/>
      <c r="H139" s="152"/>
      <c r="I139" s="152"/>
      <c r="J139" s="152"/>
      <c r="K139" s="152"/>
      <c r="L139" s="152"/>
      <c r="M139" s="152"/>
      <c r="N139" s="152"/>
      <c r="O139" s="152"/>
      <c r="P139" s="151"/>
      <c r="Q139" s="70">
        <f>IF(A5taxstdlife="n/a","n/a",IF(Q$3&gt;(A5taxstdlife+$E139),(Input!$P$45-Input!$P$79)-SUM($P139:P139),(Input!$P$45-Input!$P$79)/A5taxstdlife))</f>
        <v>0</v>
      </c>
      <c r="R139" s="70"/>
      <c r="S139" s="105"/>
      <c r="T139" s="105"/>
      <c r="U139" s="105"/>
      <c r="V139" s="105"/>
      <c r="W139" s="105"/>
      <c r="X139" s="105"/>
      <c r="Y139" s="105"/>
      <c r="Z139" s="105"/>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row>
    <row r="140" spans="1:256" s="192" customFormat="1" ht="12.75" hidden="1" customHeight="1" outlineLevel="2">
      <c r="A140" s="9"/>
      <c r="B140" s="9"/>
      <c r="C140" s="26"/>
      <c r="D140" s="336"/>
      <c r="E140" s="89">
        <v>11</v>
      </c>
      <c r="F140" s="27"/>
      <c r="G140" s="213"/>
      <c r="H140" s="152"/>
      <c r="I140" s="152"/>
      <c r="J140" s="152"/>
      <c r="K140" s="152"/>
      <c r="L140" s="152"/>
      <c r="M140" s="152"/>
      <c r="N140" s="152"/>
      <c r="O140" s="152"/>
      <c r="P140" s="194"/>
      <c r="Q140" s="151"/>
      <c r="R140" s="70"/>
      <c r="S140" s="105"/>
      <c r="T140" s="105"/>
      <c r="U140" s="105"/>
      <c r="V140" s="105"/>
      <c r="W140" s="105"/>
      <c r="X140" s="105"/>
      <c r="Y140" s="105"/>
      <c r="Z140" s="105"/>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row>
    <row r="141" spans="1:256" s="192" customFormat="1" hidden="1" outlineLevel="1" collapsed="1">
      <c r="A141" s="9"/>
      <c r="B141" s="9"/>
      <c r="C141" s="26" t="str">
        <f>Asset5</f>
        <v>Distribution Substations</v>
      </c>
      <c r="D141" s="9"/>
      <c r="E141" s="9"/>
      <c r="F141" s="23"/>
      <c r="G141" s="214">
        <f t="shared" ref="G141:L141" si="39">-SUM(G128:G140)</f>
        <v>0</v>
      </c>
      <c r="H141" s="168">
        <f t="shared" si="39"/>
        <v>0</v>
      </c>
      <c r="I141" s="168">
        <f t="shared" si="39"/>
        <v>-0.30734549115316501</v>
      </c>
      <c r="J141" s="168">
        <f t="shared" si="39"/>
        <v>-0.72018905800599353</v>
      </c>
      <c r="K141" s="168">
        <f t="shared" si="39"/>
        <v>-1.0704501513934561</v>
      </c>
      <c r="L141" s="168">
        <f t="shared" si="39"/>
        <v>-1.3916824466400011</v>
      </c>
      <c r="M141" s="168">
        <f>IF(Input!M173&gt;0, -SUM(M128:M140), 0)</f>
        <v>0</v>
      </c>
      <c r="N141" s="168">
        <f>IF(Input!N173&gt;0, -SUM(N128:N140), 0)</f>
        <v>0</v>
      </c>
      <c r="O141" s="168">
        <f>IF(Input!O173&gt;0, -SUM(O128:O140), 0)</f>
        <v>0</v>
      </c>
      <c r="P141" s="168">
        <f>IF(Input!P173&gt;0, -SUM(P128:P140), 0)</f>
        <v>0</v>
      </c>
      <c r="Q141" s="168">
        <f>IF(Input!Q173&gt;0, -SUM(Q128:Q140), 0)</f>
        <v>0</v>
      </c>
      <c r="R141" s="66"/>
      <c r="S141" s="104"/>
      <c r="T141" s="104"/>
      <c r="U141" s="104"/>
      <c r="V141" s="104"/>
      <c r="W141" s="104"/>
      <c r="X141" s="104"/>
      <c r="Y141" s="104"/>
      <c r="Z141" s="104"/>
      <c r="AA141" s="222"/>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222"/>
      <c r="BE141" s="222"/>
      <c r="BF141" s="222"/>
      <c r="BG141" s="222"/>
      <c r="BH141" s="222"/>
      <c r="BI141" s="222"/>
    </row>
    <row r="142" spans="1:256" s="5" customFormat="1" ht="12.75" hidden="1" customHeight="1" outlineLevel="2">
      <c r="A142" s="9"/>
      <c r="B142" s="32" t="str">
        <f>Asset6</f>
        <v>Distribution Overhead Lines</v>
      </c>
      <c r="C142" s="33"/>
      <c r="D142" s="34" t="s">
        <v>69</v>
      </c>
      <c r="E142" s="33"/>
      <c r="F142" s="35"/>
      <c r="G142" s="210" t="str">
        <f>IF(G$3&gt;A6taxremlife,A6taxvalue-SUM($F142:F142),IF(A6taxremlife="N/A","n/a",A6taxvalue/A6taxremlife))</f>
        <v>n/a</v>
      </c>
      <c r="H142" s="69" t="str">
        <f>IF(H$3&gt;A6taxremlife,A6taxvalue-SUM($F142:G142),IF(A6taxremlife="N/A","n/a",A6taxvalue/A6taxremlife))</f>
        <v>n/a</v>
      </c>
      <c r="I142" s="69" t="str">
        <f>IF(I$3&gt;A6taxremlife,A6taxvalue-SUM($F142:H142),IF(A6taxremlife="N/A","n/a",A6taxvalue/A6taxremlife))</f>
        <v>n/a</v>
      </c>
      <c r="J142" s="69" t="str">
        <f>IF(J$3&gt;A6taxremlife,A6taxvalue-SUM($F142:I142),IF(A6taxremlife="N/A","n/a",A6taxvalue/A6taxremlife))</f>
        <v>n/a</v>
      </c>
      <c r="K142" s="69" t="str">
        <f>IF(K$3&gt;A6taxremlife,A6taxvalue-SUM($F142:J142),IF(A6taxremlife="N/A","n/a",A6taxvalue/A6taxremlife))</f>
        <v>n/a</v>
      </c>
      <c r="L142" s="69" t="str">
        <f>IF(L$3&gt;A6taxremlife,A6taxvalue-SUM($F142:K142),IF(A6taxremlife="N/A","n/a",A6taxvalue/A6taxremlife))</f>
        <v>n/a</v>
      </c>
      <c r="M142" s="69" t="str">
        <f>IF(M$3&gt;A6taxremlife,A6taxvalue-SUM($F142:L142),IF(A6taxremlife="N/A","n/a",A6taxvalue/A6taxremlife))</f>
        <v>n/a</v>
      </c>
      <c r="N142" s="69" t="str">
        <f>IF(N$3&gt;A6taxremlife,A6taxvalue-SUM($F142:M142),IF(A6taxremlife="N/A","n/a",A6taxvalue/A6taxremlife))</f>
        <v>n/a</v>
      </c>
      <c r="O142" s="69" t="str">
        <f>IF(O$3&gt;A6taxremlife,A6taxvalue-SUM($F142:N142),IF(A6taxremlife="N/A","n/a",A6taxvalue/A6taxremlife))</f>
        <v>n/a</v>
      </c>
      <c r="P142" s="69" t="str">
        <f>IF(P$3&gt;A6taxremlife,A6taxvalue-SUM($F142:O142),IF(A6taxremlife="N/A","n/a",A6taxvalue/A6taxremlife))</f>
        <v>n/a</v>
      </c>
      <c r="Q142" s="69" t="str">
        <f>IF(Q$3&gt;A6taxremlife,A6taxvalue-SUM($F142:P142),IF(A6taxremlife="N/A","n/a",A6taxvalue/A6taxremlife))</f>
        <v>n/a</v>
      </c>
      <c r="R142" s="69"/>
      <c r="S142" s="105"/>
      <c r="T142" s="105"/>
      <c r="U142" s="105"/>
      <c r="V142" s="105"/>
      <c r="W142" s="105"/>
      <c r="X142" s="105"/>
      <c r="Y142" s="105"/>
      <c r="Z142" s="105"/>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192"/>
      <c r="BK142" s="192"/>
      <c r="BL142" s="192"/>
      <c r="BM142" s="192"/>
      <c r="BN142" s="192"/>
      <c r="BO142" s="19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35" t="s">
        <v>87</v>
      </c>
      <c r="E143" s="88">
        <v>0</v>
      </c>
      <c r="F143" s="27"/>
      <c r="G143" s="211"/>
      <c r="H143" s="70"/>
      <c r="I143" s="70"/>
      <c r="J143" s="70"/>
      <c r="K143" s="70"/>
      <c r="L143" s="70"/>
      <c r="M143" s="70"/>
      <c r="N143" s="70"/>
      <c r="O143" s="70"/>
      <c r="P143" s="70"/>
      <c r="Q143" s="70"/>
      <c r="R143" s="70"/>
      <c r="S143" s="105"/>
      <c r="T143" s="105"/>
      <c r="U143" s="105"/>
      <c r="V143" s="105"/>
      <c r="W143" s="105"/>
      <c r="X143" s="105"/>
      <c r="Y143" s="105"/>
      <c r="Z143" s="105"/>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192"/>
      <c r="BK143" s="192"/>
      <c r="BL143" s="192"/>
      <c r="BM143" s="192"/>
      <c r="BN143" s="192"/>
      <c r="BO143" s="192"/>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36"/>
      <c r="E144" s="88">
        <v>1</v>
      </c>
      <c r="F144" s="27"/>
      <c r="G144" s="212"/>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192"/>
      <c r="BK144" s="192"/>
      <c r="BL144" s="192"/>
      <c r="BM144" s="192"/>
      <c r="BN144" s="192"/>
      <c r="BO144" s="192"/>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36"/>
      <c r="E145" s="88">
        <v>2</v>
      </c>
      <c r="F145" s="27"/>
      <c r="G145" s="213"/>
      <c r="H145" s="151"/>
      <c r="I145" s="70">
        <f>IF(A6taxstdlife="n/a","n/a",IF(I$3&gt;(A6taxstdlife+$E145),(Input!$H$46-Input!$H$80)-SUM($H145:H145),(Input!$H$46-Input!$H$80)/A6taxstdlife))</f>
        <v>0.24054503599999996</v>
      </c>
      <c r="J145" s="70">
        <f>IF(A6taxstdlife="n/a","n/a",IF(J$3&gt;(A6taxstdlife+$E145),(Input!$H$46-Input!$H$80)-SUM($H145:I145),(Input!$H$46-Input!$H$80)/A6taxstdlife))</f>
        <v>0.24054503599999996</v>
      </c>
      <c r="K145" s="70">
        <f>IF(A6taxstdlife="n/a","n/a",IF(K$3&gt;(A6taxstdlife+$E145),(Input!$H$46-Input!$H$80)-SUM($H145:J145),(Input!$H$46-Input!$H$80)/A6taxstdlife))</f>
        <v>0.24054503599999996</v>
      </c>
      <c r="L145" s="70">
        <f>IF(A6taxstdlife="n/a","n/a",IF(L$3&gt;(A6taxstdlife+$E145),(Input!$H$46-Input!$H$80)-SUM($H145:K145),(Input!$H$46-Input!$H$80)/A6taxstdlife))</f>
        <v>0.24054503599999996</v>
      </c>
      <c r="M145" s="70">
        <f>IF(A6taxstdlife="n/a","n/a",IF(M$3&gt;(A6taxstdlife+$E145),(Input!$H$46-Input!$H$80)-SUM($H145:L145),(Input!$H$46-Input!$H$80)/A6taxstdlife))</f>
        <v>0.24054503599999996</v>
      </c>
      <c r="N145" s="70">
        <f>IF(A6taxstdlife="n/a","n/a",IF(N$3&gt;(A6taxstdlife+$E145),(Input!$H$46-Input!$H$80)-SUM($H145:M145),(Input!$H$46-Input!$H$80)/A6taxstdlife))</f>
        <v>0.24054503599999996</v>
      </c>
      <c r="O145" s="70">
        <f>IF(A6taxstdlife="n/a","n/a",IF(O$3&gt;(A6taxstdlife+$E145),(Input!$H$46-Input!$H$80)-SUM($H145:N145),(Input!$H$46-Input!$H$80)/A6taxstdlife))</f>
        <v>0.24054503599999996</v>
      </c>
      <c r="P145" s="70">
        <f>IF(A6taxstdlife="n/a","n/a",IF(P$3&gt;(A6taxstdlife+$E145),(Input!$H$46-Input!$H$80)-SUM($H145:O145),(Input!$H$46-Input!$H$80)/A6taxstdlife))</f>
        <v>0.24054503599999996</v>
      </c>
      <c r="Q145" s="70">
        <f>IF(A6taxstdlife="n/a","n/a",IF(Q$3&gt;(A6taxstdlife+$E145),(Input!$H$46-Input!$H$80)-SUM($H145:P145),(Input!$H$46-Input!$H$80)/A6taxstdlife))</f>
        <v>0.24054503599999996</v>
      </c>
      <c r="R145" s="70"/>
      <c r="S145" s="105"/>
      <c r="T145" s="105"/>
      <c r="U145" s="105"/>
      <c r="V145" s="105"/>
      <c r="W145" s="105"/>
      <c r="X145" s="105"/>
      <c r="Y145" s="105"/>
      <c r="Z145" s="105"/>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192"/>
      <c r="BK145" s="192"/>
      <c r="BL145" s="192"/>
      <c r="BM145" s="192"/>
      <c r="BN145" s="192"/>
      <c r="BO145" s="192"/>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36"/>
      <c r="E146" s="88">
        <v>3</v>
      </c>
      <c r="F146" s="27"/>
      <c r="G146" s="213"/>
      <c r="H146" s="152"/>
      <c r="I146" s="151"/>
      <c r="J146" s="70">
        <f>IF(A6taxstdlife="n/a","n/a",IF(J$3&gt;(A6taxstdlife+$E146),(Input!$I$46-Input!$I$80)-SUM($I146:I146),(Input!$I$46-Input!$I$80)/A6taxstdlife))</f>
        <v>0.27654609200000002</v>
      </c>
      <c r="K146" s="70">
        <f>IF(A6taxstdlife="n/a","n/a",IF(K$3&gt;(A6taxstdlife+$E146),(Input!$I$46-Input!$I$80)-SUM($I146:J146),(Input!$I$46-Input!$I$80)/A6taxstdlife))</f>
        <v>0.27654609200000002</v>
      </c>
      <c r="L146" s="70">
        <f>IF(A6taxstdlife="n/a","n/a",IF(L$3&gt;(A6taxstdlife+$E146),(Input!$I$46-Input!$I$80)-SUM($I146:K146),(Input!$I$46-Input!$I$80)/A6taxstdlife))</f>
        <v>0.27654609200000002</v>
      </c>
      <c r="M146" s="70">
        <f>IF(A6taxstdlife="n/a","n/a",IF(M$3&gt;(A6taxstdlife+$E146),(Input!$I$46-Input!$I$80)-SUM($I146:L146),(Input!$I$46-Input!$I$80)/A6taxstdlife))</f>
        <v>0.27654609200000002</v>
      </c>
      <c r="N146" s="70">
        <f>IF(A6taxstdlife="n/a","n/a",IF(N$3&gt;(A6taxstdlife+$E146),(Input!$I$46-Input!$I$80)-SUM($I146:M146),(Input!$I$46-Input!$I$80)/A6taxstdlife))</f>
        <v>0.27654609200000002</v>
      </c>
      <c r="O146" s="70">
        <f>IF(A6taxstdlife="n/a","n/a",IF(O$3&gt;(A6taxstdlife+$E146),(Input!$I$46-Input!$I$80)-SUM($I146:N146),(Input!$I$46-Input!$I$80)/A6taxstdlife))</f>
        <v>0.27654609200000002</v>
      </c>
      <c r="P146" s="70">
        <f>IF(A6taxstdlife="n/a","n/a",IF(P$3&gt;(A6taxstdlife+$E146),(Input!$I$46-Input!$I$80)-SUM($I146:O146),(Input!$I$46-Input!$I$80)/A6taxstdlife))</f>
        <v>0.27654609200000002</v>
      </c>
      <c r="Q146" s="70">
        <f>IF(A6taxstdlife="n/a","n/a",IF(Q$3&gt;(A6taxstdlife+$E146),(Input!$I$46-Input!$I$80)-SUM($I146:P146),(Input!$I$46-Input!$I$80)/A6taxstdlife))</f>
        <v>0.27654609200000002</v>
      </c>
      <c r="R146" s="70"/>
      <c r="S146" s="105"/>
      <c r="T146" s="105"/>
      <c r="U146" s="105"/>
      <c r="V146" s="105"/>
      <c r="W146" s="105"/>
      <c r="X146" s="105"/>
      <c r="Y146" s="105"/>
      <c r="Z146" s="105"/>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192"/>
      <c r="BK146" s="192"/>
      <c r="BL146" s="192"/>
      <c r="BM146" s="192"/>
      <c r="BN146" s="192"/>
      <c r="BO146" s="192"/>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36"/>
      <c r="E147" s="88">
        <v>4</v>
      </c>
      <c r="F147" s="27"/>
      <c r="G147" s="213"/>
      <c r="H147" s="152"/>
      <c r="I147" s="152"/>
      <c r="J147" s="151"/>
      <c r="K147" s="70">
        <f>IF(A6taxstdlife="n/a","n/a",IF(K$3&gt;(A6taxstdlife+$E147),(Input!$J$46-Input!$J$80)-SUM($J147:J147),(Input!$J$46-Input!$J$80)/A6taxstdlife))</f>
        <v>0.30420821888888894</v>
      </c>
      <c r="L147" s="70">
        <f>IF(A6taxstdlife="n/a","n/a",IF(L$3&gt;(A6taxstdlife+$E147),(Input!$J$46-Input!$J$80)-SUM($J147:K147),(Input!$J$46-Input!$J$80)/A6taxstdlife))</f>
        <v>0.30420821888888894</v>
      </c>
      <c r="M147" s="70">
        <f>IF(A6taxstdlife="n/a","n/a",IF(M$3&gt;(A6taxstdlife+$E147),(Input!$J$46-Input!$J$80)-SUM($J147:L147),(Input!$J$46-Input!$J$80)/A6taxstdlife))</f>
        <v>0.30420821888888894</v>
      </c>
      <c r="N147" s="70">
        <f>IF(A6taxstdlife="n/a","n/a",IF(N$3&gt;(A6taxstdlife+$E147),(Input!$J$46-Input!$J$80)-SUM($J147:M147),(Input!$J$46-Input!$J$80)/A6taxstdlife))</f>
        <v>0.30420821888888894</v>
      </c>
      <c r="O147" s="70">
        <f>IF(A6taxstdlife="n/a","n/a",IF(O$3&gt;(A6taxstdlife+$E147),(Input!$J$46-Input!$J$80)-SUM($J147:N147),(Input!$J$46-Input!$J$80)/A6taxstdlife))</f>
        <v>0.30420821888888894</v>
      </c>
      <c r="P147" s="70">
        <f>IF(A6taxstdlife="n/a","n/a",IF(P$3&gt;(A6taxstdlife+$E147),(Input!$J$46-Input!$J$80)-SUM($J147:O147),(Input!$J$46-Input!$J$80)/A6taxstdlife))</f>
        <v>0.30420821888888894</v>
      </c>
      <c r="Q147" s="70">
        <f>IF(A6taxstdlife="n/a","n/a",IF(Q$3&gt;(A6taxstdlife+$E147),(Input!$J$46-Input!$J$80)-SUM($J147:P147),(Input!$J$46-Input!$J$80)/A6taxstdlife))</f>
        <v>0.30420821888888894</v>
      </c>
      <c r="R147" s="70"/>
      <c r="S147" s="105"/>
      <c r="T147" s="105"/>
      <c r="U147" s="105"/>
      <c r="V147" s="105"/>
      <c r="W147" s="105"/>
      <c r="X147" s="105"/>
      <c r="Y147" s="105"/>
      <c r="Z147" s="105"/>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192"/>
      <c r="BK147" s="192"/>
      <c r="BL147" s="192"/>
      <c r="BM147" s="192"/>
      <c r="BN147" s="192"/>
      <c r="BO147" s="192"/>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36"/>
      <c r="E148" s="88">
        <v>5</v>
      </c>
      <c r="F148" s="27"/>
      <c r="G148" s="213"/>
      <c r="H148" s="152"/>
      <c r="I148" s="152"/>
      <c r="J148" s="152"/>
      <c r="K148" s="151"/>
      <c r="L148" s="70">
        <f>IF(A6taxstdlife="n/a","n/a",IF(L$3&gt;(A6taxstdlife+$E148),(Input!$K$46-Input!$K$80)-SUM($K148:K148),(Input!$K$46-Input!$K$80)/A6taxstdlife))</f>
        <v>0.24280166133333331</v>
      </c>
      <c r="M148" s="70">
        <f>IF(A6taxstdlife="n/a","n/a",IF(M$3&gt;(A6taxstdlife+$E148),(Input!$K$46-Input!$K$80)-SUM($K148:L148),(Input!$K$46-Input!$K$80)/A6taxstdlife))</f>
        <v>0.24280166133333331</v>
      </c>
      <c r="N148" s="70">
        <f>IF(A6taxstdlife="n/a","n/a",IF(N$3&gt;(A6taxstdlife+$E148),(Input!$K$46-Input!$K$80)-SUM($K148:M148),(Input!$K$46-Input!$K$80)/A6taxstdlife))</f>
        <v>0.24280166133333331</v>
      </c>
      <c r="O148" s="70">
        <f>IF(A6taxstdlife="n/a","n/a",IF(O$3&gt;(A6taxstdlife+$E148),(Input!$K$46-Input!$K$80)-SUM($K148:N148),(Input!$K$46-Input!$K$80)/A6taxstdlife))</f>
        <v>0.24280166133333331</v>
      </c>
      <c r="P148" s="70">
        <f>IF(A6taxstdlife="n/a","n/a",IF(P$3&gt;(A6taxstdlife+$E148),(Input!$K$46-Input!$K$80)-SUM($K148:O148),(Input!$K$46-Input!$K$80)/A6taxstdlife))</f>
        <v>0.24280166133333331</v>
      </c>
      <c r="Q148" s="70">
        <f>IF(A6taxstdlife="n/a","n/a",IF(Q$3&gt;(A6taxstdlife+$E148),(Input!$K$46-Input!$K$80)-SUM($K148:P148),(Input!$K$46-Input!$K$80)/A6taxstdlife))</f>
        <v>0.24280166133333331</v>
      </c>
      <c r="R148" s="70"/>
      <c r="S148" s="105"/>
      <c r="T148" s="105"/>
      <c r="U148" s="105"/>
      <c r="V148" s="105"/>
      <c r="W148" s="105"/>
      <c r="X148" s="105"/>
      <c r="Y148" s="105"/>
      <c r="Z148" s="105"/>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192"/>
      <c r="BK148" s="192"/>
      <c r="BL148" s="192"/>
      <c r="BM148" s="192"/>
      <c r="BN148" s="192"/>
      <c r="BO148" s="192"/>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36"/>
      <c r="E149" s="88">
        <v>6</v>
      </c>
      <c r="F149" s="27"/>
      <c r="G149" s="213"/>
      <c r="H149" s="152"/>
      <c r="I149" s="152"/>
      <c r="J149" s="152"/>
      <c r="K149" s="152"/>
      <c r="L149" s="151"/>
      <c r="M149" s="70">
        <f>IF(A6taxstdlife="n/a","n/a",IF(M$3&gt;(A6taxstdlife+$E149),(Input!$L$46-Input!$L$80)-SUM($L149:L149),(Input!$L$46-Input!$L$80)/A6taxstdlife))</f>
        <v>0.21534579745645957</v>
      </c>
      <c r="N149" s="70">
        <f>IF(A6taxstdlife="n/a","n/a",IF(N$3&gt;(A6taxstdlife+$E149),(Input!$L$46-Input!$L$80)-SUM($L149:M149),(Input!$L$46-Input!$L$80)/A6taxstdlife))</f>
        <v>0.21534579745645957</v>
      </c>
      <c r="O149" s="70">
        <f>IF(A6taxstdlife="n/a","n/a",IF(O$3&gt;(A6taxstdlife+$E149),(Input!$L$46-Input!$L$80)-SUM($L149:N149),(Input!$L$46-Input!$L$80)/A6taxstdlife))</f>
        <v>0.21534579745645957</v>
      </c>
      <c r="P149" s="70">
        <f>IF(A6taxstdlife="n/a","n/a",IF(P$3&gt;(A6taxstdlife+$E149),(Input!$L$46-Input!$L$80)-SUM($L149:O149),(Input!$L$46-Input!$L$80)/A6taxstdlife))</f>
        <v>0.21534579745645957</v>
      </c>
      <c r="Q149" s="70">
        <f>IF(A6taxstdlife="n/a","n/a",IF(Q$3&gt;(A6taxstdlife+$E149),(Input!$L$46-Input!$L$80)-SUM($L149:P149),(Input!$L$46-Input!$L$80)/A6taxstdlife))</f>
        <v>0.21534579745645957</v>
      </c>
      <c r="R149" s="70"/>
      <c r="S149" s="105"/>
      <c r="T149" s="105"/>
      <c r="U149" s="105"/>
      <c r="V149" s="105"/>
      <c r="W149" s="105"/>
      <c r="X149" s="105"/>
      <c r="Y149" s="105"/>
      <c r="Z149" s="105"/>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192"/>
      <c r="BK149" s="192"/>
      <c r="BL149" s="192"/>
      <c r="BM149" s="192"/>
      <c r="BN149" s="192"/>
      <c r="BO149" s="192"/>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36"/>
      <c r="E150" s="88">
        <v>7</v>
      </c>
      <c r="F150" s="27"/>
      <c r="G150" s="213"/>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192"/>
      <c r="BK150" s="192"/>
      <c r="BL150" s="192"/>
      <c r="BM150" s="192"/>
      <c r="BN150" s="192"/>
      <c r="BO150" s="192"/>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36"/>
      <c r="E151" s="88">
        <v>8</v>
      </c>
      <c r="F151" s="27"/>
      <c r="G151" s="213"/>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192"/>
      <c r="BK151" s="192"/>
      <c r="BL151" s="192"/>
      <c r="BM151" s="192"/>
      <c r="BN151" s="192"/>
      <c r="BO151" s="192"/>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36"/>
      <c r="E152" s="88">
        <v>9</v>
      </c>
      <c r="F152" s="27"/>
      <c r="G152" s="213"/>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192"/>
      <c r="BK152" s="192"/>
      <c r="BL152" s="192"/>
      <c r="BM152" s="192"/>
      <c r="BN152" s="192"/>
      <c r="BO152" s="19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36"/>
      <c r="E153" s="88">
        <v>10</v>
      </c>
      <c r="F153" s="27"/>
      <c r="G153" s="213"/>
      <c r="H153" s="152"/>
      <c r="I153" s="152"/>
      <c r="J153" s="152"/>
      <c r="K153" s="152"/>
      <c r="L153" s="152"/>
      <c r="M153" s="152"/>
      <c r="N153" s="152"/>
      <c r="O153" s="152"/>
      <c r="P153" s="151"/>
      <c r="Q153" s="70">
        <f>IF(A6taxstdlife="n/a","n/a",IF(Q$3&gt;(A6taxstdlife+$E153),(Input!$P$46-Input!$P$80)-SUM($P153:P153),(Input!$P$46-Input!$P$80)/A6taxstdlife))</f>
        <v>0</v>
      </c>
      <c r="R153" s="70"/>
      <c r="S153" s="105"/>
      <c r="T153" s="105"/>
      <c r="U153" s="105"/>
      <c r="V153" s="105"/>
      <c r="W153" s="105"/>
      <c r="X153" s="105"/>
      <c r="Y153" s="105"/>
      <c r="Z153" s="105"/>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192"/>
      <c r="BK153" s="192"/>
      <c r="BL153" s="192"/>
      <c r="BM153" s="192"/>
      <c r="BN153" s="192"/>
      <c r="BO153" s="192"/>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36"/>
      <c r="E154" s="89">
        <v>11</v>
      </c>
      <c r="F154" s="27"/>
      <c r="G154" s="213"/>
      <c r="H154" s="152"/>
      <c r="I154" s="152"/>
      <c r="J154" s="152"/>
      <c r="K154" s="152"/>
      <c r="L154" s="152"/>
      <c r="M154" s="152"/>
      <c r="N154" s="152"/>
      <c r="O154" s="152"/>
      <c r="P154" s="194"/>
      <c r="Q154" s="151"/>
      <c r="R154" s="70"/>
      <c r="S154" s="105"/>
      <c r="T154" s="105"/>
      <c r="U154" s="105"/>
      <c r="V154" s="105"/>
      <c r="W154" s="105"/>
      <c r="X154" s="105"/>
      <c r="Y154" s="105"/>
      <c r="Z154" s="105"/>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192"/>
      <c r="BK154" s="192"/>
      <c r="BL154" s="192"/>
      <c r="BM154" s="192"/>
      <c r="BN154" s="192"/>
      <c r="BO154" s="192"/>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Distribution Overhead Lines</v>
      </c>
      <c r="D155" s="9"/>
      <c r="E155" s="9"/>
      <c r="F155" s="23"/>
      <c r="G155" s="214">
        <f t="shared" ref="G155:L155" si="40">-SUM(G142:G154)</f>
        <v>0</v>
      </c>
      <c r="H155" s="168">
        <f t="shared" si="40"/>
        <v>0</v>
      </c>
      <c r="I155" s="168">
        <f t="shared" si="40"/>
        <v>-0.24054503599999996</v>
      </c>
      <c r="J155" s="168">
        <f t="shared" si="40"/>
        <v>-0.51709112800000001</v>
      </c>
      <c r="K155" s="168">
        <f t="shared" si="40"/>
        <v>-0.82129934688888895</v>
      </c>
      <c r="L155" s="168">
        <f t="shared" si="40"/>
        <v>-1.0641010082222222</v>
      </c>
      <c r="M155" s="168">
        <f>IF(Input!M173&gt;0, -SUM(M142:M154), 0)</f>
        <v>0</v>
      </c>
      <c r="N155" s="168">
        <f>IF(Input!N173&gt;0, -SUM(N142:N154), 0)</f>
        <v>0</v>
      </c>
      <c r="O155" s="168">
        <f>IF(Input!O173&gt;0, -SUM(O142:O154), 0)</f>
        <v>0</v>
      </c>
      <c r="P155" s="168">
        <f>IF(Input!P173&gt;0, -SUM(P142:P154), 0)</f>
        <v>0</v>
      </c>
      <c r="Q155" s="168">
        <f>IF(Input!Q173&gt;0, -SUM(Q142:Q154), 0)</f>
        <v>0</v>
      </c>
      <c r="R155" s="66"/>
      <c r="S155" s="104"/>
      <c r="T155" s="104"/>
      <c r="U155" s="104"/>
      <c r="V155" s="104"/>
      <c r="W155" s="104"/>
      <c r="X155" s="104"/>
      <c r="Y155" s="104"/>
      <c r="Z155" s="104"/>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c r="BH155" s="222"/>
      <c r="BI155" s="222"/>
      <c r="BJ155" s="192"/>
      <c r="BK155" s="192"/>
      <c r="BL155" s="192"/>
      <c r="BM155" s="192"/>
      <c r="BN155" s="192"/>
      <c r="BO155" s="192"/>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Distribution Underground Lines</v>
      </c>
      <c r="C156" s="33"/>
      <c r="D156" s="34" t="s">
        <v>69</v>
      </c>
      <c r="E156" s="33"/>
      <c r="F156" s="35"/>
      <c r="G156" s="210" t="str">
        <f>IF(G$3&gt;A7taxremlife,A7taxvalue-SUM($F156:F156),IF(A7taxremlife="N/A","n/a",A7taxvalue/A7taxremlife))</f>
        <v>n/a</v>
      </c>
      <c r="H156" s="69" t="str">
        <f>IF(H$3&gt;A7taxremlife,A7taxvalue-SUM($F156:G156),IF(A7taxremlife="N/A","n/a",A7taxvalue/A7taxremlife))</f>
        <v>n/a</v>
      </c>
      <c r="I156" s="69" t="str">
        <f>IF(I$3&gt;A7taxremlife,A7taxvalue-SUM($F156:H156),IF(A7taxremlife="N/A","n/a",A7taxvalue/A7taxremlife))</f>
        <v>n/a</v>
      </c>
      <c r="J156" s="69" t="str">
        <f>IF(J$3&gt;A7taxremlife,A7taxvalue-SUM($F156:I156),IF(A7taxremlife="N/A","n/a",A7taxvalue/A7taxremlife))</f>
        <v>n/a</v>
      </c>
      <c r="K156" s="69" t="str">
        <f>IF(K$3&gt;A7taxremlife,A7taxvalue-SUM($F156:J156),IF(A7taxremlife="N/A","n/a",A7taxvalue/A7taxremlife))</f>
        <v>n/a</v>
      </c>
      <c r="L156" s="69" t="str">
        <f>IF(L$3&gt;A7taxremlife,A7taxvalue-SUM($F156:K156),IF(A7taxremlife="N/A","n/a",A7taxvalue/A7taxremlife))</f>
        <v>n/a</v>
      </c>
      <c r="M156" s="69" t="str">
        <f>IF(M$3&gt;A7taxremlife,A7taxvalue-SUM($F156:L156),IF(A7taxremlife="N/A","n/a",A7taxvalue/A7taxremlife))</f>
        <v>n/a</v>
      </c>
      <c r="N156" s="69" t="str">
        <f>IF(N$3&gt;A7taxremlife,A7taxvalue-SUM($F156:M156),IF(A7taxremlife="N/A","n/a",A7taxvalue/A7taxremlife))</f>
        <v>n/a</v>
      </c>
      <c r="O156" s="69" t="str">
        <f>IF(O$3&gt;A7taxremlife,A7taxvalue-SUM($F156:N156),IF(A7taxremlife="N/A","n/a",A7taxvalue/A7taxremlife))</f>
        <v>n/a</v>
      </c>
      <c r="P156" s="69" t="str">
        <f>IF(P$3&gt;A7taxremlife,A7taxvalue-SUM($F156:O156),IF(A7taxremlife="N/A","n/a",A7taxvalue/A7taxremlife))</f>
        <v>n/a</v>
      </c>
      <c r="Q156" s="69" t="str">
        <f>IF(Q$3&gt;A7taxremlife,A7taxvalue-SUM($F156:P156),IF(A7taxremlife="N/A","n/a",A7taxvalue/A7taxremlife))</f>
        <v>n/a</v>
      </c>
      <c r="R156" s="69"/>
      <c r="S156" s="105"/>
      <c r="T156" s="105"/>
      <c r="U156" s="105"/>
      <c r="V156" s="105"/>
      <c r="W156" s="105"/>
      <c r="X156" s="105"/>
      <c r="Y156" s="105"/>
      <c r="Z156" s="105"/>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192"/>
      <c r="BK156" s="192"/>
      <c r="BL156" s="192"/>
      <c r="BM156" s="192"/>
      <c r="BN156" s="192"/>
      <c r="BO156" s="192"/>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35" t="s">
        <v>87</v>
      </c>
      <c r="E157" s="88">
        <v>0</v>
      </c>
      <c r="F157" s="27"/>
      <c r="G157" s="211"/>
      <c r="H157" s="70"/>
      <c r="I157" s="70"/>
      <c r="J157" s="70"/>
      <c r="K157" s="70"/>
      <c r="L157" s="70"/>
      <c r="M157" s="70"/>
      <c r="N157" s="70"/>
      <c r="O157" s="70"/>
      <c r="P157" s="70"/>
      <c r="Q157" s="70"/>
      <c r="R157" s="70"/>
      <c r="S157" s="105"/>
      <c r="T157" s="105"/>
      <c r="U157" s="105"/>
      <c r="V157" s="105"/>
      <c r="W157" s="105"/>
      <c r="X157" s="105"/>
      <c r="Y157" s="105"/>
      <c r="Z157" s="105"/>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192"/>
      <c r="BK157" s="192"/>
      <c r="BL157" s="192"/>
      <c r="BM157" s="192"/>
      <c r="BN157" s="192"/>
      <c r="BO157" s="192"/>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36"/>
      <c r="E158" s="88">
        <v>1</v>
      </c>
      <c r="F158" s="27"/>
      <c r="G158" s="212"/>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192"/>
      <c r="BK158" s="192"/>
      <c r="BL158" s="192"/>
      <c r="BM158" s="192"/>
      <c r="BN158" s="192"/>
      <c r="BO158" s="192"/>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36"/>
      <c r="E159" s="88">
        <v>2</v>
      </c>
      <c r="F159" s="27"/>
      <c r="G159" s="213"/>
      <c r="H159" s="151"/>
      <c r="I159" s="70">
        <f>IF(A7taxstdlife="n/a","n/a",IF(I$3&gt;(A7taxstdlife+$E159),(Input!$H$47-Input!$H$81)-SUM($H159:H159),(Input!$H$47-Input!$H$81)/A7taxstdlife))</f>
        <v>0.37955234427746798</v>
      </c>
      <c r="J159" s="70">
        <f>IF(A7taxstdlife="n/a","n/a",IF(J$3&gt;(A7taxstdlife+$E159),(Input!$H$47-Input!$H$81)-SUM($H159:I159),(Input!$H$47-Input!$H$81)/A7taxstdlife))</f>
        <v>0.37955234427746798</v>
      </c>
      <c r="K159" s="70">
        <f>IF(A7taxstdlife="n/a","n/a",IF(K$3&gt;(A7taxstdlife+$E159),(Input!$H$47-Input!$H$81)-SUM($H159:J159),(Input!$H$47-Input!$H$81)/A7taxstdlife))</f>
        <v>0.37955234427746798</v>
      </c>
      <c r="L159" s="70">
        <f>IF(A7taxstdlife="n/a","n/a",IF(L$3&gt;(A7taxstdlife+$E159),(Input!$H$47-Input!$H$81)-SUM($H159:K159),(Input!$H$47-Input!$H$81)/A7taxstdlife))</f>
        <v>0.37955234427746798</v>
      </c>
      <c r="M159" s="70">
        <f>IF(A7taxstdlife="n/a","n/a",IF(M$3&gt;(A7taxstdlife+$E159),(Input!$H$47-Input!$H$81)-SUM($H159:L159),(Input!$H$47-Input!$H$81)/A7taxstdlife))</f>
        <v>0.37955234427746798</v>
      </c>
      <c r="N159" s="70">
        <f>IF(A7taxstdlife="n/a","n/a",IF(N$3&gt;(A7taxstdlife+$E159),(Input!$H$47-Input!$H$81)-SUM($H159:M159),(Input!$H$47-Input!$H$81)/A7taxstdlife))</f>
        <v>0.37955234427746798</v>
      </c>
      <c r="O159" s="70">
        <f>IF(A7taxstdlife="n/a","n/a",IF(O$3&gt;(A7taxstdlife+$E159),(Input!$H$47-Input!$H$81)-SUM($H159:N159),(Input!$H$47-Input!$H$81)/A7taxstdlife))</f>
        <v>0.37955234427746798</v>
      </c>
      <c r="P159" s="70">
        <f>IF(A7taxstdlife="n/a","n/a",IF(P$3&gt;(A7taxstdlife+$E159),(Input!$H$47-Input!$H$81)-SUM($H159:O159),(Input!$H$47-Input!$H$81)/A7taxstdlife))</f>
        <v>0.37955234427746798</v>
      </c>
      <c r="Q159" s="70">
        <f>IF(A7taxstdlife="n/a","n/a",IF(Q$3&gt;(A7taxstdlife+$E159),(Input!$H$47-Input!$H$81)-SUM($H159:P159),(Input!$H$47-Input!$H$81)/A7taxstdlife))</f>
        <v>0.37955234427746798</v>
      </c>
      <c r="R159" s="70"/>
      <c r="S159" s="105"/>
      <c r="T159" s="105"/>
      <c r="U159" s="105"/>
      <c r="V159" s="105"/>
      <c r="W159" s="105"/>
      <c r="X159" s="105"/>
      <c r="Y159" s="105"/>
      <c r="Z159" s="105"/>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192"/>
      <c r="BK159" s="192"/>
      <c r="BL159" s="192"/>
      <c r="BM159" s="192"/>
      <c r="BN159" s="192"/>
      <c r="BO159" s="192"/>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36"/>
      <c r="E160" s="88">
        <v>3</v>
      </c>
      <c r="F160" s="27"/>
      <c r="G160" s="213"/>
      <c r="H160" s="152"/>
      <c r="I160" s="151"/>
      <c r="J160" s="70">
        <f>IF(A7taxstdlife="n/a","n/a",IF(J$3&gt;(A7taxstdlife+$E160),(Input!$I$47-Input!$I$81)-SUM($I160:I160),(Input!$I$47-Input!$I$81)/A7taxstdlife))</f>
        <v>0.4484628101177372</v>
      </c>
      <c r="K160" s="70">
        <f>IF(A7taxstdlife="n/a","n/a",IF(K$3&gt;(A7taxstdlife+$E160),(Input!$I$47-Input!$I$81)-SUM($I160:J160),(Input!$I$47-Input!$I$81)/A7taxstdlife))</f>
        <v>0.4484628101177372</v>
      </c>
      <c r="L160" s="70">
        <f>IF(A7taxstdlife="n/a","n/a",IF(L$3&gt;(A7taxstdlife+$E160),(Input!$I$47-Input!$I$81)-SUM($I160:K160),(Input!$I$47-Input!$I$81)/A7taxstdlife))</f>
        <v>0.4484628101177372</v>
      </c>
      <c r="M160" s="70">
        <f>IF(A7taxstdlife="n/a","n/a",IF(M$3&gt;(A7taxstdlife+$E160),(Input!$I$47-Input!$I$81)-SUM($I160:L160),(Input!$I$47-Input!$I$81)/A7taxstdlife))</f>
        <v>0.4484628101177372</v>
      </c>
      <c r="N160" s="70">
        <f>IF(A7taxstdlife="n/a","n/a",IF(N$3&gt;(A7taxstdlife+$E160),(Input!$I$47-Input!$I$81)-SUM($I160:M160),(Input!$I$47-Input!$I$81)/A7taxstdlife))</f>
        <v>0.4484628101177372</v>
      </c>
      <c r="O160" s="70">
        <f>IF(A7taxstdlife="n/a","n/a",IF(O$3&gt;(A7taxstdlife+$E160),(Input!$I$47-Input!$I$81)-SUM($I160:N160),(Input!$I$47-Input!$I$81)/A7taxstdlife))</f>
        <v>0.4484628101177372</v>
      </c>
      <c r="P160" s="70">
        <f>IF(A7taxstdlife="n/a","n/a",IF(P$3&gt;(A7taxstdlife+$E160),(Input!$I$47-Input!$I$81)-SUM($I160:O160),(Input!$I$47-Input!$I$81)/A7taxstdlife))</f>
        <v>0.4484628101177372</v>
      </c>
      <c r="Q160" s="70">
        <f>IF(A7taxstdlife="n/a","n/a",IF(Q$3&gt;(A7taxstdlife+$E160),(Input!$I$47-Input!$I$81)-SUM($I160:P160),(Input!$I$47-Input!$I$81)/A7taxstdlife))</f>
        <v>0.4484628101177372</v>
      </c>
      <c r="R160" s="70"/>
      <c r="S160" s="105"/>
      <c r="T160" s="105"/>
      <c r="U160" s="105"/>
      <c r="V160" s="105"/>
      <c r="W160" s="105"/>
      <c r="X160" s="105"/>
      <c r="Y160" s="105"/>
      <c r="Z160" s="105"/>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192"/>
      <c r="BK160" s="192"/>
      <c r="BL160" s="192"/>
      <c r="BM160" s="192"/>
      <c r="BN160" s="192"/>
      <c r="BO160" s="192"/>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36"/>
      <c r="E161" s="88">
        <v>4</v>
      </c>
      <c r="F161" s="27"/>
      <c r="G161" s="213"/>
      <c r="H161" s="152"/>
      <c r="I161" s="152"/>
      <c r="J161" s="151"/>
      <c r="K161" s="70">
        <f>IF(A7taxstdlife="n/a","n/a",IF(K$3&gt;(A7taxstdlife+$E161),(Input!$J$47-Input!$J$81)-SUM($J161:J161),(Input!$J$47-Input!$J$81)/A7taxstdlife))</f>
        <v>0.42868230529002987</v>
      </c>
      <c r="L161" s="70">
        <f>IF(A7taxstdlife="n/a","n/a",IF(L$3&gt;(A7taxstdlife+$E161),(Input!$J$47-Input!$J$81)-SUM($J161:K161),(Input!$J$47-Input!$J$81)/A7taxstdlife))</f>
        <v>0.42868230529002987</v>
      </c>
      <c r="M161" s="70">
        <f>IF(A7taxstdlife="n/a","n/a",IF(M$3&gt;(A7taxstdlife+$E161),(Input!$J$47-Input!$J$81)-SUM($J161:L161),(Input!$J$47-Input!$J$81)/A7taxstdlife))</f>
        <v>0.42868230529002987</v>
      </c>
      <c r="N161" s="70">
        <f>IF(A7taxstdlife="n/a","n/a",IF(N$3&gt;(A7taxstdlife+$E161),(Input!$J$47-Input!$J$81)-SUM($J161:M161),(Input!$J$47-Input!$J$81)/A7taxstdlife))</f>
        <v>0.42868230529002987</v>
      </c>
      <c r="O161" s="70">
        <f>IF(A7taxstdlife="n/a","n/a",IF(O$3&gt;(A7taxstdlife+$E161),(Input!$J$47-Input!$J$81)-SUM($J161:N161),(Input!$J$47-Input!$J$81)/A7taxstdlife))</f>
        <v>0.42868230529002987</v>
      </c>
      <c r="P161" s="70">
        <f>IF(A7taxstdlife="n/a","n/a",IF(P$3&gt;(A7taxstdlife+$E161),(Input!$J$47-Input!$J$81)-SUM($J161:O161),(Input!$J$47-Input!$J$81)/A7taxstdlife))</f>
        <v>0.42868230529002987</v>
      </c>
      <c r="Q161" s="70">
        <f>IF(A7taxstdlife="n/a","n/a",IF(Q$3&gt;(A7taxstdlife+$E161),(Input!$J$47-Input!$J$81)-SUM($J161:P161),(Input!$J$47-Input!$J$81)/A7taxstdlife))</f>
        <v>0.42868230529002987</v>
      </c>
      <c r="R161" s="70"/>
      <c r="S161" s="105"/>
      <c r="T161" s="105"/>
      <c r="U161" s="105"/>
      <c r="V161" s="105"/>
      <c r="W161" s="105"/>
      <c r="X161" s="105"/>
      <c r="Y161" s="105"/>
      <c r="Z161" s="105"/>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192"/>
      <c r="BK161" s="192"/>
      <c r="BL161" s="192"/>
      <c r="BM161" s="192"/>
      <c r="BN161" s="192"/>
      <c r="BO161" s="192"/>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36"/>
      <c r="E162" s="88">
        <v>5</v>
      </c>
      <c r="F162" s="27"/>
      <c r="G162" s="213"/>
      <c r="H162" s="152"/>
      <c r="I162" s="152"/>
      <c r="J162" s="152"/>
      <c r="K162" s="151"/>
      <c r="L162" s="70">
        <f>IF(A7taxstdlife="n/a","n/a",IF(L$3&gt;(A7taxstdlife+$E162),(Input!$K$47-Input!$K$81)-SUM($K162:K162),(Input!$K$47-Input!$K$81)/A7taxstdlife))</f>
        <v>0.28000759480276394</v>
      </c>
      <c r="M162" s="70">
        <f>IF(A7taxstdlife="n/a","n/a",IF(M$3&gt;(A7taxstdlife+$E162),(Input!$K$47-Input!$K$81)-SUM($K162:L162),(Input!$K$47-Input!$K$81)/A7taxstdlife))</f>
        <v>0.28000759480276394</v>
      </c>
      <c r="N162" s="70">
        <f>IF(A7taxstdlife="n/a","n/a",IF(N$3&gt;(A7taxstdlife+$E162),(Input!$K$47-Input!$K$81)-SUM($K162:M162),(Input!$K$47-Input!$K$81)/A7taxstdlife))</f>
        <v>0.28000759480276394</v>
      </c>
      <c r="O162" s="70">
        <f>IF(A7taxstdlife="n/a","n/a",IF(O$3&gt;(A7taxstdlife+$E162),(Input!$K$47-Input!$K$81)-SUM($K162:N162),(Input!$K$47-Input!$K$81)/A7taxstdlife))</f>
        <v>0.28000759480276394</v>
      </c>
      <c r="P162" s="70">
        <f>IF(A7taxstdlife="n/a","n/a",IF(P$3&gt;(A7taxstdlife+$E162),(Input!$K$47-Input!$K$81)-SUM($K162:O162),(Input!$K$47-Input!$K$81)/A7taxstdlife))</f>
        <v>0.28000759480276394</v>
      </c>
      <c r="Q162" s="70">
        <f>IF(A7taxstdlife="n/a","n/a",IF(Q$3&gt;(A7taxstdlife+$E162),(Input!$K$47-Input!$K$81)-SUM($K162:P162),(Input!$K$47-Input!$K$81)/A7taxstdlife))</f>
        <v>0.28000759480276394</v>
      </c>
      <c r="R162" s="70"/>
      <c r="S162" s="105"/>
      <c r="T162" s="105"/>
      <c r="U162" s="105"/>
      <c r="V162" s="105"/>
      <c r="W162" s="105"/>
      <c r="X162" s="105"/>
      <c r="Y162" s="105"/>
      <c r="Z162" s="105"/>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192"/>
      <c r="BK162" s="192"/>
      <c r="BL162" s="192"/>
      <c r="BM162" s="192"/>
      <c r="BN162" s="192"/>
      <c r="BO162" s="19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36"/>
      <c r="E163" s="88">
        <v>6</v>
      </c>
      <c r="F163" s="27"/>
      <c r="G163" s="213"/>
      <c r="H163" s="152"/>
      <c r="I163" s="152"/>
      <c r="J163" s="152"/>
      <c r="K163" s="152"/>
      <c r="L163" s="151"/>
      <c r="M163" s="70">
        <f>IF(A7taxstdlife="n/a","n/a",IF(M$3&gt;(A7taxstdlife+$E163),(Input!$L$47-Input!$L$81)-SUM($L163:L163),(Input!$L$47-Input!$L$81)/A7taxstdlife))</f>
        <v>0.36404659163242825</v>
      </c>
      <c r="N163" s="70">
        <f>IF(A7taxstdlife="n/a","n/a",IF(N$3&gt;(A7taxstdlife+$E163),(Input!$L$47-Input!$L$81)-SUM($L163:M163),(Input!$L$47-Input!$L$81)/A7taxstdlife))</f>
        <v>0.36404659163242825</v>
      </c>
      <c r="O163" s="70">
        <f>IF(A7taxstdlife="n/a","n/a",IF(O$3&gt;(A7taxstdlife+$E163),(Input!$L$47-Input!$L$81)-SUM($L163:N163),(Input!$L$47-Input!$L$81)/A7taxstdlife))</f>
        <v>0.36404659163242825</v>
      </c>
      <c r="P163" s="70">
        <f>IF(A7taxstdlife="n/a","n/a",IF(P$3&gt;(A7taxstdlife+$E163),(Input!$L$47-Input!$L$81)-SUM($L163:O163),(Input!$L$47-Input!$L$81)/A7taxstdlife))</f>
        <v>0.36404659163242825</v>
      </c>
      <c r="Q163" s="70">
        <f>IF(A7taxstdlife="n/a","n/a",IF(Q$3&gt;(A7taxstdlife+$E163),(Input!$L$47-Input!$L$81)-SUM($L163:P163),(Input!$L$47-Input!$L$81)/A7taxstdlife))</f>
        <v>0.36404659163242825</v>
      </c>
      <c r="R163" s="70"/>
      <c r="S163" s="105"/>
      <c r="T163" s="105"/>
      <c r="U163" s="105"/>
      <c r="V163" s="105"/>
      <c r="W163" s="105"/>
      <c r="X163" s="105"/>
      <c r="Y163" s="105"/>
      <c r="Z163" s="105"/>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192"/>
      <c r="BK163" s="192"/>
      <c r="BL163" s="192"/>
      <c r="BM163" s="192"/>
      <c r="BN163" s="192"/>
      <c r="BO163" s="192"/>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36"/>
      <c r="E164" s="88">
        <v>7</v>
      </c>
      <c r="F164" s="27"/>
      <c r="G164" s="213"/>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192"/>
      <c r="BK164" s="192"/>
      <c r="BL164" s="192"/>
      <c r="BM164" s="192"/>
      <c r="BN164" s="192"/>
      <c r="BO164" s="192"/>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36"/>
      <c r="E165" s="88">
        <v>8</v>
      </c>
      <c r="F165" s="27"/>
      <c r="G165" s="213"/>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192"/>
      <c r="BK165" s="192"/>
      <c r="BL165" s="192"/>
      <c r="BM165" s="192"/>
      <c r="BN165" s="192"/>
      <c r="BO165" s="192"/>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36"/>
      <c r="E166" s="88">
        <v>9</v>
      </c>
      <c r="F166" s="27"/>
      <c r="G166" s="213"/>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192"/>
      <c r="BK166" s="192"/>
      <c r="BL166" s="192"/>
      <c r="BM166" s="192"/>
      <c r="BN166" s="192"/>
      <c r="BO166" s="192"/>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36"/>
      <c r="E167" s="88">
        <v>10</v>
      </c>
      <c r="F167" s="27"/>
      <c r="G167" s="213"/>
      <c r="H167" s="152"/>
      <c r="I167" s="152"/>
      <c r="J167" s="152"/>
      <c r="K167" s="152"/>
      <c r="L167" s="152"/>
      <c r="M167" s="152"/>
      <c r="N167" s="152"/>
      <c r="O167" s="152"/>
      <c r="P167" s="151"/>
      <c r="Q167" s="70">
        <f>IF(A7taxstdlife="n/a","n/a",IF(Q$3&gt;(A7taxstdlife+$E167),(Input!$P$47-Input!$P$81)-SUM($P167:P167),(Input!$P$47-Input!$P$81)/A7taxstdlife))</f>
        <v>0</v>
      </c>
      <c r="R167" s="70"/>
      <c r="S167" s="105"/>
      <c r="T167" s="105"/>
      <c r="U167" s="105"/>
      <c r="V167" s="105"/>
      <c r="W167" s="105"/>
      <c r="X167" s="105"/>
      <c r="Y167" s="105"/>
      <c r="Z167" s="105"/>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192"/>
      <c r="BK167" s="192"/>
      <c r="BL167" s="192"/>
      <c r="BM167" s="192"/>
      <c r="BN167" s="192"/>
      <c r="BO167" s="192"/>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36"/>
      <c r="E168" s="89">
        <v>11</v>
      </c>
      <c r="F168" s="27"/>
      <c r="G168" s="213"/>
      <c r="H168" s="152"/>
      <c r="I168" s="152"/>
      <c r="J168" s="152"/>
      <c r="K168" s="152"/>
      <c r="L168" s="152"/>
      <c r="M168" s="152"/>
      <c r="N168" s="152"/>
      <c r="O168" s="152"/>
      <c r="P168" s="194"/>
      <c r="Q168" s="151"/>
      <c r="R168" s="70"/>
      <c r="S168" s="105"/>
      <c r="T168" s="105"/>
      <c r="U168" s="105"/>
      <c r="V168" s="105"/>
      <c r="W168" s="105"/>
      <c r="X168" s="105"/>
      <c r="Y168" s="105"/>
      <c r="Z168" s="105"/>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192"/>
      <c r="BK168" s="192"/>
      <c r="BL168" s="192"/>
      <c r="BM168" s="192"/>
      <c r="BN168" s="192"/>
      <c r="BO168" s="192"/>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Distribution Underground Lines</v>
      </c>
      <c r="D169" s="9"/>
      <c r="E169" s="9"/>
      <c r="F169" s="23"/>
      <c r="G169" s="214">
        <f t="shared" ref="G169:L169" si="41">-SUM(G156:G168)</f>
        <v>0</v>
      </c>
      <c r="H169" s="168">
        <f t="shared" si="41"/>
        <v>0</v>
      </c>
      <c r="I169" s="168">
        <f t="shared" si="41"/>
        <v>-0.37955234427746798</v>
      </c>
      <c r="J169" s="168">
        <f t="shared" si="41"/>
        <v>-0.82801515439520523</v>
      </c>
      <c r="K169" s="168">
        <f t="shared" si="41"/>
        <v>-1.2566974596852352</v>
      </c>
      <c r="L169" s="168">
        <f t="shared" si="41"/>
        <v>-1.536705054487999</v>
      </c>
      <c r="M169" s="168">
        <f>IF(Input!M173&gt;0, -SUM(M156:M168), 0)</f>
        <v>0</v>
      </c>
      <c r="N169" s="168">
        <f>IF(Input!N173&gt;0, -SUM(N156:N168), 0)</f>
        <v>0</v>
      </c>
      <c r="O169" s="168">
        <f>IF(Input!O173&gt;0, -SUM(O156:O168), 0)</f>
        <v>0</v>
      </c>
      <c r="P169" s="168">
        <f>IF(Input!P173&gt;0, -SUM(P156:P168), 0)</f>
        <v>0</v>
      </c>
      <c r="Q169" s="168">
        <f>IF(Input!Q173&gt;0, -SUM(Q156:Q168), 0)</f>
        <v>0</v>
      </c>
      <c r="R169" s="66"/>
      <c r="S169" s="104"/>
      <c r="T169" s="104"/>
      <c r="U169" s="104"/>
      <c r="V169" s="104"/>
      <c r="W169" s="104"/>
      <c r="X169" s="104"/>
      <c r="Y169" s="104"/>
      <c r="Z169" s="104"/>
      <c r="AA169" s="222"/>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222"/>
      <c r="BE169" s="222"/>
      <c r="BF169" s="222"/>
      <c r="BG169" s="222"/>
      <c r="BH169" s="222"/>
      <c r="BI169" s="222"/>
      <c r="BJ169" s="192"/>
      <c r="BK169" s="192"/>
      <c r="BL169" s="192"/>
      <c r="BM169" s="192"/>
      <c r="BN169" s="192"/>
      <c r="BO169" s="192"/>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IT &amp; Communication Systems (Networks)</v>
      </c>
      <c r="C170" s="33"/>
      <c r="D170" s="34" t="s">
        <v>69</v>
      </c>
      <c r="E170" s="33"/>
      <c r="F170" s="35"/>
      <c r="G170" s="210"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5"/>
      <c r="T170" s="105"/>
      <c r="U170" s="105"/>
      <c r="V170" s="105"/>
      <c r="W170" s="105"/>
      <c r="X170" s="105"/>
      <c r="Y170" s="105"/>
      <c r="Z170" s="105"/>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192"/>
      <c r="BK170" s="192"/>
      <c r="BL170" s="192"/>
      <c r="BM170" s="192"/>
      <c r="BN170" s="192"/>
      <c r="BO170" s="192"/>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35" t="s">
        <v>87</v>
      </c>
      <c r="E171" s="88">
        <v>0</v>
      </c>
      <c r="F171" s="27"/>
      <c r="G171" s="211"/>
      <c r="H171" s="70"/>
      <c r="I171" s="70"/>
      <c r="J171" s="70"/>
      <c r="K171" s="70"/>
      <c r="L171" s="70"/>
      <c r="M171" s="70"/>
      <c r="N171" s="70"/>
      <c r="O171" s="70"/>
      <c r="P171" s="70"/>
      <c r="Q171" s="70"/>
      <c r="R171" s="70"/>
      <c r="S171" s="105"/>
      <c r="T171" s="105"/>
      <c r="U171" s="105"/>
      <c r="V171" s="105"/>
      <c r="W171" s="105"/>
      <c r="X171" s="105"/>
      <c r="Y171" s="105"/>
      <c r="Z171" s="105"/>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192"/>
      <c r="BK171" s="192"/>
      <c r="BL171" s="192"/>
      <c r="BM171" s="192"/>
      <c r="BN171" s="192"/>
      <c r="BO171" s="192"/>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36"/>
      <c r="E172" s="88">
        <v>1</v>
      </c>
      <c r="F172" s="27"/>
      <c r="G172" s="212"/>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192"/>
      <c r="BK172" s="192"/>
      <c r="BL172" s="192"/>
      <c r="BM172" s="192"/>
      <c r="BN172" s="192"/>
      <c r="BO172" s="19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36"/>
      <c r="E173" s="88">
        <v>2</v>
      </c>
      <c r="F173" s="27"/>
      <c r="G173" s="213"/>
      <c r="H173" s="151"/>
      <c r="I173" s="70">
        <f>IF(A8taxstdlife="n/a","n/a",IF(I$3&gt;(A8taxstdlife+$E173),(Input!$H$48-Input!$H$82)-SUM($H173:H173),(Input!$H$48-Input!$H$82)/A8taxstdlife))</f>
        <v>0.12049402011190273</v>
      </c>
      <c r="J173" s="70">
        <f>IF(A8taxstdlife="n/a","n/a",IF(J$3&gt;(A8taxstdlife+$E173),(Input!$H$48-Input!$H$82)-SUM($H173:I173),(Input!$H$48-Input!$H$82)/A8taxstdlife))</f>
        <v>0.12049402011190273</v>
      </c>
      <c r="K173" s="70">
        <f>IF(A8taxstdlife="n/a","n/a",IF(K$3&gt;(A8taxstdlife+$E173),(Input!$H$48-Input!$H$82)-SUM($H173:J173),(Input!$H$48-Input!$H$82)/A8taxstdlife))</f>
        <v>0.12049402011190273</v>
      </c>
      <c r="L173" s="70">
        <f>IF(A8taxstdlife="n/a","n/a",IF(L$3&gt;(A8taxstdlife+$E173),(Input!$H$48-Input!$H$82)-SUM($H173:K173),(Input!$H$48-Input!$H$82)/A8taxstdlife))</f>
        <v>0.12049402011190273</v>
      </c>
      <c r="M173" s="70">
        <f>IF(A8taxstdlife="n/a","n/a",IF(M$3&gt;(A8taxstdlife+$E173),(Input!$H$48-Input!$H$82)-SUM($H173:L173),(Input!$H$48-Input!$H$82)/A8taxstdlife))</f>
        <v>0.12049402011190273</v>
      </c>
      <c r="N173" s="70">
        <f>IF(A8taxstdlife="n/a","n/a",IF(N$3&gt;(A8taxstdlife+$E173),(Input!$H$48-Input!$H$82)-SUM($H173:M173),(Input!$H$48-Input!$H$82)/A8taxstdlife))</f>
        <v>0.12049402011190273</v>
      </c>
      <c r="O173" s="70">
        <f>IF(A8taxstdlife="n/a","n/a",IF(O$3&gt;(A8taxstdlife+$E173),(Input!$H$48-Input!$H$82)-SUM($H173:N173),(Input!$H$48-Input!$H$82)/A8taxstdlife))</f>
        <v>0.12049402011190273</v>
      </c>
      <c r="P173" s="70">
        <f>IF(A8taxstdlife="n/a","n/a",IF(P$3&gt;(A8taxstdlife+$E173),(Input!$H$48-Input!$H$82)-SUM($H173:O173),(Input!$H$48-Input!$H$82)/A8taxstdlife))</f>
        <v>0.12049402011190273</v>
      </c>
      <c r="Q173" s="70">
        <f>IF(A8taxstdlife="n/a","n/a",IF(Q$3&gt;(A8taxstdlife+$E173),(Input!$H$48-Input!$H$82)-SUM($H173:P173),(Input!$H$48-Input!$H$82)/A8taxstdlife))</f>
        <v>0.12049402011190273</v>
      </c>
      <c r="R173" s="70"/>
      <c r="S173" s="105"/>
      <c r="T173" s="105"/>
      <c r="U173" s="105"/>
      <c r="V173" s="105"/>
      <c r="W173" s="105"/>
      <c r="X173" s="105"/>
      <c r="Y173" s="105"/>
      <c r="Z173" s="105"/>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192"/>
      <c r="BK173" s="192"/>
      <c r="BL173" s="192"/>
      <c r="BM173" s="192"/>
      <c r="BN173" s="192"/>
      <c r="BO173" s="192"/>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36"/>
      <c r="E174" s="88">
        <v>3</v>
      </c>
      <c r="F174" s="27"/>
      <c r="G174" s="213"/>
      <c r="H174" s="152"/>
      <c r="I174" s="151"/>
      <c r="J174" s="70">
        <f>IF(A8taxstdlife="n/a","n/a",IF(J$3&gt;(A8taxstdlife+$E174),(Input!$I$48-Input!$I$82)-SUM($I174:I174),(Input!$I$48-Input!$I$82)/A8taxstdlife))</f>
        <v>8.4706399776831504E-2</v>
      </c>
      <c r="K174" s="70">
        <f>IF(A8taxstdlife="n/a","n/a",IF(K$3&gt;(A8taxstdlife+$E174),(Input!$I$48-Input!$I$82)-SUM($I174:J174),(Input!$I$48-Input!$I$82)/A8taxstdlife))</f>
        <v>8.4706399776831504E-2</v>
      </c>
      <c r="L174" s="70">
        <f>IF(A8taxstdlife="n/a","n/a",IF(L$3&gt;(A8taxstdlife+$E174),(Input!$I$48-Input!$I$82)-SUM($I174:K174),(Input!$I$48-Input!$I$82)/A8taxstdlife))</f>
        <v>8.4706399776831504E-2</v>
      </c>
      <c r="M174" s="70">
        <f>IF(A8taxstdlife="n/a","n/a",IF(M$3&gt;(A8taxstdlife+$E174),(Input!$I$48-Input!$I$82)-SUM($I174:L174),(Input!$I$48-Input!$I$82)/A8taxstdlife))</f>
        <v>8.4706399776831504E-2</v>
      </c>
      <c r="N174" s="70">
        <f>IF(A8taxstdlife="n/a","n/a",IF(N$3&gt;(A8taxstdlife+$E174),(Input!$I$48-Input!$I$82)-SUM($I174:M174),(Input!$I$48-Input!$I$82)/A8taxstdlife))</f>
        <v>8.4706399776831504E-2</v>
      </c>
      <c r="O174" s="70">
        <f>IF(A8taxstdlife="n/a","n/a",IF(O$3&gt;(A8taxstdlife+$E174),(Input!$I$48-Input!$I$82)-SUM($I174:N174),(Input!$I$48-Input!$I$82)/A8taxstdlife))</f>
        <v>8.4706399776831504E-2</v>
      </c>
      <c r="P174" s="70">
        <f>IF(A8taxstdlife="n/a","n/a",IF(P$3&gt;(A8taxstdlife+$E174),(Input!$I$48-Input!$I$82)-SUM($I174:O174),(Input!$I$48-Input!$I$82)/A8taxstdlife))</f>
        <v>8.4706399776831504E-2</v>
      </c>
      <c r="Q174" s="70">
        <f>IF(A8taxstdlife="n/a","n/a",IF(Q$3&gt;(A8taxstdlife+$E174),(Input!$I$48-Input!$I$82)-SUM($I174:P174),(Input!$I$48-Input!$I$82)/A8taxstdlife))</f>
        <v>8.4706399776831504E-2</v>
      </c>
      <c r="R174" s="70"/>
      <c r="S174" s="105"/>
      <c r="T174" s="105"/>
      <c r="U174" s="105"/>
      <c r="V174" s="105"/>
      <c r="W174" s="105"/>
      <c r="X174" s="105"/>
      <c r="Y174" s="105"/>
      <c r="Z174" s="105"/>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192"/>
      <c r="BK174" s="192"/>
      <c r="BL174" s="192"/>
      <c r="BM174" s="192"/>
      <c r="BN174" s="192"/>
      <c r="BO174" s="192"/>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36"/>
      <c r="E175" s="88">
        <v>4</v>
      </c>
      <c r="F175" s="27"/>
      <c r="G175" s="213"/>
      <c r="H175" s="152"/>
      <c r="I175" s="152"/>
      <c r="J175" s="151"/>
      <c r="K175" s="70">
        <f>IF(A8taxstdlife="n/a","n/a",IF(K$3&gt;(A8taxstdlife+$E175),(Input!$J$48-Input!$J$82)-SUM($J175:J175),(Input!$J$48-Input!$J$82)/A8taxstdlife))</f>
        <v>0.23803847047274296</v>
      </c>
      <c r="L175" s="70">
        <f>IF(A8taxstdlife="n/a","n/a",IF(L$3&gt;(A8taxstdlife+$E175),(Input!$J$48-Input!$J$82)-SUM($J175:K175),(Input!$J$48-Input!$J$82)/A8taxstdlife))</f>
        <v>0.23803847047274296</v>
      </c>
      <c r="M175" s="70">
        <f>IF(A8taxstdlife="n/a","n/a",IF(M$3&gt;(A8taxstdlife+$E175),(Input!$J$48-Input!$J$82)-SUM($J175:L175),(Input!$J$48-Input!$J$82)/A8taxstdlife))</f>
        <v>0.23803847047274296</v>
      </c>
      <c r="N175" s="70">
        <f>IF(A8taxstdlife="n/a","n/a",IF(N$3&gt;(A8taxstdlife+$E175),(Input!$J$48-Input!$J$82)-SUM($J175:M175),(Input!$J$48-Input!$J$82)/A8taxstdlife))</f>
        <v>0.23803847047274296</v>
      </c>
      <c r="O175" s="70">
        <f>IF(A8taxstdlife="n/a","n/a",IF(O$3&gt;(A8taxstdlife+$E175),(Input!$J$48-Input!$J$82)-SUM($J175:N175),(Input!$J$48-Input!$J$82)/A8taxstdlife))</f>
        <v>0.23803847047274296</v>
      </c>
      <c r="P175" s="70">
        <f>IF(A8taxstdlife="n/a","n/a",IF(P$3&gt;(A8taxstdlife+$E175),(Input!$J$48-Input!$J$82)-SUM($J175:O175),(Input!$J$48-Input!$J$82)/A8taxstdlife))</f>
        <v>0.23803847047274296</v>
      </c>
      <c r="Q175" s="70">
        <f>IF(A8taxstdlife="n/a","n/a",IF(Q$3&gt;(A8taxstdlife+$E175),(Input!$J$48-Input!$J$82)-SUM($J175:P175),(Input!$J$48-Input!$J$82)/A8taxstdlife))</f>
        <v>0.23803847047274296</v>
      </c>
      <c r="R175" s="70"/>
      <c r="S175" s="105"/>
      <c r="T175" s="105"/>
      <c r="U175" s="105"/>
      <c r="V175" s="105"/>
      <c r="W175" s="105"/>
      <c r="X175" s="105"/>
      <c r="Y175" s="105"/>
      <c r="Z175" s="105"/>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192"/>
      <c r="BK175" s="192"/>
      <c r="BL175" s="192"/>
      <c r="BM175" s="192"/>
      <c r="BN175" s="192"/>
      <c r="BO175" s="192"/>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36"/>
      <c r="E176" s="88">
        <v>5</v>
      </c>
      <c r="F176" s="27"/>
      <c r="G176" s="213"/>
      <c r="H176" s="152"/>
      <c r="I176" s="152"/>
      <c r="J176" s="152"/>
      <c r="K176" s="151"/>
      <c r="L176" s="70">
        <f>IF(A8taxstdlife="n/a","n/a",IF(L$3&gt;(A8taxstdlife+$E176),(Input!$K$48-Input!$K$82)-SUM($K176:K176),(Input!$K$48-Input!$K$82)/A8taxstdlife))</f>
        <v>0.63218837869471922</v>
      </c>
      <c r="M176" s="70">
        <f>IF(A8taxstdlife="n/a","n/a",IF(M$3&gt;(A8taxstdlife+$E176),(Input!$K$48-Input!$K$82)-SUM($K176:L176),(Input!$K$48-Input!$K$82)/A8taxstdlife))</f>
        <v>0.63218837869471922</v>
      </c>
      <c r="N176" s="70">
        <f>IF(A8taxstdlife="n/a","n/a",IF(N$3&gt;(A8taxstdlife+$E176),(Input!$K$48-Input!$K$82)-SUM($K176:M176),(Input!$K$48-Input!$K$82)/A8taxstdlife))</f>
        <v>0.63218837869471922</v>
      </c>
      <c r="O176" s="70">
        <f>IF(A8taxstdlife="n/a","n/a",IF(O$3&gt;(A8taxstdlife+$E176),(Input!$K$48-Input!$K$82)-SUM($K176:N176),(Input!$K$48-Input!$K$82)/A8taxstdlife))</f>
        <v>0.63218837869471922</v>
      </c>
      <c r="P176" s="70">
        <f>IF(A8taxstdlife="n/a","n/a",IF(P$3&gt;(A8taxstdlife+$E176),(Input!$K$48-Input!$K$82)-SUM($K176:O176),(Input!$K$48-Input!$K$82)/A8taxstdlife))</f>
        <v>0.63218837869471922</v>
      </c>
      <c r="Q176" s="70">
        <f>IF(A8taxstdlife="n/a","n/a",IF(Q$3&gt;(A8taxstdlife+$E176),(Input!$K$48-Input!$K$82)-SUM($K176:P176),(Input!$K$48-Input!$K$82)/A8taxstdlife))</f>
        <v>0.63218837869471922</v>
      </c>
      <c r="R176" s="70"/>
      <c r="S176" s="105"/>
      <c r="T176" s="105"/>
      <c r="U176" s="105"/>
      <c r="V176" s="105"/>
      <c r="W176" s="105"/>
      <c r="X176" s="105"/>
      <c r="Y176" s="105"/>
      <c r="Z176" s="105"/>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192"/>
      <c r="BK176" s="192"/>
      <c r="BL176" s="192"/>
      <c r="BM176" s="192"/>
      <c r="BN176" s="192"/>
      <c r="BO176" s="192"/>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36"/>
      <c r="E177" s="88">
        <v>6</v>
      </c>
      <c r="F177" s="27"/>
      <c r="G177" s="213"/>
      <c r="H177" s="152"/>
      <c r="I177" s="152"/>
      <c r="J177" s="152"/>
      <c r="K177" s="152"/>
      <c r="L177" s="151"/>
      <c r="M177" s="70">
        <f>IF(A8taxstdlife="n/a","n/a",IF(M$3&gt;(A8taxstdlife+$E177),(Input!$L$48-Input!$L$82)-SUM($L177:L177),(Input!$L$48-Input!$L$82)/A8taxstdlife))</f>
        <v>1.9439922710773658</v>
      </c>
      <c r="N177" s="70">
        <f>IF(A8taxstdlife="n/a","n/a",IF(N$3&gt;(A8taxstdlife+$E177),(Input!$L$48-Input!$L$82)-SUM($L177:M177),(Input!$L$48-Input!$L$82)/A8taxstdlife))</f>
        <v>1.9439922710773658</v>
      </c>
      <c r="O177" s="70">
        <f>IF(A8taxstdlife="n/a","n/a",IF(O$3&gt;(A8taxstdlife+$E177),(Input!$L$48-Input!$L$82)-SUM($L177:N177),(Input!$L$48-Input!$L$82)/A8taxstdlife))</f>
        <v>1.9439922710773658</v>
      </c>
      <c r="P177" s="70">
        <f>IF(A8taxstdlife="n/a","n/a",IF(P$3&gt;(A8taxstdlife+$E177),(Input!$L$48-Input!$L$82)-SUM($L177:O177),(Input!$L$48-Input!$L$82)/A8taxstdlife))</f>
        <v>1.9439922710773658</v>
      </c>
      <c r="Q177" s="70">
        <f>IF(A8taxstdlife="n/a","n/a",IF(Q$3&gt;(A8taxstdlife+$E177),(Input!$L$48-Input!$L$82)-SUM($L177:P177),(Input!$L$48-Input!$L$82)/A8taxstdlife))</f>
        <v>1.9439922710773658</v>
      </c>
      <c r="R177" s="70"/>
      <c r="S177" s="105"/>
      <c r="T177" s="105"/>
      <c r="U177" s="105"/>
      <c r="V177" s="105"/>
      <c r="W177" s="105"/>
      <c r="X177" s="105"/>
      <c r="Y177" s="105"/>
      <c r="Z177" s="105"/>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192"/>
      <c r="BK177" s="192"/>
      <c r="BL177" s="192"/>
      <c r="BM177" s="192"/>
      <c r="BN177" s="192"/>
      <c r="BO177" s="192"/>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36"/>
      <c r="E178" s="88">
        <v>7</v>
      </c>
      <c r="F178" s="27"/>
      <c r="G178" s="213"/>
      <c r="H178" s="152"/>
      <c r="I178" s="152"/>
      <c r="J178" s="152"/>
      <c r="K178" s="152"/>
      <c r="L178" s="152"/>
      <c r="M178" s="151"/>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192"/>
      <c r="BK178" s="192"/>
      <c r="BL178" s="192"/>
      <c r="BM178" s="192"/>
      <c r="BN178" s="192"/>
      <c r="BO178" s="192"/>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36"/>
      <c r="E179" s="88">
        <v>8</v>
      </c>
      <c r="F179" s="27"/>
      <c r="G179" s="213"/>
      <c r="H179" s="152"/>
      <c r="I179" s="152"/>
      <c r="J179" s="152"/>
      <c r="K179" s="152"/>
      <c r="L179" s="152"/>
      <c r="M179" s="152"/>
      <c r="N179" s="151"/>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192"/>
      <c r="BK179" s="192"/>
      <c r="BL179" s="192"/>
      <c r="BM179" s="192"/>
      <c r="BN179" s="192"/>
      <c r="BO179" s="192"/>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36"/>
      <c r="E180" s="88">
        <v>9</v>
      </c>
      <c r="F180" s="27"/>
      <c r="G180" s="213"/>
      <c r="H180" s="152"/>
      <c r="I180" s="152"/>
      <c r="J180" s="152"/>
      <c r="K180" s="152"/>
      <c r="L180" s="152"/>
      <c r="M180" s="152"/>
      <c r="N180" s="152"/>
      <c r="O180" s="151"/>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192"/>
      <c r="BK180" s="192"/>
      <c r="BL180" s="192"/>
      <c r="BM180" s="192"/>
      <c r="BN180" s="192"/>
      <c r="BO180" s="192"/>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36"/>
      <c r="E181" s="88">
        <v>10</v>
      </c>
      <c r="F181" s="27"/>
      <c r="G181" s="213"/>
      <c r="H181" s="152"/>
      <c r="I181" s="152"/>
      <c r="J181" s="152"/>
      <c r="K181" s="152"/>
      <c r="L181" s="152"/>
      <c r="M181" s="152"/>
      <c r="N181" s="152"/>
      <c r="O181" s="152"/>
      <c r="P181" s="151"/>
      <c r="Q181" s="70">
        <f>IF(A8taxstdlife="n/a","n/a",IF(Q$3&gt;(A8taxstdlife+$E181),(Input!$P$48-Input!$P$82)-SUM($P181:P181),(Input!$P$48-Input!$P$82)/A8taxstdlife))</f>
        <v>0</v>
      </c>
      <c r="R181" s="70"/>
      <c r="S181" s="105"/>
      <c r="T181" s="105"/>
      <c r="U181" s="105"/>
      <c r="V181" s="105"/>
      <c r="W181" s="105"/>
      <c r="X181" s="105"/>
      <c r="Y181" s="105"/>
      <c r="Z181" s="105"/>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192"/>
      <c r="BK181" s="192"/>
      <c r="BL181" s="192"/>
      <c r="BM181" s="192"/>
      <c r="BN181" s="192"/>
      <c r="BO181" s="192"/>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36"/>
      <c r="E182" s="89">
        <v>11</v>
      </c>
      <c r="F182" s="27"/>
      <c r="G182" s="213"/>
      <c r="H182" s="152"/>
      <c r="I182" s="152"/>
      <c r="J182" s="152"/>
      <c r="K182" s="152"/>
      <c r="L182" s="152"/>
      <c r="M182" s="152"/>
      <c r="N182" s="152"/>
      <c r="O182" s="152"/>
      <c r="P182" s="194"/>
      <c r="Q182" s="151"/>
      <c r="R182" s="70"/>
      <c r="S182" s="105"/>
      <c r="T182" s="105"/>
      <c r="U182" s="105"/>
      <c r="V182" s="105"/>
      <c r="W182" s="105"/>
      <c r="X182" s="105"/>
      <c r="Y182" s="105"/>
      <c r="Z182" s="105"/>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192"/>
      <c r="BK182" s="192"/>
      <c r="BL182" s="192"/>
      <c r="BM182" s="192"/>
      <c r="BN182" s="192"/>
      <c r="BO182" s="19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IT &amp; Communication Systems (Networks)</v>
      </c>
      <c r="D183" s="9"/>
      <c r="E183" s="9"/>
      <c r="F183" s="23"/>
      <c r="G183" s="214">
        <f t="shared" ref="G183:L183" si="42">-SUM(G170:G182)</f>
        <v>0</v>
      </c>
      <c r="H183" s="168">
        <f t="shared" si="42"/>
        <v>0</v>
      </c>
      <c r="I183" s="168">
        <f t="shared" si="42"/>
        <v>-0.12049402011190273</v>
      </c>
      <c r="J183" s="168">
        <f t="shared" si="42"/>
        <v>-0.20520041988873422</v>
      </c>
      <c r="K183" s="168">
        <f t="shared" si="42"/>
        <v>-0.44323889036147718</v>
      </c>
      <c r="L183" s="168">
        <f t="shared" si="42"/>
        <v>-1.0754272690561963</v>
      </c>
      <c r="M183" s="168">
        <f>IF(Input!M173&gt;0, -SUM(M170:M182), 0)</f>
        <v>0</v>
      </c>
      <c r="N183" s="168">
        <f>IF(Input!N173&gt;0, -SUM(N170:N182), 0)</f>
        <v>0</v>
      </c>
      <c r="O183" s="168">
        <f>IF(Input!O173&gt;0, -SUM(O170:O182), 0)</f>
        <v>0</v>
      </c>
      <c r="P183" s="168">
        <f>IF(Input!P173&gt;0, -SUM(P170:P182), 0)</f>
        <v>0</v>
      </c>
      <c r="Q183" s="168">
        <f>IF(Input!Q173&gt;0, -SUM(Q170:Q182), 0)</f>
        <v>0</v>
      </c>
      <c r="R183" s="66"/>
      <c r="S183" s="104"/>
      <c r="T183" s="104"/>
      <c r="U183" s="104"/>
      <c r="V183" s="104"/>
      <c r="W183" s="104"/>
      <c r="X183" s="104"/>
      <c r="Y183" s="104"/>
      <c r="Z183" s="104"/>
      <c r="AA183" s="222"/>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222"/>
      <c r="BE183" s="222"/>
      <c r="BF183" s="222"/>
      <c r="BG183" s="222"/>
      <c r="BH183" s="222"/>
      <c r="BI183" s="222"/>
      <c r="BJ183" s="192"/>
      <c r="BK183" s="192"/>
      <c r="BL183" s="192"/>
      <c r="BM183" s="192"/>
      <c r="BN183" s="192"/>
      <c r="BO183" s="192"/>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Motor Vehicles</v>
      </c>
      <c r="C184" s="33"/>
      <c r="D184" s="34" t="s">
        <v>69</v>
      </c>
      <c r="E184" s="33"/>
      <c r="F184" s="35"/>
      <c r="G184" s="210" t="str">
        <f>IF(G$3&gt;A9taxremlife,A9taxvalue-SUM($F184:F184),IF(A9taxremlife="N/A","n/a",A9taxvalue/A9taxremlife))</f>
        <v>n/a</v>
      </c>
      <c r="H184" s="69" t="str">
        <f>IF(H$3&gt;A9taxremlife,A9taxvalue-SUM($F184:G184),IF(A9taxremlife="N/A","n/a",A9taxvalue/A9taxremlife))</f>
        <v>n/a</v>
      </c>
      <c r="I184" s="69" t="str">
        <f>IF(I$3&gt;A9taxremlife,A9taxvalue-SUM($F184:H184),IF(A9taxremlife="N/A","n/a",A9taxvalue/A9taxremlife))</f>
        <v>n/a</v>
      </c>
      <c r="J184" s="69" t="str">
        <f>IF(J$3&gt;A9taxremlife,A9taxvalue-SUM($F184:I184),IF(A9taxremlife="N/A","n/a",A9taxvalue/A9taxremlife))</f>
        <v>n/a</v>
      </c>
      <c r="K184" s="69" t="str">
        <f>IF(K$3&gt;A9taxremlife,A9taxvalue-SUM($F184:J184),IF(A9taxremlife="N/A","n/a",A9taxvalue/A9taxremlife))</f>
        <v>n/a</v>
      </c>
      <c r="L184" s="69" t="str">
        <f>IF(L$3&gt;A9taxremlife,A9taxvalue-SUM($F184:K184),IF(A9taxremlife="N/A","n/a",A9taxvalue/A9taxremlife))</f>
        <v>n/a</v>
      </c>
      <c r="M184" s="69" t="str">
        <f>IF(M$3&gt;A9taxremlife,A9taxvalue-SUM($F184:L184),IF(A9taxremlife="N/A","n/a",A9taxvalue/A9taxremlife))</f>
        <v>n/a</v>
      </c>
      <c r="N184" s="69" t="str">
        <f>IF(N$3&gt;A9taxremlife,A9taxvalue-SUM($F184:M184),IF(A9taxremlife="N/A","n/a",A9taxvalue/A9taxremlife))</f>
        <v>n/a</v>
      </c>
      <c r="O184" s="69" t="str">
        <f>IF(O$3&gt;A9taxremlife,A9taxvalue-SUM($F184:N184),IF(A9taxremlife="N/A","n/a",A9taxvalue/A9taxremlife))</f>
        <v>n/a</v>
      </c>
      <c r="P184" s="69" t="str">
        <f>IF(P$3&gt;A9taxremlife,A9taxvalue-SUM($F184:O184),IF(A9taxremlife="N/A","n/a",A9taxvalue/A9taxremlife))</f>
        <v>n/a</v>
      </c>
      <c r="Q184" s="69" t="str">
        <f>IF(Q$3&gt;A9taxremlife,A9taxvalue-SUM($F184:P184),IF(A9taxremlife="N/A","n/a",A9taxvalue/A9taxremlife))</f>
        <v>n/a</v>
      </c>
      <c r="R184" s="69"/>
      <c r="S184" s="105"/>
      <c r="T184" s="105"/>
      <c r="U184" s="105"/>
      <c r="V184" s="105"/>
      <c r="W184" s="105"/>
      <c r="X184" s="105"/>
      <c r="Y184" s="105"/>
      <c r="Z184" s="105"/>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192"/>
      <c r="BK184" s="192"/>
      <c r="BL184" s="192"/>
      <c r="BM184" s="192"/>
      <c r="BN184" s="192"/>
      <c r="BO184" s="192"/>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35" t="s">
        <v>87</v>
      </c>
      <c r="E185" s="88">
        <v>0</v>
      </c>
      <c r="F185" s="27"/>
      <c r="G185" s="211"/>
      <c r="H185" s="70"/>
      <c r="I185" s="70"/>
      <c r="J185" s="70"/>
      <c r="K185" s="70"/>
      <c r="L185" s="70"/>
      <c r="M185" s="70"/>
      <c r="N185" s="70"/>
      <c r="O185" s="70"/>
      <c r="P185" s="70"/>
      <c r="Q185" s="70"/>
      <c r="R185" s="70"/>
      <c r="S185" s="105"/>
      <c r="T185" s="105"/>
      <c r="U185" s="105"/>
      <c r="V185" s="105"/>
      <c r="W185" s="105"/>
      <c r="X185" s="105"/>
      <c r="Y185" s="105"/>
      <c r="Z185" s="105"/>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192"/>
      <c r="BK185" s="192"/>
      <c r="BL185" s="192"/>
      <c r="BM185" s="192"/>
      <c r="BN185" s="192"/>
      <c r="BO185" s="192"/>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36"/>
      <c r="E186" s="88">
        <v>1</v>
      </c>
      <c r="F186" s="27"/>
      <c r="G186" s="212"/>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192"/>
      <c r="BK186" s="192"/>
      <c r="BL186" s="192"/>
      <c r="BM186" s="192"/>
      <c r="BN186" s="192"/>
      <c r="BO186" s="192"/>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36"/>
      <c r="E187" s="88">
        <v>2</v>
      </c>
      <c r="F187" s="27"/>
      <c r="G187" s="213"/>
      <c r="H187" s="151"/>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192"/>
      <c r="BK187" s="192"/>
      <c r="BL187" s="192"/>
      <c r="BM187" s="192"/>
      <c r="BN187" s="192"/>
      <c r="BO187" s="192"/>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36"/>
      <c r="E188" s="88">
        <v>3</v>
      </c>
      <c r="F188" s="27"/>
      <c r="G188" s="213"/>
      <c r="H188" s="152"/>
      <c r="I188" s="151"/>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192"/>
      <c r="BK188" s="192"/>
      <c r="BL188" s="192"/>
      <c r="BM188" s="192"/>
      <c r="BN188" s="192"/>
      <c r="BO188" s="192"/>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36"/>
      <c r="E189" s="88">
        <v>4</v>
      </c>
      <c r="F189" s="27"/>
      <c r="G189" s="213"/>
      <c r="H189" s="152"/>
      <c r="I189" s="152"/>
      <c r="J189" s="151"/>
      <c r="K189" s="70">
        <f>IF(A9taxstdlife="n/a","n/a",IF(K$3&gt;(A9taxstdlife+$E189),(Input!$J$49-Input!$J$83)-SUM($J189:J189),(Input!$J$49-Input!$J$83)/A9taxstdlife))</f>
        <v>7.0537544782726294E-2</v>
      </c>
      <c r="L189" s="70">
        <f>IF(A9taxstdlife="n/a","n/a",IF(L$3&gt;(A9taxstdlife+$E189),(Input!$J$49-Input!$J$83)-SUM($J189:K189),(Input!$J$49-Input!$J$83)/A9taxstdlife))</f>
        <v>7.0537544782726294E-2</v>
      </c>
      <c r="M189" s="70">
        <f>IF(A9taxstdlife="n/a","n/a",IF(M$3&gt;(A9taxstdlife+$E189),(Input!$J$49-Input!$J$83)-SUM($J189:L189),(Input!$J$49-Input!$J$83)/A9taxstdlife))</f>
        <v>7.0537544782726294E-2</v>
      </c>
      <c r="N189" s="70">
        <f>IF(A9taxstdlife="n/a","n/a",IF(N$3&gt;(A9taxstdlife+$E189),(Input!$J$49-Input!$J$83)-SUM($J189:M189),(Input!$J$49-Input!$J$83)/A9taxstdlife))</f>
        <v>7.0537544782726294E-2</v>
      </c>
      <c r="O189" s="70">
        <f>IF(A9taxstdlife="n/a","n/a",IF(O$3&gt;(A9taxstdlife+$E189),(Input!$J$49-Input!$J$83)-SUM($J189:N189),(Input!$J$49-Input!$J$83)/A9taxstdlife))</f>
        <v>7.0537544782726294E-2</v>
      </c>
      <c r="P189" s="70">
        <f>IF(A9taxstdlife="n/a","n/a",IF(P$3&gt;(A9taxstdlife+$E189),(Input!$J$49-Input!$J$83)-SUM($J189:O189),(Input!$J$49-Input!$J$83)/A9taxstdlife))</f>
        <v>7.0537544782726294E-2</v>
      </c>
      <c r="Q189" s="70">
        <f>IF(A9taxstdlife="n/a","n/a",IF(Q$3&gt;(A9taxstdlife+$E189),(Input!$J$49-Input!$J$83)-SUM($J189:P189),(Input!$J$49-Input!$J$83)/A9taxstdlife))</f>
        <v>7.0537544782726294E-2</v>
      </c>
      <c r="R189" s="70"/>
      <c r="S189" s="105"/>
      <c r="T189" s="105"/>
      <c r="U189" s="105"/>
      <c r="V189" s="105"/>
      <c r="W189" s="105"/>
      <c r="X189" s="105"/>
      <c r="Y189" s="105"/>
      <c r="Z189" s="105"/>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192"/>
      <c r="BK189" s="192"/>
      <c r="BL189" s="192"/>
      <c r="BM189" s="192"/>
      <c r="BN189" s="192"/>
      <c r="BO189" s="192"/>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36"/>
      <c r="E190" s="88">
        <v>5</v>
      </c>
      <c r="F190" s="27"/>
      <c r="G190" s="213"/>
      <c r="H190" s="152"/>
      <c r="I190" s="152"/>
      <c r="J190" s="152"/>
      <c r="K190" s="151"/>
      <c r="L190" s="70">
        <f>IF(A9taxstdlife="n/a","n/a",IF(L$3&gt;(A9taxstdlife+$E190),(Input!$K$49-Input!$K$83)-SUM($K190:K190),(Input!$K$49-Input!$K$83)/A9taxstdlife))</f>
        <v>0.5001458822341901</v>
      </c>
      <c r="M190" s="70">
        <f>IF(A9taxstdlife="n/a","n/a",IF(M$3&gt;(A9taxstdlife+$E190),(Input!$K$49-Input!$K$83)-SUM($K190:L190),(Input!$K$49-Input!$K$83)/A9taxstdlife))</f>
        <v>0.5001458822341901</v>
      </c>
      <c r="N190" s="70">
        <f>IF(A9taxstdlife="n/a","n/a",IF(N$3&gt;(A9taxstdlife+$E190),(Input!$K$49-Input!$K$83)-SUM($K190:M190),(Input!$K$49-Input!$K$83)/A9taxstdlife))</f>
        <v>0.5001458822341901</v>
      </c>
      <c r="O190" s="70">
        <f>IF(A9taxstdlife="n/a","n/a",IF(O$3&gt;(A9taxstdlife+$E190),(Input!$K$49-Input!$K$83)-SUM($K190:N190),(Input!$K$49-Input!$K$83)/A9taxstdlife))</f>
        <v>0.5001458822341901</v>
      </c>
      <c r="P190" s="70">
        <f>IF(A9taxstdlife="n/a","n/a",IF(P$3&gt;(A9taxstdlife+$E190),(Input!$K$49-Input!$K$83)-SUM($K190:O190),(Input!$K$49-Input!$K$83)/A9taxstdlife))</f>
        <v>0.5001458822341901</v>
      </c>
      <c r="Q190" s="70">
        <f>IF(A9taxstdlife="n/a","n/a",IF(Q$3&gt;(A9taxstdlife+$E190),(Input!$K$49-Input!$K$83)-SUM($K190:P190),(Input!$K$49-Input!$K$83)/A9taxstdlife))</f>
        <v>0.5001458822341901</v>
      </c>
      <c r="R190" s="70"/>
      <c r="S190" s="105"/>
      <c r="T190" s="105"/>
      <c r="U190" s="105"/>
      <c r="V190" s="105"/>
      <c r="W190" s="105"/>
      <c r="X190" s="105"/>
      <c r="Y190" s="105"/>
      <c r="Z190" s="105"/>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3"/>
      <c r="BK190" s="192"/>
      <c r="BL190" s="192"/>
      <c r="BM190" s="192"/>
      <c r="BN190" s="192"/>
      <c r="BO190" s="192"/>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36"/>
      <c r="E191" s="88">
        <v>6</v>
      </c>
      <c r="F191" s="27"/>
      <c r="G191" s="213"/>
      <c r="H191" s="152"/>
      <c r="I191" s="152"/>
      <c r="J191" s="152"/>
      <c r="K191" s="152"/>
      <c r="L191" s="151"/>
      <c r="M191" s="70">
        <f>IF(A9taxstdlife="n/a","n/a",IF(M$3&gt;(A9taxstdlife+$E191),(Input!$L$49-Input!$L$83)-SUM($L191:L191),(Input!$L$49-Input!$L$83)/A9taxstdlife))</f>
        <v>0.20403791837647131</v>
      </c>
      <c r="N191" s="70">
        <f>IF(A9taxstdlife="n/a","n/a",IF(N$3&gt;(A9taxstdlife+$E191),(Input!$L$49-Input!$L$83)-SUM($L191:M191),(Input!$L$49-Input!$L$83)/A9taxstdlife))</f>
        <v>0.20403791837647131</v>
      </c>
      <c r="O191" s="70">
        <f>IF(A9taxstdlife="n/a","n/a",IF(O$3&gt;(A9taxstdlife+$E191),(Input!$L$49-Input!$L$83)-SUM($L191:N191),(Input!$L$49-Input!$L$83)/A9taxstdlife))</f>
        <v>0.20403791837647131</v>
      </c>
      <c r="P191" s="70">
        <f>IF(A9taxstdlife="n/a","n/a",IF(P$3&gt;(A9taxstdlife+$E191),(Input!$L$49-Input!$L$83)-SUM($L191:O191),(Input!$L$49-Input!$L$83)/A9taxstdlife))</f>
        <v>0.20403791837647131</v>
      </c>
      <c r="Q191" s="70">
        <f>IF(A9taxstdlife="n/a","n/a",IF(Q$3&gt;(A9taxstdlife+$E191),(Input!$L$49-Input!$L$83)-SUM($L191:P191),(Input!$L$49-Input!$L$83)/A9taxstdlife))</f>
        <v>0.20403791837647131</v>
      </c>
      <c r="R191" s="70"/>
      <c r="S191" s="105"/>
      <c r="T191" s="105"/>
      <c r="U191" s="105"/>
      <c r="V191" s="105"/>
      <c r="W191" s="105"/>
      <c r="X191" s="105"/>
      <c r="Y191" s="105"/>
      <c r="Z191" s="105"/>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192"/>
      <c r="BK191" s="192"/>
      <c r="BL191" s="192"/>
      <c r="BM191" s="192"/>
      <c r="BN191" s="192"/>
      <c r="BO191" s="192"/>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36"/>
      <c r="E192" s="88">
        <v>7</v>
      </c>
      <c r="F192" s="27"/>
      <c r="G192" s="213"/>
      <c r="H192" s="152"/>
      <c r="I192" s="152"/>
      <c r="J192" s="152"/>
      <c r="K192" s="152"/>
      <c r="L192" s="152"/>
      <c r="M192" s="151"/>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192"/>
      <c r="BK192" s="192"/>
      <c r="BL192" s="192"/>
      <c r="BM192" s="192"/>
      <c r="BN192" s="192"/>
      <c r="BO192" s="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36"/>
      <c r="E193" s="88">
        <v>8</v>
      </c>
      <c r="F193" s="27"/>
      <c r="G193" s="213"/>
      <c r="H193" s="152"/>
      <c r="I193" s="152"/>
      <c r="J193" s="152"/>
      <c r="K193" s="152"/>
      <c r="L193" s="152"/>
      <c r="M193" s="152"/>
      <c r="N193" s="151"/>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192"/>
      <c r="BK193" s="192"/>
      <c r="BL193" s="192"/>
      <c r="BM193" s="192"/>
      <c r="BN193" s="192"/>
      <c r="BO193" s="192"/>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36"/>
      <c r="E194" s="88">
        <v>9</v>
      </c>
      <c r="F194" s="27"/>
      <c r="G194" s="213"/>
      <c r="H194" s="152"/>
      <c r="I194" s="152"/>
      <c r="J194" s="152"/>
      <c r="K194" s="152"/>
      <c r="L194" s="152"/>
      <c r="M194" s="152"/>
      <c r="N194" s="152"/>
      <c r="O194" s="151"/>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192"/>
      <c r="BK194" s="192"/>
      <c r="BL194" s="192"/>
      <c r="BM194" s="192"/>
      <c r="BN194" s="192"/>
      <c r="BO194" s="192"/>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36"/>
      <c r="E195" s="88">
        <v>10</v>
      </c>
      <c r="F195" s="27"/>
      <c r="G195" s="213"/>
      <c r="H195" s="152"/>
      <c r="I195" s="152"/>
      <c r="J195" s="152"/>
      <c r="K195" s="152"/>
      <c r="L195" s="152"/>
      <c r="M195" s="152"/>
      <c r="N195" s="152"/>
      <c r="O195" s="152"/>
      <c r="P195" s="151"/>
      <c r="Q195" s="70">
        <f>IF(A9taxstdlife="n/a","n/a",IF(Q$3&gt;(A9taxstdlife+$E195),(Input!$P$49-Input!$P$83)-SUM($P195:P195),(Input!$P$49-Input!$P$83)/A9taxstdlife))</f>
        <v>0</v>
      </c>
      <c r="R195" s="70"/>
      <c r="S195" s="105"/>
      <c r="T195" s="105"/>
      <c r="U195" s="105"/>
      <c r="V195" s="105"/>
      <c r="W195" s="105"/>
      <c r="X195" s="105"/>
      <c r="Y195" s="105"/>
      <c r="Z195" s="105"/>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192"/>
      <c r="BK195" s="192"/>
      <c r="BL195" s="192"/>
      <c r="BM195" s="192"/>
      <c r="BN195" s="192"/>
      <c r="BO195" s="192"/>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36"/>
      <c r="E196" s="89">
        <v>11</v>
      </c>
      <c r="F196" s="27"/>
      <c r="G196" s="213"/>
      <c r="H196" s="152"/>
      <c r="I196" s="152"/>
      <c r="J196" s="152"/>
      <c r="K196" s="152"/>
      <c r="L196" s="152"/>
      <c r="M196" s="152"/>
      <c r="N196" s="152"/>
      <c r="O196" s="152"/>
      <c r="P196" s="194"/>
      <c r="Q196" s="151"/>
      <c r="R196" s="70"/>
      <c r="S196" s="105"/>
      <c r="T196" s="105"/>
      <c r="U196" s="105"/>
      <c r="V196" s="105"/>
      <c r="W196" s="105"/>
      <c r="X196" s="105"/>
      <c r="Y196" s="105"/>
      <c r="Z196" s="105"/>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192"/>
      <c r="BK196" s="192"/>
      <c r="BL196" s="192"/>
      <c r="BM196" s="192"/>
      <c r="BN196" s="192"/>
      <c r="BO196" s="192"/>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Motor Vehicles</v>
      </c>
      <c r="D197" s="9"/>
      <c r="E197" s="9"/>
      <c r="F197" s="23"/>
      <c r="G197" s="214">
        <f t="shared" ref="G197:L197" si="43">-SUM(G184:G196)</f>
        <v>0</v>
      </c>
      <c r="H197" s="168">
        <f t="shared" si="43"/>
        <v>0</v>
      </c>
      <c r="I197" s="168">
        <f t="shared" si="43"/>
        <v>0</v>
      </c>
      <c r="J197" s="168">
        <f t="shared" si="43"/>
        <v>0</v>
      </c>
      <c r="K197" s="168">
        <f t="shared" si="43"/>
        <v>-7.0537544782726294E-2</v>
      </c>
      <c r="L197" s="168">
        <f t="shared" si="43"/>
        <v>-0.57068342701691643</v>
      </c>
      <c r="M197" s="168">
        <f>IF(Input!M173&gt;0, -SUM(M184:M196), 0)</f>
        <v>0</v>
      </c>
      <c r="N197" s="168">
        <f>IF(Input!N173&gt;0, -SUM(N184:N196), 0)</f>
        <v>0</v>
      </c>
      <c r="O197" s="168">
        <f>IF(Input!O173&gt;0, -SUM(O184:O196), 0)</f>
        <v>0</v>
      </c>
      <c r="P197" s="168">
        <f>IF(Input!P173&gt;0, -SUM(P184:P196), 0)</f>
        <v>0</v>
      </c>
      <c r="Q197" s="168">
        <f>IF(Input!Q173&gt;0, -SUM(Q184:Q196), 0)</f>
        <v>0</v>
      </c>
      <c r="R197" s="66"/>
      <c r="S197" s="104"/>
      <c r="T197" s="104"/>
      <c r="U197" s="104"/>
      <c r="V197" s="104"/>
      <c r="W197" s="104"/>
      <c r="X197" s="104"/>
      <c r="Y197" s="104"/>
      <c r="Z197" s="104"/>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c r="BH197" s="222"/>
      <c r="BI197" s="222"/>
      <c r="BJ197" s="192"/>
      <c r="BK197" s="192"/>
      <c r="BL197" s="192"/>
      <c r="BM197" s="192"/>
      <c r="BN197" s="192"/>
      <c r="BO197" s="192"/>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Other Non-System Assets (Networks)</v>
      </c>
      <c r="C198" s="33"/>
      <c r="D198" s="34" t="s">
        <v>69</v>
      </c>
      <c r="E198" s="33"/>
      <c r="F198" s="35"/>
      <c r="G198" s="210" t="str">
        <f>IF(G$3&gt;A10taxremlife,A10taxvalue-SUM($F198:F198),IF(A10taxremlife="N/A","n/a",A10taxvalue/A10taxremlife))</f>
        <v>n/a</v>
      </c>
      <c r="H198" s="69" t="str">
        <f>IF(H$3&gt;A10taxremlife,A10taxvalue-SUM($F198:G198),IF(A10taxremlife="N/A","n/a",A10taxvalue/A10taxremlife))</f>
        <v>n/a</v>
      </c>
      <c r="I198" s="69" t="str">
        <f>IF(I$3&gt;A10taxremlife,A10taxvalue-SUM($F198:H198),IF(A10taxremlife="N/A","n/a",A10taxvalue/A10taxremlife))</f>
        <v>n/a</v>
      </c>
      <c r="J198" s="69" t="str">
        <f>IF(J$3&gt;A10taxremlife,A10taxvalue-SUM($F198:I198),IF(A10taxremlife="N/A","n/a",A10taxvalue/A10taxremlife))</f>
        <v>n/a</v>
      </c>
      <c r="K198" s="69" t="str">
        <f>IF(K$3&gt;A10taxremlife,A10taxvalue-SUM($F198:J198),IF(A10taxremlife="N/A","n/a",A10taxvalue/A10taxremlife))</f>
        <v>n/a</v>
      </c>
      <c r="L198" s="69" t="str">
        <f>IF(L$3&gt;A10taxremlife,A10taxvalue-SUM($F198:K198),IF(A10taxremlife="N/A","n/a",A10taxvalue/A10taxremlife))</f>
        <v>n/a</v>
      </c>
      <c r="M198" s="69" t="str">
        <f>IF(M$3&gt;A10taxremlife,A10taxvalue-SUM($F198:L198),IF(A10taxremlife="N/A","n/a",A10taxvalue/A10taxremlife))</f>
        <v>n/a</v>
      </c>
      <c r="N198" s="69" t="str">
        <f>IF(N$3&gt;A10taxremlife,A10taxvalue-SUM($F198:M198),IF(A10taxremlife="N/A","n/a",A10taxvalue/A10taxremlife))</f>
        <v>n/a</v>
      </c>
      <c r="O198" s="69" t="str">
        <f>IF(O$3&gt;A10taxremlife,A10taxvalue-SUM($F198:N198),IF(A10taxremlife="N/A","n/a",A10taxvalue/A10taxremlife))</f>
        <v>n/a</v>
      </c>
      <c r="P198" s="69" t="str">
        <f>IF(P$3&gt;A10taxremlife,A10taxvalue-SUM($F198:O198),IF(A10taxremlife="N/A","n/a",A10taxvalue/A10taxremlife))</f>
        <v>n/a</v>
      </c>
      <c r="Q198" s="69" t="str">
        <f>IF(Q$3&gt;A10taxremlife,A10taxvalue-SUM($F198:P198),IF(A10taxremlife="N/A","n/a",A10taxvalue/A10taxremlife))</f>
        <v>n/a</v>
      </c>
      <c r="R198" s="69"/>
      <c r="S198" s="105"/>
      <c r="T198" s="105"/>
      <c r="U198" s="105"/>
      <c r="V198" s="105"/>
      <c r="W198" s="105"/>
      <c r="X198" s="105"/>
      <c r="Y198" s="105"/>
      <c r="Z198" s="105"/>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192"/>
      <c r="BK198" s="192"/>
      <c r="BL198" s="192"/>
      <c r="BM198" s="192"/>
      <c r="BN198" s="192"/>
      <c r="BO198" s="192"/>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35" t="s">
        <v>87</v>
      </c>
      <c r="E199" s="88">
        <v>0</v>
      </c>
      <c r="F199" s="27"/>
      <c r="G199" s="211"/>
      <c r="H199" s="70"/>
      <c r="I199" s="70"/>
      <c r="J199" s="70"/>
      <c r="K199" s="70"/>
      <c r="L199" s="70"/>
      <c r="M199" s="70"/>
      <c r="N199" s="70"/>
      <c r="O199" s="70"/>
      <c r="P199" s="70"/>
      <c r="Q199" s="70"/>
      <c r="R199" s="70"/>
      <c r="S199" s="105"/>
      <c r="T199" s="105"/>
      <c r="U199" s="105"/>
      <c r="V199" s="105"/>
      <c r="W199" s="105"/>
      <c r="X199" s="105"/>
      <c r="Y199" s="105"/>
      <c r="Z199" s="105"/>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192"/>
      <c r="BK199" s="192"/>
      <c r="BL199" s="192"/>
      <c r="BM199" s="192"/>
      <c r="BN199" s="192"/>
      <c r="BO199" s="192"/>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36"/>
      <c r="E200" s="88">
        <v>1</v>
      </c>
      <c r="F200" s="27"/>
      <c r="G200" s="212"/>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192"/>
      <c r="BK200" s="192"/>
      <c r="BL200" s="192"/>
      <c r="BM200" s="192"/>
      <c r="BN200" s="192"/>
      <c r="BO200" s="192"/>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36"/>
      <c r="E201" s="88">
        <v>2</v>
      </c>
      <c r="F201" s="27"/>
      <c r="G201" s="213"/>
      <c r="H201" s="151"/>
      <c r="I201" s="70">
        <f>IF(A10taxstdlife="n/a","n/a",IF(I$3&gt;(A10taxstdlife+$E201),(Input!$H$50-Input!$H$84)-SUM($H201:H201),(Input!$H$50-Input!$H$84)/A10taxstdlife))</f>
        <v>0.16225153688369906</v>
      </c>
      <c r="J201" s="70">
        <f>IF(A10taxstdlife="n/a","n/a",IF(J$3&gt;(A10taxstdlife+$E201),(Input!$H$50-Input!$H$84)-SUM($H201:I201),(Input!$H$50-Input!$H$84)/A10taxstdlife))</f>
        <v>0.16225153688369906</v>
      </c>
      <c r="K201" s="70">
        <f>IF(A10taxstdlife="n/a","n/a",IF(K$3&gt;(A10taxstdlife+$E201),(Input!$H$50-Input!$H$84)-SUM($H201:J201),(Input!$H$50-Input!$H$84)/A10taxstdlife))</f>
        <v>0.16225153688369906</v>
      </c>
      <c r="L201" s="70">
        <f>IF(A10taxstdlife="n/a","n/a",IF(L$3&gt;(A10taxstdlife+$E201),(Input!$H$50-Input!$H$84)-SUM($H201:K201),(Input!$H$50-Input!$H$84)/A10taxstdlife))</f>
        <v>0.16225153688369906</v>
      </c>
      <c r="M201" s="70">
        <f>IF(A10taxstdlife="n/a","n/a",IF(M$3&gt;(A10taxstdlife+$E201),(Input!$H$50-Input!$H$84)-SUM($H201:L201),(Input!$H$50-Input!$H$84)/A10taxstdlife))</f>
        <v>0.16225153688369906</v>
      </c>
      <c r="N201" s="70">
        <f>IF(A10taxstdlife="n/a","n/a",IF(N$3&gt;(A10taxstdlife+$E201),(Input!$H$50-Input!$H$84)-SUM($H201:M201),(Input!$H$50-Input!$H$84)/A10taxstdlife))</f>
        <v>0.12980122950695927</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192"/>
      <c r="BK201" s="192"/>
      <c r="BL201" s="192"/>
      <c r="BM201" s="192"/>
      <c r="BN201" s="192"/>
      <c r="BO201" s="192"/>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36"/>
      <c r="E202" s="88">
        <v>3</v>
      </c>
      <c r="F202" s="27"/>
      <c r="G202" s="213"/>
      <c r="H202" s="152"/>
      <c r="I202" s="151"/>
      <c r="J202" s="70">
        <f>IF(A10taxstdlife="n/a","n/a",IF(J$3&gt;(A10taxstdlife+$E202),(Input!$I$50-Input!$I$84)-SUM($I202:I202),(Input!$I$50-Input!$I$84)/A10taxstdlife))</f>
        <v>8.2302669287207281E-2</v>
      </c>
      <c r="K202" s="70">
        <f>IF(A10taxstdlife="n/a","n/a",IF(K$3&gt;(A10taxstdlife+$E202),(Input!$I$50-Input!$I$84)-SUM($I202:J202),(Input!$I$50-Input!$I$84)/A10taxstdlife))</f>
        <v>8.2302669287207281E-2</v>
      </c>
      <c r="L202" s="70">
        <f>IF(A10taxstdlife="n/a","n/a",IF(L$3&gt;(A10taxstdlife+$E202),(Input!$I$50-Input!$I$84)-SUM($I202:K202),(Input!$I$50-Input!$I$84)/A10taxstdlife))</f>
        <v>8.2302669287207281E-2</v>
      </c>
      <c r="M202" s="70">
        <f>IF(A10taxstdlife="n/a","n/a",IF(M$3&gt;(A10taxstdlife+$E202),(Input!$I$50-Input!$I$84)-SUM($I202:L202),(Input!$I$50-Input!$I$84)/A10taxstdlife))</f>
        <v>8.2302669287207281E-2</v>
      </c>
      <c r="N202" s="70">
        <f>IF(A10taxstdlife="n/a","n/a",IF(N$3&gt;(A10taxstdlife+$E202),(Input!$I$50-Input!$I$84)-SUM($I202:M202),(Input!$I$50-Input!$I$84)/A10taxstdlife))</f>
        <v>8.2302669287207281E-2</v>
      </c>
      <c r="O202" s="70">
        <f>IF(A10taxstdlife="n/a","n/a",IF(O$3&gt;(A10taxstdlife+$E202),(Input!$I$50-Input!$I$84)-SUM($I202:N202),(Input!$I$50-Input!$I$84)/A10taxstdlife))</f>
        <v>6.5842135429765747E-2</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192"/>
      <c r="BK202" s="192"/>
      <c r="BL202" s="192"/>
      <c r="BM202" s="192"/>
      <c r="BN202" s="192"/>
      <c r="BO202" s="19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36"/>
      <c r="E203" s="88">
        <v>4</v>
      </c>
      <c r="F203" s="27"/>
      <c r="G203" s="213"/>
      <c r="H203" s="152"/>
      <c r="I203" s="152"/>
      <c r="J203" s="151"/>
      <c r="K203" s="70">
        <f>IF(A10taxstdlife="n/a","n/a",IF(K$3&gt;(A10taxstdlife+$E203),(Input!$J$50-Input!$J$84)-SUM($J203:J203),(Input!$J$50-Input!$J$84)/A10taxstdlife))</f>
        <v>6.5682222722054179E-2</v>
      </c>
      <c r="L203" s="70">
        <f>IF(A10taxstdlife="n/a","n/a",IF(L$3&gt;(A10taxstdlife+$E203),(Input!$J$50-Input!$J$84)-SUM($J203:K203),(Input!$J$50-Input!$J$84)/A10taxstdlife))</f>
        <v>6.5682222722054179E-2</v>
      </c>
      <c r="M203" s="70">
        <f>IF(A10taxstdlife="n/a","n/a",IF(M$3&gt;(A10taxstdlife+$E203),(Input!$J$50-Input!$J$84)-SUM($J203:L203),(Input!$J$50-Input!$J$84)/A10taxstdlife))</f>
        <v>6.5682222722054179E-2</v>
      </c>
      <c r="N203" s="70">
        <f>IF(A10taxstdlife="n/a","n/a",IF(N$3&gt;(A10taxstdlife+$E203),(Input!$J$50-Input!$J$84)-SUM($J203:M203),(Input!$J$50-Input!$J$84)/A10taxstdlife))</f>
        <v>6.5682222722054179E-2</v>
      </c>
      <c r="O203" s="70">
        <f>IF(A10taxstdlife="n/a","n/a",IF(O$3&gt;(A10taxstdlife+$E203),(Input!$J$50-Input!$J$84)-SUM($J203:N203),(Input!$J$50-Input!$J$84)/A10taxstdlife))</f>
        <v>6.5682222722054179E-2</v>
      </c>
      <c r="P203" s="70">
        <f>IF(A10taxstdlife="n/a","n/a",IF(P$3&gt;(A10taxstdlife+$E203),(Input!$J$50-Input!$J$84)-SUM($J203:O203),(Input!$J$50-Input!$J$84)/A10taxstdlife))</f>
        <v>5.2545778177643332E-2</v>
      </c>
      <c r="Q203" s="70">
        <f>IF(A10taxstdlife="n/a","n/a",IF(Q$3&gt;(A10taxstdlife+$E203),(Input!$J$50-Input!$J$84)-SUM($J203:P203),(Input!$J$50-Input!$J$84)/A10taxstdlife))</f>
        <v>0</v>
      </c>
      <c r="R203" s="70"/>
      <c r="S203" s="105"/>
      <c r="T203" s="105"/>
      <c r="U203" s="105"/>
      <c r="V203" s="105"/>
      <c r="W203" s="105"/>
      <c r="X203" s="105"/>
      <c r="Y203" s="105"/>
      <c r="Z203" s="105"/>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192"/>
      <c r="BK203" s="192"/>
      <c r="BL203" s="192"/>
      <c r="BM203" s="192"/>
      <c r="BN203" s="192"/>
      <c r="BO203" s="192"/>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36"/>
      <c r="E204" s="88">
        <v>5</v>
      </c>
      <c r="F204" s="27"/>
      <c r="G204" s="213"/>
      <c r="H204" s="152"/>
      <c r="I204" s="152"/>
      <c r="J204" s="152"/>
      <c r="K204" s="151"/>
      <c r="L204" s="70">
        <f>IF(A10taxstdlife="n/a","n/a",IF(L$3&gt;(A10taxstdlife+$E204),(Input!$K$50-Input!$K$84)-SUM($K204:K204),(Input!$K$50-Input!$K$84)/A10taxstdlife))</f>
        <v>9.9881414308716276E-2</v>
      </c>
      <c r="M204" s="70">
        <f>IF(A10taxstdlife="n/a","n/a",IF(M$3&gt;(A10taxstdlife+$E204),(Input!$K$50-Input!$K$84)-SUM($K204:L204),(Input!$K$50-Input!$K$84)/A10taxstdlife))</f>
        <v>9.9881414308716276E-2</v>
      </c>
      <c r="N204" s="70">
        <f>IF(A10taxstdlife="n/a","n/a",IF(N$3&gt;(A10taxstdlife+$E204),(Input!$K$50-Input!$K$84)-SUM($K204:M204),(Input!$K$50-Input!$K$84)/A10taxstdlife))</f>
        <v>9.9881414308716276E-2</v>
      </c>
      <c r="O204" s="70">
        <f>IF(A10taxstdlife="n/a","n/a",IF(O$3&gt;(A10taxstdlife+$E204),(Input!$K$50-Input!$K$84)-SUM($K204:N204),(Input!$K$50-Input!$K$84)/A10taxstdlife))</f>
        <v>9.9881414308716276E-2</v>
      </c>
      <c r="P204" s="70">
        <f>IF(A10taxstdlife="n/a","n/a",IF(P$3&gt;(A10taxstdlife+$E204),(Input!$K$50-Input!$K$84)-SUM($K204:O204),(Input!$K$50-Input!$K$84)/A10taxstdlife))</f>
        <v>9.9881414308716276E-2</v>
      </c>
      <c r="Q204" s="70">
        <f>IF(A10taxstdlife="n/a","n/a",IF(Q$3&gt;(A10taxstdlife+$E204),(Input!$K$50-Input!$K$84)-SUM($K204:P204),(Input!$K$50-Input!$K$84)/A10taxstdlife))</f>
        <v>7.9905131446973032E-2</v>
      </c>
      <c r="R204" s="70"/>
      <c r="S204" s="105"/>
      <c r="T204" s="105"/>
      <c r="U204" s="105"/>
      <c r="V204" s="105"/>
      <c r="W204" s="105"/>
      <c r="X204" s="105"/>
      <c r="Y204" s="105"/>
      <c r="Z204" s="105"/>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192"/>
      <c r="BK204" s="192"/>
      <c r="BL204" s="192"/>
      <c r="BM204" s="192"/>
      <c r="BN204" s="192"/>
      <c r="BO204" s="192"/>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36"/>
      <c r="E205" s="88">
        <v>6</v>
      </c>
      <c r="F205" s="27"/>
      <c r="G205" s="213"/>
      <c r="H205" s="152"/>
      <c r="I205" s="152"/>
      <c r="J205" s="152"/>
      <c r="K205" s="152"/>
      <c r="L205" s="151"/>
      <c r="M205" s="70">
        <f>IF(A10taxstdlife="n/a","n/a",IF(M$3&gt;(A10taxstdlife+$E205),(Input!$L$50-Input!$L$84)-SUM($L205:L205),(Input!$L$50-Input!$L$84)/A10taxstdlife))</f>
        <v>0.1062381887834406</v>
      </c>
      <c r="N205" s="70">
        <f>IF(A10taxstdlife="n/a","n/a",IF(N$3&gt;(A10taxstdlife+$E205),(Input!$L$50-Input!$L$84)-SUM($L205:M205),(Input!$L$50-Input!$L$84)/A10taxstdlife))</f>
        <v>0.1062381887834406</v>
      </c>
      <c r="O205" s="70">
        <f>IF(A10taxstdlife="n/a","n/a",IF(O$3&gt;(A10taxstdlife+$E205),(Input!$L$50-Input!$L$84)-SUM($L205:N205),(Input!$L$50-Input!$L$84)/A10taxstdlife))</f>
        <v>0.1062381887834406</v>
      </c>
      <c r="P205" s="70">
        <f>IF(A10taxstdlife="n/a","n/a",IF(P$3&gt;(A10taxstdlife+$E205),(Input!$L$50-Input!$L$84)-SUM($L205:O205),(Input!$L$50-Input!$L$84)/A10taxstdlife))</f>
        <v>0.1062381887834406</v>
      </c>
      <c r="Q205" s="70">
        <f>IF(A10taxstdlife="n/a","n/a",IF(Q$3&gt;(A10taxstdlife+$E205),(Input!$L$50-Input!$L$84)-SUM($L205:P205),(Input!$L$50-Input!$L$84)/A10taxstdlife))</f>
        <v>0.1062381887834406</v>
      </c>
      <c r="R205" s="70"/>
      <c r="S205" s="105"/>
      <c r="T205" s="105"/>
      <c r="U205" s="105"/>
      <c r="V205" s="105"/>
      <c r="W205" s="105"/>
      <c r="X205" s="105"/>
      <c r="Y205" s="105"/>
      <c r="Z205" s="105"/>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192"/>
      <c r="BK205" s="192"/>
      <c r="BL205" s="192"/>
      <c r="BM205" s="192"/>
      <c r="BN205" s="192"/>
      <c r="BO205" s="192"/>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36"/>
      <c r="E206" s="88">
        <v>7</v>
      </c>
      <c r="F206" s="27"/>
      <c r="G206" s="213"/>
      <c r="H206" s="152"/>
      <c r="I206" s="152"/>
      <c r="J206" s="152"/>
      <c r="K206" s="152"/>
      <c r="L206" s="152"/>
      <c r="M206" s="151"/>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192"/>
      <c r="BK206" s="192"/>
      <c r="BL206" s="192"/>
      <c r="BM206" s="192"/>
      <c r="BN206" s="192"/>
      <c r="BO206" s="192"/>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36"/>
      <c r="E207" s="88">
        <v>8</v>
      </c>
      <c r="F207" s="27"/>
      <c r="G207" s="213"/>
      <c r="H207" s="152"/>
      <c r="I207" s="152"/>
      <c r="J207" s="152"/>
      <c r="K207" s="152"/>
      <c r="L207" s="152"/>
      <c r="M207" s="152"/>
      <c r="N207" s="151"/>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192"/>
      <c r="BK207" s="192"/>
      <c r="BL207" s="192"/>
      <c r="BM207" s="192"/>
      <c r="BN207" s="192"/>
      <c r="BO207" s="192"/>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36"/>
      <c r="E208" s="88">
        <v>9</v>
      </c>
      <c r="F208" s="27"/>
      <c r="G208" s="213"/>
      <c r="H208" s="152"/>
      <c r="I208" s="152"/>
      <c r="J208" s="152"/>
      <c r="K208" s="152"/>
      <c r="L208" s="152"/>
      <c r="M208" s="152"/>
      <c r="N208" s="152"/>
      <c r="O208" s="151"/>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4"/>
      <c r="BK208" s="192"/>
      <c r="BL208" s="192"/>
      <c r="BM208" s="192"/>
      <c r="BN208" s="192"/>
      <c r="BO208" s="192"/>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36"/>
      <c r="E209" s="88">
        <v>10</v>
      </c>
      <c r="F209" s="27"/>
      <c r="G209" s="213"/>
      <c r="H209" s="152"/>
      <c r="I209" s="152"/>
      <c r="J209" s="152"/>
      <c r="K209" s="152"/>
      <c r="L209" s="152"/>
      <c r="M209" s="152"/>
      <c r="N209" s="152"/>
      <c r="O209" s="152"/>
      <c r="P209" s="151"/>
      <c r="Q209" s="70">
        <f>IF(A10taxstdlife="n/a","n/a",IF(Q$3&gt;(A10taxstdlife+$E209),(Input!$P$50-Input!$P$84)-SUM($P209:P209),(Input!$P$50-Input!$P$84)/A10taxstdlife))</f>
        <v>0</v>
      </c>
      <c r="R209" s="70"/>
      <c r="S209" s="105"/>
      <c r="T209" s="105"/>
      <c r="U209" s="105"/>
      <c r="V209" s="105"/>
      <c r="W209" s="105"/>
      <c r="X209" s="105"/>
      <c r="Y209" s="105"/>
      <c r="Z209" s="105"/>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192"/>
      <c r="BK209" s="192"/>
      <c r="BL209" s="192"/>
      <c r="BM209" s="192"/>
      <c r="BN209" s="192"/>
      <c r="BO209" s="192"/>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36"/>
      <c r="E210" s="89">
        <v>11</v>
      </c>
      <c r="F210" s="27"/>
      <c r="G210" s="213"/>
      <c r="H210" s="152"/>
      <c r="I210" s="152"/>
      <c r="J210" s="152"/>
      <c r="K210" s="152"/>
      <c r="L210" s="152"/>
      <c r="M210" s="152"/>
      <c r="N210" s="152"/>
      <c r="O210" s="152"/>
      <c r="P210" s="194"/>
      <c r="Q210" s="151"/>
      <c r="R210" s="70"/>
      <c r="S210" s="105"/>
      <c r="T210" s="105"/>
      <c r="U210" s="105"/>
      <c r="V210" s="105"/>
      <c r="W210" s="105"/>
      <c r="X210" s="105"/>
      <c r="Y210" s="105"/>
      <c r="Z210" s="105"/>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192"/>
      <c r="BK210" s="192"/>
      <c r="BL210" s="192"/>
      <c r="BM210" s="192"/>
      <c r="BN210" s="192"/>
      <c r="BO210" s="192"/>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Other Non-System Assets (Networks)</v>
      </c>
      <c r="D211" s="9"/>
      <c r="E211" s="9"/>
      <c r="F211" s="23"/>
      <c r="G211" s="214">
        <f t="shared" ref="G211:L211" si="44">-SUM(G198:G210)</f>
        <v>0</v>
      </c>
      <c r="H211" s="168">
        <f t="shared" si="44"/>
        <v>0</v>
      </c>
      <c r="I211" s="168">
        <f t="shared" si="44"/>
        <v>-0.16225153688369906</v>
      </c>
      <c r="J211" s="168">
        <f t="shared" si="44"/>
        <v>-0.24455420617090634</v>
      </c>
      <c r="K211" s="168">
        <f t="shared" si="44"/>
        <v>-0.31023642889296055</v>
      </c>
      <c r="L211" s="168">
        <f t="shared" si="44"/>
        <v>-0.41011784320167682</v>
      </c>
      <c r="M211" s="168">
        <f>IF(Input!M173&gt;0, -SUM(M198:M210), 0)</f>
        <v>0</v>
      </c>
      <c r="N211" s="168">
        <f>IF(Input!N173&gt;0, -SUM(N198:N210), 0)</f>
        <v>0</v>
      </c>
      <c r="O211" s="168">
        <f>IF(Input!O173&gt;0, -SUM(O198:O210), 0)</f>
        <v>0</v>
      </c>
      <c r="P211" s="168">
        <f>IF(Input!P173&gt;0, -SUM(P198:P210), 0)</f>
        <v>0</v>
      </c>
      <c r="Q211" s="168">
        <f>IF(Input!Q173&gt;0, -SUM(Q198:Q210), 0)</f>
        <v>0</v>
      </c>
      <c r="R211" s="66"/>
      <c r="S211" s="104"/>
      <c r="T211" s="104"/>
      <c r="U211" s="104"/>
      <c r="V211" s="104"/>
      <c r="W211" s="104"/>
      <c r="X211" s="104"/>
      <c r="Y211" s="104"/>
      <c r="Z211" s="104"/>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c r="BE211" s="222"/>
      <c r="BF211" s="222"/>
      <c r="BG211" s="222"/>
      <c r="BH211" s="222"/>
      <c r="BI211" s="222"/>
      <c r="BJ211" s="192"/>
      <c r="BK211" s="192"/>
      <c r="BL211" s="192"/>
      <c r="BM211" s="192"/>
      <c r="BN211" s="192"/>
      <c r="BO211" s="192"/>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IT Systems (Corporate)</v>
      </c>
      <c r="C212" s="33"/>
      <c r="D212" s="34" t="s">
        <v>69</v>
      </c>
      <c r="E212" s="33"/>
      <c r="F212" s="35"/>
      <c r="G212" s="210" t="str">
        <f>IF(G$3&gt;A11taxremlife,A11taxvalue-SUM($F212:F212),IF(A11taxremlife="N/A","n/a",A11taxvalue/A11taxremlife))</f>
        <v>n/a</v>
      </c>
      <c r="H212" s="69" t="str">
        <f>IF(H$3&gt;A11taxremlife,A11taxvalue-SUM($F212:G212),IF(A11taxremlife="N/A","n/a",A11taxvalue/A11taxremlife))</f>
        <v>n/a</v>
      </c>
      <c r="I212" s="69" t="str">
        <f>IF(I$3&gt;A11taxremlife,A11taxvalue-SUM($F212:H212),IF(A11taxremlife="N/A","n/a",A11taxvalue/A11taxremlife))</f>
        <v>n/a</v>
      </c>
      <c r="J212" s="69" t="str">
        <f>IF(J$3&gt;A11taxremlife,A11taxvalue-SUM($F212:I212),IF(A11taxremlife="N/A","n/a",A11taxvalue/A11taxremlife))</f>
        <v>n/a</v>
      </c>
      <c r="K212" s="69" t="str">
        <f>IF(K$3&gt;A11taxremlife,A11taxvalue-SUM($F212:J212),IF(A11taxremlife="N/A","n/a",A11taxvalue/A11taxremlife))</f>
        <v>n/a</v>
      </c>
      <c r="L212" s="69" t="str">
        <f>IF(L$3&gt;A11taxremlife,A11taxvalue-SUM($F212:K212),IF(A11taxremlife="N/A","n/a",A11taxvalue/A11taxremlife))</f>
        <v>n/a</v>
      </c>
      <c r="M212" s="69" t="str">
        <f>IF(M$3&gt;A11taxremlife,A11taxvalue-SUM($F212:L212),IF(A11taxremlife="N/A","n/a",A11taxvalue/A11taxremlife))</f>
        <v>n/a</v>
      </c>
      <c r="N212" s="69" t="str">
        <f>IF(N$3&gt;A11taxremlife,A11taxvalue-SUM($F212:M212),IF(A11taxremlife="N/A","n/a",A11taxvalue/A11taxremlife))</f>
        <v>n/a</v>
      </c>
      <c r="O212" s="69" t="str">
        <f>IF(O$3&gt;A11taxremlife,A11taxvalue-SUM($F212:N212),IF(A11taxremlife="N/A","n/a",A11taxvalue/A11taxremlife))</f>
        <v>n/a</v>
      </c>
      <c r="P212" s="69" t="str">
        <f>IF(P$3&gt;A11taxremlife,A11taxvalue-SUM($F212:O212),IF(A11taxremlife="N/A","n/a",A11taxvalue/A11taxremlife))</f>
        <v>n/a</v>
      </c>
      <c r="Q212" s="69" t="str">
        <f>IF(Q$3&gt;A11taxremlife,A11taxvalue-SUM($F212:P212),IF(A11taxremlife="N/A","n/a",A11taxvalue/A11taxremlife))</f>
        <v>n/a</v>
      </c>
      <c r="R212" s="69"/>
      <c r="S212" s="105"/>
      <c r="T212" s="105"/>
      <c r="U212" s="105"/>
      <c r="V212" s="105"/>
      <c r="W212" s="105"/>
      <c r="X212" s="105"/>
      <c r="Y212" s="105"/>
      <c r="Z212" s="105"/>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192"/>
      <c r="BK212" s="192"/>
      <c r="BL212" s="192"/>
      <c r="BM212" s="192"/>
      <c r="BN212" s="192"/>
      <c r="BO212" s="19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35" t="s">
        <v>87</v>
      </c>
      <c r="E213" s="88">
        <v>0</v>
      </c>
      <c r="F213" s="27"/>
      <c r="G213" s="211"/>
      <c r="H213" s="70"/>
      <c r="I213" s="70"/>
      <c r="J213" s="70"/>
      <c r="K213" s="70"/>
      <c r="L213" s="70"/>
      <c r="M213" s="70"/>
      <c r="N213" s="70"/>
      <c r="O213" s="70"/>
      <c r="P213" s="70"/>
      <c r="Q213" s="70"/>
      <c r="R213" s="70"/>
      <c r="S213" s="105"/>
      <c r="T213" s="105"/>
      <c r="U213" s="105"/>
      <c r="V213" s="105"/>
      <c r="W213" s="105"/>
      <c r="X213" s="105"/>
      <c r="Y213" s="105"/>
      <c r="Z213" s="105"/>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192"/>
      <c r="BK213" s="192"/>
      <c r="BL213" s="192"/>
      <c r="BM213" s="192"/>
      <c r="BN213" s="192"/>
      <c r="BO213" s="192"/>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36"/>
      <c r="E214" s="88">
        <v>1</v>
      </c>
      <c r="F214" s="27"/>
      <c r="G214" s="212"/>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192"/>
      <c r="BK214" s="192"/>
      <c r="BL214" s="192"/>
      <c r="BM214" s="192"/>
      <c r="BN214" s="192"/>
      <c r="BO214" s="192"/>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36"/>
      <c r="E215" s="88">
        <v>2</v>
      </c>
      <c r="F215" s="27"/>
      <c r="G215" s="213"/>
      <c r="H215" s="151"/>
      <c r="I215" s="70">
        <f>IF(A11taxstdlife="n/a","n/a",IF(I$3&gt;(A11taxstdlife+$E215),(Input!$H$51-Input!$H$85)-SUM($H215:H215),(Input!$H$51-Input!$H$85)/A11taxstdlife))</f>
        <v>0.21722089615146145</v>
      </c>
      <c r="J215" s="70">
        <f>IF(A11taxstdlife="n/a","n/a",IF(J$3&gt;(A11taxstdlife+$E215),(Input!$H$51-Input!$H$85)-SUM($H215:I215),(Input!$H$51-Input!$H$85)/A11taxstdlife))</f>
        <v>0.21722089615146145</v>
      </c>
      <c r="K215" s="70">
        <f>IF(A11taxstdlife="n/a","n/a",IF(K$3&gt;(A11taxstdlife+$E215),(Input!$H$51-Input!$H$85)-SUM($H215:J215),(Input!$H$51-Input!$H$85)/A11taxstdlife))</f>
        <v>0.21722089615146145</v>
      </c>
      <c r="L215" s="70">
        <f>IF(A11taxstdlife="n/a","n/a",IF(L$3&gt;(A11taxstdlife+$E215),(Input!$H$51-Input!$H$85)-SUM($H215:K215),(Input!$H$51-Input!$H$85)/A11taxstdlife))</f>
        <v>0.21722089615146145</v>
      </c>
      <c r="M215" s="70">
        <f>IF(A11taxstdlife="n/a","n/a",IF(M$3&gt;(A11taxstdlife+$E215),(Input!$H$51-Input!$H$85)-SUM($H215:L215),(Input!$H$51-Input!$H$85)/A11taxstdlife))</f>
        <v>2.1722089615146101E-2</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192"/>
      <c r="BK215" s="192"/>
      <c r="BL215" s="192"/>
      <c r="BM215" s="192"/>
      <c r="BN215" s="192"/>
      <c r="BO215" s="192"/>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36"/>
      <c r="E216" s="88">
        <v>3</v>
      </c>
      <c r="F216" s="27"/>
      <c r="G216" s="213"/>
      <c r="H216" s="152"/>
      <c r="I216" s="151"/>
      <c r="J216" s="70">
        <f>IF(A11taxstdlife="n/a","n/a",IF(J$3&gt;(A11taxstdlife+$E216),(Input!$I$51-Input!$I$85)-SUM($I216:I216),(Input!$I$51-Input!$I$85)/A11taxstdlife))</f>
        <v>6.5897957182912553E-2</v>
      </c>
      <c r="K216" s="70">
        <f>IF(A11taxstdlife="n/a","n/a",IF(K$3&gt;(A11taxstdlife+$E216),(Input!$I$51-Input!$I$85)-SUM($I216:J216),(Input!$I$51-Input!$I$85)/A11taxstdlife))</f>
        <v>6.5897957182912553E-2</v>
      </c>
      <c r="L216" s="70">
        <f>IF(A11taxstdlife="n/a","n/a",IF(L$3&gt;(A11taxstdlife+$E216),(Input!$I$51-Input!$I$85)-SUM($I216:K216),(Input!$I$51-Input!$I$85)/A11taxstdlife))</f>
        <v>6.5897957182912553E-2</v>
      </c>
      <c r="M216" s="70">
        <f>IF(A11taxstdlife="n/a","n/a",IF(M$3&gt;(A11taxstdlife+$E216),(Input!$I$51-Input!$I$85)-SUM($I216:L216),(Input!$I$51-Input!$I$85)/A11taxstdlife))</f>
        <v>6.5897957182912553E-2</v>
      </c>
      <c r="N216" s="70">
        <f>IF(A11taxstdlife="n/a","n/a",IF(N$3&gt;(A11taxstdlife+$E216),(Input!$I$51-Input!$I$85)-SUM($I216:M216),(Input!$I$51-Input!$I$85)/A11taxstdlife))</f>
        <v>6.5897957182912137E-3</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192"/>
      <c r="BK216" s="192"/>
      <c r="BL216" s="192"/>
      <c r="BM216" s="192"/>
      <c r="BN216" s="192"/>
      <c r="BO216" s="192"/>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36"/>
      <c r="E217" s="88">
        <v>4</v>
      </c>
      <c r="F217" s="27"/>
      <c r="G217" s="213"/>
      <c r="H217" s="152"/>
      <c r="I217" s="152"/>
      <c r="J217" s="151"/>
      <c r="K217" s="70">
        <f>IF(A11taxstdlife="n/a","n/a",IF(K$3&gt;(A11taxstdlife+$E217),(Input!$J$51-Input!$J$85)-SUM($J217:J217),(Input!$J$51-Input!$J$85)/A11taxstdlife))</f>
        <v>0.3394855641105971</v>
      </c>
      <c r="L217" s="70">
        <f>IF(A11taxstdlife="n/a","n/a",IF(L$3&gt;(A11taxstdlife+$E217),(Input!$J$51-Input!$J$85)-SUM($J217:K217),(Input!$J$51-Input!$J$85)/A11taxstdlife))</f>
        <v>0.3394855641105971</v>
      </c>
      <c r="M217" s="70">
        <f>IF(A11taxstdlife="n/a","n/a",IF(M$3&gt;(A11taxstdlife+$E217),(Input!$J$51-Input!$J$85)-SUM($J217:L217),(Input!$J$51-Input!$J$85)/A11taxstdlife))</f>
        <v>0.3394855641105971</v>
      </c>
      <c r="N217" s="70">
        <f>IF(A11taxstdlife="n/a","n/a",IF(N$3&gt;(A11taxstdlife+$E217),(Input!$J$51-Input!$J$85)-SUM($J217:M217),(Input!$J$51-Input!$J$85)/A11taxstdlife))</f>
        <v>0.3394855641105971</v>
      </c>
      <c r="O217" s="70">
        <f>IF(A11taxstdlife="n/a","n/a",IF(O$3&gt;(A11taxstdlife+$E217),(Input!$J$51-Input!$J$85)-SUM($J217:N217),(Input!$J$51-Input!$J$85)/A11taxstdlife))</f>
        <v>3.3948556411059538E-2</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192"/>
      <c r="BK217" s="192"/>
      <c r="BL217" s="192"/>
      <c r="BM217" s="192"/>
      <c r="BN217" s="192"/>
      <c r="BO217" s="192"/>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36"/>
      <c r="E218" s="88">
        <v>5</v>
      </c>
      <c r="F218" s="27"/>
      <c r="G218" s="213"/>
      <c r="H218" s="152"/>
      <c r="I218" s="152"/>
      <c r="J218" s="152"/>
      <c r="K218" s="151"/>
      <c r="L218" s="70">
        <f>IF(A11taxstdlife="n/a","n/a",IF(L$3&gt;(A11taxstdlife+$E218),(Input!$K$51-Input!$K$85)-SUM($K218:K218),(Input!$K$51-Input!$K$85)/A11taxstdlife))</f>
        <v>0.6803750411207774</v>
      </c>
      <c r="M218" s="70">
        <f>IF(A11taxstdlife="n/a","n/a",IF(M$3&gt;(A11taxstdlife+$E218),(Input!$K$51-Input!$K$85)-SUM($K218:L218),(Input!$K$51-Input!$K$85)/A11taxstdlife))</f>
        <v>0.6803750411207774</v>
      </c>
      <c r="N218" s="70">
        <f>IF(A11taxstdlife="n/a","n/a",IF(N$3&gt;(A11taxstdlife+$E218),(Input!$K$51-Input!$K$85)-SUM($K218:M218),(Input!$K$51-Input!$K$85)/A11taxstdlife))</f>
        <v>0.6803750411207774</v>
      </c>
      <c r="O218" s="70">
        <f>IF(A11taxstdlife="n/a","n/a",IF(O$3&gt;(A11taxstdlife+$E218),(Input!$K$51-Input!$K$85)-SUM($K218:N218),(Input!$K$51-Input!$K$85)/A11taxstdlife))</f>
        <v>0.6803750411207774</v>
      </c>
      <c r="P218" s="70">
        <f>IF(A11taxstdlife="n/a","n/a",IF(P$3&gt;(A11taxstdlife+$E218),(Input!$K$51-Input!$K$85)-SUM($K218:O218),(Input!$K$51-Input!$K$85)/A11taxstdlife))</f>
        <v>6.8037504112077318E-2</v>
      </c>
      <c r="Q218" s="70">
        <f>IF(A11taxstdlife="n/a","n/a",IF(Q$3&gt;(A11taxstdlife+$E218),(Input!$K$51-Input!$K$85)-SUM($K218:P218),(Input!$K$51-Input!$K$85)/A11taxstdlife))</f>
        <v>0</v>
      </c>
      <c r="R218" s="70"/>
      <c r="S218" s="105"/>
      <c r="T218" s="105"/>
      <c r="U218" s="105"/>
      <c r="V218" s="105"/>
      <c r="W218" s="105"/>
      <c r="X218" s="105"/>
      <c r="Y218" s="105"/>
      <c r="Z218" s="105"/>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192"/>
      <c r="BK218" s="192"/>
      <c r="BL218" s="192"/>
      <c r="BM218" s="192"/>
      <c r="BN218" s="192"/>
      <c r="BO218" s="192"/>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36"/>
      <c r="E219" s="88">
        <v>6</v>
      </c>
      <c r="F219" s="27"/>
      <c r="G219" s="213"/>
      <c r="H219" s="152"/>
      <c r="I219" s="152"/>
      <c r="J219" s="152"/>
      <c r="K219" s="152"/>
      <c r="L219" s="151"/>
      <c r="M219" s="70">
        <f>IF(A11taxstdlife="n/a","n/a",IF(M$3&gt;(A11taxstdlife+$E219),(Input!$L$51-Input!$L$85)-SUM($L219:L219),(Input!$L$51-Input!$L$85)/A11taxstdlife))</f>
        <v>1.6151803489197927</v>
      </c>
      <c r="N219" s="70">
        <f>IF(A11taxstdlife="n/a","n/a",IF(N$3&gt;(A11taxstdlife+$E219),(Input!$L$51-Input!$L$85)-SUM($L219:M219),(Input!$L$51-Input!$L$85)/A11taxstdlife))</f>
        <v>1.6151803489197927</v>
      </c>
      <c r="O219" s="70">
        <f>IF(A11taxstdlife="n/a","n/a",IF(O$3&gt;(A11taxstdlife+$E219),(Input!$L$51-Input!$L$85)-SUM($L219:N219),(Input!$L$51-Input!$L$85)/A11taxstdlife))</f>
        <v>1.6151803489197927</v>
      </c>
      <c r="P219" s="70">
        <f>IF(A11taxstdlife="n/a","n/a",IF(P$3&gt;(A11taxstdlife+$E219),(Input!$L$51-Input!$L$85)-SUM($L219:O219),(Input!$L$51-Input!$L$85)/A11taxstdlife))</f>
        <v>1.6151803489197927</v>
      </c>
      <c r="Q219" s="70">
        <f>IF(A11taxstdlife="n/a","n/a",IF(Q$3&gt;(A11taxstdlife+$E219),(Input!$L$51-Input!$L$85)-SUM($L219:P219),(Input!$L$51-Input!$L$85)/A11taxstdlife))</f>
        <v>0.16151803489197825</v>
      </c>
      <c r="R219" s="70"/>
      <c r="S219" s="105"/>
      <c r="T219" s="105"/>
      <c r="U219" s="105"/>
      <c r="V219" s="105"/>
      <c r="W219" s="105"/>
      <c r="X219" s="105"/>
      <c r="Y219" s="105"/>
      <c r="Z219" s="105"/>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192"/>
      <c r="BK219" s="192"/>
      <c r="BL219" s="192"/>
      <c r="BM219" s="192"/>
      <c r="BN219" s="192"/>
      <c r="BO219" s="192"/>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36"/>
      <c r="E220" s="88">
        <v>7</v>
      </c>
      <c r="F220" s="27"/>
      <c r="G220" s="213"/>
      <c r="H220" s="152"/>
      <c r="I220" s="152"/>
      <c r="J220" s="152"/>
      <c r="K220" s="152"/>
      <c r="L220" s="152"/>
      <c r="M220" s="151"/>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192"/>
      <c r="BK220" s="192"/>
      <c r="BL220" s="192"/>
      <c r="BM220" s="192"/>
      <c r="BN220" s="192"/>
      <c r="BO220" s="192"/>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36"/>
      <c r="E221" s="88">
        <v>8</v>
      </c>
      <c r="F221" s="27"/>
      <c r="G221" s="213"/>
      <c r="H221" s="152"/>
      <c r="I221" s="152"/>
      <c r="J221" s="152"/>
      <c r="K221" s="152"/>
      <c r="L221" s="152"/>
      <c r="M221" s="152"/>
      <c r="N221" s="151"/>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192"/>
      <c r="BK221" s="192"/>
      <c r="BL221" s="192"/>
      <c r="BM221" s="192"/>
      <c r="BN221" s="192"/>
      <c r="BO221" s="192"/>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36"/>
      <c r="E222" s="88">
        <v>9</v>
      </c>
      <c r="F222" s="27"/>
      <c r="G222" s="213"/>
      <c r="H222" s="152"/>
      <c r="I222" s="152"/>
      <c r="J222" s="152"/>
      <c r="K222" s="152"/>
      <c r="L222" s="152"/>
      <c r="M222" s="152"/>
      <c r="N222" s="152"/>
      <c r="O222" s="151"/>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192"/>
      <c r="BK222" s="192"/>
      <c r="BL222" s="192"/>
      <c r="BM222" s="192"/>
      <c r="BN222" s="192"/>
      <c r="BO222" s="19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36"/>
      <c r="E223" s="88">
        <v>10</v>
      </c>
      <c r="F223" s="27"/>
      <c r="G223" s="213"/>
      <c r="H223" s="152"/>
      <c r="I223" s="152"/>
      <c r="J223" s="152"/>
      <c r="K223" s="152"/>
      <c r="L223" s="152"/>
      <c r="M223" s="152"/>
      <c r="N223" s="152"/>
      <c r="O223" s="152"/>
      <c r="P223" s="151"/>
      <c r="Q223" s="70">
        <f>IF(A11taxstdlife="n/a","n/a",IF(Q$3&gt;(A11taxstdlife+$E223),(Input!$P$51-Input!$P$85)-SUM($P223:P223),(Input!$P$51-Input!$P$85)/A11taxstdlife))</f>
        <v>0</v>
      </c>
      <c r="R223" s="70"/>
      <c r="S223" s="105"/>
      <c r="T223" s="105"/>
      <c r="U223" s="105"/>
      <c r="V223" s="105"/>
      <c r="W223" s="105"/>
      <c r="X223" s="105"/>
      <c r="Y223" s="105"/>
      <c r="Z223" s="105"/>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192"/>
      <c r="BK223" s="192"/>
      <c r="BL223" s="192"/>
      <c r="BM223" s="192"/>
      <c r="BN223" s="192"/>
      <c r="BO223" s="192"/>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36"/>
      <c r="E224" s="89">
        <v>11</v>
      </c>
      <c r="F224" s="27"/>
      <c r="G224" s="213"/>
      <c r="H224" s="152"/>
      <c r="I224" s="152"/>
      <c r="J224" s="152"/>
      <c r="K224" s="152"/>
      <c r="L224" s="152"/>
      <c r="M224" s="152"/>
      <c r="N224" s="152"/>
      <c r="O224" s="152"/>
      <c r="P224" s="194"/>
      <c r="Q224" s="151"/>
      <c r="R224" s="70"/>
      <c r="S224" s="105"/>
      <c r="T224" s="105"/>
      <c r="U224" s="105"/>
      <c r="V224" s="105"/>
      <c r="W224" s="105"/>
      <c r="X224" s="105"/>
      <c r="Y224" s="105"/>
      <c r="Z224" s="105"/>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192"/>
      <c r="BK224" s="192"/>
      <c r="BL224" s="192"/>
      <c r="BM224" s="192"/>
      <c r="BN224" s="192"/>
      <c r="BO224" s="192"/>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IT Systems (Corporate)</v>
      </c>
      <c r="D225" s="9"/>
      <c r="E225" s="9"/>
      <c r="F225" s="23"/>
      <c r="G225" s="214">
        <f t="shared" ref="G225:L225" si="45">-SUM(G212:G224)</f>
        <v>0</v>
      </c>
      <c r="H225" s="168">
        <f t="shared" si="45"/>
        <v>0</v>
      </c>
      <c r="I225" s="168">
        <f t="shared" si="45"/>
        <v>-0.21722089615146145</v>
      </c>
      <c r="J225" s="168">
        <f t="shared" si="45"/>
        <v>-0.28311885333437403</v>
      </c>
      <c r="K225" s="168">
        <f t="shared" si="45"/>
        <v>-0.62260441744497119</v>
      </c>
      <c r="L225" s="168">
        <f t="shared" si="45"/>
        <v>-1.3029794585657486</v>
      </c>
      <c r="M225" s="168">
        <f>IF(Input!M173&gt;0, -SUM(M212:M224), 0)</f>
        <v>0</v>
      </c>
      <c r="N225" s="168">
        <f>IF(Input!N173&gt;0, -SUM(N212:N224), 0)</f>
        <v>0</v>
      </c>
      <c r="O225" s="168">
        <f>IF(Input!O173&gt;0, -SUM(O212:O224), 0)</f>
        <v>0</v>
      </c>
      <c r="P225" s="168">
        <f>IF(Input!P173&gt;0, -SUM(P212:P224), 0)</f>
        <v>0</v>
      </c>
      <c r="Q225" s="168">
        <f>IF(Input!Q173&gt;0, -SUM(Q212:Q224), 0)</f>
        <v>0</v>
      </c>
      <c r="R225" s="66"/>
      <c r="S225" s="104"/>
      <c r="T225" s="104"/>
      <c r="U225" s="104"/>
      <c r="V225" s="104"/>
      <c r="W225" s="104"/>
      <c r="X225" s="104"/>
      <c r="Y225" s="104"/>
      <c r="Z225" s="104"/>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192"/>
      <c r="BK225" s="192"/>
      <c r="BL225" s="192"/>
      <c r="BM225" s="192"/>
      <c r="BN225" s="192"/>
      <c r="BO225" s="192"/>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Telecommunications (Corporate)</v>
      </c>
      <c r="C226" s="33"/>
      <c r="D226" s="34" t="s">
        <v>69</v>
      </c>
      <c r="E226" s="33"/>
      <c r="F226" s="35"/>
      <c r="G226" s="210" t="str">
        <f>IF(G$3&gt;A12taxremlife,A12taxvalue-SUM($F226:F226),IF(A12taxremlife="N/A","n/a",A12taxvalue/A12taxremlife))</f>
        <v>n/a</v>
      </c>
      <c r="H226" s="69" t="str">
        <f>IF(H$3&gt;A12taxremlife,A12taxvalue-SUM($F226:G226),IF(A12taxremlife="N/A","n/a",A12taxvalue/A12taxremlife))</f>
        <v>n/a</v>
      </c>
      <c r="I226" s="69" t="str">
        <f>IF(I$3&gt;A12taxremlife,A12taxvalue-SUM($F226:H226),IF(A12taxremlife="N/A","n/a",A12taxvalue/A12taxremlife))</f>
        <v>n/a</v>
      </c>
      <c r="J226" s="69" t="str">
        <f>IF(J$3&gt;A12taxremlife,A12taxvalue-SUM($F226:I226),IF(A12taxremlife="N/A","n/a",A12taxvalue/A12taxremlife))</f>
        <v>n/a</v>
      </c>
      <c r="K226" s="69" t="str">
        <f>IF(K$3&gt;A12taxremlife,A12taxvalue-SUM($F226:J226),IF(A12taxremlife="N/A","n/a",A12taxvalue/A12taxremlife))</f>
        <v>n/a</v>
      </c>
      <c r="L226" s="69" t="str">
        <f>IF(L$3&gt;A12taxremlife,A12taxvalue-SUM($F226:K226),IF(A12taxremlife="N/A","n/a",A12taxvalue/A12taxremlife))</f>
        <v>n/a</v>
      </c>
      <c r="M226" s="69" t="str">
        <f>IF(M$3&gt;A12taxremlife,A12taxvalue-SUM($F226:L226),IF(A12taxremlife="N/A","n/a",A12taxvalue/A12taxremlife))</f>
        <v>n/a</v>
      </c>
      <c r="N226" s="69" t="str">
        <f>IF(N$3&gt;A12taxremlife,A12taxvalue-SUM($F226:M226),IF(A12taxremlife="N/A","n/a",A12taxvalue/A12taxremlife))</f>
        <v>n/a</v>
      </c>
      <c r="O226" s="69" t="str">
        <f>IF(O$3&gt;A12taxremlife,A12taxvalue-SUM($F226:N226),IF(A12taxremlife="N/A","n/a",A12taxvalue/A12taxremlife))</f>
        <v>n/a</v>
      </c>
      <c r="P226" s="69" t="str">
        <f>IF(P$3&gt;A12taxremlife,A12taxvalue-SUM($F226:O226),IF(A12taxremlife="N/A","n/a",A12taxvalue/A12taxremlife))</f>
        <v>n/a</v>
      </c>
      <c r="Q226" s="69" t="str">
        <f>IF(Q$3&gt;A12taxremlife,A12taxvalue-SUM($F226:P226),IF(A12taxremlife="N/A","n/a",A12taxvalue/A12taxremlife))</f>
        <v>n/a</v>
      </c>
      <c r="R226" s="69"/>
      <c r="S226" s="105"/>
      <c r="T226" s="105"/>
      <c r="U226" s="105"/>
      <c r="V226" s="105"/>
      <c r="W226" s="105"/>
      <c r="X226" s="105"/>
      <c r="Y226" s="105"/>
      <c r="Z226" s="105"/>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192"/>
      <c r="BK226" s="192"/>
      <c r="BL226" s="192"/>
      <c r="BM226" s="192"/>
      <c r="BN226" s="192"/>
      <c r="BO226" s="192"/>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35" t="s">
        <v>87</v>
      </c>
      <c r="E227" s="88">
        <v>0</v>
      </c>
      <c r="F227" s="27"/>
      <c r="G227" s="211"/>
      <c r="H227" s="70"/>
      <c r="I227" s="70"/>
      <c r="J227" s="70"/>
      <c r="K227" s="70"/>
      <c r="L227" s="70"/>
      <c r="M227" s="70"/>
      <c r="N227" s="70"/>
      <c r="O227" s="70"/>
      <c r="P227" s="70"/>
      <c r="Q227" s="70"/>
      <c r="R227" s="70"/>
      <c r="S227" s="105"/>
      <c r="T227" s="105"/>
      <c r="U227" s="105"/>
      <c r="V227" s="105"/>
      <c r="W227" s="105"/>
      <c r="X227" s="105"/>
      <c r="Y227" s="105"/>
      <c r="Z227" s="105"/>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192"/>
      <c r="BK227" s="192"/>
      <c r="BL227" s="192"/>
      <c r="BM227" s="192"/>
      <c r="BN227" s="192"/>
      <c r="BO227" s="192"/>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36"/>
      <c r="E228" s="88">
        <v>1</v>
      </c>
      <c r="F228" s="27"/>
      <c r="G228" s="212"/>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192"/>
      <c r="BK228" s="192"/>
      <c r="BL228" s="192"/>
      <c r="BM228" s="192"/>
      <c r="BN228" s="192"/>
      <c r="BO228" s="192"/>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36"/>
      <c r="E229" s="88">
        <v>2</v>
      </c>
      <c r="F229" s="27"/>
      <c r="G229" s="213"/>
      <c r="H229" s="151"/>
      <c r="I229" s="70">
        <f>IF(A12taxstdlife="n/a","n/a",IF(I$3&gt;(A12taxstdlife+$E229),(Input!$H$52-Input!$H$86)-SUM($H229:H229),(Input!$H$52-Input!$H$86)/A12taxstdlife))</f>
        <v>3.6667131923701114E-2</v>
      </c>
      <c r="J229" s="70">
        <f>IF(A12taxstdlife="n/a","n/a",IF(J$3&gt;(A12taxstdlife+$E229),(Input!$H$52-Input!$H$86)-SUM($H229:I229),(Input!$H$52-Input!$H$86)/A12taxstdlife))</f>
        <v>3.6667131923701114E-2</v>
      </c>
      <c r="K229" s="70">
        <f>IF(A12taxstdlife="n/a","n/a",IF(K$3&gt;(A12taxstdlife+$E229),(Input!$H$52-Input!$H$86)-SUM($H229:J229),(Input!$H$52-Input!$H$86)/A12taxstdlife))</f>
        <v>3.6667131923701114E-2</v>
      </c>
      <c r="L229" s="70">
        <f>IF(A12taxstdlife="n/a","n/a",IF(L$3&gt;(A12taxstdlife+$E229),(Input!$H$52-Input!$H$86)-SUM($H229:K229),(Input!$H$52-Input!$H$86)/A12taxstdlife))</f>
        <v>3.6667131923701114E-2</v>
      </c>
      <c r="M229" s="70">
        <f>IF(A12taxstdlife="n/a","n/a",IF(M$3&gt;(A12taxstdlife+$E229),(Input!$H$52-Input!$H$86)-SUM($H229:L229),(Input!$H$52-Input!$H$86)/A12taxstdlife))</f>
        <v>3.6667131923701114E-2</v>
      </c>
      <c r="N229" s="70">
        <f>IF(A12taxstdlife="n/a","n/a",IF(N$3&gt;(A12taxstdlife+$E229),(Input!$H$52-Input!$H$86)-SUM($H229:M229),(Input!$H$52-Input!$H$86)/A12taxstdlife))</f>
        <v>3.6667131923701114E-2</v>
      </c>
      <c r="O229" s="70">
        <f>IF(A12taxstdlife="n/a","n/a",IF(O$3&gt;(A12taxstdlife+$E229),(Input!$H$52-Input!$H$86)-SUM($H229:N229),(Input!$H$52-Input!$H$86)/A12taxstdlife))</f>
        <v>2.5666992346590811E-2</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192"/>
      <c r="BK229" s="192"/>
      <c r="BL229" s="192"/>
      <c r="BM229" s="192"/>
      <c r="BN229" s="192"/>
      <c r="BO229" s="192"/>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36"/>
      <c r="E230" s="88">
        <v>3</v>
      </c>
      <c r="F230" s="27"/>
      <c r="G230" s="213"/>
      <c r="H230" s="152"/>
      <c r="I230" s="151"/>
      <c r="J230" s="70">
        <f>IF(A12taxstdlife="n/a","n/a",IF(J$3&gt;(A12taxstdlife+$E230),(Input!$I$52-Input!$I$86)-SUM($I230:I230),(Input!$I$52-Input!$I$86)/A12taxstdlife))</f>
        <v>1.2270777058875092E-2</v>
      </c>
      <c r="K230" s="70">
        <f>IF(A12taxstdlife="n/a","n/a",IF(K$3&gt;(A12taxstdlife+$E230),(Input!$I$52-Input!$I$86)-SUM($I230:J230),(Input!$I$52-Input!$I$86)/A12taxstdlife))</f>
        <v>1.2270777058875092E-2</v>
      </c>
      <c r="L230" s="70">
        <f>IF(A12taxstdlife="n/a","n/a",IF(L$3&gt;(A12taxstdlife+$E230),(Input!$I$52-Input!$I$86)-SUM($I230:K230),(Input!$I$52-Input!$I$86)/A12taxstdlife))</f>
        <v>1.2270777058875092E-2</v>
      </c>
      <c r="M230" s="70">
        <f>IF(A12taxstdlife="n/a","n/a",IF(M$3&gt;(A12taxstdlife+$E230),(Input!$I$52-Input!$I$86)-SUM($I230:L230),(Input!$I$52-Input!$I$86)/A12taxstdlife))</f>
        <v>1.2270777058875092E-2</v>
      </c>
      <c r="N230" s="70">
        <f>IF(A12taxstdlife="n/a","n/a",IF(N$3&gt;(A12taxstdlife+$E230),(Input!$I$52-Input!$I$86)-SUM($I230:M230),(Input!$I$52-Input!$I$86)/A12taxstdlife))</f>
        <v>1.2270777058875092E-2</v>
      </c>
      <c r="O230" s="70">
        <f>IF(A12taxstdlife="n/a","n/a",IF(O$3&gt;(A12taxstdlife+$E230),(Input!$I$52-Input!$I$86)-SUM($I230:N230),(Input!$I$52-Input!$I$86)/A12taxstdlife))</f>
        <v>1.2270777058875092E-2</v>
      </c>
      <c r="P230" s="70">
        <f>IF(A12taxstdlife="n/a","n/a",IF(P$3&gt;(A12taxstdlife+$E230),(Input!$I$52-Input!$I$86)-SUM($I230:O230),(Input!$I$52-Input!$I$86)/A12taxstdlife))</f>
        <v>8.5895439412125574E-3</v>
      </c>
      <c r="Q230" s="70">
        <f>IF(A12taxstdlife="n/a","n/a",IF(Q$3&gt;(A12taxstdlife+$E230),(Input!$I$52-Input!$I$86)-SUM($I230:P230),(Input!$I$52-Input!$I$86)/A12taxstdlife))</f>
        <v>0</v>
      </c>
      <c r="R230" s="70"/>
      <c r="S230" s="105"/>
      <c r="T230" s="105"/>
      <c r="U230" s="105"/>
      <c r="V230" s="105"/>
      <c r="W230" s="105"/>
      <c r="X230" s="105"/>
      <c r="Y230" s="105"/>
      <c r="Z230" s="105"/>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192"/>
      <c r="BK230" s="192"/>
      <c r="BL230" s="192"/>
      <c r="BM230" s="192"/>
      <c r="BN230" s="192"/>
      <c r="BO230" s="192"/>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36"/>
      <c r="E231" s="88">
        <v>4</v>
      </c>
      <c r="F231" s="27"/>
      <c r="G231" s="213"/>
      <c r="H231" s="152"/>
      <c r="I231" s="152"/>
      <c r="J231" s="151"/>
      <c r="K231" s="70">
        <f>IF(A12taxstdlife="n/a","n/a",IF(K$3&gt;(A12taxstdlife+$E231),(Input!$J$52-Input!$J$86)-SUM($J231:J231),(Input!$J$52-Input!$J$86)/A12taxstdlife))</f>
        <v>5.8446786318523698E-3</v>
      </c>
      <c r="L231" s="70">
        <f>IF(A12taxstdlife="n/a","n/a",IF(L$3&gt;(A12taxstdlife+$E231),(Input!$J$52-Input!$J$86)-SUM($J231:K231),(Input!$J$52-Input!$J$86)/A12taxstdlife))</f>
        <v>5.8446786318523698E-3</v>
      </c>
      <c r="M231" s="70">
        <f>IF(A12taxstdlife="n/a","n/a",IF(M$3&gt;(A12taxstdlife+$E231),(Input!$J$52-Input!$J$86)-SUM($J231:L231),(Input!$J$52-Input!$J$86)/A12taxstdlife))</f>
        <v>5.8446786318523698E-3</v>
      </c>
      <c r="N231" s="70">
        <f>IF(A12taxstdlife="n/a","n/a",IF(N$3&gt;(A12taxstdlife+$E231),(Input!$J$52-Input!$J$86)-SUM($J231:M231),(Input!$J$52-Input!$J$86)/A12taxstdlife))</f>
        <v>5.8446786318523698E-3</v>
      </c>
      <c r="O231" s="70">
        <f>IF(A12taxstdlife="n/a","n/a",IF(O$3&gt;(A12taxstdlife+$E231),(Input!$J$52-Input!$J$86)-SUM($J231:N231),(Input!$J$52-Input!$J$86)/A12taxstdlife))</f>
        <v>5.8446786318523698E-3</v>
      </c>
      <c r="P231" s="70">
        <f>IF(A12taxstdlife="n/a","n/a",IF(P$3&gt;(A12taxstdlife+$E231),(Input!$J$52-Input!$J$86)-SUM($J231:O231),(Input!$J$52-Input!$J$86)/A12taxstdlife))</f>
        <v>5.8446786318523698E-3</v>
      </c>
      <c r="Q231" s="70">
        <f>IF(A12taxstdlife="n/a","n/a",IF(Q$3&gt;(A12taxstdlife+$E231),(Input!$J$52-Input!$J$86)-SUM($J231:P231),(Input!$J$52-Input!$J$86)/A12taxstdlife))</f>
        <v>4.0912750422966646E-3</v>
      </c>
      <c r="R231" s="70"/>
      <c r="S231" s="105"/>
      <c r="T231" s="105"/>
      <c r="U231" s="105"/>
      <c r="V231" s="105"/>
      <c r="W231" s="105"/>
      <c r="X231" s="105"/>
      <c r="Y231" s="105"/>
      <c r="Z231" s="105"/>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192"/>
      <c r="BK231" s="192"/>
      <c r="BL231" s="192"/>
      <c r="BM231" s="192"/>
      <c r="BN231" s="192"/>
      <c r="BO231" s="192"/>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36"/>
      <c r="E232" s="88">
        <v>5</v>
      </c>
      <c r="F232" s="27"/>
      <c r="G232" s="213"/>
      <c r="H232" s="152"/>
      <c r="I232" s="152"/>
      <c r="J232" s="152"/>
      <c r="K232" s="151"/>
      <c r="L232" s="70">
        <f>IF(A12taxstdlife="n/a","n/a",IF(L$3&gt;(A12taxstdlife+$E232),(Input!$K$52-Input!$K$86)-SUM($K232:K232),(Input!$K$52-Input!$K$86)/A12taxstdlife))</f>
        <v>7.6929599982977978E-3</v>
      </c>
      <c r="M232" s="70">
        <f>IF(A12taxstdlife="n/a","n/a",IF(M$3&gt;(A12taxstdlife+$E232),(Input!$K$52-Input!$K$86)-SUM($K232:L232),(Input!$K$52-Input!$K$86)/A12taxstdlife))</f>
        <v>7.6929599982977978E-3</v>
      </c>
      <c r="N232" s="70">
        <f>IF(A12taxstdlife="n/a","n/a",IF(N$3&gt;(A12taxstdlife+$E232),(Input!$K$52-Input!$K$86)-SUM($K232:M232),(Input!$K$52-Input!$K$86)/A12taxstdlife))</f>
        <v>7.6929599982977978E-3</v>
      </c>
      <c r="O232" s="70">
        <f>IF(A12taxstdlife="n/a","n/a",IF(O$3&gt;(A12taxstdlife+$E232),(Input!$K$52-Input!$K$86)-SUM($K232:N232),(Input!$K$52-Input!$K$86)/A12taxstdlife))</f>
        <v>7.6929599982977978E-3</v>
      </c>
      <c r="P232" s="70">
        <f>IF(A12taxstdlife="n/a","n/a",IF(P$3&gt;(A12taxstdlife+$E232),(Input!$K$52-Input!$K$86)-SUM($K232:O232),(Input!$K$52-Input!$K$86)/A12taxstdlife))</f>
        <v>7.6929599982977978E-3</v>
      </c>
      <c r="Q232" s="70">
        <f>IF(A12taxstdlife="n/a","n/a",IF(Q$3&gt;(A12taxstdlife+$E232),(Input!$K$52-Input!$K$86)-SUM($K232:P232),(Input!$K$52-Input!$K$86)/A12taxstdlife))</f>
        <v>7.6929599982977978E-3</v>
      </c>
      <c r="R232" s="70"/>
      <c r="S232" s="105"/>
      <c r="T232" s="105"/>
      <c r="U232" s="105"/>
      <c r="V232" s="105"/>
      <c r="W232" s="105"/>
      <c r="X232" s="105"/>
      <c r="Y232" s="105"/>
      <c r="Z232" s="105"/>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192"/>
      <c r="BK232" s="192"/>
      <c r="BL232" s="192"/>
      <c r="BM232" s="192"/>
      <c r="BN232" s="192"/>
      <c r="BO232" s="19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36"/>
      <c r="E233" s="88">
        <v>6</v>
      </c>
      <c r="F233" s="27"/>
      <c r="G233" s="213"/>
      <c r="H233" s="152"/>
      <c r="I233" s="152"/>
      <c r="J233" s="152"/>
      <c r="K233" s="152"/>
      <c r="L233" s="151"/>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192"/>
      <c r="BK233" s="192"/>
      <c r="BL233" s="192"/>
      <c r="BM233" s="192"/>
      <c r="BN233" s="192"/>
      <c r="BO233" s="192"/>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36"/>
      <c r="E234" s="88">
        <v>7</v>
      </c>
      <c r="F234" s="27"/>
      <c r="G234" s="213"/>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192"/>
      <c r="BK234" s="192"/>
      <c r="BL234" s="192"/>
      <c r="BM234" s="192"/>
      <c r="BN234" s="192"/>
      <c r="BO234" s="192"/>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36"/>
      <c r="E235" s="88">
        <v>8</v>
      </c>
      <c r="F235" s="27"/>
      <c r="G235" s="213"/>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192"/>
      <c r="BK235" s="192"/>
      <c r="BL235" s="192"/>
      <c r="BM235" s="192"/>
      <c r="BN235" s="192"/>
      <c r="BO235" s="192"/>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36"/>
      <c r="E236" s="88">
        <v>9</v>
      </c>
      <c r="F236" s="27"/>
      <c r="G236" s="213"/>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192"/>
      <c r="BK236" s="192"/>
      <c r="BL236" s="192"/>
      <c r="BM236" s="192"/>
      <c r="BN236" s="192"/>
      <c r="BO236" s="192"/>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36"/>
      <c r="E237" s="88">
        <v>10</v>
      </c>
      <c r="F237" s="27"/>
      <c r="G237" s="213"/>
      <c r="H237" s="152"/>
      <c r="I237" s="152"/>
      <c r="J237" s="152"/>
      <c r="K237" s="152"/>
      <c r="L237" s="152"/>
      <c r="M237" s="152"/>
      <c r="N237" s="152"/>
      <c r="O237" s="152"/>
      <c r="P237" s="151"/>
      <c r="Q237" s="70">
        <f>IF(A12taxstdlife="n/a","n/a",IF(Q$3&gt;(A12taxstdlife+$E237),(Input!$P$52-Input!$P$86)-SUM($P237:P237),(Input!$P$52-Input!$P$86)/A12taxstdlife))</f>
        <v>0</v>
      </c>
      <c r="R237" s="70"/>
      <c r="S237" s="105"/>
      <c r="T237" s="105"/>
      <c r="U237" s="105"/>
      <c r="V237" s="105"/>
      <c r="W237" s="105"/>
      <c r="X237" s="105"/>
      <c r="Y237" s="105"/>
      <c r="Z237" s="105"/>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192"/>
      <c r="BK237" s="192"/>
      <c r="BL237" s="192"/>
      <c r="BM237" s="192"/>
      <c r="BN237" s="192"/>
      <c r="BO237" s="192"/>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36"/>
      <c r="E238" s="89">
        <v>11</v>
      </c>
      <c r="F238" s="27"/>
      <c r="G238" s="213"/>
      <c r="H238" s="152"/>
      <c r="I238" s="152"/>
      <c r="J238" s="152"/>
      <c r="K238" s="152"/>
      <c r="L238" s="152"/>
      <c r="M238" s="152"/>
      <c r="N238" s="152"/>
      <c r="O238" s="152"/>
      <c r="P238" s="194"/>
      <c r="Q238" s="151"/>
      <c r="R238" s="70"/>
      <c r="S238" s="105"/>
      <c r="T238" s="105"/>
      <c r="U238" s="105"/>
      <c r="V238" s="105"/>
      <c r="W238" s="105"/>
      <c r="X238" s="105"/>
      <c r="Y238" s="105"/>
      <c r="Z238" s="105"/>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192"/>
      <c r="BK238" s="192"/>
      <c r="BL238" s="192"/>
      <c r="BM238" s="192"/>
      <c r="BN238" s="192"/>
      <c r="BO238" s="192"/>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Telecommunications (Corporate)</v>
      </c>
      <c r="D239" s="9"/>
      <c r="E239" s="9"/>
      <c r="F239" s="23"/>
      <c r="G239" s="214">
        <f t="shared" ref="G239:L239" si="46">-SUM(G226:G238)</f>
        <v>0</v>
      </c>
      <c r="H239" s="168">
        <f t="shared" si="46"/>
        <v>0</v>
      </c>
      <c r="I239" s="168">
        <f t="shared" si="46"/>
        <v>-3.6667131923701114E-2</v>
      </c>
      <c r="J239" s="168">
        <f t="shared" si="46"/>
        <v>-4.8937908982576203E-2</v>
      </c>
      <c r="K239" s="168">
        <f t="shared" si="46"/>
        <v>-5.4782587614428571E-2</v>
      </c>
      <c r="L239" s="168">
        <f t="shared" si="46"/>
        <v>-6.2475547612726369E-2</v>
      </c>
      <c r="M239" s="168">
        <f>IF(Input!M173&gt;0, -SUM(M226:M238), 0)</f>
        <v>0</v>
      </c>
      <c r="N239" s="168">
        <f>IF(Input!N173&gt;0, -SUM(N226:N238), 0)</f>
        <v>0</v>
      </c>
      <c r="O239" s="168">
        <f>IF(Input!O173&gt;0, -SUM(O226:O238), 0)</f>
        <v>0</v>
      </c>
      <c r="P239" s="168">
        <f>IF(Input!P173&gt;0, -SUM(P226:P238), 0)</f>
        <v>0</v>
      </c>
      <c r="Q239" s="168">
        <f>IF(Input!Q173&gt;0, -SUM(Q226:Q238), 0)</f>
        <v>0</v>
      </c>
      <c r="R239" s="66"/>
      <c r="S239" s="104"/>
      <c r="T239" s="104"/>
      <c r="U239" s="104"/>
      <c r="V239" s="104"/>
      <c r="W239" s="104"/>
      <c r="X239" s="104"/>
      <c r="Y239" s="104"/>
      <c r="Z239" s="104"/>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192"/>
      <c r="BK239" s="192"/>
      <c r="BL239" s="192"/>
      <c r="BM239" s="192"/>
      <c r="BN239" s="192"/>
      <c r="BO239" s="192"/>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Other Non-System Assets (Corporate)</v>
      </c>
      <c r="C240" s="33"/>
      <c r="D240" s="34" t="s">
        <v>69</v>
      </c>
      <c r="E240" s="33"/>
      <c r="F240" s="35"/>
      <c r="G240" s="210" t="str">
        <f>IF(G$3&gt;A13taxremlife,A13taxvalue-SUM($F240:F240),IF(A13taxremlife="N/A","n/a",A13taxvalue/A13taxremlife))</f>
        <v>n/a</v>
      </c>
      <c r="H240" s="69" t="str">
        <f>IF(H$3&gt;A13taxremlife,A13taxvalue-SUM($F240:G240),IF(A13taxremlife="N/A","n/a",A13taxvalue/A13taxremlife))</f>
        <v>n/a</v>
      </c>
      <c r="I240" s="69" t="str">
        <f>IF(I$3&gt;A13taxremlife,A13taxvalue-SUM($F240:H240),IF(A13taxremlife="N/A","n/a",A13taxvalue/A13taxremlife))</f>
        <v>n/a</v>
      </c>
      <c r="J240" s="69" t="str">
        <f>IF(J$3&gt;A13taxremlife,A13taxvalue-SUM($F240:I240),IF(A13taxremlife="N/A","n/a",A13taxvalue/A13taxremlife))</f>
        <v>n/a</v>
      </c>
      <c r="K240" s="69" t="str">
        <f>IF(K$3&gt;A13taxremlife,A13taxvalue-SUM($F240:J240),IF(A13taxremlife="N/A","n/a",A13taxvalue/A13taxremlife))</f>
        <v>n/a</v>
      </c>
      <c r="L240" s="69" t="str">
        <f>IF(L$3&gt;A13taxremlife,A13taxvalue-SUM($F240:K240),IF(A13taxremlife="N/A","n/a",A13taxvalue/A13taxremlife))</f>
        <v>n/a</v>
      </c>
      <c r="M240" s="69" t="str">
        <f>IF(M$3&gt;A13taxremlife,A13taxvalue-SUM($F240:L240),IF(A13taxremlife="N/A","n/a",A13taxvalue/A13taxremlife))</f>
        <v>n/a</v>
      </c>
      <c r="N240" s="69" t="str">
        <f>IF(N$3&gt;A13taxremlife,A13taxvalue-SUM($F240:M240),IF(A13taxremlife="N/A","n/a",A13taxvalue/A13taxremlife))</f>
        <v>n/a</v>
      </c>
      <c r="O240" s="69" t="str">
        <f>IF(O$3&gt;A13taxremlife,A13taxvalue-SUM($F240:N240),IF(A13taxremlife="N/A","n/a",A13taxvalue/A13taxremlife))</f>
        <v>n/a</v>
      </c>
      <c r="P240" s="69" t="str">
        <f>IF(P$3&gt;A13taxremlife,A13taxvalue-SUM($F240:O240),IF(A13taxremlife="N/A","n/a",A13taxvalue/A13taxremlife))</f>
        <v>n/a</v>
      </c>
      <c r="Q240" s="69" t="str">
        <f>IF(Q$3&gt;A13taxremlife,A13taxvalue-SUM($F240:P240),IF(A13taxremlife="N/A","n/a",A13taxvalue/A13taxremlife))</f>
        <v>n/a</v>
      </c>
      <c r="R240" s="69"/>
      <c r="S240" s="105"/>
      <c r="T240" s="105"/>
      <c r="U240" s="105"/>
      <c r="V240" s="105"/>
      <c r="W240" s="105"/>
      <c r="X240" s="105"/>
      <c r="Y240" s="105"/>
      <c r="Z240" s="105"/>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192"/>
      <c r="BK240" s="192"/>
      <c r="BL240" s="192"/>
      <c r="BM240" s="192"/>
      <c r="BN240" s="192"/>
      <c r="BO240" s="192"/>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35" t="s">
        <v>87</v>
      </c>
      <c r="E241" s="88">
        <v>0</v>
      </c>
      <c r="F241" s="27"/>
      <c r="G241" s="211"/>
      <c r="H241" s="70"/>
      <c r="I241" s="70"/>
      <c r="J241" s="70"/>
      <c r="K241" s="70"/>
      <c r="L241" s="70"/>
      <c r="M241" s="70"/>
      <c r="N241" s="70"/>
      <c r="O241" s="70"/>
      <c r="P241" s="70"/>
      <c r="Q241" s="70"/>
      <c r="R241" s="70"/>
      <c r="S241" s="105"/>
      <c r="T241" s="105"/>
      <c r="U241" s="105"/>
      <c r="V241" s="105"/>
      <c r="W241" s="105"/>
      <c r="X241" s="105"/>
      <c r="Y241" s="105"/>
      <c r="Z241" s="105"/>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192"/>
      <c r="BK241" s="192"/>
      <c r="BL241" s="192"/>
      <c r="BM241" s="192"/>
      <c r="BN241" s="192"/>
      <c r="BO241" s="192"/>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36"/>
      <c r="E242" s="88">
        <v>1</v>
      </c>
      <c r="F242" s="27"/>
      <c r="G242" s="212"/>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192"/>
      <c r="BK242" s="192"/>
      <c r="BL242" s="192"/>
      <c r="BM242" s="192"/>
      <c r="BN242" s="192"/>
      <c r="BO242" s="19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36"/>
      <c r="E243" s="88">
        <v>2</v>
      </c>
      <c r="F243" s="27"/>
      <c r="G243" s="213"/>
      <c r="H243" s="151"/>
      <c r="I243" s="70">
        <f>IF(A13taxstdlife="n/a","n/a",IF(I$3&gt;(A13taxstdlife+$E243),(Input!$H$53-Input!$H$87)-SUM($H243:H243),(Input!$H$53-Input!$H$87)/A13taxstdlife))</f>
        <v>0.5707064579051585</v>
      </c>
      <c r="J243" s="70">
        <f>IF(A13taxstdlife="n/a","n/a",IF(J$3&gt;(A13taxstdlife+$E243),(Input!$H$53-Input!$H$87)-SUM($H243:I243),(Input!$H$53-Input!$H$87)/A13taxstdlife))</f>
        <v>0.5707064579051585</v>
      </c>
      <c r="K243" s="70">
        <f>IF(A13taxstdlife="n/a","n/a",IF(K$3&gt;(A13taxstdlife+$E243),(Input!$H$53-Input!$H$87)-SUM($H243:J243),(Input!$H$53-Input!$H$87)/A13taxstdlife))</f>
        <v>0.5707064579051585</v>
      </c>
      <c r="L243" s="70">
        <f>IF(A13taxstdlife="n/a","n/a",IF(L$3&gt;(A13taxstdlife+$E243),(Input!$H$53-Input!$H$87)-SUM($H243:K243),(Input!$H$53-Input!$H$87)/A13taxstdlife))</f>
        <v>0.5707064579051585</v>
      </c>
      <c r="M243" s="70">
        <f>IF(A13taxstdlife="n/a","n/a",IF(M$3&gt;(A13taxstdlife+$E243),(Input!$H$53-Input!$H$87)-SUM($H243:L243),(Input!$H$53-Input!$H$87)/A13taxstdlife))</f>
        <v>0.5707064579051585</v>
      </c>
      <c r="N243" s="70">
        <f>IF(A13taxstdlife="n/a","n/a",IF(N$3&gt;(A13taxstdlife+$E243),(Input!$H$53-Input!$H$87)-SUM($H243:M243),(Input!$H$53-Input!$H$87)/A13taxstdlife))</f>
        <v>0.39949452053361068</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192"/>
      <c r="BK243" s="192"/>
      <c r="BL243" s="192"/>
      <c r="BM243" s="192"/>
      <c r="BN243" s="192"/>
      <c r="BO243" s="192"/>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36"/>
      <c r="E244" s="88">
        <v>3</v>
      </c>
      <c r="F244" s="27"/>
      <c r="G244" s="213"/>
      <c r="H244" s="152"/>
      <c r="I244" s="151"/>
      <c r="J244" s="70">
        <f>IF(A13taxstdlife="n/a","n/a",IF(J$3&gt;(A13taxstdlife+$E244),(Input!$I$53-Input!$I$87)-SUM($I244:I244),(Input!$I$53-Input!$I$87)/A13taxstdlife))</f>
        <v>0.68303658407187173</v>
      </c>
      <c r="K244" s="70">
        <f>IF(A13taxstdlife="n/a","n/a",IF(K$3&gt;(A13taxstdlife+$E244),(Input!$I$53-Input!$I$87)-SUM($I244:J244),(Input!$I$53-Input!$I$87)/A13taxstdlife))</f>
        <v>0.68303658407187173</v>
      </c>
      <c r="L244" s="70">
        <f>IF(A13taxstdlife="n/a","n/a",IF(L$3&gt;(A13taxstdlife+$E244),(Input!$I$53-Input!$I$87)-SUM($I244:K244),(Input!$I$53-Input!$I$87)/A13taxstdlife))</f>
        <v>0.68303658407187173</v>
      </c>
      <c r="M244" s="70">
        <f>IF(A13taxstdlife="n/a","n/a",IF(M$3&gt;(A13taxstdlife+$E244),(Input!$I$53-Input!$I$87)-SUM($I244:L244),(Input!$I$53-Input!$I$87)/A13taxstdlife))</f>
        <v>0.68303658407187173</v>
      </c>
      <c r="N244" s="70">
        <f>IF(A13taxstdlife="n/a","n/a",IF(N$3&gt;(A13taxstdlife+$E244),(Input!$I$53-Input!$I$87)-SUM($I244:M244),(Input!$I$53-Input!$I$87)/A13taxstdlife))</f>
        <v>0.68303658407187173</v>
      </c>
      <c r="O244" s="70">
        <f>IF(A13taxstdlife="n/a","n/a",IF(O$3&gt;(A13taxstdlife+$E244),(Input!$I$53-Input!$I$87)-SUM($I244:N244),(Input!$I$53-Input!$I$87)/A13taxstdlife))</f>
        <v>0.47812560885031008</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192"/>
      <c r="BK244" s="192"/>
      <c r="BL244" s="192"/>
      <c r="BM244" s="192"/>
      <c r="BN244" s="192"/>
      <c r="BO244" s="192"/>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36"/>
      <c r="E245" s="88">
        <v>4</v>
      </c>
      <c r="F245" s="27"/>
      <c r="G245" s="213"/>
      <c r="H245" s="152"/>
      <c r="I245" s="152"/>
      <c r="J245" s="151"/>
      <c r="K245" s="70">
        <f>IF(A13taxstdlife="n/a","n/a",IF(K$3&gt;(A13taxstdlife+$E245),(Input!$J$53-Input!$J$87)-SUM($J245:J245),(Input!$J$53-Input!$J$87)/A13taxstdlife))</f>
        <v>0.10343939549573065</v>
      </c>
      <c r="L245" s="70">
        <f>IF(A13taxstdlife="n/a","n/a",IF(L$3&gt;(A13taxstdlife+$E245),(Input!$J$53-Input!$J$87)-SUM($J245:K245),(Input!$J$53-Input!$J$87)/A13taxstdlife))</f>
        <v>0.10343939549573065</v>
      </c>
      <c r="M245" s="70">
        <f>IF(A13taxstdlife="n/a","n/a",IF(M$3&gt;(A13taxstdlife+$E245),(Input!$J$53-Input!$J$87)-SUM($J245:L245),(Input!$J$53-Input!$J$87)/A13taxstdlife))</f>
        <v>0.10343939549573065</v>
      </c>
      <c r="N245" s="70">
        <f>IF(A13taxstdlife="n/a","n/a",IF(N$3&gt;(A13taxstdlife+$E245),(Input!$J$53-Input!$J$87)-SUM($J245:M245),(Input!$J$53-Input!$J$87)/A13taxstdlife))</f>
        <v>0.10343939549573065</v>
      </c>
      <c r="O245" s="70">
        <f>IF(A13taxstdlife="n/a","n/a",IF(O$3&gt;(A13taxstdlife+$E245),(Input!$J$53-Input!$J$87)-SUM($J245:N245),(Input!$J$53-Input!$J$87)/A13taxstdlife))</f>
        <v>0.10343939549573065</v>
      </c>
      <c r="P245" s="70">
        <f>IF(A13taxstdlife="n/a","n/a",IF(P$3&gt;(A13taxstdlife+$E245),(Input!$J$53-Input!$J$87)-SUM($J245:O245),(Input!$J$53-Input!$J$87)/A13taxstdlife))</f>
        <v>7.240757684701149E-2</v>
      </c>
      <c r="Q245" s="70">
        <f>IF(A13taxstdlife="n/a","n/a",IF(Q$3&gt;(A13taxstdlife+$E245),(Input!$J$53-Input!$J$87)-SUM($J245:P245),(Input!$J$53-Input!$J$87)/A13taxstdlife))</f>
        <v>0</v>
      </c>
      <c r="R245" s="70"/>
      <c r="S245" s="105"/>
      <c r="T245" s="105"/>
      <c r="U245" s="105"/>
      <c r="V245" s="105"/>
      <c r="W245" s="105"/>
      <c r="X245" s="105"/>
      <c r="Y245" s="105"/>
      <c r="Z245" s="105"/>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192"/>
      <c r="BK245" s="192"/>
      <c r="BL245" s="192"/>
      <c r="BM245" s="192"/>
      <c r="BN245" s="192"/>
      <c r="BO245" s="192"/>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36"/>
      <c r="E246" s="88">
        <v>5</v>
      </c>
      <c r="F246" s="27"/>
      <c r="G246" s="213"/>
      <c r="H246" s="152"/>
      <c r="I246" s="152"/>
      <c r="J246" s="152"/>
      <c r="K246" s="151"/>
      <c r="L246" s="70">
        <f>IF(A13taxstdlife="n/a","n/a",IF(L$3&gt;(A13taxstdlife+$E246),(Input!$K$53-Input!$K$87)-SUM($K246:K246),(Input!$K$53-Input!$K$87)/A13taxstdlife))</f>
        <v>0.11568931531443918</v>
      </c>
      <c r="M246" s="70">
        <f>IF(A13taxstdlife="n/a","n/a",IF(M$3&gt;(A13taxstdlife+$E246),(Input!$K$53-Input!$K$87)-SUM($K246:L246),(Input!$K$53-Input!$K$87)/A13taxstdlife))</f>
        <v>0.11568931531443918</v>
      </c>
      <c r="N246" s="70">
        <f>IF(A13taxstdlife="n/a","n/a",IF(N$3&gt;(A13taxstdlife+$E246),(Input!$K$53-Input!$K$87)-SUM($K246:M246),(Input!$K$53-Input!$K$87)/A13taxstdlife))</f>
        <v>0.11568931531443918</v>
      </c>
      <c r="O246" s="70">
        <f>IF(A13taxstdlife="n/a","n/a",IF(O$3&gt;(A13taxstdlife+$E246),(Input!$K$53-Input!$K$87)-SUM($K246:N246),(Input!$K$53-Input!$K$87)/A13taxstdlife))</f>
        <v>0.11568931531443918</v>
      </c>
      <c r="P246" s="70">
        <f>IF(A13taxstdlife="n/a","n/a",IF(P$3&gt;(A13taxstdlife+$E246),(Input!$K$53-Input!$K$87)-SUM($K246:O246),(Input!$K$53-Input!$K$87)/A13taxstdlife))</f>
        <v>0.11568931531443918</v>
      </c>
      <c r="Q246" s="70">
        <f>IF(A13taxstdlife="n/a","n/a",IF(Q$3&gt;(A13taxstdlife+$E246),(Input!$K$53-Input!$K$87)-SUM($K246:P246),(Input!$K$53-Input!$K$87)/A13taxstdlife))</f>
        <v>8.0982520720107476E-2</v>
      </c>
      <c r="R246" s="70"/>
      <c r="S246" s="105"/>
      <c r="T246" s="105"/>
      <c r="U246" s="105"/>
      <c r="V246" s="105"/>
      <c r="W246" s="105"/>
      <c r="X246" s="105"/>
      <c r="Y246" s="105"/>
      <c r="Z246" s="105"/>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192"/>
      <c r="BK246" s="192"/>
      <c r="BL246" s="192"/>
      <c r="BM246" s="192"/>
      <c r="BN246" s="192"/>
      <c r="BO246" s="192"/>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36"/>
      <c r="E247" s="88">
        <v>6</v>
      </c>
      <c r="F247" s="27"/>
      <c r="G247" s="213"/>
      <c r="H247" s="152"/>
      <c r="I247" s="152"/>
      <c r="J247" s="152"/>
      <c r="K247" s="152"/>
      <c r="L247" s="151"/>
      <c r="M247" s="70">
        <f>IF(A13taxstdlife="n/a","n/a",IF(M$3&gt;(A13taxstdlife+$E247),(Input!$L$53-Input!$L$87)-SUM($L247:L247),(Input!$L$53-Input!$L$87)/A13taxstdlife))</f>
        <v>0.20195693170418563</v>
      </c>
      <c r="N247" s="70">
        <f>IF(A13taxstdlife="n/a","n/a",IF(N$3&gt;(A13taxstdlife+$E247),(Input!$L$53-Input!$L$87)-SUM($L247:M247),(Input!$L$53-Input!$L$87)/A13taxstdlife))</f>
        <v>0.20195693170418563</v>
      </c>
      <c r="O247" s="70">
        <f>IF(A13taxstdlife="n/a","n/a",IF(O$3&gt;(A13taxstdlife+$E247),(Input!$L$53-Input!$L$87)-SUM($L247:N247),(Input!$L$53-Input!$L$87)/A13taxstdlife))</f>
        <v>0.20195693170418563</v>
      </c>
      <c r="P247" s="70">
        <f>IF(A13taxstdlife="n/a","n/a",IF(P$3&gt;(A13taxstdlife+$E247),(Input!$L$53-Input!$L$87)-SUM($L247:O247),(Input!$L$53-Input!$L$87)/A13taxstdlife))</f>
        <v>0.20195693170418563</v>
      </c>
      <c r="Q247" s="70">
        <f>IF(A13taxstdlife="n/a","n/a",IF(Q$3&gt;(A13taxstdlife+$E247),(Input!$L$53-Input!$L$87)-SUM($L247:P247),(Input!$L$53-Input!$L$87)/A13taxstdlife))</f>
        <v>0.20195693170418563</v>
      </c>
      <c r="R247" s="70"/>
      <c r="S247" s="105"/>
      <c r="T247" s="105"/>
      <c r="U247" s="105"/>
      <c r="V247" s="105"/>
      <c r="W247" s="105"/>
      <c r="X247" s="105"/>
      <c r="Y247" s="105"/>
      <c r="Z247" s="105"/>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192"/>
      <c r="BK247" s="192"/>
      <c r="BL247" s="192"/>
      <c r="BM247" s="192"/>
      <c r="BN247" s="192"/>
      <c r="BO247" s="192"/>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36"/>
      <c r="E248" s="88">
        <v>7</v>
      </c>
      <c r="F248" s="27"/>
      <c r="G248" s="213"/>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192"/>
      <c r="BK248" s="192"/>
      <c r="BL248" s="192"/>
      <c r="BM248" s="192"/>
      <c r="BN248" s="192"/>
      <c r="BO248" s="192"/>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36"/>
      <c r="E249" s="88">
        <v>8</v>
      </c>
      <c r="F249" s="27"/>
      <c r="G249" s="213"/>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192"/>
      <c r="BK249" s="192"/>
      <c r="BL249" s="192"/>
      <c r="BM249" s="192"/>
      <c r="BN249" s="192"/>
      <c r="BO249" s="192"/>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36"/>
      <c r="E250" s="88">
        <v>9</v>
      </c>
      <c r="F250" s="27"/>
      <c r="G250" s="213"/>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192"/>
      <c r="BK250" s="192"/>
      <c r="BL250" s="192"/>
      <c r="BM250" s="192"/>
      <c r="BN250" s="192"/>
      <c r="BO250" s="192"/>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36"/>
      <c r="E251" s="88">
        <v>10</v>
      </c>
      <c r="F251" s="27"/>
      <c r="G251" s="213"/>
      <c r="H251" s="152"/>
      <c r="I251" s="152"/>
      <c r="J251" s="152"/>
      <c r="K251" s="152"/>
      <c r="L251" s="152"/>
      <c r="M251" s="152"/>
      <c r="N251" s="152"/>
      <c r="O251" s="152"/>
      <c r="P251" s="151"/>
      <c r="Q251" s="70">
        <f>IF(A13taxstdlife="n/a","n/a",IF(Q$3&gt;(A13taxstdlife+$E251),(Input!$P$53-Input!$P$87)-SUM($P251:P251),(Input!$P$53-Input!$P$87)/A13taxstdlife))</f>
        <v>0</v>
      </c>
      <c r="R251" s="70"/>
      <c r="S251" s="105"/>
      <c r="T251" s="105"/>
      <c r="U251" s="105"/>
      <c r="V251" s="105"/>
      <c r="W251" s="105"/>
      <c r="X251" s="105"/>
      <c r="Y251" s="105"/>
      <c r="Z251" s="105"/>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192"/>
      <c r="BK251" s="192"/>
      <c r="BL251" s="192"/>
      <c r="BM251" s="192"/>
      <c r="BN251" s="192"/>
      <c r="BO251" s="192"/>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36"/>
      <c r="E252" s="89">
        <v>11</v>
      </c>
      <c r="F252" s="27"/>
      <c r="G252" s="213"/>
      <c r="H252" s="152"/>
      <c r="I252" s="152"/>
      <c r="J252" s="152"/>
      <c r="K252" s="152"/>
      <c r="L252" s="152"/>
      <c r="M252" s="152"/>
      <c r="N252" s="152"/>
      <c r="O252" s="152"/>
      <c r="P252" s="194"/>
      <c r="Q252" s="151"/>
      <c r="R252" s="70"/>
      <c r="S252" s="105"/>
      <c r="T252" s="105"/>
      <c r="U252" s="105"/>
      <c r="V252" s="105"/>
      <c r="W252" s="105"/>
      <c r="X252" s="105"/>
      <c r="Y252" s="105"/>
      <c r="Z252" s="105"/>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192"/>
      <c r="BK252" s="192"/>
      <c r="BL252" s="192"/>
      <c r="BM252" s="192"/>
      <c r="BN252" s="192"/>
      <c r="BO252" s="19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t="str">
        <f>Asset13</f>
        <v>Other Non-System Assets (Corporate)</v>
      </c>
      <c r="D253" s="9"/>
      <c r="E253" s="9"/>
      <c r="F253" s="23"/>
      <c r="G253" s="214">
        <f t="shared" ref="G253:L253" si="47">-SUM(G240:G252)</f>
        <v>0</v>
      </c>
      <c r="H253" s="168">
        <f t="shared" si="47"/>
        <v>0</v>
      </c>
      <c r="I253" s="168">
        <f t="shared" si="47"/>
        <v>-0.5707064579051585</v>
      </c>
      <c r="J253" s="168">
        <f t="shared" si="47"/>
        <v>-1.2537430419770303</v>
      </c>
      <c r="K253" s="168">
        <f t="shared" si="47"/>
        <v>-1.357182437472761</v>
      </c>
      <c r="L253" s="168">
        <f t="shared" si="47"/>
        <v>-1.4728717527872002</v>
      </c>
      <c r="M253" s="168">
        <f>IF(Input!M173&gt;0, -SUM(M240:M252), 0)</f>
        <v>0</v>
      </c>
      <c r="N253" s="168">
        <f>IF(Input!N173&gt;0, -SUM(N240:N252), 0)</f>
        <v>0</v>
      </c>
      <c r="O253" s="168">
        <f>IF(Input!O173&gt;0, -SUM(O240:O252), 0)</f>
        <v>0</v>
      </c>
      <c r="P253" s="168">
        <f>IF(Input!P173&gt;0, -SUM(P240:P252), 0)</f>
        <v>0</v>
      </c>
      <c r="Q253" s="168">
        <f>IF(Input!Q173&gt;0, -SUM(Q240:Q252), 0)</f>
        <v>0</v>
      </c>
      <c r="R253" s="66"/>
      <c r="S253" s="104"/>
      <c r="T253" s="104"/>
      <c r="U253" s="104"/>
      <c r="V253" s="104"/>
      <c r="W253" s="104"/>
      <c r="X253" s="104"/>
      <c r="Y253" s="104"/>
      <c r="Z253" s="104"/>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192"/>
      <c r="BK253" s="192"/>
      <c r="BL253" s="192"/>
      <c r="BM253" s="192"/>
      <c r="BN253" s="192"/>
      <c r="BO253" s="192"/>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Land</v>
      </c>
      <c r="C254" s="33"/>
      <c r="D254" s="34" t="s">
        <v>69</v>
      </c>
      <c r="E254" s="33"/>
      <c r="F254" s="35"/>
      <c r="G254" s="210" t="str">
        <f>IF(G$3&gt;A14taxremlife,A14taxvalue-SUM($F254:F254),IF(A14taxremlife="N/A","n/a",A14taxvalue/A14taxremlife))</f>
        <v>n/a</v>
      </c>
      <c r="H254" s="69" t="str">
        <f>IF(H$3&gt;A14taxremlife,A14taxvalue-SUM($F254:G254),IF(A14taxremlife="N/A","n/a",A14taxvalue/A14taxremlife))</f>
        <v>n/a</v>
      </c>
      <c r="I254" s="69" t="str">
        <f>IF(I$3&gt;A14taxremlife,A14taxvalue-SUM($F254:H254),IF(A14taxremlife="N/A","n/a",A14taxvalue/A14taxremlife))</f>
        <v>n/a</v>
      </c>
      <c r="J254" s="69" t="str">
        <f>IF(J$3&gt;A14taxremlife,A14taxvalue-SUM($F254:I254),IF(A14taxremlife="N/A","n/a",A14taxvalue/A14taxremlife))</f>
        <v>n/a</v>
      </c>
      <c r="K254" s="69" t="str">
        <f>IF(K$3&gt;A14taxremlife,A14taxvalue-SUM($F254:J254),IF(A14taxremlife="N/A","n/a",A14taxvalue/A14taxremlife))</f>
        <v>n/a</v>
      </c>
      <c r="L254" s="69" t="str">
        <f>IF(L$3&gt;A14taxremlife,A14taxvalue-SUM($F254:K254),IF(A14taxremlife="N/A","n/a",A14taxvalue/A14taxremlife))</f>
        <v>n/a</v>
      </c>
      <c r="M254" s="69" t="str">
        <f>IF(M$3&gt;A14taxremlife,A14taxvalue-SUM($F254:L254),IF(A14taxremlife="N/A","n/a",A14taxvalue/A14taxremlife))</f>
        <v>n/a</v>
      </c>
      <c r="N254" s="69" t="str">
        <f>IF(N$3&gt;A14taxremlife,A14taxvalue-SUM($F254:M254),IF(A14taxremlife="N/A","n/a",A14taxvalue/A14taxremlife))</f>
        <v>n/a</v>
      </c>
      <c r="O254" s="69" t="str">
        <f>IF(O$3&gt;A14taxremlife,A14taxvalue-SUM($F254:N254),IF(A14taxremlife="N/A","n/a",A14taxvalue/A14taxremlife))</f>
        <v>n/a</v>
      </c>
      <c r="P254" s="69" t="str">
        <f>IF(P$3&gt;A14taxremlife,A14taxvalue-SUM($F254:O254),IF(A14taxremlife="N/A","n/a",A14taxvalue/A14taxremlife))</f>
        <v>n/a</v>
      </c>
      <c r="Q254" s="69" t="str">
        <f>IF(Q$3&gt;A14taxremlife,A14taxvalue-SUM($F254:P254),IF(A14taxremlife="N/A","n/a",A14taxvalue/A14taxremlife))</f>
        <v>n/a</v>
      </c>
      <c r="R254" s="69"/>
      <c r="S254" s="105"/>
      <c r="T254" s="105"/>
      <c r="U254" s="105"/>
      <c r="V254" s="105"/>
      <c r="W254" s="105"/>
      <c r="X254" s="105"/>
      <c r="Y254" s="105"/>
      <c r="Z254" s="105"/>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192"/>
      <c r="BK254" s="192"/>
      <c r="BL254" s="192"/>
      <c r="BM254" s="192"/>
      <c r="BN254" s="192"/>
      <c r="BO254" s="192"/>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35" t="s">
        <v>87</v>
      </c>
      <c r="E255" s="88">
        <v>0</v>
      </c>
      <c r="F255" s="27"/>
      <c r="G255" s="211"/>
      <c r="H255" s="70"/>
      <c r="I255" s="70"/>
      <c r="J255" s="70"/>
      <c r="K255" s="70"/>
      <c r="L255" s="70"/>
      <c r="M255" s="70"/>
      <c r="N255" s="70"/>
      <c r="O255" s="70"/>
      <c r="P255" s="70"/>
      <c r="Q255" s="70"/>
      <c r="R255" s="70"/>
      <c r="S255" s="105"/>
      <c r="T255" s="105"/>
      <c r="U255" s="105"/>
      <c r="V255" s="105"/>
      <c r="W255" s="105"/>
      <c r="X255" s="105"/>
      <c r="Y255" s="105"/>
      <c r="Z255" s="105"/>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192"/>
      <c r="BK255" s="192"/>
      <c r="BL255" s="192"/>
      <c r="BM255" s="192"/>
      <c r="BN255" s="192"/>
      <c r="BO255" s="192"/>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36"/>
      <c r="E256" s="88">
        <v>1</v>
      </c>
      <c r="F256" s="27"/>
      <c r="G256" s="212"/>
      <c r="H256" s="70" t="str">
        <f>IF(A14taxstdlife="n/a","n/a",IF(H$3&gt;(A14taxstdlife+$E256),(Input!$G$54-Input!$G$88)-SUM($G256:G256),(Input!$G$54-Input!$G$88)/A14taxstdlife))</f>
        <v>n/a</v>
      </c>
      <c r="I256" s="70" t="str">
        <f>IF(A14taxstdlife="n/a","n/a",IF(I$3&gt;(A14taxstdlife+$E256),(Input!$G$54-Input!$G$88)-SUM($G256:H256),(Input!$G$54-Input!$G$88)/A14taxstdlife))</f>
        <v>n/a</v>
      </c>
      <c r="J256" s="70" t="str">
        <f>IF(A14taxstdlife="n/a","n/a",IF(J$3&gt;(A14taxstdlife+$E256),(Input!$G$54-Input!$G$88)-SUM($G256:I256),(Input!$G$54-Input!$G$88)/A14taxstdlife))</f>
        <v>n/a</v>
      </c>
      <c r="K256" s="70" t="str">
        <f>IF(A14taxstdlife="n/a","n/a",IF(K$3&gt;(A14taxstdlife+$E256),(Input!$G$54-Input!$G$88)-SUM($G256:J256),(Input!$G$54-Input!$G$88)/A14taxstdlife))</f>
        <v>n/a</v>
      </c>
      <c r="L256" s="70" t="str">
        <f>IF(A14taxstdlife="n/a","n/a",IF(L$3&gt;(A14taxstdlife+$E256),(Input!$G$54-Input!$G$88)-SUM($G256:K256),(Input!$G$54-Input!$G$88)/A14taxstdlife))</f>
        <v>n/a</v>
      </c>
      <c r="M256" s="70" t="str">
        <f>IF(A14taxstdlife="n/a","n/a",IF(M$3&gt;(A14taxstdlife+$E256),(Input!$G$54-Input!$G$88)-SUM($G256:L256),(Input!$G$54-Input!$G$88)/A14taxstdlife))</f>
        <v>n/a</v>
      </c>
      <c r="N256" s="70" t="str">
        <f>IF(A14taxstdlife="n/a","n/a",IF(N$3&gt;(A14taxstdlife+$E256),(Input!$G$54-Input!$G$88)-SUM($G256:M256),(Input!$G$54-Input!$G$88)/A14taxstdlife))</f>
        <v>n/a</v>
      </c>
      <c r="O256" s="70" t="str">
        <f>IF(A14taxstdlife="n/a","n/a",IF(O$3&gt;(A14taxstdlife+$E256),(Input!$G$54-Input!$G$88)-SUM($G256:N256),(Input!$G$54-Input!$G$88)/A14taxstdlife))</f>
        <v>n/a</v>
      </c>
      <c r="P256" s="70" t="str">
        <f>IF(A14taxstdlife="n/a","n/a",IF(P$3&gt;(A14taxstdlife+$E256),(Input!$G$54-Input!$G$88)-SUM($G256:O256),(Input!$G$54-Input!$G$88)/A14taxstdlife))</f>
        <v>n/a</v>
      </c>
      <c r="Q256" s="70" t="str">
        <f>IF(A14taxstdlife="n/a","n/a",IF(Q$3&gt;(A14taxstdlife+$E256),(Input!$G$54-Input!$G$88)-SUM($G256:P256),(Input!$G$54-Input!$G$88)/A14taxstdlife))</f>
        <v>n/a</v>
      </c>
      <c r="R256" s="70"/>
      <c r="S256" s="105"/>
      <c r="T256" s="105"/>
      <c r="U256" s="105"/>
      <c r="V256" s="105"/>
      <c r="W256" s="105"/>
      <c r="X256" s="105"/>
      <c r="Y256" s="105"/>
      <c r="Z256" s="105"/>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192"/>
      <c r="BK256" s="192"/>
      <c r="BL256" s="192"/>
      <c r="BM256" s="192"/>
      <c r="BN256" s="192"/>
      <c r="BO256" s="192"/>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36"/>
      <c r="E257" s="88">
        <v>2</v>
      </c>
      <c r="F257" s="27"/>
      <c r="G257" s="213"/>
      <c r="H257" s="151"/>
      <c r="I257" s="70" t="str">
        <f>IF(A14taxstdlife="n/a","n/a",IF(I$3&gt;(A14taxstdlife+$E257),(Input!$H$54-Input!$H$88)-SUM($H257:H257),(Input!$H$54-Input!$H$88)/A14taxstdlife))</f>
        <v>n/a</v>
      </c>
      <c r="J257" s="70" t="str">
        <f>IF(A14taxstdlife="n/a","n/a",IF(J$3&gt;(A14taxstdlife+$E257),(Input!$H$54-Input!$H$88)-SUM($H257:I257),(Input!$H$54-Input!$H$88)/A14taxstdlife))</f>
        <v>n/a</v>
      </c>
      <c r="K257" s="70" t="str">
        <f>IF(A14taxstdlife="n/a","n/a",IF(K$3&gt;(A14taxstdlife+$E257),(Input!$H$54-Input!$H$88)-SUM($H257:J257),(Input!$H$54-Input!$H$88)/A14taxstdlife))</f>
        <v>n/a</v>
      </c>
      <c r="L257" s="70" t="str">
        <f>IF(A14taxstdlife="n/a","n/a",IF(L$3&gt;(A14taxstdlife+$E257),(Input!$H$54-Input!$H$88)-SUM($H257:K257),(Input!$H$54-Input!$H$88)/A14taxstdlife))</f>
        <v>n/a</v>
      </c>
      <c r="M257" s="70" t="str">
        <f>IF(A14taxstdlife="n/a","n/a",IF(M$3&gt;(A14taxstdlife+$E257),(Input!$H$54-Input!$H$88)-SUM($H257:L257),(Input!$H$54-Input!$H$88)/A14taxstdlife))</f>
        <v>n/a</v>
      </c>
      <c r="N257" s="70" t="str">
        <f>IF(A14taxstdlife="n/a","n/a",IF(N$3&gt;(A14taxstdlife+$E257),(Input!$H$54-Input!$H$88)-SUM($H257:M257),(Input!$H$54-Input!$H$88)/A14taxstdlife))</f>
        <v>n/a</v>
      </c>
      <c r="O257" s="70" t="str">
        <f>IF(A14taxstdlife="n/a","n/a",IF(O$3&gt;(A14taxstdlife+$E257),(Input!$H$54-Input!$H$88)-SUM($H257:N257),(Input!$H$54-Input!$H$88)/A14taxstdlife))</f>
        <v>n/a</v>
      </c>
      <c r="P257" s="70" t="str">
        <f>IF(A14taxstdlife="n/a","n/a",IF(P$3&gt;(A14taxstdlife+$E257),(Input!$H$54-Input!$H$88)-SUM($H257:O257),(Input!$H$54-Input!$H$88)/A14taxstdlife))</f>
        <v>n/a</v>
      </c>
      <c r="Q257" s="70" t="str">
        <f>IF(A14taxstdlife="n/a","n/a",IF(Q$3&gt;(A14taxstdlife+$E257),(Input!$H$54-Input!$H$88)-SUM($H257:P257),(Input!$H$54-Input!$H$88)/A14taxstdlife))</f>
        <v>n/a</v>
      </c>
      <c r="R257" s="70"/>
      <c r="S257" s="105"/>
      <c r="T257" s="105"/>
      <c r="U257" s="105"/>
      <c r="V257" s="105"/>
      <c r="W257" s="105"/>
      <c r="X257" s="105"/>
      <c r="Y257" s="105"/>
      <c r="Z257" s="105"/>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192"/>
      <c r="BK257" s="192"/>
      <c r="BL257" s="192"/>
      <c r="BM257" s="192"/>
      <c r="BN257" s="192"/>
      <c r="BO257" s="192"/>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36"/>
      <c r="E258" s="88">
        <v>3</v>
      </c>
      <c r="F258" s="27"/>
      <c r="G258" s="213"/>
      <c r="H258" s="152"/>
      <c r="I258" s="151"/>
      <c r="J258" s="70" t="str">
        <f>IF(A14taxstdlife="n/a","n/a",IF(J$3&gt;(A14taxstdlife+$E258),(Input!$I$54-Input!$I$88)-SUM($I258:I258),(Input!$I$54-Input!$I$88)/A14taxstdlife))</f>
        <v>n/a</v>
      </c>
      <c r="K258" s="70" t="str">
        <f>IF(A14taxstdlife="n/a","n/a",IF(K$3&gt;(A14taxstdlife+$E258),(Input!$I$54-Input!$I$88)-SUM($I258:J258),(Input!$I$54-Input!$I$88)/A14taxstdlife))</f>
        <v>n/a</v>
      </c>
      <c r="L258" s="70" t="str">
        <f>IF(A14taxstdlife="n/a","n/a",IF(L$3&gt;(A14taxstdlife+$E258),(Input!$I$54-Input!$I$88)-SUM($I258:K258),(Input!$I$54-Input!$I$88)/A14taxstdlife))</f>
        <v>n/a</v>
      </c>
      <c r="M258" s="70" t="str">
        <f>IF(A14taxstdlife="n/a","n/a",IF(M$3&gt;(A14taxstdlife+$E258),(Input!$I$54-Input!$I$88)-SUM($I258:L258),(Input!$I$54-Input!$I$88)/A14taxstdlife))</f>
        <v>n/a</v>
      </c>
      <c r="N258" s="70" t="str">
        <f>IF(A14taxstdlife="n/a","n/a",IF(N$3&gt;(A14taxstdlife+$E258),(Input!$I$54-Input!$I$88)-SUM($I258:M258),(Input!$I$54-Input!$I$88)/A14taxstdlife))</f>
        <v>n/a</v>
      </c>
      <c r="O258" s="70" t="str">
        <f>IF(A14taxstdlife="n/a","n/a",IF(O$3&gt;(A14taxstdlife+$E258),(Input!$I$54-Input!$I$88)-SUM($I258:N258),(Input!$I$54-Input!$I$88)/A14taxstdlife))</f>
        <v>n/a</v>
      </c>
      <c r="P258" s="70" t="str">
        <f>IF(A14taxstdlife="n/a","n/a",IF(P$3&gt;(A14taxstdlife+$E258),(Input!$I$54-Input!$I$88)-SUM($I258:O258),(Input!$I$54-Input!$I$88)/A14taxstdlife))</f>
        <v>n/a</v>
      </c>
      <c r="Q258" s="70" t="str">
        <f>IF(A14taxstdlife="n/a","n/a",IF(Q$3&gt;(A14taxstdlife+$E258),(Input!$I$54-Input!$I$88)-SUM($I258:P258),(Input!$I$54-Input!$I$88)/A14taxstdlife))</f>
        <v>n/a</v>
      </c>
      <c r="R258" s="70"/>
      <c r="S258" s="105"/>
      <c r="T258" s="105"/>
      <c r="U258" s="105"/>
      <c r="V258" s="105"/>
      <c r="W258" s="105"/>
      <c r="X258" s="105"/>
      <c r="Y258" s="105"/>
      <c r="Z258" s="105"/>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192"/>
      <c r="BK258" s="192"/>
      <c r="BL258" s="192"/>
      <c r="BM258" s="192"/>
      <c r="BN258" s="192"/>
      <c r="BO258" s="192"/>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36"/>
      <c r="E259" s="88">
        <v>4</v>
      </c>
      <c r="F259" s="27"/>
      <c r="G259" s="213"/>
      <c r="H259" s="152"/>
      <c r="I259" s="152"/>
      <c r="J259" s="151"/>
      <c r="K259" s="70" t="str">
        <f>IF(A14taxstdlife="n/a","n/a",IF(K$3&gt;(A14taxstdlife+$E259),(Input!$J$54-Input!$J$88)-SUM($J259:J259),(Input!$J$54-Input!$J$88)/A14taxstdlife))</f>
        <v>n/a</v>
      </c>
      <c r="L259" s="70" t="str">
        <f>IF(A14taxstdlife="n/a","n/a",IF(L$3&gt;(A14taxstdlife+$E259),(Input!$J$54-Input!$J$88)-SUM($J259:K259),(Input!$J$54-Input!$J$88)/A14taxstdlife))</f>
        <v>n/a</v>
      </c>
      <c r="M259" s="70" t="str">
        <f>IF(A14taxstdlife="n/a","n/a",IF(M$3&gt;(A14taxstdlife+$E259),(Input!$J$54-Input!$J$88)-SUM($J259:L259),(Input!$J$54-Input!$J$88)/A14taxstdlife))</f>
        <v>n/a</v>
      </c>
      <c r="N259" s="70" t="str">
        <f>IF(A14taxstdlife="n/a","n/a",IF(N$3&gt;(A14taxstdlife+$E259),(Input!$J$54-Input!$J$88)-SUM($J259:M259),(Input!$J$54-Input!$J$88)/A14taxstdlife))</f>
        <v>n/a</v>
      </c>
      <c r="O259" s="70" t="str">
        <f>IF(A14taxstdlife="n/a","n/a",IF(O$3&gt;(A14taxstdlife+$E259),(Input!$J$54-Input!$J$88)-SUM($J259:N259),(Input!$J$54-Input!$J$88)/A14taxstdlife))</f>
        <v>n/a</v>
      </c>
      <c r="P259" s="70" t="str">
        <f>IF(A14taxstdlife="n/a","n/a",IF(P$3&gt;(A14taxstdlife+$E259),(Input!$J$54-Input!$J$88)-SUM($J259:O259),(Input!$J$54-Input!$J$88)/A14taxstdlife))</f>
        <v>n/a</v>
      </c>
      <c r="Q259" s="70" t="str">
        <f>IF(A14taxstdlife="n/a","n/a",IF(Q$3&gt;(A14taxstdlife+$E259),(Input!$J$54-Input!$J$88)-SUM($J259:P259),(Input!$J$54-Input!$J$88)/A14taxstdlife))</f>
        <v>n/a</v>
      </c>
      <c r="R259" s="70"/>
      <c r="S259" s="105"/>
      <c r="T259" s="105"/>
      <c r="U259" s="105"/>
      <c r="V259" s="105"/>
      <c r="W259" s="105"/>
      <c r="X259" s="105"/>
      <c r="Y259" s="105"/>
      <c r="Z259" s="105"/>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192"/>
      <c r="BK259" s="192"/>
      <c r="BL259" s="192"/>
      <c r="BM259" s="192"/>
      <c r="BN259" s="192"/>
      <c r="BO259" s="192"/>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36"/>
      <c r="E260" s="88">
        <v>5</v>
      </c>
      <c r="F260" s="27"/>
      <c r="G260" s="213"/>
      <c r="H260" s="152"/>
      <c r="I260" s="152"/>
      <c r="J260" s="152"/>
      <c r="K260" s="151"/>
      <c r="L260" s="70" t="str">
        <f>IF(A14taxstdlife="n/a","n/a",IF(L$3&gt;(A14taxstdlife+$E260),(Input!$K$54-Input!$K$88)-SUM($K260:K260),(Input!$K$54-Input!$K$88)/A14taxstdlife))</f>
        <v>n/a</v>
      </c>
      <c r="M260" s="70" t="str">
        <f>IF(A14taxstdlife="n/a","n/a",IF(M$3&gt;(A14taxstdlife+$E260),(Input!$K$54-Input!$K$88)-SUM($K260:L260),(Input!$K$54-Input!$K$88)/A14taxstdlife))</f>
        <v>n/a</v>
      </c>
      <c r="N260" s="70" t="str">
        <f>IF(A14taxstdlife="n/a","n/a",IF(N$3&gt;(A14taxstdlife+$E260),(Input!$K$54-Input!$K$88)-SUM($K260:M260),(Input!$K$54-Input!$K$88)/A14taxstdlife))</f>
        <v>n/a</v>
      </c>
      <c r="O260" s="70" t="str">
        <f>IF(A14taxstdlife="n/a","n/a",IF(O$3&gt;(A14taxstdlife+$E260),(Input!$K$54-Input!$K$88)-SUM($K260:N260),(Input!$K$54-Input!$K$88)/A14taxstdlife))</f>
        <v>n/a</v>
      </c>
      <c r="P260" s="70" t="str">
        <f>IF(A14taxstdlife="n/a","n/a",IF(P$3&gt;(A14taxstdlife+$E260),(Input!$K$54-Input!$K$88)-SUM($K260:O260),(Input!$K$54-Input!$K$88)/A14taxstdlife))</f>
        <v>n/a</v>
      </c>
      <c r="Q260" s="70" t="str">
        <f>IF(A14taxstdlife="n/a","n/a",IF(Q$3&gt;(A14taxstdlife+$E260),(Input!$K$54-Input!$K$88)-SUM($K260:P260),(Input!$K$54-Input!$K$88)/A14taxstdlife))</f>
        <v>n/a</v>
      </c>
      <c r="R260" s="70"/>
      <c r="S260" s="105"/>
      <c r="T260" s="105"/>
      <c r="U260" s="105"/>
      <c r="V260" s="105"/>
      <c r="W260" s="105"/>
      <c r="X260" s="105"/>
      <c r="Y260" s="105"/>
      <c r="Z260" s="105"/>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192"/>
      <c r="BK260" s="192"/>
      <c r="BL260" s="192"/>
      <c r="BM260" s="192"/>
      <c r="BN260" s="192"/>
      <c r="BO260" s="192"/>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36"/>
      <c r="E261" s="88">
        <v>6</v>
      </c>
      <c r="F261" s="27"/>
      <c r="G261" s="213"/>
      <c r="H261" s="152"/>
      <c r="I261" s="152"/>
      <c r="J261" s="152"/>
      <c r="K261" s="152"/>
      <c r="L261" s="151"/>
      <c r="M261" s="70" t="str">
        <f>IF(A14taxstdlife="n/a","n/a",IF(M$3&gt;(A14taxstdlife+$E261),(Input!$L$54-Input!$L$88)-SUM($L261:L261),(Input!$L$54-Input!$L$88)/A14taxstdlife))</f>
        <v>n/a</v>
      </c>
      <c r="N261" s="70" t="str">
        <f>IF(A14taxstdlife="n/a","n/a",IF(N$3&gt;(A14taxstdlife+$E261),(Input!$L$54-Input!$L$88)-SUM($L261:M261),(Input!$L$54-Input!$L$88)/A14taxstdlife))</f>
        <v>n/a</v>
      </c>
      <c r="O261" s="70" t="str">
        <f>IF(A14taxstdlife="n/a","n/a",IF(O$3&gt;(A14taxstdlife+$E261),(Input!$L$54-Input!$L$88)-SUM($L261:N261),(Input!$L$54-Input!$L$88)/A14taxstdlife))</f>
        <v>n/a</v>
      </c>
      <c r="P261" s="70" t="str">
        <f>IF(A14taxstdlife="n/a","n/a",IF(P$3&gt;(A14taxstdlife+$E261),(Input!$L$54-Input!$L$88)-SUM($L261:O261),(Input!$L$54-Input!$L$88)/A14taxstdlife))</f>
        <v>n/a</v>
      </c>
      <c r="Q261" s="70" t="str">
        <f>IF(A14taxstdlife="n/a","n/a",IF(Q$3&gt;(A14taxstdlife+$E261),(Input!$L$54-Input!$L$88)-SUM($L261:P261),(Input!$L$54-Input!$L$88)/A14taxstdlife))</f>
        <v>n/a</v>
      </c>
      <c r="R261" s="70"/>
      <c r="S261" s="105"/>
      <c r="T261" s="105"/>
      <c r="U261" s="105"/>
      <c r="V261" s="105"/>
      <c r="W261" s="105"/>
      <c r="X261" s="105"/>
      <c r="Y261" s="105"/>
      <c r="Z261" s="105"/>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192"/>
      <c r="BK261" s="192"/>
      <c r="BL261" s="192"/>
      <c r="BM261" s="192"/>
      <c r="BN261" s="192"/>
      <c r="BO261" s="192"/>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36"/>
      <c r="E262" s="88">
        <v>7</v>
      </c>
      <c r="F262" s="27"/>
      <c r="G262" s="213"/>
      <c r="H262" s="152"/>
      <c r="I262" s="152"/>
      <c r="J262" s="152"/>
      <c r="K262" s="152"/>
      <c r="L262" s="152"/>
      <c r="M262" s="151"/>
      <c r="N262" s="70" t="str">
        <f>IF(A14taxstdlife="n/a","n/a",IF(N$3&gt;(A14taxstdlife+$E262),(Input!$M$54-Input!$M$88)-SUM($M262:M262),(Input!$M$54-Input!$M$88)/A14taxstdlife))</f>
        <v>n/a</v>
      </c>
      <c r="O262" s="70" t="str">
        <f>IF(A14taxstdlife="n/a","n/a",IF(O$3&gt;(A14taxstdlife+$E262),(Input!$M$54-Input!$M$88)-SUM($M262:N262),(Input!$M$54-Input!$M$88)/A14taxstdlife))</f>
        <v>n/a</v>
      </c>
      <c r="P262" s="70" t="str">
        <f>IF(A14taxstdlife="n/a","n/a",IF(P$3&gt;(A14taxstdlife+$E262),(Input!$M$54-Input!$M$88)-SUM($M262:O262),(Input!$M$54-Input!$M$88)/A14taxstdlife))</f>
        <v>n/a</v>
      </c>
      <c r="Q262" s="70" t="str">
        <f>IF(A14taxstdlife="n/a","n/a",IF(Q$3&gt;(A14taxstdlife+$E262),(Input!$M$54-Input!$M$88)-SUM($M262:P262),(Input!$M$54-Input!$M$88)/A14taxstdlife))</f>
        <v>n/a</v>
      </c>
      <c r="R262" s="70"/>
      <c r="S262" s="105"/>
      <c r="T262" s="105"/>
      <c r="U262" s="105"/>
      <c r="V262" s="105"/>
      <c r="W262" s="105"/>
      <c r="X262" s="105"/>
      <c r="Y262" s="105"/>
      <c r="Z262" s="105"/>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192"/>
      <c r="BK262" s="192"/>
      <c r="BL262" s="192"/>
      <c r="BM262" s="192"/>
      <c r="BN262" s="192"/>
      <c r="BO262" s="19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36"/>
      <c r="E263" s="88">
        <v>8</v>
      </c>
      <c r="F263" s="27"/>
      <c r="G263" s="213"/>
      <c r="H263" s="152"/>
      <c r="I263" s="152"/>
      <c r="J263" s="152"/>
      <c r="K263" s="152"/>
      <c r="L263" s="152"/>
      <c r="M263" s="152"/>
      <c r="N263" s="151"/>
      <c r="O263" s="70" t="str">
        <f>IF(A14taxstdlife="n/a","n/a",IF(O$3&gt;(A14taxstdlife+$E263),(Input!$N$54-Input!$N$88)-SUM($N263:N263),(Input!$N$54-Input!$N$88)/A14taxstdlife))</f>
        <v>n/a</v>
      </c>
      <c r="P263" s="70" t="str">
        <f>IF(A14taxstdlife="n/a","n/a",IF(P$3&gt;(A14taxstdlife+$E263),(Input!$N$54-Input!$N$88)-SUM($N263:O263),(Input!$N$54-Input!$N$88)/A14taxstdlife))</f>
        <v>n/a</v>
      </c>
      <c r="Q263" s="70" t="str">
        <f>IF(A14taxstdlife="n/a","n/a",IF(Q$3&gt;(A14taxstdlife+$E263),(Input!$N$54-Input!$N$88)-SUM($N263:P263),(Input!$N$54-Input!$N$88)/A14taxstdlife))</f>
        <v>n/a</v>
      </c>
      <c r="R263" s="70"/>
      <c r="S263" s="105"/>
      <c r="T263" s="105"/>
      <c r="U263" s="105"/>
      <c r="V263" s="105"/>
      <c r="W263" s="105"/>
      <c r="X263" s="105"/>
      <c r="Y263" s="105"/>
      <c r="Z263" s="105"/>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192"/>
      <c r="BK263" s="192"/>
      <c r="BL263" s="192"/>
      <c r="BM263" s="192"/>
      <c r="BN263" s="192"/>
      <c r="BO263" s="192"/>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36"/>
      <c r="E264" s="88">
        <v>9</v>
      </c>
      <c r="F264" s="27"/>
      <c r="G264" s="213"/>
      <c r="H264" s="152"/>
      <c r="I264" s="152"/>
      <c r="J264" s="152"/>
      <c r="K264" s="152"/>
      <c r="L264" s="152"/>
      <c r="M264" s="152"/>
      <c r="N264" s="152"/>
      <c r="O264" s="151"/>
      <c r="P264" s="70" t="str">
        <f>IF(A14taxstdlife="n/a","n/a",IF(P$3&gt;(A14taxstdlife+$E264),(Input!$O$54-Input!$O$88)-SUM($O264:O264),(Input!$O$54-Input!$O$88)/A14taxstdlife))</f>
        <v>n/a</v>
      </c>
      <c r="Q264" s="70" t="str">
        <f>IF(A14taxstdlife="n/a","n/a",IF(Q$3&gt;(A14taxstdlife+$E264),(Input!$O$54-Input!$O$88)-SUM($O264:P264),(Input!$O$54-Input!$O$88)/A14taxstdlife))</f>
        <v>n/a</v>
      </c>
      <c r="R264" s="70"/>
      <c r="S264" s="105"/>
      <c r="T264" s="105"/>
      <c r="U264" s="105"/>
      <c r="V264" s="105"/>
      <c r="W264" s="105"/>
      <c r="X264" s="105"/>
      <c r="Y264" s="105"/>
      <c r="Z264" s="105"/>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192"/>
      <c r="BK264" s="192"/>
      <c r="BL264" s="192"/>
      <c r="BM264" s="192"/>
      <c r="BN264" s="192"/>
      <c r="BO264" s="192"/>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36"/>
      <c r="E265" s="88">
        <v>10</v>
      </c>
      <c r="F265" s="27"/>
      <c r="G265" s="213"/>
      <c r="H265" s="152"/>
      <c r="I265" s="152"/>
      <c r="J265" s="152"/>
      <c r="K265" s="152"/>
      <c r="L265" s="152"/>
      <c r="M265" s="152"/>
      <c r="N265" s="152"/>
      <c r="O265" s="152"/>
      <c r="P265" s="151"/>
      <c r="Q265" s="70" t="str">
        <f>IF(A14taxstdlife="n/a","n/a",IF(Q$3&gt;(A14taxstdlife+$E265),(Input!$P$54-Input!$P$88)-SUM($P265:P265),(Input!$P$54-Input!$P$88)/A14taxstdlife))</f>
        <v>n/a</v>
      </c>
      <c r="R265" s="70"/>
      <c r="S265" s="105"/>
      <c r="T265" s="105"/>
      <c r="U265" s="105"/>
      <c r="V265" s="105"/>
      <c r="W265" s="105"/>
      <c r="X265" s="105"/>
      <c r="Y265" s="105"/>
      <c r="Z265" s="105"/>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192"/>
      <c r="BK265" s="192"/>
      <c r="BL265" s="192"/>
      <c r="BM265" s="192"/>
      <c r="BN265" s="192"/>
      <c r="BO265" s="192"/>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36"/>
      <c r="E266" s="89">
        <v>11</v>
      </c>
      <c r="F266" s="27"/>
      <c r="G266" s="213"/>
      <c r="H266" s="152"/>
      <c r="I266" s="152"/>
      <c r="J266" s="152"/>
      <c r="K266" s="152"/>
      <c r="L266" s="152"/>
      <c r="M266" s="152"/>
      <c r="N266" s="152"/>
      <c r="O266" s="152"/>
      <c r="P266" s="194"/>
      <c r="Q266" s="151"/>
      <c r="R266" s="70"/>
      <c r="S266" s="105"/>
      <c r="T266" s="105"/>
      <c r="U266" s="105"/>
      <c r="V266" s="105"/>
      <c r="W266" s="105"/>
      <c r="X266" s="105"/>
      <c r="Y266" s="105"/>
      <c r="Z266" s="105"/>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192"/>
      <c r="BK266" s="192"/>
      <c r="BL266" s="192"/>
      <c r="BM266" s="192"/>
      <c r="BN266" s="192"/>
      <c r="BO266" s="192"/>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t="str">
        <f>Asset14</f>
        <v>Land</v>
      </c>
      <c r="D267" s="9"/>
      <c r="E267" s="9"/>
      <c r="F267" s="23"/>
      <c r="G267" s="214">
        <f t="shared" ref="G267:L267" si="48">-SUM(G254:G266)</f>
        <v>0</v>
      </c>
      <c r="H267" s="168">
        <f t="shared" si="48"/>
        <v>0</v>
      </c>
      <c r="I267" s="168">
        <f t="shared" si="48"/>
        <v>0</v>
      </c>
      <c r="J267" s="168">
        <f t="shared" si="48"/>
        <v>0</v>
      </c>
      <c r="K267" s="168">
        <f t="shared" si="48"/>
        <v>0</v>
      </c>
      <c r="L267" s="168">
        <f t="shared" si="48"/>
        <v>0</v>
      </c>
      <c r="M267" s="168">
        <f>IF(Input!M173&gt;0, -SUM(M254:M266), 0)</f>
        <v>0</v>
      </c>
      <c r="N267" s="168">
        <f>IF(Input!N173&gt;0, -SUM(N254:N266), 0)</f>
        <v>0</v>
      </c>
      <c r="O267" s="168">
        <f>IF(Input!O173&gt;0, -SUM(O254:O266), 0)</f>
        <v>0</v>
      </c>
      <c r="P267" s="168">
        <f>IF(Input!P173&gt;0, -SUM(P254:P266), 0)</f>
        <v>0</v>
      </c>
      <c r="Q267" s="168">
        <f>IF(Input!Q173&gt;0, -SUM(Q254:Q266), 0)</f>
        <v>0</v>
      </c>
      <c r="R267" s="66"/>
      <c r="S267" s="104"/>
      <c r="T267" s="104"/>
      <c r="U267" s="104"/>
      <c r="V267" s="104"/>
      <c r="W267" s="104"/>
      <c r="X267" s="104"/>
      <c r="Y267" s="104"/>
      <c r="Z267" s="104"/>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192"/>
      <c r="BK267" s="192"/>
      <c r="BL267" s="192"/>
      <c r="BM267" s="192"/>
      <c r="BN267" s="192"/>
      <c r="BO267" s="192"/>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Buildings</v>
      </c>
      <c r="C268" s="33"/>
      <c r="D268" s="34" t="s">
        <v>69</v>
      </c>
      <c r="E268" s="33"/>
      <c r="F268" s="35"/>
      <c r="G268" s="210" t="str">
        <f>IF(G$3&gt;A15taxremlife,A15taxvalue-SUM($F268:F268),IF(A15taxremlife="N/A","n/a",A15taxvalue/A15taxremlife))</f>
        <v>n/a</v>
      </c>
      <c r="H268" s="69" t="str">
        <f>IF(H$3&gt;A15taxremlife,A15taxvalue-SUM($F268:G268),IF(A15taxremlife="N/A","n/a",A15taxvalue/A15taxremlife))</f>
        <v>n/a</v>
      </c>
      <c r="I268" s="69" t="str">
        <f>IF(I$3&gt;A15taxremlife,A15taxvalue-SUM($F268:H268),IF(A15taxremlife="N/A","n/a",A15taxvalue/A15taxremlife))</f>
        <v>n/a</v>
      </c>
      <c r="J268" s="69" t="str">
        <f>IF(J$3&gt;A15taxremlife,A15taxvalue-SUM($F268:I268),IF(A15taxremlife="N/A","n/a",A15taxvalue/A15taxremlife))</f>
        <v>n/a</v>
      </c>
      <c r="K268" s="69" t="str">
        <f>IF(K$3&gt;A15taxremlife,A15taxvalue-SUM($F268:J268),IF(A15taxremlife="N/A","n/a",A15taxvalue/A15taxremlife))</f>
        <v>n/a</v>
      </c>
      <c r="L268" s="69" t="str">
        <f>IF(L$3&gt;A15taxremlife,A15taxvalue-SUM($F268:K268),IF(A15taxremlife="N/A","n/a",A15taxvalue/A15taxremlife))</f>
        <v>n/a</v>
      </c>
      <c r="M268" s="69" t="str">
        <f>IF(M$3&gt;A15taxremlife,A15taxvalue-SUM($F268:L268),IF(A15taxremlife="N/A","n/a",A15taxvalue/A15taxremlife))</f>
        <v>n/a</v>
      </c>
      <c r="N268" s="69" t="str">
        <f>IF(N$3&gt;A15taxremlife,A15taxvalue-SUM($F268:M268),IF(A15taxremlife="N/A","n/a",A15taxvalue/A15taxremlife))</f>
        <v>n/a</v>
      </c>
      <c r="O268" s="69" t="str">
        <f>IF(O$3&gt;A15taxremlife,A15taxvalue-SUM($F268:N268),IF(A15taxremlife="N/A","n/a",A15taxvalue/A15taxremlife))</f>
        <v>n/a</v>
      </c>
      <c r="P268" s="69" t="str">
        <f>IF(P$3&gt;A15taxremlife,A15taxvalue-SUM($F268:O268),IF(A15taxremlife="N/A","n/a",A15taxvalue/A15taxremlife))</f>
        <v>n/a</v>
      </c>
      <c r="Q268" s="69" t="str">
        <f>IF(Q$3&gt;A15taxremlife,A15taxvalue-SUM($F268:P268),IF(A15taxremlife="N/A","n/a",A15taxvalue/A15taxremlife))</f>
        <v>n/a</v>
      </c>
      <c r="R268" s="69"/>
      <c r="S268" s="105"/>
      <c r="T268" s="105"/>
      <c r="U268" s="105"/>
      <c r="V268" s="105"/>
      <c r="W268" s="105"/>
      <c r="X268" s="105"/>
      <c r="Y268" s="105"/>
      <c r="Z268" s="105"/>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192"/>
      <c r="BK268" s="192"/>
      <c r="BL268" s="192"/>
      <c r="BM268" s="192"/>
      <c r="BN268" s="192"/>
      <c r="BO268" s="192"/>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35" t="s">
        <v>87</v>
      </c>
      <c r="E269" s="88">
        <v>0</v>
      </c>
      <c r="F269" s="27"/>
      <c r="G269" s="211"/>
      <c r="H269" s="70"/>
      <c r="I269" s="70"/>
      <c r="J269" s="70"/>
      <c r="K269" s="70"/>
      <c r="L269" s="70"/>
      <c r="M269" s="70"/>
      <c r="N269" s="70"/>
      <c r="O269" s="70"/>
      <c r="P269" s="70"/>
      <c r="Q269" s="70"/>
      <c r="R269" s="70"/>
      <c r="S269" s="105"/>
      <c r="T269" s="105"/>
      <c r="U269" s="105"/>
      <c r="V269" s="105"/>
      <c r="W269" s="105"/>
      <c r="X269" s="105"/>
      <c r="Y269" s="105"/>
      <c r="Z269" s="105"/>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192"/>
      <c r="BK269" s="192"/>
      <c r="BL269" s="192"/>
      <c r="BM269" s="192"/>
      <c r="BN269" s="192"/>
      <c r="BO269" s="192"/>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36"/>
      <c r="E270" s="88">
        <v>1</v>
      </c>
      <c r="F270" s="27"/>
      <c r="G270" s="212"/>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192"/>
      <c r="BK270" s="192"/>
      <c r="BL270" s="192"/>
      <c r="BM270" s="192"/>
      <c r="BN270" s="192"/>
      <c r="BO270" s="192"/>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36"/>
      <c r="E271" s="88">
        <v>2</v>
      </c>
      <c r="F271" s="27"/>
      <c r="G271" s="213"/>
      <c r="H271" s="151"/>
      <c r="I271" s="70">
        <f>IF(A15taxstdlife="n/a","n/a",IF(I$3&gt;(A15taxstdlife+$E271),(Input!$H$55-Input!$H$89)-SUM($H271:H271),(Input!$H$55-Input!$H$89)/A15taxstdlife))</f>
        <v>5.9914696586509934E-2</v>
      </c>
      <c r="J271" s="70">
        <f>IF(A15taxstdlife="n/a","n/a",IF(J$3&gt;(A15taxstdlife+$E271),(Input!$H$55-Input!$H$89)-SUM($H271:I271),(Input!$H$55-Input!$H$89)/A15taxstdlife))</f>
        <v>5.9914696586509934E-2</v>
      </c>
      <c r="K271" s="70">
        <f>IF(A15taxstdlife="n/a","n/a",IF(K$3&gt;(A15taxstdlife+$E271),(Input!$H$55-Input!$H$89)-SUM($H271:J271),(Input!$H$55-Input!$H$89)/A15taxstdlife))</f>
        <v>5.9914696586509934E-2</v>
      </c>
      <c r="L271" s="70">
        <f>IF(A15taxstdlife="n/a","n/a",IF(L$3&gt;(A15taxstdlife+$E271),(Input!$H$55-Input!$H$89)-SUM($H271:K271),(Input!$H$55-Input!$H$89)/A15taxstdlife))</f>
        <v>5.9914696586509934E-2</v>
      </c>
      <c r="M271" s="70">
        <f>IF(A15taxstdlife="n/a","n/a",IF(M$3&gt;(A15taxstdlife+$E271),(Input!$H$55-Input!$H$89)-SUM($H271:L271),(Input!$H$55-Input!$H$89)/A15taxstdlife))</f>
        <v>5.9914696586509934E-2</v>
      </c>
      <c r="N271" s="70">
        <f>IF(A15taxstdlife="n/a","n/a",IF(N$3&gt;(A15taxstdlife+$E271),(Input!$H$55-Input!$H$89)-SUM($H271:M271),(Input!$H$55-Input!$H$89)/A15taxstdlife))</f>
        <v>5.9914696586509934E-2</v>
      </c>
      <c r="O271" s="70">
        <f>IF(A15taxstdlife="n/a","n/a",IF(O$3&gt;(A15taxstdlife+$E271),(Input!$H$55-Input!$H$89)-SUM($H271:N271),(Input!$H$55-Input!$H$89)/A15taxstdlife))</f>
        <v>5.9914696586509934E-2</v>
      </c>
      <c r="P271" s="70">
        <f>IF(A15taxstdlife="n/a","n/a",IF(P$3&gt;(A15taxstdlife+$E271),(Input!$H$55-Input!$H$89)-SUM($H271:O271),(Input!$H$55-Input!$H$89)/A15taxstdlife))</f>
        <v>5.9914696586509934E-2</v>
      </c>
      <c r="Q271" s="70">
        <f>IF(A15taxstdlife="n/a","n/a",IF(Q$3&gt;(A15taxstdlife+$E271),(Input!$H$55-Input!$H$89)-SUM($H271:P271),(Input!$H$55-Input!$H$89)/A15taxstdlife))</f>
        <v>5.9914696586509934E-2</v>
      </c>
      <c r="R271" s="70"/>
      <c r="S271" s="105"/>
      <c r="T271" s="105"/>
      <c r="U271" s="105"/>
      <c r="V271" s="105"/>
      <c r="W271" s="105"/>
      <c r="X271" s="105"/>
      <c r="Y271" s="105"/>
      <c r="Z271" s="105"/>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192"/>
      <c r="BK271" s="192"/>
      <c r="BL271" s="192"/>
      <c r="BM271" s="192"/>
      <c r="BN271" s="192"/>
      <c r="BO271" s="192"/>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36"/>
      <c r="E272" s="88">
        <v>3</v>
      </c>
      <c r="F272" s="27"/>
      <c r="G272" s="213"/>
      <c r="H272" s="152"/>
      <c r="I272" s="151"/>
      <c r="J272" s="70">
        <f>IF(A15taxstdlife="n/a","n/a",IF(J$3&gt;(A15taxstdlife+$E272),(Input!$I$55-Input!$I$89)-SUM($I272:I272),(Input!$I$55-Input!$I$89)/A15taxstdlife))</f>
        <v>9.0078722861663157E-2</v>
      </c>
      <c r="K272" s="70">
        <f>IF(A15taxstdlife="n/a","n/a",IF(K$3&gt;(A15taxstdlife+$E272),(Input!$I$55-Input!$I$89)-SUM($I272:J272),(Input!$I$55-Input!$I$89)/A15taxstdlife))</f>
        <v>9.0078722861663157E-2</v>
      </c>
      <c r="L272" s="70">
        <f>IF(A15taxstdlife="n/a","n/a",IF(L$3&gt;(A15taxstdlife+$E272),(Input!$I$55-Input!$I$89)-SUM($I272:K272),(Input!$I$55-Input!$I$89)/A15taxstdlife))</f>
        <v>9.0078722861663157E-2</v>
      </c>
      <c r="M272" s="70">
        <f>IF(A15taxstdlife="n/a","n/a",IF(M$3&gt;(A15taxstdlife+$E272),(Input!$I$55-Input!$I$89)-SUM($I272:L272),(Input!$I$55-Input!$I$89)/A15taxstdlife))</f>
        <v>9.0078722861663157E-2</v>
      </c>
      <c r="N272" s="70">
        <f>IF(A15taxstdlife="n/a","n/a",IF(N$3&gt;(A15taxstdlife+$E272),(Input!$I$55-Input!$I$89)-SUM($I272:M272),(Input!$I$55-Input!$I$89)/A15taxstdlife))</f>
        <v>9.0078722861663157E-2</v>
      </c>
      <c r="O272" s="70">
        <f>IF(A15taxstdlife="n/a","n/a",IF(O$3&gt;(A15taxstdlife+$E272),(Input!$I$55-Input!$I$89)-SUM($I272:N272),(Input!$I$55-Input!$I$89)/A15taxstdlife))</f>
        <v>9.0078722861663157E-2</v>
      </c>
      <c r="P272" s="70">
        <f>IF(A15taxstdlife="n/a","n/a",IF(P$3&gt;(A15taxstdlife+$E272),(Input!$I$55-Input!$I$89)-SUM($I272:O272),(Input!$I$55-Input!$I$89)/A15taxstdlife))</f>
        <v>9.0078722861663157E-2</v>
      </c>
      <c r="Q272" s="70">
        <f>IF(A15taxstdlife="n/a","n/a",IF(Q$3&gt;(A15taxstdlife+$E272),(Input!$I$55-Input!$I$89)-SUM($I272:P272),(Input!$I$55-Input!$I$89)/A15taxstdlife))</f>
        <v>9.0078722861663157E-2</v>
      </c>
      <c r="R272" s="70"/>
      <c r="S272" s="105"/>
      <c r="T272" s="105"/>
      <c r="U272" s="105"/>
      <c r="V272" s="105"/>
      <c r="W272" s="105"/>
      <c r="X272" s="105"/>
      <c r="Y272" s="105"/>
      <c r="Z272" s="105"/>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192"/>
      <c r="BK272" s="192"/>
      <c r="BL272" s="192"/>
      <c r="BM272" s="192"/>
      <c r="BN272" s="192"/>
      <c r="BO272" s="19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36"/>
      <c r="E273" s="88">
        <v>4</v>
      </c>
      <c r="F273" s="27"/>
      <c r="G273" s="213"/>
      <c r="H273" s="152"/>
      <c r="I273" s="152"/>
      <c r="J273" s="151"/>
      <c r="K273" s="70">
        <f>IF(A15taxstdlife="n/a","n/a",IF(K$3&gt;(A15taxstdlife+$E273),(Input!$J$55-Input!$J$89)-SUM($J273:J273),(Input!$J$55-Input!$J$89)/A15taxstdlife))</f>
        <v>7.300708026038283E-3</v>
      </c>
      <c r="L273" s="70">
        <f>IF(A15taxstdlife="n/a","n/a",IF(L$3&gt;(A15taxstdlife+$E273),(Input!$J$55-Input!$J$89)-SUM($J273:K273),(Input!$J$55-Input!$J$89)/A15taxstdlife))</f>
        <v>7.300708026038283E-3</v>
      </c>
      <c r="M273" s="70">
        <f>IF(A15taxstdlife="n/a","n/a",IF(M$3&gt;(A15taxstdlife+$E273),(Input!$J$55-Input!$J$89)-SUM($J273:L273),(Input!$J$55-Input!$J$89)/A15taxstdlife))</f>
        <v>7.300708026038283E-3</v>
      </c>
      <c r="N273" s="70">
        <f>IF(A15taxstdlife="n/a","n/a",IF(N$3&gt;(A15taxstdlife+$E273),(Input!$J$55-Input!$J$89)-SUM($J273:M273),(Input!$J$55-Input!$J$89)/A15taxstdlife))</f>
        <v>7.300708026038283E-3</v>
      </c>
      <c r="O273" s="70">
        <f>IF(A15taxstdlife="n/a","n/a",IF(O$3&gt;(A15taxstdlife+$E273),(Input!$J$55-Input!$J$89)-SUM($J273:N273),(Input!$J$55-Input!$J$89)/A15taxstdlife))</f>
        <v>7.300708026038283E-3</v>
      </c>
      <c r="P273" s="70">
        <f>IF(A15taxstdlife="n/a","n/a",IF(P$3&gt;(A15taxstdlife+$E273),(Input!$J$55-Input!$J$89)-SUM($J273:O273),(Input!$J$55-Input!$J$89)/A15taxstdlife))</f>
        <v>7.300708026038283E-3</v>
      </c>
      <c r="Q273" s="70">
        <f>IF(A15taxstdlife="n/a","n/a",IF(Q$3&gt;(A15taxstdlife+$E273),(Input!$J$55-Input!$J$89)-SUM($J273:P273),(Input!$J$55-Input!$J$89)/A15taxstdlife))</f>
        <v>7.300708026038283E-3</v>
      </c>
      <c r="R273" s="70"/>
      <c r="S273" s="105"/>
      <c r="T273" s="105"/>
      <c r="U273" s="105"/>
      <c r="V273" s="105"/>
      <c r="W273" s="105"/>
      <c r="X273" s="105"/>
      <c r="Y273" s="105"/>
      <c r="Z273" s="105"/>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192"/>
      <c r="BK273" s="192"/>
      <c r="BL273" s="192"/>
      <c r="BM273" s="192"/>
      <c r="BN273" s="192"/>
      <c r="BO273" s="192"/>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36"/>
      <c r="E274" s="88">
        <v>5</v>
      </c>
      <c r="F274" s="27"/>
      <c r="G274" s="213"/>
      <c r="H274" s="152"/>
      <c r="I274" s="152"/>
      <c r="J274" s="152"/>
      <c r="K274" s="151"/>
      <c r="L274" s="70">
        <f>IF(A15taxstdlife="n/a","n/a",IF(L$3&gt;(A15taxstdlife+$E274),(Input!$K$55-Input!$K$89)-SUM($K274:K274),(Input!$K$55-Input!$K$89)/A15taxstdlife))</f>
        <v>1.1260074895522101E-2</v>
      </c>
      <c r="M274" s="70">
        <f>IF(A15taxstdlife="n/a","n/a",IF(M$3&gt;(A15taxstdlife+$E274),(Input!$K$55-Input!$K$89)-SUM($K274:L274),(Input!$K$55-Input!$K$89)/A15taxstdlife))</f>
        <v>1.1260074895522101E-2</v>
      </c>
      <c r="N274" s="70">
        <f>IF(A15taxstdlife="n/a","n/a",IF(N$3&gt;(A15taxstdlife+$E274),(Input!$K$55-Input!$K$89)-SUM($K274:M274),(Input!$K$55-Input!$K$89)/A15taxstdlife))</f>
        <v>1.1260074895522101E-2</v>
      </c>
      <c r="O274" s="70">
        <f>IF(A15taxstdlife="n/a","n/a",IF(O$3&gt;(A15taxstdlife+$E274),(Input!$K$55-Input!$K$89)-SUM($K274:N274),(Input!$K$55-Input!$K$89)/A15taxstdlife))</f>
        <v>1.1260074895522101E-2</v>
      </c>
      <c r="P274" s="70">
        <f>IF(A15taxstdlife="n/a","n/a",IF(P$3&gt;(A15taxstdlife+$E274),(Input!$K$55-Input!$K$89)-SUM($K274:O274),(Input!$K$55-Input!$K$89)/A15taxstdlife))</f>
        <v>1.1260074895522101E-2</v>
      </c>
      <c r="Q274" s="70">
        <f>IF(A15taxstdlife="n/a","n/a",IF(Q$3&gt;(A15taxstdlife+$E274),(Input!$K$55-Input!$K$89)-SUM($K274:P274),(Input!$K$55-Input!$K$89)/A15taxstdlife))</f>
        <v>1.1260074895522101E-2</v>
      </c>
      <c r="R274" s="70"/>
      <c r="S274" s="105"/>
      <c r="T274" s="105"/>
      <c r="U274" s="105"/>
      <c r="V274" s="105"/>
      <c r="W274" s="105"/>
      <c r="X274" s="105"/>
      <c r="Y274" s="105"/>
      <c r="Z274" s="105"/>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192"/>
      <c r="BK274" s="192"/>
      <c r="BL274" s="192"/>
      <c r="BM274" s="192"/>
      <c r="BN274" s="192"/>
      <c r="BO274" s="192"/>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36"/>
      <c r="E275" s="88">
        <v>6</v>
      </c>
      <c r="F275" s="27"/>
      <c r="G275" s="213"/>
      <c r="H275" s="152"/>
      <c r="I275" s="152"/>
      <c r="J275" s="152"/>
      <c r="K275" s="152"/>
      <c r="L275" s="151"/>
      <c r="M275" s="70">
        <f>IF(A15taxstdlife="n/a","n/a",IF(M$3&gt;(A15taxstdlife+$E275),(Input!$L$55-Input!$L$89)-SUM($L275:L275),(Input!$L$55-Input!$L$89)/A15taxstdlife))</f>
        <v>1.6976285816639094E-2</v>
      </c>
      <c r="N275" s="70">
        <f>IF(A15taxstdlife="n/a","n/a",IF(N$3&gt;(A15taxstdlife+$E275),(Input!$L$55-Input!$L$89)-SUM($L275:M275),(Input!$L$55-Input!$L$89)/A15taxstdlife))</f>
        <v>1.6976285816639094E-2</v>
      </c>
      <c r="O275" s="70">
        <f>IF(A15taxstdlife="n/a","n/a",IF(O$3&gt;(A15taxstdlife+$E275),(Input!$L$55-Input!$L$89)-SUM($L275:N275),(Input!$L$55-Input!$L$89)/A15taxstdlife))</f>
        <v>1.6976285816639094E-2</v>
      </c>
      <c r="P275" s="70">
        <f>IF(A15taxstdlife="n/a","n/a",IF(P$3&gt;(A15taxstdlife+$E275),(Input!$L$55-Input!$L$89)-SUM($L275:O275),(Input!$L$55-Input!$L$89)/A15taxstdlife))</f>
        <v>1.6976285816639094E-2</v>
      </c>
      <c r="Q275" s="70">
        <f>IF(A15taxstdlife="n/a","n/a",IF(Q$3&gt;(A15taxstdlife+$E275),(Input!$L$55-Input!$L$89)-SUM($L275:P275),(Input!$L$55-Input!$L$89)/A15taxstdlife))</f>
        <v>1.6976285816639094E-2</v>
      </c>
      <c r="R275" s="70"/>
      <c r="S275" s="105"/>
      <c r="T275" s="105"/>
      <c r="U275" s="105"/>
      <c r="V275" s="105"/>
      <c r="W275" s="105"/>
      <c r="X275" s="105"/>
      <c r="Y275" s="105"/>
      <c r="Z275" s="105"/>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192"/>
      <c r="BK275" s="192"/>
      <c r="BL275" s="192"/>
      <c r="BM275" s="192"/>
      <c r="BN275" s="192"/>
      <c r="BO275" s="192"/>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36"/>
      <c r="E276" s="88">
        <v>7</v>
      </c>
      <c r="F276" s="27"/>
      <c r="G276" s="213"/>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192"/>
      <c r="BK276" s="192"/>
      <c r="BL276" s="192"/>
      <c r="BM276" s="192"/>
      <c r="BN276" s="192"/>
      <c r="BO276" s="192"/>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36"/>
      <c r="E277" s="88">
        <v>8</v>
      </c>
      <c r="F277" s="27"/>
      <c r="G277" s="213"/>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192"/>
      <c r="BK277" s="192"/>
      <c r="BL277" s="192"/>
      <c r="BM277" s="192"/>
      <c r="BN277" s="192"/>
      <c r="BO277" s="192"/>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36"/>
      <c r="E278" s="88">
        <v>9</v>
      </c>
      <c r="F278" s="27"/>
      <c r="G278" s="213"/>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192"/>
      <c r="BK278" s="192"/>
      <c r="BL278" s="192"/>
      <c r="BM278" s="192"/>
      <c r="BN278" s="192"/>
      <c r="BO278" s="192"/>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36"/>
      <c r="E279" s="88">
        <v>10</v>
      </c>
      <c r="F279" s="27"/>
      <c r="G279" s="213"/>
      <c r="H279" s="152"/>
      <c r="I279" s="152"/>
      <c r="J279" s="152"/>
      <c r="K279" s="152"/>
      <c r="L279" s="152"/>
      <c r="M279" s="152"/>
      <c r="N279" s="152"/>
      <c r="O279" s="152"/>
      <c r="P279" s="151"/>
      <c r="Q279" s="70">
        <f>IF(A15taxstdlife="n/a","n/a",IF(Q$3&gt;(A15taxstdlife+$E279),(Input!$P$55-Input!$P$89)-SUM($P279:P279),(Input!$P$55-Input!$P$89)/A15taxstdlife))</f>
        <v>0</v>
      </c>
      <c r="R279" s="70"/>
      <c r="S279" s="105"/>
      <c r="T279" s="105"/>
      <c r="U279" s="105"/>
      <c r="V279" s="105"/>
      <c r="W279" s="105"/>
      <c r="X279" s="105"/>
      <c r="Y279" s="105"/>
      <c r="Z279" s="105"/>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192"/>
      <c r="BK279" s="192"/>
      <c r="BL279" s="192"/>
      <c r="BM279" s="192"/>
      <c r="BN279" s="192"/>
      <c r="BO279" s="192"/>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36"/>
      <c r="E280" s="89">
        <v>11</v>
      </c>
      <c r="F280" s="27"/>
      <c r="G280" s="213"/>
      <c r="H280" s="152"/>
      <c r="I280" s="152"/>
      <c r="J280" s="152"/>
      <c r="K280" s="152"/>
      <c r="L280" s="152"/>
      <c r="M280" s="152"/>
      <c r="N280" s="152"/>
      <c r="O280" s="152"/>
      <c r="P280" s="194"/>
      <c r="Q280" s="151"/>
      <c r="R280" s="70"/>
      <c r="S280" s="105"/>
      <c r="T280" s="105"/>
      <c r="U280" s="105"/>
      <c r="V280" s="105"/>
      <c r="W280" s="105"/>
      <c r="X280" s="105"/>
      <c r="Y280" s="105"/>
      <c r="Z280" s="105"/>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192"/>
      <c r="BK280" s="192"/>
      <c r="BL280" s="192"/>
      <c r="BM280" s="192"/>
      <c r="BN280" s="192"/>
      <c r="BO280" s="192"/>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Buildings</v>
      </c>
      <c r="D281" s="9"/>
      <c r="E281" s="9"/>
      <c r="F281" s="23"/>
      <c r="G281" s="214">
        <f t="shared" ref="G281:L281" si="49">-SUM(G268:G280)</f>
        <v>0</v>
      </c>
      <c r="H281" s="168">
        <f t="shared" si="49"/>
        <v>0</v>
      </c>
      <c r="I281" s="168">
        <f t="shared" si="49"/>
        <v>-5.9914696586509934E-2</v>
      </c>
      <c r="J281" s="168">
        <f t="shared" si="49"/>
        <v>-0.1499934194481731</v>
      </c>
      <c r="K281" s="168">
        <f t="shared" si="49"/>
        <v>-0.15729412747421137</v>
      </c>
      <c r="L281" s="168">
        <f t="shared" si="49"/>
        <v>-0.16855420236973348</v>
      </c>
      <c r="M281" s="168">
        <f>IF(Input!M173&gt;0, -SUM(M268:M280), 0)</f>
        <v>0</v>
      </c>
      <c r="N281" s="168">
        <f>IF(Input!N173&gt;0, -SUM(N268:N280), 0)</f>
        <v>0</v>
      </c>
      <c r="O281" s="168">
        <f>IF(Input!O173&gt;0, -SUM(O268:O280), 0)</f>
        <v>0</v>
      </c>
      <c r="P281" s="168">
        <f>IF(Input!P173&gt;0, -SUM(P268:P280), 0)</f>
        <v>0</v>
      </c>
      <c r="Q281" s="168">
        <f>IF(Input!Q173&gt;0, -SUM(Q268:Q280), 0)</f>
        <v>0</v>
      </c>
      <c r="R281" s="66"/>
      <c r="S281" s="104"/>
      <c r="T281" s="104"/>
      <c r="U281" s="104"/>
      <c r="V281" s="104"/>
      <c r="W281" s="104"/>
      <c r="X281" s="104"/>
      <c r="Y281" s="104"/>
      <c r="Z281" s="104"/>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192"/>
      <c r="BK281" s="192"/>
      <c r="BL281" s="192"/>
      <c r="BM281" s="192"/>
      <c r="BN281" s="192"/>
      <c r="BO281" s="192"/>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Equity raising costs</v>
      </c>
      <c r="C282" s="33"/>
      <c r="D282" s="34" t="s">
        <v>69</v>
      </c>
      <c r="E282" s="33"/>
      <c r="F282" s="35"/>
      <c r="G282" s="210" t="str">
        <f>IF(G$3&gt;A16taxremlife,A16taxvalue-SUM($F282:F282),IF(A16taxremlife="N/A","n/a",A16taxvalue/A16taxremlife))</f>
        <v>n/a</v>
      </c>
      <c r="H282" s="69" t="str">
        <f>IF(H$3&gt;A16taxremlife,A16taxvalue-SUM($F282:G282),IF(A16taxremlife="N/A","n/a",A16taxvalue/A16taxremlife))</f>
        <v>n/a</v>
      </c>
      <c r="I282" s="69" t="str">
        <f>IF(I$3&gt;A16taxremlife,A16taxvalue-SUM($F282:H282),IF(A16taxremlife="N/A","n/a",A16taxvalue/A16taxremlife))</f>
        <v>n/a</v>
      </c>
      <c r="J282" s="69" t="str">
        <f>IF(J$3&gt;A16taxremlife,A16taxvalue-SUM($F282:I282),IF(A16taxremlife="N/A","n/a",A16taxvalue/A16taxremlife))</f>
        <v>n/a</v>
      </c>
      <c r="K282" s="69" t="str">
        <f>IF(K$3&gt;A16taxremlife,A16taxvalue-SUM($F282:J282),IF(A16taxremlife="N/A","n/a",A16taxvalue/A16taxremlife))</f>
        <v>n/a</v>
      </c>
      <c r="L282" s="69" t="str">
        <f>IF(L$3&gt;A16taxremlife,A16taxvalue-SUM($F282:K282),IF(A16taxremlife="N/A","n/a",A16taxvalue/A16taxremlife))</f>
        <v>n/a</v>
      </c>
      <c r="M282" s="69" t="str">
        <f>IF(M$3&gt;A16taxremlife,A16taxvalue-SUM($F282:L282),IF(A16taxremlife="N/A","n/a",A16taxvalue/A16taxremlife))</f>
        <v>n/a</v>
      </c>
      <c r="N282" s="69" t="str">
        <f>IF(N$3&gt;A16taxremlife,A16taxvalue-SUM($F282:M282),IF(A16taxremlife="N/A","n/a",A16taxvalue/A16taxremlife))</f>
        <v>n/a</v>
      </c>
      <c r="O282" s="69" t="str">
        <f>IF(O$3&gt;A16taxremlife,A16taxvalue-SUM($F282:N282),IF(A16taxremlife="N/A","n/a",A16taxvalue/A16taxremlife))</f>
        <v>n/a</v>
      </c>
      <c r="P282" s="69" t="str">
        <f>IF(P$3&gt;A16taxremlife,A16taxvalue-SUM($F282:O282),IF(A16taxremlife="N/A","n/a",A16taxvalue/A16taxremlife))</f>
        <v>n/a</v>
      </c>
      <c r="Q282" s="69" t="str">
        <f>IF(Q$3&gt;A16taxremlife,A16taxvalue-SUM($F282:P282),IF(A16taxremlife="N/A","n/a",A16taxvalue/A16taxremlife))</f>
        <v>n/a</v>
      </c>
      <c r="R282" s="69"/>
      <c r="S282" s="105"/>
      <c r="T282" s="105"/>
      <c r="U282" s="105"/>
      <c r="V282" s="105"/>
      <c r="W282" s="105"/>
      <c r="X282" s="105"/>
      <c r="Y282" s="105"/>
      <c r="Z282" s="105"/>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192"/>
      <c r="BK282" s="192"/>
      <c r="BL282" s="192"/>
      <c r="BM282" s="192"/>
      <c r="BN282" s="192"/>
      <c r="BO282" s="19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35" t="s">
        <v>87</v>
      </c>
      <c r="E283" s="88">
        <v>0</v>
      </c>
      <c r="F283" s="27"/>
      <c r="G283" s="211"/>
      <c r="H283" s="70"/>
      <c r="I283" s="70"/>
      <c r="J283" s="70"/>
      <c r="K283" s="70"/>
      <c r="L283" s="70"/>
      <c r="M283" s="70"/>
      <c r="N283" s="70"/>
      <c r="O283" s="70"/>
      <c r="P283" s="70"/>
      <c r="Q283" s="70"/>
      <c r="R283" s="70"/>
      <c r="S283" s="105"/>
      <c r="T283" s="105"/>
      <c r="U283" s="105"/>
      <c r="V283" s="105"/>
      <c r="W283" s="105"/>
      <c r="X283" s="105"/>
      <c r="Y283" s="105"/>
      <c r="Z283" s="105"/>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192"/>
      <c r="BK283" s="192"/>
      <c r="BL283" s="192"/>
      <c r="BM283" s="192"/>
      <c r="BN283" s="192"/>
      <c r="BO283" s="192"/>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36"/>
      <c r="E284" s="88">
        <v>1</v>
      </c>
      <c r="F284" s="27"/>
      <c r="G284" s="212"/>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192"/>
      <c r="BK284" s="192"/>
      <c r="BL284" s="192"/>
      <c r="BM284" s="192"/>
      <c r="BN284" s="192"/>
      <c r="BO284" s="192"/>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36"/>
      <c r="E285" s="88">
        <v>2</v>
      </c>
      <c r="F285" s="27"/>
      <c r="G285" s="213"/>
      <c r="H285" s="151"/>
      <c r="I285" s="70">
        <f>IF(A16taxstdlife="n/a","n/a",IF(I$3&gt;(A16taxstdlife+$E285),(Input!$H$56-Input!$H$90)-SUM($H285:H285),(Input!$H$56-Input!$H$90)/A16taxstdlife))</f>
        <v>5.193468739222099E-3</v>
      </c>
      <c r="J285" s="70">
        <f>IF(A16taxstdlife="n/a","n/a",IF(J$3&gt;(A16taxstdlife+$E285),(Input!$H$56-Input!$H$90)-SUM($H285:I285),(Input!$H$56-Input!$H$90)/A16taxstdlife))</f>
        <v>5.193468739222099E-3</v>
      </c>
      <c r="K285" s="70">
        <f>IF(A16taxstdlife="n/a","n/a",IF(K$3&gt;(A16taxstdlife+$E285),(Input!$H$56-Input!$H$90)-SUM($H285:J285),(Input!$H$56-Input!$H$90)/A16taxstdlife))</f>
        <v>5.193468739222099E-3</v>
      </c>
      <c r="L285" s="70">
        <f>IF(A16taxstdlife="n/a","n/a",IF(L$3&gt;(A16taxstdlife+$E285),(Input!$H$56-Input!$H$90)-SUM($H285:K285),(Input!$H$56-Input!$H$90)/A16taxstdlife))</f>
        <v>5.193468739222099E-3</v>
      </c>
      <c r="M285" s="70">
        <f>IF(A16taxstdlife="n/a","n/a",IF(M$3&gt;(A16taxstdlife+$E285),(Input!$H$56-Input!$H$90)-SUM($H285:L285),(Input!$H$56-Input!$H$90)/A16taxstdlife))</f>
        <v>5.193468739222099E-3</v>
      </c>
      <c r="N285" s="70">
        <f>IF(A16taxstdlife="n/a","n/a",IF(N$3&gt;(A16taxstdlife+$E285),(Input!$H$56-Input!$H$90)-SUM($H285:M285),(Input!$H$56-Input!$H$90)/A16taxstdlife))</f>
        <v>5.193468739222099E-3</v>
      </c>
      <c r="O285" s="70">
        <f>IF(A16taxstdlife="n/a","n/a",IF(O$3&gt;(A16taxstdlife+$E285),(Input!$H$56-Input!$H$90)-SUM($H285:N285),(Input!$H$56-Input!$H$90)/A16taxstdlife))</f>
        <v>5.193468739222099E-3</v>
      </c>
      <c r="P285" s="70">
        <f>IF(A16taxstdlife="n/a","n/a",IF(P$3&gt;(A16taxstdlife+$E285),(Input!$H$56-Input!$H$90)-SUM($H285:O285),(Input!$H$56-Input!$H$90)/A16taxstdlife))</f>
        <v>5.193468739222099E-3</v>
      </c>
      <c r="Q285" s="70">
        <f>IF(A16taxstdlife="n/a","n/a",IF(Q$3&gt;(A16taxstdlife+$E285),(Input!$H$56-Input!$H$90)-SUM($H285:P285),(Input!$H$56-Input!$H$90)/A16taxstdlife))</f>
        <v>5.193468739222099E-3</v>
      </c>
      <c r="R285" s="70"/>
      <c r="S285" s="105"/>
      <c r="T285" s="105"/>
      <c r="U285" s="105"/>
      <c r="V285" s="105"/>
      <c r="W285" s="105"/>
      <c r="X285" s="105"/>
      <c r="Y285" s="105"/>
      <c r="Z285" s="105"/>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192"/>
      <c r="BK285" s="192"/>
      <c r="BL285" s="192"/>
      <c r="BM285" s="192"/>
      <c r="BN285" s="192"/>
      <c r="BO285" s="192"/>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36"/>
      <c r="E286" s="88">
        <v>3</v>
      </c>
      <c r="F286" s="27"/>
      <c r="G286" s="213"/>
      <c r="H286" s="152"/>
      <c r="I286" s="151"/>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192"/>
      <c r="BK286" s="192"/>
      <c r="BL286" s="192"/>
      <c r="BM286" s="192"/>
      <c r="BN286" s="192"/>
      <c r="BO286" s="192"/>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36"/>
      <c r="E287" s="88">
        <v>4</v>
      </c>
      <c r="F287" s="27"/>
      <c r="G287" s="213"/>
      <c r="H287" s="152"/>
      <c r="I287" s="152"/>
      <c r="J287" s="151"/>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192"/>
      <c r="BK287" s="192"/>
      <c r="BL287" s="192"/>
      <c r="BM287" s="192"/>
      <c r="BN287" s="192"/>
      <c r="BO287" s="192"/>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36"/>
      <c r="E288" s="88">
        <v>5</v>
      </c>
      <c r="F288" s="27"/>
      <c r="G288" s="213"/>
      <c r="H288" s="152"/>
      <c r="I288" s="152"/>
      <c r="J288" s="152"/>
      <c r="K288" s="151"/>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192"/>
      <c r="BK288" s="192"/>
      <c r="BL288" s="192"/>
      <c r="BM288" s="192"/>
      <c r="BN288" s="192"/>
      <c r="BO288" s="192"/>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36"/>
      <c r="E289" s="88">
        <v>6</v>
      </c>
      <c r="F289" s="27"/>
      <c r="G289" s="213"/>
      <c r="H289" s="152"/>
      <c r="I289" s="152"/>
      <c r="J289" s="152"/>
      <c r="K289" s="152"/>
      <c r="L289" s="151"/>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192"/>
      <c r="BK289" s="192"/>
      <c r="BL289" s="192"/>
      <c r="BM289" s="192"/>
      <c r="BN289" s="192"/>
      <c r="BO289" s="192"/>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36"/>
      <c r="E290" s="88">
        <v>7</v>
      </c>
      <c r="F290" s="27"/>
      <c r="G290" s="213"/>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3"/>
      <c r="BK290" s="192"/>
      <c r="BL290" s="192"/>
      <c r="BM290" s="192"/>
      <c r="BN290" s="192"/>
      <c r="BO290" s="192"/>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36"/>
      <c r="E291" s="88">
        <v>8</v>
      </c>
      <c r="F291" s="27"/>
      <c r="G291" s="213"/>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192"/>
      <c r="BK291" s="192"/>
      <c r="BL291" s="192"/>
      <c r="BM291" s="192"/>
      <c r="BN291" s="192"/>
      <c r="BO291" s="192"/>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36"/>
      <c r="E292" s="88">
        <v>9</v>
      </c>
      <c r="F292" s="27"/>
      <c r="G292" s="213"/>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192"/>
      <c r="BK292" s="192"/>
      <c r="BL292" s="192"/>
      <c r="BM292" s="192"/>
      <c r="BN292" s="192"/>
      <c r="BO292" s="1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36"/>
      <c r="E293" s="88">
        <v>10</v>
      </c>
      <c r="F293" s="27"/>
      <c r="G293" s="213"/>
      <c r="H293" s="152"/>
      <c r="I293" s="152"/>
      <c r="J293" s="152"/>
      <c r="K293" s="152"/>
      <c r="L293" s="152"/>
      <c r="M293" s="152"/>
      <c r="N293" s="152"/>
      <c r="O293" s="152"/>
      <c r="P293" s="151"/>
      <c r="Q293" s="70">
        <f>IF(A16taxstdlife="n/a","n/a",IF(Q$3&gt;(A16taxstdlife+$E293),(Input!$P$56-Input!$P$90)-SUM($P293:P293),(Input!$P$56-Input!$P$90)/A16taxstdlife))</f>
        <v>0</v>
      </c>
      <c r="R293" s="70"/>
      <c r="S293" s="105"/>
      <c r="T293" s="105"/>
      <c r="U293" s="105"/>
      <c r="V293" s="105"/>
      <c r="W293" s="105"/>
      <c r="X293" s="105"/>
      <c r="Y293" s="105"/>
      <c r="Z293" s="105"/>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192"/>
      <c r="BK293" s="192"/>
      <c r="BL293" s="192"/>
      <c r="BM293" s="192"/>
      <c r="BN293" s="192"/>
      <c r="BO293" s="192"/>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36"/>
      <c r="E294" s="89">
        <v>11</v>
      </c>
      <c r="F294" s="27"/>
      <c r="G294" s="213"/>
      <c r="H294" s="152"/>
      <c r="I294" s="152"/>
      <c r="J294" s="152"/>
      <c r="K294" s="152"/>
      <c r="L294" s="152"/>
      <c r="M294" s="152"/>
      <c r="N294" s="152"/>
      <c r="O294" s="152"/>
      <c r="P294" s="194"/>
      <c r="Q294" s="151"/>
      <c r="R294" s="70"/>
      <c r="S294" s="105"/>
      <c r="T294" s="105"/>
      <c r="U294" s="105"/>
      <c r="V294" s="105"/>
      <c r="W294" s="105"/>
      <c r="X294" s="105"/>
      <c r="Y294" s="105"/>
      <c r="Z294" s="105"/>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192"/>
      <c r="BK294" s="192"/>
      <c r="BL294" s="192"/>
      <c r="BM294" s="192"/>
      <c r="BN294" s="192"/>
      <c r="BO294" s="192"/>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Equity raising costs</v>
      </c>
      <c r="D295" s="9"/>
      <c r="E295" s="9"/>
      <c r="F295" s="23"/>
      <c r="G295" s="214">
        <f t="shared" ref="G295:L295" si="50">-SUM(G282:G294)</f>
        <v>0</v>
      </c>
      <c r="H295" s="168">
        <f t="shared" si="50"/>
        <v>0</v>
      </c>
      <c r="I295" s="168">
        <f t="shared" si="50"/>
        <v>-5.193468739222099E-3</v>
      </c>
      <c r="J295" s="168">
        <f t="shared" si="50"/>
        <v>-5.193468739222099E-3</v>
      </c>
      <c r="K295" s="168">
        <f t="shared" si="50"/>
        <v>-5.193468739222099E-3</v>
      </c>
      <c r="L295" s="168">
        <f t="shared" si="50"/>
        <v>-5.193468739222099E-3</v>
      </c>
      <c r="M295" s="168">
        <f>IF(Input!M173&gt;0, -SUM(M282:M294), 0)</f>
        <v>0</v>
      </c>
      <c r="N295" s="168">
        <f>IF(Input!N173&gt;0, -SUM(N282:N294), 0)</f>
        <v>0</v>
      </c>
      <c r="O295" s="168">
        <f>IF(Input!O173&gt;0, -SUM(O282:O294), 0)</f>
        <v>0</v>
      </c>
      <c r="P295" s="168">
        <f>IF(Input!P173&gt;0, -SUM(P282:P294), 0)</f>
        <v>0</v>
      </c>
      <c r="Q295" s="168">
        <f>IF(Input!Q173&gt;0, -SUM(Q282:Q294), 0)</f>
        <v>0</v>
      </c>
      <c r="R295" s="66"/>
      <c r="S295" s="104"/>
      <c r="T295" s="104"/>
      <c r="U295" s="104"/>
      <c r="V295" s="104"/>
      <c r="W295" s="104"/>
      <c r="X295" s="104"/>
      <c r="Y295" s="104"/>
      <c r="Z295" s="104"/>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192"/>
      <c r="BK295" s="192"/>
      <c r="BL295" s="192"/>
      <c r="BM295" s="192"/>
      <c r="BN295" s="192"/>
      <c r="BO295" s="192"/>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3">
        <f>Asset17</f>
        <v>0</v>
      </c>
      <c r="C296" s="33"/>
      <c r="D296" s="34" t="s">
        <v>69</v>
      </c>
      <c r="E296" s="33"/>
      <c r="F296" s="35"/>
      <c r="G296" s="210">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192"/>
      <c r="BK296" s="192"/>
      <c r="BL296" s="192"/>
      <c r="BM296" s="192"/>
      <c r="BN296" s="192"/>
      <c r="BO296" s="192"/>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35" t="s">
        <v>87</v>
      </c>
      <c r="E297" s="88">
        <v>0</v>
      </c>
      <c r="F297" s="27"/>
      <c r="G297" s="211"/>
      <c r="H297" s="70"/>
      <c r="I297" s="70"/>
      <c r="J297" s="70"/>
      <c r="K297" s="70"/>
      <c r="L297" s="70"/>
      <c r="M297" s="70"/>
      <c r="N297" s="70"/>
      <c r="O297" s="70"/>
      <c r="P297" s="70"/>
      <c r="Q297" s="70"/>
      <c r="R297" s="70"/>
      <c r="S297" s="105"/>
      <c r="T297" s="105"/>
      <c r="U297" s="105"/>
      <c r="V297" s="105"/>
      <c r="W297" s="105"/>
      <c r="X297" s="105"/>
      <c r="Y297" s="105"/>
      <c r="Z297" s="105"/>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192"/>
      <c r="BK297" s="192"/>
      <c r="BL297" s="192"/>
      <c r="BM297" s="192"/>
      <c r="BN297" s="192"/>
      <c r="BO297" s="192"/>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36"/>
      <c r="E298" s="88">
        <v>1</v>
      </c>
      <c r="F298" s="27"/>
      <c r="G298" s="212"/>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192"/>
      <c r="BK298" s="192"/>
      <c r="BL298" s="192"/>
      <c r="BM298" s="192"/>
      <c r="BN298" s="192"/>
      <c r="BO298" s="192"/>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36"/>
      <c r="E299" s="88">
        <v>2</v>
      </c>
      <c r="F299" s="27"/>
      <c r="G299" s="213"/>
      <c r="H299" s="151"/>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192"/>
      <c r="BK299" s="192"/>
      <c r="BL299" s="192"/>
      <c r="BM299" s="192"/>
      <c r="BN299" s="192"/>
      <c r="BO299" s="192"/>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36"/>
      <c r="E300" s="88">
        <v>3</v>
      </c>
      <c r="F300" s="27"/>
      <c r="G300" s="213"/>
      <c r="H300" s="152"/>
      <c r="I300" s="151"/>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192"/>
      <c r="BK300" s="192"/>
      <c r="BL300" s="192"/>
      <c r="BM300" s="192"/>
      <c r="BN300" s="192"/>
      <c r="BO300" s="192"/>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36"/>
      <c r="E301" s="88">
        <v>4</v>
      </c>
      <c r="F301" s="27"/>
      <c r="G301" s="213"/>
      <c r="H301" s="152"/>
      <c r="I301" s="152"/>
      <c r="J301" s="151"/>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192"/>
      <c r="BK301" s="192"/>
      <c r="BL301" s="192"/>
      <c r="BM301" s="192"/>
      <c r="BN301" s="192"/>
      <c r="BO301" s="192"/>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36"/>
      <c r="E302" s="88">
        <v>5</v>
      </c>
      <c r="F302" s="27"/>
      <c r="G302" s="213"/>
      <c r="H302" s="152"/>
      <c r="I302" s="152"/>
      <c r="J302" s="152"/>
      <c r="K302" s="151"/>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192"/>
      <c r="BK302" s="192"/>
      <c r="BL302" s="192"/>
      <c r="BM302" s="192"/>
      <c r="BN302" s="192"/>
      <c r="BO302" s="19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36"/>
      <c r="E303" s="88">
        <v>6</v>
      </c>
      <c r="F303" s="27"/>
      <c r="G303" s="213"/>
      <c r="H303" s="152"/>
      <c r="I303" s="152"/>
      <c r="J303" s="152"/>
      <c r="K303" s="152"/>
      <c r="L303" s="151"/>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192"/>
      <c r="BK303" s="192"/>
      <c r="BL303" s="192"/>
      <c r="BM303" s="192"/>
      <c r="BN303" s="192"/>
      <c r="BO303" s="192"/>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36"/>
      <c r="E304" s="88">
        <v>7</v>
      </c>
      <c r="F304" s="27"/>
      <c r="G304" s="213"/>
      <c r="H304" s="152"/>
      <c r="I304" s="152"/>
      <c r="J304" s="152"/>
      <c r="K304" s="152"/>
      <c r="L304" s="152"/>
      <c r="M304" s="151"/>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192"/>
      <c r="BK304" s="192"/>
      <c r="BL304" s="192"/>
      <c r="BM304" s="192"/>
      <c r="BN304" s="192"/>
      <c r="BO304" s="192"/>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36"/>
      <c r="E305" s="88">
        <v>8</v>
      </c>
      <c r="F305" s="27"/>
      <c r="G305" s="213"/>
      <c r="H305" s="152"/>
      <c r="I305" s="152"/>
      <c r="J305" s="152"/>
      <c r="K305" s="152"/>
      <c r="L305" s="152"/>
      <c r="M305" s="152"/>
      <c r="N305" s="151"/>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192"/>
      <c r="BK305" s="192"/>
      <c r="BL305" s="192"/>
      <c r="BM305" s="192"/>
      <c r="BN305" s="192"/>
      <c r="BO305" s="192"/>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36"/>
      <c r="E306" s="88">
        <v>9</v>
      </c>
      <c r="F306" s="27"/>
      <c r="G306" s="213"/>
      <c r="H306" s="152"/>
      <c r="I306" s="152"/>
      <c r="J306" s="152"/>
      <c r="K306" s="152"/>
      <c r="L306" s="152"/>
      <c r="M306" s="152"/>
      <c r="N306" s="152"/>
      <c r="O306" s="151"/>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192"/>
      <c r="BK306" s="192"/>
      <c r="BL306" s="192"/>
      <c r="BM306" s="192"/>
      <c r="BN306" s="192"/>
      <c r="BO306" s="192"/>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36"/>
      <c r="E307" s="88">
        <v>10</v>
      </c>
      <c r="F307" s="27"/>
      <c r="G307" s="213"/>
      <c r="H307" s="152"/>
      <c r="I307" s="152"/>
      <c r="J307" s="152"/>
      <c r="K307" s="152"/>
      <c r="L307" s="152"/>
      <c r="M307" s="152"/>
      <c r="N307" s="152"/>
      <c r="O307" s="152"/>
      <c r="P307" s="151"/>
      <c r="Q307" s="70">
        <f>IF(A17taxstdlife="n/a","n/a",IF(Q$3&gt;(A17taxstdlife+$E307),(Input!$P$57-Input!$P$91)-SUM($P307:P307),(Input!$P$57-Input!$P$91)/A17taxstdlife))</f>
        <v>0</v>
      </c>
      <c r="R307" s="70"/>
      <c r="S307" s="105"/>
      <c r="T307" s="105"/>
      <c r="U307" s="105"/>
      <c r="V307" s="105"/>
      <c r="W307" s="105"/>
      <c r="X307" s="105"/>
      <c r="Y307" s="105"/>
      <c r="Z307" s="105"/>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192"/>
      <c r="BK307" s="192"/>
      <c r="BL307" s="192"/>
      <c r="BM307" s="192"/>
      <c r="BN307" s="192"/>
      <c r="BO307" s="192"/>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36"/>
      <c r="E308" s="89">
        <v>11</v>
      </c>
      <c r="F308" s="27"/>
      <c r="G308" s="213"/>
      <c r="H308" s="152"/>
      <c r="I308" s="152"/>
      <c r="J308" s="152"/>
      <c r="K308" s="152"/>
      <c r="L308" s="152"/>
      <c r="M308" s="152"/>
      <c r="N308" s="152"/>
      <c r="O308" s="152"/>
      <c r="P308" s="194"/>
      <c r="Q308" s="151"/>
      <c r="R308" s="70"/>
      <c r="S308" s="105"/>
      <c r="T308" s="105"/>
      <c r="U308" s="105"/>
      <c r="V308" s="105"/>
      <c r="W308" s="105"/>
      <c r="X308" s="105"/>
      <c r="Y308" s="105"/>
      <c r="Z308" s="105"/>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192"/>
      <c r="BK308" s="192"/>
      <c r="BL308" s="192"/>
      <c r="BM308" s="192"/>
      <c r="BN308" s="192"/>
      <c r="BO308" s="192"/>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f>Asset17</f>
        <v>0</v>
      </c>
      <c r="D309" s="9"/>
      <c r="E309" s="9"/>
      <c r="F309" s="23"/>
      <c r="G309" s="214">
        <f t="shared" ref="G309:L309" si="51">-SUM(G296:G308)</f>
        <v>0</v>
      </c>
      <c r="H309" s="168">
        <f t="shared" si="51"/>
        <v>0</v>
      </c>
      <c r="I309" s="168">
        <f t="shared" si="51"/>
        <v>0</v>
      </c>
      <c r="J309" s="168">
        <f t="shared" si="51"/>
        <v>0</v>
      </c>
      <c r="K309" s="168">
        <f t="shared" si="51"/>
        <v>0</v>
      </c>
      <c r="L309" s="168">
        <f t="shared" si="51"/>
        <v>0</v>
      </c>
      <c r="M309" s="168">
        <f>IF(Input!M173&gt;0, -SUM(M296:M308), 0)</f>
        <v>0</v>
      </c>
      <c r="N309" s="168">
        <f>IF(Input!N173&gt;0, -SUM(N296:N308), 0)</f>
        <v>0</v>
      </c>
      <c r="O309" s="168">
        <f>IF(Input!O173&gt;0, -SUM(O296:O308), 0)</f>
        <v>0</v>
      </c>
      <c r="P309" s="168">
        <f>IF(Input!P173&gt;0, -SUM(P296:P308), 0)</f>
        <v>0</v>
      </c>
      <c r="Q309" s="168">
        <f>IF(Input!Q173&gt;0, -SUM(Q296:Q308), 0)</f>
        <v>0</v>
      </c>
      <c r="R309" s="66"/>
      <c r="S309" s="104"/>
      <c r="T309" s="104"/>
      <c r="U309" s="104"/>
      <c r="V309" s="104"/>
      <c r="W309" s="104"/>
      <c r="X309" s="104"/>
      <c r="Y309" s="104"/>
      <c r="Z309" s="104"/>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192"/>
      <c r="BK309" s="192"/>
      <c r="BL309" s="192"/>
      <c r="BM309" s="192"/>
      <c r="BN309" s="192"/>
      <c r="BO309" s="192"/>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3">
        <f>Asset18</f>
        <v>0</v>
      </c>
      <c r="C310" s="33"/>
      <c r="D310" s="34" t="s">
        <v>69</v>
      </c>
      <c r="E310" s="33"/>
      <c r="F310" s="35"/>
      <c r="G310" s="210">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192"/>
      <c r="BK310" s="192"/>
      <c r="BL310" s="192"/>
      <c r="BM310" s="192"/>
      <c r="BN310" s="192"/>
      <c r="BO310" s="192"/>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35" t="s">
        <v>87</v>
      </c>
      <c r="E311" s="88">
        <v>0</v>
      </c>
      <c r="F311" s="27"/>
      <c r="G311" s="211"/>
      <c r="H311" s="70"/>
      <c r="I311" s="70"/>
      <c r="J311" s="70"/>
      <c r="K311" s="70"/>
      <c r="L311" s="70"/>
      <c r="M311" s="70"/>
      <c r="N311" s="70"/>
      <c r="O311" s="70"/>
      <c r="P311" s="70"/>
      <c r="Q311" s="70"/>
      <c r="R311" s="70"/>
      <c r="S311" s="105"/>
      <c r="T311" s="105"/>
      <c r="U311" s="105"/>
      <c r="V311" s="105"/>
      <c r="W311" s="105"/>
      <c r="X311" s="105"/>
      <c r="Y311" s="105"/>
      <c r="Z311" s="105"/>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192"/>
      <c r="BK311" s="192"/>
      <c r="BL311" s="192"/>
      <c r="BM311" s="192"/>
      <c r="BN311" s="192"/>
      <c r="BO311" s="192"/>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36"/>
      <c r="E312" s="88">
        <v>1</v>
      </c>
      <c r="F312" s="27"/>
      <c r="G312" s="212"/>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192"/>
      <c r="BK312" s="192"/>
      <c r="BL312" s="192"/>
      <c r="BM312" s="192"/>
      <c r="BN312" s="192"/>
      <c r="BO312" s="19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36"/>
      <c r="E313" s="88">
        <v>2</v>
      </c>
      <c r="F313" s="27"/>
      <c r="G313" s="213"/>
      <c r="H313" s="151"/>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192"/>
      <c r="BK313" s="192"/>
      <c r="BL313" s="192"/>
      <c r="BM313" s="192"/>
      <c r="BN313" s="192"/>
      <c r="BO313" s="192"/>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36"/>
      <c r="E314" s="88">
        <v>3</v>
      </c>
      <c r="F314" s="27"/>
      <c r="G314" s="213"/>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192"/>
      <c r="BK314" s="192"/>
      <c r="BL314" s="192"/>
      <c r="BM314" s="192"/>
      <c r="BN314" s="192"/>
      <c r="BO314" s="192"/>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36"/>
      <c r="E315" s="88">
        <v>4</v>
      </c>
      <c r="F315" s="27"/>
      <c r="G315" s="213"/>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192"/>
      <c r="BK315" s="192"/>
      <c r="BL315" s="192"/>
      <c r="BM315" s="192"/>
      <c r="BN315" s="192"/>
      <c r="BO315" s="192"/>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36"/>
      <c r="E316" s="88">
        <v>5</v>
      </c>
      <c r="F316" s="27"/>
      <c r="G316" s="213"/>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192"/>
      <c r="BK316" s="192"/>
      <c r="BL316" s="192"/>
      <c r="BM316" s="192"/>
      <c r="BN316" s="192"/>
      <c r="BO316" s="192"/>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36"/>
      <c r="E317" s="88">
        <v>6</v>
      </c>
      <c r="F317" s="27"/>
      <c r="G317" s="213"/>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192"/>
      <c r="BK317" s="192"/>
      <c r="BL317" s="192"/>
      <c r="BM317" s="192"/>
      <c r="BN317" s="192"/>
      <c r="BO317" s="192"/>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36"/>
      <c r="E318" s="88">
        <v>7</v>
      </c>
      <c r="F318" s="27"/>
      <c r="G318" s="213"/>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192"/>
      <c r="BK318" s="192"/>
      <c r="BL318" s="192"/>
      <c r="BM318" s="192"/>
      <c r="BN318" s="192"/>
      <c r="BO318" s="192"/>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36"/>
      <c r="E319" s="88">
        <v>8</v>
      </c>
      <c r="F319" s="27"/>
      <c r="G319" s="213"/>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192"/>
      <c r="BK319" s="192"/>
      <c r="BL319" s="192"/>
      <c r="BM319" s="192"/>
      <c r="BN319" s="192"/>
      <c r="BO319" s="192"/>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36"/>
      <c r="E320" s="88">
        <v>9</v>
      </c>
      <c r="F320" s="27"/>
      <c r="G320" s="213"/>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192"/>
      <c r="BK320" s="192"/>
      <c r="BL320" s="192"/>
      <c r="BM320" s="192"/>
      <c r="BN320" s="192"/>
      <c r="BO320" s="192"/>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36"/>
      <c r="E321" s="88">
        <v>10</v>
      </c>
      <c r="F321" s="27"/>
      <c r="G321" s="213"/>
      <c r="H321" s="152"/>
      <c r="I321" s="152"/>
      <c r="J321" s="152"/>
      <c r="K321" s="152"/>
      <c r="L321" s="152"/>
      <c r="M321" s="152"/>
      <c r="N321" s="152"/>
      <c r="O321" s="152"/>
      <c r="P321" s="151"/>
      <c r="Q321" s="70">
        <f>IF(A18taxstdlife="n/a","n/a",IF(Q$3&gt;(A18taxstdlife+$E321),(Input!$P$58-Input!$P$92)-SUM($P321:P321),(Input!$P$58-Input!$P$92)/A18taxstdlife))</f>
        <v>0</v>
      </c>
      <c r="R321" s="70"/>
      <c r="S321" s="105"/>
      <c r="T321" s="105"/>
      <c r="U321" s="105"/>
      <c r="V321" s="105"/>
      <c r="W321" s="105"/>
      <c r="X321" s="105"/>
      <c r="Y321" s="105"/>
      <c r="Z321" s="105"/>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192"/>
      <c r="BK321" s="192"/>
      <c r="BL321" s="192"/>
      <c r="BM321" s="192"/>
      <c r="BN321" s="192"/>
      <c r="BO321" s="192"/>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36"/>
      <c r="E322" s="89">
        <v>11</v>
      </c>
      <c r="F322" s="27"/>
      <c r="G322" s="213"/>
      <c r="H322" s="152"/>
      <c r="I322" s="152"/>
      <c r="J322" s="152"/>
      <c r="K322" s="152"/>
      <c r="L322" s="152"/>
      <c r="M322" s="152"/>
      <c r="N322" s="152"/>
      <c r="O322" s="152"/>
      <c r="P322" s="194"/>
      <c r="Q322" s="151"/>
      <c r="R322" s="70"/>
      <c r="S322" s="105"/>
      <c r="T322" s="105"/>
      <c r="U322" s="105"/>
      <c r="V322" s="105"/>
      <c r="W322" s="105"/>
      <c r="X322" s="105"/>
      <c r="Y322" s="105"/>
      <c r="Z322" s="105"/>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192"/>
      <c r="BK322" s="192"/>
      <c r="BL322" s="192"/>
      <c r="BM322" s="192"/>
      <c r="BN322" s="192"/>
      <c r="BO322" s="19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f>Asset18</f>
        <v>0</v>
      </c>
      <c r="D323" s="9"/>
      <c r="E323" s="9"/>
      <c r="F323" s="23"/>
      <c r="G323" s="214">
        <f t="shared" ref="G323:L323" si="52">-SUM(G310:G322)</f>
        <v>0</v>
      </c>
      <c r="H323" s="168">
        <f t="shared" si="52"/>
        <v>0</v>
      </c>
      <c r="I323" s="168">
        <f t="shared" si="52"/>
        <v>0</v>
      </c>
      <c r="J323" s="168">
        <f t="shared" si="52"/>
        <v>0</v>
      </c>
      <c r="K323" s="168">
        <f t="shared" si="52"/>
        <v>0</v>
      </c>
      <c r="L323" s="168">
        <f t="shared" si="52"/>
        <v>0</v>
      </c>
      <c r="M323" s="168">
        <f>IF(Input!M173&gt;0, -SUM(M310:M322), 0)</f>
        <v>0</v>
      </c>
      <c r="N323" s="168">
        <f>IF(Input!N173&gt;0, -SUM(N310:N322), 0)</f>
        <v>0</v>
      </c>
      <c r="O323" s="168">
        <f>IF(Input!O173&gt;0, -SUM(O310:O322), 0)</f>
        <v>0</v>
      </c>
      <c r="P323" s="168">
        <f>IF(Input!P173&gt;0, -SUM(P310:P322), 0)</f>
        <v>0</v>
      </c>
      <c r="Q323" s="168">
        <f>IF(Input!Q173&gt;0, -SUM(Q310:Q322), 0)</f>
        <v>0</v>
      </c>
      <c r="R323" s="66"/>
      <c r="S323" s="104"/>
      <c r="T323" s="104"/>
      <c r="U323" s="104"/>
      <c r="V323" s="104"/>
      <c r="W323" s="104"/>
      <c r="X323" s="104"/>
      <c r="Y323" s="104"/>
      <c r="Z323" s="104"/>
      <c r="AA323" s="222"/>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222"/>
      <c r="BE323" s="222"/>
      <c r="BF323" s="222"/>
      <c r="BG323" s="222"/>
      <c r="BH323" s="222"/>
      <c r="BI323" s="222"/>
      <c r="BJ323" s="192"/>
      <c r="BK323" s="192"/>
      <c r="BL323" s="192"/>
      <c r="BM323" s="192"/>
      <c r="BN323" s="192"/>
      <c r="BO323" s="192"/>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3">
        <f>Asset19</f>
        <v>0</v>
      </c>
      <c r="C324" s="33"/>
      <c r="D324" s="34" t="s">
        <v>69</v>
      </c>
      <c r="E324" s="33"/>
      <c r="F324" s="35"/>
      <c r="G324" s="210">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192"/>
      <c r="BK324" s="192"/>
      <c r="BL324" s="192"/>
      <c r="BM324" s="192"/>
      <c r="BN324" s="192"/>
      <c r="BO324" s="192"/>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35" t="s">
        <v>87</v>
      </c>
      <c r="E325" s="88">
        <v>0</v>
      </c>
      <c r="F325" s="27"/>
      <c r="G325" s="211"/>
      <c r="H325" s="70"/>
      <c r="I325" s="70"/>
      <c r="J325" s="70"/>
      <c r="K325" s="70"/>
      <c r="L325" s="70"/>
      <c r="M325" s="70"/>
      <c r="N325" s="70"/>
      <c r="O325" s="70"/>
      <c r="P325" s="70"/>
      <c r="Q325" s="70"/>
      <c r="R325" s="70"/>
      <c r="S325" s="105"/>
      <c r="T325" s="105"/>
      <c r="U325" s="105"/>
      <c r="V325" s="105"/>
      <c r="W325" s="105"/>
      <c r="X325" s="105"/>
      <c r="Y325" s="105"/>
      <c r="Z325" s="105"/>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192"/>
      <c r="BK325" s="192"/>
      <c r="BL325" s="192"/>
      <c r="BM325" s="192"/>
      <c r="BN325" s="192"/>
      <c r="BO325" s="192"/>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36"/>
      <c r="E326" s="88">
        <v>1</v>
      </c>
      <c r="F326" s="27"/>
      <c r="G326" s="212"/>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192"/>
      <c r="BK326" s="192"/>
      <c r="BL326" s="192"/>
      <c r="BM326" s="192"/>
      <c r="BN326" s="192"/>
      <c r="BO326" s="192"/>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36"/>
      <c r="E327" s="88">
        <v>2</v>
      </c>
      <c r="F327" s="27"/>
      <c r="G327" s="213"/>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192"/>
      <c r="BK327" s="192"/>
      <c r="BL327" s="192"/>
      <c r="BM327" s="192"/>
      <c r="BN327" s="192"/>
      <c r="BO327" s="192"/>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36"/>
      <c r="E328" s="88">
        <v>3</v>
      </c>
      <c r="F328" s="27"/>
      <c r="G328" s="213"/>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192"/>
      <c r="BK328" s="192"/>
      <c r="BL328" s="192"/>
      <c r="BM328" s="192"/>
      <c r="BN328" s="192"/>
      <c r="BO328" s="192"/>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36"/>
      <c r="E329" s="88">
        <v>4</v>
      </c>
      <c r="F329" s="27"/>
      <c r="G329" s="213"/>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192"/>
      <c r="BK329" s="192"/>
      <c r="BL329" s="192"/>
      <c r="BM329" s="192"/>
      <c r="BN329" s="192"/>
      <c r="BO329" s="192"/>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36"/>
      <c r="E330" s="88">
        <v>5</v>
      </c>
      <c r="F330" s="27"/>
      <c r="G330" s="213"/>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192"/>
      <c r="BK330" s="192"/>
      <c r="BL330" s="192"/>
      <c r="BM330" s="192"/>
      <c r="BN330" s="192"/>
      <c r="BO330" s="192"/>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36"/>
      <c r="E331" s="88">
        <v>6</v>
      </c>
      <c r="F331" s="27"/>
      <c r="G331" s="213"/>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192"/>
      <c r="BK331" s="192"/>
      <c r="BL331" s="192"/>
      <c r="BM331" s="192"/>
      <c r="BN331" s="192"/>
      <c r="BO331" s="192"/>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36"/>
      <c r="E332" s="88">
        <v>7</v>
      </c>
      <c r="F332" s="27"/>
      <c r="G332" s="213"/>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192"/>
      <c r="BK332" s="192"/>
      <c r="BL332" s="192"/>
      <c r="BM332" s="192"/>
      <c r="BN332" s="192"/>
      <c r="BO332" s="19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36"/>
      <c r="E333" s="88">
        <v>8</v>
      </c>
      <c r="F333" s="27"/>
      <c r="G333" s="213"/>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192"/>
      <c r="BK333" s="192"/>
      <c r="BL333" s="192"/>
      <c r="BM333" s="192"/>
      <c r="BN333" s="192"/>
      <c r="BO333" s="192"/>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36"/>
      <c r="E334" s="88">
        <v>9</v>
      </c>
      <c r="F334" s="27"/>
      <c r="G334" s="213"/>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192"/>
      <c r="BK334" s="192"/>
      <c r="BL334" s="192"/>
      <c r="BM334" s="192"/>
      <c r="BN334" s="192"/>
      <c r="BO334" s="192"/>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36"/>
      <c r="E335" s="88">
        <v>10</v>
      </c>
      <c r="F335" s="27"/>
      <c r="G335" s="213"/>
      <c r="H335" s="152"/>
      <c r="I335" s="152"/>
      <c r="J335" s="152"/>
      <c r="K335" s="152"/>
      <c r="L335" s="152"/>
      <c r="M335" s="152"/>
      <c r="N335" s="152"/>
      <c r="O335" s="152"/>
      <c r="P335" s="151"/>
      <c r="Q335" s="70">
        <f>IF(A19taxstdlife="n/a","n/a",IF(Q$3&gt;(A19taxstdlife+$E335),(Input!$P$59-Input!$P$93)-SUM($P335:P335),(Input!$P$59-Input!$P$93)/A19taxstdlife))</f>
        <v>0</v>
      </c>
      <c r="R335" s="70"/>
      <c r="S335" s="105"/>
      <c r="T335" s="105"/>
      <c r="U335" s="105"/>
      <c r="V335" s="105"/>
      <c r="W335" s="105"/>
      <c r="X335" s="105"/>
      <c r="Y335" s="105"/>
      <c r="Z335" s="105"/>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192"/>
      <c r="BK335" s="192"/>
      <c r="BL335" s="192"/>
      <c r="BM335" s="192"/>
      <c r="BN335" s="192"/>
      <c r="BO335" s="192"/>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36"/>
      <c r="E336" s="89">
        <v>11</v>
      </c>
      <c r="F336" s="27"/>
      <c r="G336" s="213"/>
      <c r="H336" s="152"/>
      <c r="I336" s="152"/>
      <c r="J336" s="152"/>
      <c r="K336" s="152"/>
      <c r="L336" s="152"/>
      <c r="M336" s="152"/>
      <c r="N336" s="152"/>
      <c r="O336" s="152"/>
      <c r="P336" s="194"/>
      <c r="Q336" s="151"/>
      <c r="R336" s="70"/>
      <c r="S336" s="105"/>
      <c r="T336" s="105"/>
      <c r="U336" s="105"/>
      <c r="V336" s="105"/>
      <c r="W336" s="105"/>
      <c r="X336" s="105"/>
      <c r="Y336" s="105"/>
      <c r="Z336" s="105"/>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192"/>
      <c r="BK336" s="192"/>
      <c r="BL336" s="192"/>
      <c r="BM336" s="192"/>
      <c r="BN336" s="192"/>
      <c r="BO336" s="192"/>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4">
        <f t="shared" ref="G337:L337" si="53">-SUM(G324:G336)</f>
        <v>0</v>
      </c>
      <c r="H337" s="168">
        <f t="shared" si="53"/>
        <v>0</v>
      </c>
      <c r="I337" s="168">
        <f t="shared" si="53"/>
        <v>0</v>
      </c>
      <c r="J337" s="168">
        <f t="shared" si="53"/>
        <v>0</v>
      </c>
      <c r="K337" s="168">
        <f t="shared" si="53"/>
        <v>0</v>
      </c>
      <c r="L337" s="168">
        <f t="shared" si="53"/>
        <v>0</v>
      </c>
      <c r="M337" s="168">
        <f>IF(Input!M173&gt;0, -SUM(M324:M336), 0)</f>
        <v>0</v>
      </c>
      <c r="N337" s="168">
        <f>IF(Input!N173&gt;0, -SUM(N324:N336), 0)</f>
        <v>0</v>
      </c>
      <c r="O337" s="168">
        <f>IF(Input!O173&gt;0, -SUM(O324:O336), 0)</f>
        <v>0</v>
      </c>
      <c r="P337" s="168">
        <f>IF(Input!P173&gt;0, -SUM(P324:P336), 0)</f>
        <v>0</v>
      </c>
      <c r="Q337" s="168">
        <f>IF(Input!Q173&gt;0, -SUM(Q324:Q336), 0)</f>
        <v>0</v>
      </c>
      <c r="R337" s="66"/>
      <c r="S337" s="104"/>
      <c r="T337" s="104"/>
      <c r="U337" s="104"/>
      <c r="V337" s="104"/>
      <c r="W337" s="104"/>
      <c r="X337" s="104"/>
      <c r="Y337" s="104"/>
      <c r="Z337" s="104"/>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192"/>
      <c r="BK337" s="192"/>
      <c r="BL337" s="192"/>
      <c r="BM337" s="192"/>
      <c r="BN337" s="192"/>
      <c r="BO337" s="192"/>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3">
        <f>Asset20</f>
        <v>0</v>
      </c>
      <c r="C338" s="33"/>
      <c r="D338" s="34" t="s">
        <v>69</v>
      </c>
      <c r="E338" s="33"/>
      <c r="F338" s="35"/>
      <c r="G338" s="210">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192"/>
      <c r="BK338" s="192"/>
      <c r="BL338" s="192"/>
      <c r="BM338" s="192"/>
      <c r="BN338" s="192"/>
      <c r="BO338" s="192"/>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35" t="s">
        <v>87</v>
      </c>
      <c r="E339" s="88">
        <v>0</v>
      </c>
      <c r="F339" s="27"/>
      <c r="G339" s="211"/>
      <c r="H339" s="70"/>
      <c r="I339" s="70"/>
      <c r="J339" s="70"/>
      <c r="K339" s="70"/>
      <c r="L339" s="70"/>
      <c r="M339" s="70"/>
      <c r="N339" s="70"/>
      <c r="O339" s="70"/>
      <c r="P339" s="70"/>
      <c r="Q339" s="70"/>
      <c r="R339" s="70"/>
      <c r="S339" s="105"/>
      <c r="T339" s="105"/>
      <c r="U339" s="105"/>
      <c r="V339" s="105"/>
      <c r="W339" s="105"/>
      <c r="X339" s="105"/>
      <c r="Y339" s="105"/>
      <c r="Z339" s="105"/>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192"/>
      <c r="BK339" s="192"/>
      <c r="BL339" s="192"/>
      <c r="BM339" s="192"/>
      <c r="BN339" s="192"/>
      <c r="BO339" s="192"/>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36"/>
      <c r="E340" s="88">
        <v>1</v>
      </c>
      <c r="F340" s="27"/>
      <c r="G340" s="212"/>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192"/>
      <c r="BK340" s="192"/>
      <c r="BL340" s="192"/>
      <c r="BM340" s="192"/>
      <c r="BN340" s="192"/>
      <c r="BO340" s="192"/>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36"/>
      <c r="E341" s="88">
        <v>2</v>
      </c>
      <c r="F341" s="27"/>
      <c r="G341" s="213"/>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192"/>
      <c r="BK341" s="192"/>
      <c r="BL341" s="192"/>
      <c r="BM341" s="192"/>
      <c r="BN341" s="192"/>
      <c r="BO341" s="192"/>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36"/>
      <c r="E342" s="88">
        <v>3</v>
      </c>
      <c r="F342" s="27"/>
      <c r="G342" s="213"/>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3"/>
      <c r="BK342" s="192"/>
      <c r="BL342" s="192"/>
      <c r="BM342" s="192"/>
      <c r="BN342" s="192"/>
      <c r="BO342" s="19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36"/>
      <c r="E343" s="88">
        <v>4</v>
      </c>
      <c r="F343" s="27"/>
      <c r="G343" s="213"/>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192"/>
      <c r="BK343" s="192"/>
      <c r="BL343" s="192"/>
      <c r="BM343" s="192"/>
      <c r="BN343" s="192"/>
      <c r="BO343" s="192"/>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36"/>
      <c r="E344" s="88">
        <v>5</v>
      </c>
      <c r="F344" s="27"/>
      <c r="G344" s="213"/>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192"/>
      <c r="BK344" s="192"/>
      <c r="BL344" s="192"/>
      <c r="BM344" s="192"/>
      <c r="BN344" s="192"/>
      <c r="BO344" s="192"/>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36"/>
      <c r="E345" s="88">
        <v>6</v>
      </c>
      <c r="F345" s="27"/>
      <c r="G345" s="213"/>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192"/>
      <c r="BK345" s="192"/>
      <c r="BL345" s="192"/>
      <c r="BM345" s="192"/>
      <c r="BN345" s="192"/>
      <c r="BO345" s="192"/>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36"/>
      <c r="E346" s="88">
        <v>7</v>
      </c>
      <c r="F346" s="27"/>
      <c r="G346" s="213"/>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192"/>
      <c r="BK346" s="192"/>
      <c r="BL346" s="192"/>
      <c r="BM346" s="192"/>
      <c r="BN346" s="192"/>
      <c r="BO346" s="192"/>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36"/>
      <c r="E347" s="88">
        <v>8</v>
      </c>
      <c r="F347" s="27"/>
      <c r="G347" s="213"/>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192"/>
      <c r="BK347" s="192"/>
      <c r="BL347" s="192"/>
      <c r="BM347" s="192"/>
      <c r="BN347" s="192"/>
      <c r="BO347" s="192"/>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36"/>
      <c r="E348" s="88">
        <v>9</v>
      </c>
      <c r="F348" s="27"/>
      <c r="G348" s="213"/>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192"/>
      <c r="BK348" s="192"/>
      <c r="BL348" s="192"/>
      <c r="BM348" s="192"/>
      <c r="BN348" s="192"/>
      <c r="BO348" s="192"/>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36"/>
      <c r="E349" s="88">
        <v>10</v>
      </c>
      <c r="F349" s="27"/>
      <c r="G349" s="213"/>
      <c r="H349" s="152"/>
      <c r="I349" s="152"/>
      <c r="J349" s="152"/>
      <c r="K349" s="152"/>
      <c r="L349" s="152"/>
      <c r="M349" s="152"/>
      <c r="N349" s="152"/>
      <c r="O349" s="152"/>
      <c r="P349" s="151"/>
      <c r="Q349" s="70">
        <f>IF(A20taxstdlife="n/a","n/a",IF(Q$3&gt;(A20taxstdlife+$E349),(Input!$P$60-Input!$P$94)-SUM($P349:P349),(Input!$P$60-Input!$P$94)/A20taxstdlife))</f>
        <v>0</v>
      </c>
      <c r="R349" s="70"/>
      <c r="S349" s="105"/>
      <c r="T349" s="105"/>
      <c r="U349" s="105"/>
      <c r="V349" s="105"/>
      <c r="W349" s="105"/>
      <c r="X349" s="105"/>
      <c r="Y349" s="105"/>
      <c r="Z349" s="105"/>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192"/>
      <c r="BK349" s="192"/>
      <c r="BL349" s="192"/>
      <c r="BM349" s="192"/>
      <c r="BN349" s="192"/>
      <c r="BO349" s="192"/>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36"/>
      <c r="E350" s="89">
        <v>11</v>
      </c>
      <c r="F350" s="27"/>
      <c r="G350" s="213"/>
      <c r="H350" s="152"/>
      <c r="I350" s="152"/>
      <c r="J350" s="152"/>
      <c r="K350" s="152"/>
      <c r="L350" s="152"/>
      <c r="M350" s="152"/>
      <c r="N350" s="152"/>
      <c r="O350" s="152"/>
      <c r="P350" s="194"/>
      <c r="Q350" s="151"/>
      <c r="R350" s="70"/>
      <c r="S350" s="105"/>
      <c r="T350" s="105"/>
      <c r="U350" s="105"/>
      <c r="V350" s="105"/>
      <c r="W350" s="105"/>
      <c r="X350" s="105"/>
      <c r="Y350" s="105"/>
      <c r="Z350" s="105"/>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192"/>
      <c r="BK350" s="192"/>
      <c r="BL350" s="192"/>
      <c r="BM350" s="192"/>
      <c r="BN350" s="192"/>
      <c r="BO350" s="192"/>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4">
        <f t="shared" ref="G351:L351" si="54">-SUM(G338:G350)</f>
        <v>0</v>
      </c>
      <c r="H351" s="168">
        <f t="shared" si="54"/>
        <v>0</v>
      </c>
      <c r="I351" s="168">
        <f t="shared" si="54"/>
        <v>0</v>
      </c>
      <c r="J351" s="168">
        <f t="shared" si="54"/>
        <v>0</v>
      </c>
      <c r="K351" s="168">
        <f t="shared" si="54"/>
        <v>0</v>
      </c>
      <c r="L351" s="168">
        <f t="shared" si="54"/>
        <v>0</v>
      </c>
      <c r="M351" s="168">
        <f>IF(Input!M173&gt;0, -SUM(M338:M350), 0)</f>
        <v>0</v>
      </c>
      <c r="N351" s="168">
        <f>IF(Input!N173&gt;0, -SUM(N338:N350), 0)</f>
        <v>0</v>
      </c>
      <c r="O351" s="168">
        <f>IF(Input!O173&gt;0, -SUM(O338:O350), 0)</f>
        <v>0</v>
      </c>
      <c r="P351" s="168">
        <f>IF(Input!P173&gt;0, -SUM(P338:P350), 0)</f>
        <v>0</v>
      </c>
      <c r="Q351" s="168">
        <f>IF(Input!Q173&gt;0, -SUM(Q338:Q350), 0)</f>
        <v>0</v>
      </c>
      <c r="R351" s="66"/>
      <c r="S351" s="104"/>
      <c r="T351" s="104"/>
      <c r="U351" s="104"/>
      <c r="V351" s="104"/>
      <c r="W351" s="104"/>
      <c r="X351" s="104"/>
      <c r="Y351" s="104"/>
      <c r="Z351" s="104"/>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192"/>
      <c r="BK351" s="192"/>
      <c r="BL351" s="192"/>
      <c r="BM351" s="192"/>
      <c r="BN351" s="192"/>
      <c r="BO351" s="192"/>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3">
        <f>Asset21</f>
        <v>0</v>
      </c>
      <c r="C352" s="33"/>
      <c r="D352" s="34" t="s">
        <v>69</v>
      </c>
      <c r="E352" s="33"/>
      <c r="F352" s="35"/>
      <c r="G352" s="210">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192"/>
      <c r="BK352" s="192"/>
      <c r="BL352" s="192"/>
      <c r="BM352" s="192"/>
      <c r="BN352" s="192"/>
      <c r="BO352" s="19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35" t="s">
        <v>87</v>
      </c>
      <c r="E353" s="88">
        <v>0</v>
      </c>
      <c r="F353" s="27"/>
      <c r="G353" s="211"/>
      <c r="H353" s="70"/>
      <c r="I353" s="70"/>
      <c r="J353" s="70"/>
      <c r="K353" s="70"/>
      <c r="L353" s="70"/>
      <c r="M353" s="70"/>
      <c r="N353" s="70"/>
      <c r="O353" s="70"/>
      <c r="P353" s="70"/>
      <c r="Q353" s="70"/>
      <c r="R353" s="70"/>
      <c r="S353" s="105"/>
      <c r="T353" s="105"/>
      <c r="U353" s="105"/>
      <c r="V353" s="105"/>
      <c r="W353" s="105"/>
      <c r="X353" s="105"/>
      <c r="Y353" s="105"/>
      <c r="Z353" s="105"/>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192"/>
      <c r="BK353" s="192"/>
      <c r="BL353" s="192"/>
      <c r="BM353" s="192"/>
      <c r="BN353" s="192"/>
      <c r="BO353" s="192"/>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36"/>
      <c r="E354" s="88">
        <v>1</v>
      </c>
      <c r="F354" s="27"/>
      <c r="G354" s="212"/>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192"/>
      <c r="BK354" s="192"/>
      <c r="BL354" s="192"/>
      <c r="BM354" s="192"/>
      <c r="BN354" s="192"/>
      <c r="BO354" s="192"/>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36"/>
      <c r="E355" s="88">
        <v>2</v>
      </c>
      <c r="F355" s="27"/>
      <c r="G355" s="213"/>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192"/>
      <c r="BK355" s="192"/>
      <c r="BL355" s="192"/>
      <c r="BM355" s="192"/>
      <c r="BN355" s="192"/>
      <c r="BO355" s="192"/>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36"/>
      <c r="E356" s="88">
        <v>3</v>
      </c>
      <c r="F356" s="27"/>
      <c r="G356" s="213"/>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3"/>
      <c r="BK356" s="192"/>
      <c r="BL356" s="192"/>
      <c r="BM356" s="192"/>
      <c r="BN356" s="192"/>
      <c r="BO356" s="192"/>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36"/>
      <c r="E357" s="88">
        <v>4</v>
      </c>
      <c r="F357" s="27"/>
      <c r="G357" s="213"/>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192"/>
      <c r="BK357" s="192"/>
      <c r="BL357" s="192"/>
      <c r="BM357" s="192"/>
      <c r="BN357" s="192"/>
      <c r="BO357" s="192"/>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36"/>
      <c r="E358" s="88">
        <v>5</v>
      </c>
      <c r="F358" s="27"/>
      <c r="G358" s="213"/>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192"/>
      <c r="BK358" s="192"/>
      <c r="BL358" s="192"/>
      <c r="BM358" s="192"/>
      <c r="BN358" s="192"/>
      <c r="BO358" s="192"/>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36"/>
      <c r="E359" s="88">
        <v>6</v>
      </c>
      <c r="F359" s="27"/>
      <c r="G359" s="213"/>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192"/>
      <c r="BK359" s="192"/>
      <c r="BL359" s="192"/>
      <c r="BM359" s="192"/>
      <c r="BN359" s="192"/>
      <c r="BO359" s="192"/>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36"/>
      <c r="E360" s="88">
        <v>7</v>
      </c>
      <c r="F360" s="27"/>
      <c r="G360" s="213"/>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192"/>
      <c r="BK360" s="192"/>
      <c r="BL360" s="192"/>
      <c r="BM360" s="192"/>
      <c r="BN360" s="192"/>
      <c r="BO360" s="192"/>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36"/>
      <c r="E361" s="88">
        <v>8</v>
      </c>
      <c r="F361" s="27"/>
      <c r="G361" s="213"/>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192"/>
      <c r="BK361" s="192"/>
      <c r="BL361" s="192"/>
      <c r="BM361" s="192"/>
      <c r="BN361" s="192"/>
      <c r="BO361" s="192"/>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36"/>
      <c r="E362" s="88">
        <v>9</v>
      </c>
      <c r="F362" s="27"/>
      <c r="G362" s="213"/>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192"/>
      <c r="BK362" s="192"/>
      <c r="BL362" s="192"/>
      <c r="BM362" s="192"/>
      <c r="BN362" s="192"/>
      <c r="BO362" s="19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36"/>
      <c r="E363" s="88">
        <v>10</v>
      </c>
      <c r="F363" s="27"/>
      <c r="G363" s="213"/>
      <c r="H363" s="152"/>
      <c r="I363" s="152"/>
      <c r="J363" s="152"/>
      <c r="K363" s="152"/>
      <c r="L363" s="152"/>
      <c r="M363" s="152"/>
      <c r="N363" s="152"/>
      <c r="O363" s="152"/>
      <c r="P363" s="151"/>
      <c r="Q363" s="70">
        <f>IF(A21taxstdlife="n/a","n/a",IF(Q$3&gt;(A21taxstdlife+$E363),(Input!$P$61-Input!$P$95)-SUM($P363:P363),(Input!$P$61-Input!$P$95)/A21taxstdlife))</f>
        <v>0</v>
      </c>
      <c r="R363" s="70"/>
      <c r="S363" s="105"/>
      <c r="T363" s="105"/>
      <c r="U363" s="105"/>
      <c r="V363" s="105"/>
      <c r="W363" s="105"/>
      <c r="X363" s="105"/>
      <c r="Y363" s="105"/>
      <c r="Z363" s="105"/>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192"/>
      <c r="BK363" s="192"/>
      <c r="BL363" s="192"/>
      <c r="BM363" s="192"/>
      <c r="BN363" s="192"/>
      <c r="BO363" s="192"/>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36"/>
      <c r="E364" s="89">
        <v>11</v>
      </c>
      <c r="F364" s="27"/>
      <c r="G364" s="213"/>
      <c r="H364" s="152"/>
      <c r="I364" s="152"/>
      <c r="J364" s="152"/>
      <c r="K364" s="152"/>
      <c r="L364" s="152"/>
      <c r="M364" s="152"/>
      <c r="N364" s="152"/>
      <c r="O364" s="152"/>
      <c r="P364" s="194"/>
      <c r="Q364" s="151"/>
      <c r="R364" s="70"/>
      <c r="S364" s="105"/>
      <c r="T364" s="105"/>
      <c r="U364" s="105"/>
      <c r="V364" s="105"/>
      <c r="W364" s="105"/>
      <c r="X364" s="105"/>
      <c r="Y364" s="105"/>
      <c r="Z364" s="105"/>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192"/>
      <c r="BK364" s="192"/>
      <c r="BL364" s="192"/>
      <c r="BM364" s="192"/>
      <c r="BN364" s="192"/>
      <c r="BO364" s="192"/>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4">
        <f t="shared" ref="G365:L365" si="55">-SUM(G352:G364)</f>
        <v>0</v>
      </c>
      <c r="H365" s="168">
        <f t="shared" si="55"/>
        <v>0</v>
      </c>
      <c r="I365" s="168">
        <f t="shared" si="55"/>
        <v>0</v>
      </c>
      <c r="J365" s="168">
        <f t="shared" si="55"/>
        <v>0</v>
      </c>
      <c r="K365" s="168">
        <f t="shared" si="55"/>
        <v>0</v>
      </c>
      <c r="L365" s="168">
        <f t="shared" si="55"/>
        <v>0</v>
      </c>
      <c r="M365" s="168">
        <f>IF(Input!M173&gt;0, -SUM(M352:M364), 0)</f>
        <v>0</v>
      </c>
      <c r="N365" s="168">
        <f>IF(Input!N173&gt;0, -SUM(N352:N364), 0)</f>
        <v>0</v>
      </c>
      <c r="O365" s="168">
        <f>IF(Input!O173&gt;0, -SUM(O352:O364), 0)</f>
        <v>0</v>
      </c>
      <c r="P365" s="168">
        <f>IF(Input!P173&gt;0, -SUM(P352:P364), 0)</f>
        <v>0</v>
      </c>
      <c r="Q365" s="168">
        <f>IF(Input!Q173&gt;0, -SUM(Q352:Q364), 0)</f>
        <v>0</v>
      </c>
      <c r="R365" s="66"/>
      <c r="S365" s="104"/>
      <c r="T365" s="104"/>
      <c r="U365" s="104"/>
      <c r="V365" s="104"/>
      <c r="W365" s="104"/>
      <c r="X365" s="104"/>
      <c r="Y365" s="104"/>
      <c r="Z365" s="104"/>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192"/>
      <c r="BK365" s="192"/>
      <c r="BL365" s="192"/>
      <c r="BM365" s="192"/>
      <c r="BN365" s="192"/>
      <c r="BO365" s="192"/>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3">
        <f>Asset22</f>
        <v>0</v>
      </c>
      <c r="C366" s="33"/>
      <c r="D366" s="34" t="s">
        <v>69</v>
      </c>
      <c r="E366" s="33"/>
      <c r="F366" s="35"/>
      <c r="G366" s="210">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192"/>
      <c r="BK366" s="192"/>
      <c r="BL366" s="192"/>
      <c r="BM366" s="192"/>
      <c r="BN366" s="192"/>
      <c r="BO366" s="192"/>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35" t="s">
        <v>87</v>
      </c>
      <c r="E367" s="88">
        <v>0</v>
      </c>
      <c r="F367" s="27"/>
      <c r="G367" s="211"/>
      <c r="H367" s="70"/>
      <c r="I367" s="70"/>
      <c r="J367" s="70"/>
      <c r="K367" s="70"/>
      <c r="L367" s="70"/>
      <c r="M367" s="70"/>
      <c r="N367" s="70"/>
      <c r="O367" s="70"/>
      <c r="P367" s="70"/>
      <c r="Q367" s="70"/>
      <c r="R367" s="70"/>
      <c r="S367" s="105"/>
      <c r="T367" s="105"/>
      <c r="U367" s="105"/>
      <c r="V367" s="105"/>
      <c r="W367" s="105"/>
      <c r="X367" s="105"/>
      <c r="Y367" s="105"/>
      <c r="Z367" s="105"/>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192"/>
      <c r="BK367" s="192"/>
      <c r="BL367" s="192"/>
      <c r="BM367" s="192"/>
      <c r="BN367" s="192"/>
      <c r="BO367" s="192"/>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36"/>
      <c r="E368" s="88">
        <v>1</v>
      </c>
      <c r="F368" s="27"/>
      <c r="G368" s="212"/>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192"/>
      <c r="BK368" s="192"/>
      <c r="BL368" s="192"/>
      <c r="BM368" s="192"/>
      <c r="BN368" s="192"/>
      <c r="BO368" s="192"/>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36"/>
      <c r="E369" s="88">
        <v>2</v>
      </c>
      <c r="F369" s="27"/>
      <c r="G369" s="213"/>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192"/>
      <c r="BK369" s="192"/>
      <c r="BL369" s="192"/>
      <c r="BM369" s="192"/>
      <c r="BN369" s="192"/>
      <c r="BO369" s="192"/>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36"/>
      <c r="E370" s="88">
        <v>3</v>
      </c>
      <c r="F370" s="27"/>
      <c r="G370" s="213"/>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3"/>
      <c r="BK370" s="192"/>
      <c r="BL370" s="192"/>
      <c r="BM370" s="192"/>
      <c r="BN370" s="192"/>
      <c r="BO370" s="192"/>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36"/>
      <c r="E371" s="88">
        <v>4</v>
      </c>
      <c r="F371" s="27"/>
      <c r="G371" s="213"/>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192"/>
      <c r="BK371" s="192"/>
      <c r="BL371" s="192"/>
      <c r="BM371" s="192"/>
      <c r="BN371" s="192"/>
      <c r="BO371" s="192"/>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36"/>
      <c r="E372" s="88">
        <v>5</v>
      </c>
      <c r="F372" s="27"/>
      <c r="G372" s="213"/>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192"/>
      <c r="BK372" s="192"/>
      <c r="BL372" s="192"/>
      <c r="BM372" s="192"/>
      <c r="BN372" s="192"/>
      <c r="BO372" s="19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36"/>
      <c r="E373" s="88">
        <v>6</v>
      </c>
      <c r="F373" s="27"/>
      <c r="G373" s="213"/>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192"/>
      <c r="BK373" s="192"/>
      <c r="BL373" s="192"/>
      <c r="BM373" s="192"/>
      <c r="BN373" s="192"/>
      <c r="BO373" s="192"/>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36"/>
      <c r="E374" s="88">
        <v>7</v>
      </c>
      <c r="F374" s="27"/>
      <c r="G374" s="213"/>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192"/>
      <c r="BK374" s="192"/>
      <c r="BL374" s="192"/>
      <c r="BM374" s="192"/>
      <c r="BN374" s="192"/>
      <c r="BO374" s="192"/>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36"/>
      <c r="E375" s="88">
        <v>8</v>
      </c>
      <c r="F375" s="27"/>
      <c r="G375" s="213"/>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192"/>
      <c r="BK375" s="192"/>
      <c r="BL375" s="192"/>
      <c r="BM375" s="192"/>
      <c r="BN375" s="192"/>
      <c r="BO375" s="192"/>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36"/>
      <c r="E376" s="88">
        <v>9</v>
      </c>
      <c r="F376" s="27"/>
      <c r="G376" s="213"/>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192"/>
      <c r="BK376" s="192"/>
      <c r="BL376" s="192"/>
      <c r="BM376" s="192"/>
      <c r="BN376" s="192"/>
      <c r="BO376" s="192"/>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36"/>
      <c r="E377" s="88">
        <v>10</v>
      </c>
      <c r="F377" s="27"/>
      <c r="G377" s="213"/>
      <c r="H377" s="152"/>
      <c r="I377" s="152"/>
      <c r="J377" s="152"/>
      <c r="K377" s="152"/>
      <c r="L377" s="152"/>
      <c r="M377" s="152"/>
      <c r="N377" s="152"/>
      <c r="O377" s="152"/>
      <c r="P377" s="151"/>
      <c r="Q377" s="70">
        <f>IF(A22taxstdlife="n/a","n/a",IF(Q$3&gt;(A22taxstdlife+$E377),(Input!$P$62-Input!$P$96)-SUM($P377:P377),(Input!$P$62-Input!$P$96)/A22taxstdlife))</f>
        <v>0</v>
      </c>
      <c r="R377" s="70"/>
      <c r="S377" s="105"/>
      <c r="T377" s="105"/>
      <c r="U377" s="105"/>
      <c r="V377" s="105"/>
      <c r="W377" s="105"/>
      <c r="X377" s="105"/>
      <c r="Y377" s="105"/>
      <c r="Z377" s="105"/>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192"/>
      <c r="BK377" s="192"/>
      <c r="BL377" s="192"/>
      <c r="BM377" s="192"/>
      <c r="BN377" s="192"/>
      <c r="BO377" s="192"/>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36"/>
      <c r="E378" s="89">
        <v>11</v>
      </c>
      <c r="F378" s="27"/>
      <c r="G378" s="213"/>
      <c r="H378" s="152"/>
      <c r="I378" s="152"/>
      <c r="J378" s="152"/>
      <c r="K378" s="152"/>
      <c r="L378" s="152"/>
      <c r="M378" s="152"/>
      <c r="N378" s="152"/>
      <c r="O378" s="152"/>
      <c r="P378" s="194"/>
      <c r="Q378" s="151"/>
      <c r="R378" s="70"/>
      <c r="S378" s="105"/>
      <c r="T378" s="105"/>
      <c r="U378" s="105"/>
      <c r="V378" s="105"/>
      <c r="W378" s="105"/>
      <c r="X378" s="105"/>
      <c r="Y378" s="105"/>
      <c r="Z378" s="105"/>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192"/>
      <c r="BK378" s="192"/>
      <c r="BL378" s="192"/>
      <c r="BM378" s="192"/>
      <c r="BN378" s="192"/>
      <c r="BO378" s="192"/>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4">
        <f t="shared" ref="G379:L379" si="56">-SUM(G366:G378)</f>
        <v>0</v>
      </c>
      <c r="H379" s="168">
        <f t="shared" si="56"/>
        <v>0</v>
      </c>
      <c r="I379" s="168">
        <f t="shared" si="56"/>
        <v>0</v>
      </c>
      <c r="J379" s="168">
        <f t="shared" si="56"/>
        <v>0</v>
      </c>
      <c r="K379" s="168">
        <f t="shared" si="56"/>
        <v>0</v>
      </c>
      <c r="L379" s="168">
        <f t="shared" si="56"/>
        <v>0</v>
      </c>
      <c r="M379" s="168">
        <f>IF(Input!M173&gt;0, -SUM(M366:M378), 0)</f>
        <v>0</v>
      </c>
      <c r="N379" s="168">
        <f>IF(Input!N173&gt;0, -SUM(N366:N378), 0)</f>
        <v>0</v>
      </c>
      <c r="O379" s="168">
        <f>IF(Input!O173&gt;0, -SUM(O366:O378), 0)</f>
        <v>0</v>
      </c>
      <c r="P379" s="168">
        <f>IF(Input!P173&gt;0, -SUM(P366:P378), 0)</f>
        <v>0</v>
      </c>
      <c r="Q379" s="168">
        <f>IF(Input!Q173&gt;0, -SUM(Q366:Q378), 0)</f>
        <v>0</v>
      </c>
      <c r="R379" s="66"/>
      <c r="S379" s="104"/>
      <c r="T379" s="104"/>
      <c r="U379" s="104"/>
      <c r="V379" s="104"/>
      <c r="W379" s="104"/>
      <c r="X379" s="104"/>
      <c r="Y379" s="104"/>
      <c r="Z379" s="104"/>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192"/>
      <c r="BK379" s="192"/>
      <c r="BL379" s="192"/>
      <c r="BM379" s="192"/>
      <c r="BN379" s="192"/>
      <c r="BO379" s="192"/>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3">
        <f>Asset23</f>
        <v>0</v>
      </c>
      <c r="C380" s="33"/>
      <c r="D380" s="34" t="s">
        <v>69</v>
      </c>
      <c r="E380" s="33"/>
      <c r="F380" s="35"/>
      <c r="G380" s="210">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192"/>
      <c r="BK380" s="192"/>
      <c r="BL380" s="192"/>
      <c r="BM380" s="192"/>
      <c r="BN380" s="192"/>
      <c r="BO380" s="192"/>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35" t="s">
        <v>87</v>
      </c>
      <c r="E381" s="88">
        <v>0</v>
      </c>
      <c r="F381" s="27"/>
      <c r="G381" s="211"/>
      <c r="H381" s="70"/>
      <c r="I381" s="70"/>
      <c r="J381" s="70"/>
      <c r="K381" s="70"/>
      <c r="L381" s="70"/>
      <c r="M381" s="70"/>
      <c r="N381" s="70"/>
      <c r="O381" s="70"/>
      <c r="P381" s="70"/>
      <c r="Q381" s="70"/>
      <c r="R381" s="70"/>
      <c r="S381" s="105"/>
      <c r="T381" s="105"/>
      <c r="U381" s="105"/>
      <c r="V381" s="105"/>
      <c r="W381" s="105"/>
      <c r="X381" s="105"/>
      <c r="Y381" s="105"/>
      <c r="Z381" s="105"/>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192"/>
      <c r="BK381" s="192"/>
      <c r="BL381" s="192"/>
      <c r="BM381" s="192"/>
      <c r="BN381" s="192"/>
      <c r="BO381" s="192"/>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36"/>
      <c r="E382" s="88">
        <v>1</v>
      </c>
      <c r="F382" s="27"/>
      <c r="G382" s="212"/>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192"/>
      <c r="BK382" s="192"/>
      <c r="BL382" s="192"/>
      <c r="BM382" s="192"/>
      <c r="BN382" s="192"/>
      <c r="BO382" s="19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36"/>
      <c r="E383" s="88">
        <v>2</v>
      </c>
      <c r="F383" s="27"/>
      <c r="G383" s="213"/>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192"/>
      <c r="BK383" s="192"/>
      <c r="BL383" s="192"/>
      <c r="BM383" s="192"/>
      <c r="BN383" s="192"/>
      <c r="BO383" s="192"/>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36"/>
      <c r="E384" s="88">
        <v>3</v>
      </c>
      <c r="F384" s="27"/>
      <c r="G384" s="213"/>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3"/>
      <c r="BK384" s="192"/>
      <c r="BL384" s="192"/>
      <c r="BM384" s="192"/>
      <c r="BN384" s="192"/>
      <c r="BO384" s="192"/>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36"/>
      <c r="E385" s="88">
        <v>4</v>
      </c>
      <c r="F385" s="27"/>
      <c r="G385" s="213"/>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192"/>
      <c r="BK385" s="192"/>
      <c r="BL385" s="192"/>
      <c r="BM385" s="192"/>
      <c r="BN385" s="192"/>
      <c r="BO385" s="192"/>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36"/>
      <c r="E386" s="88">
        <v>5</v>
      </c>
      <c r="F386" s="27"/>
      <c r="G386" s="213"/>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192"/>
      <c r="BK386" s="192"/>
      <c r="BL386" s="192"/>
      <c r="BM386" s="192"/>
      <c r="BN386" s="192"/>
      <c r="BO386" s="192"/>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36"/>
      <c r="E387" s="88">
        <v>6</v>
      </c>
      <c r="F387" s="27"/>
      <c r="G387" s="213"/>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192"/>
      <c r="BK387" s="192"/>
      <c r="BL387" s="192"/>
      <c r="BM387" s="192"/>
      <c r="BN387" s="192"/>
      <c r="BO387" s="192"/>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36"/>
      <c r="E388" s="88">
        <v>7</v>
      </c>
      <c r="F388" s="27"/>
      <c r="G388" s="213"/>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192"/>
      <c r="BK388" s="192"/>
      <c r="BL388" s="192"/>
      <c r="BM388" s="192"/>
      <c r="BN388" s="192"/>
      <c r="BO388" s="192"/>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36"/>
      <c r="E389" s="88">
        <v>8</v>
      </c>
      <c r="F389" s="27"/>
      <c r="G389" s="213"/>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192"/>
      <c r="BK389" s="192"/>
      <c r="BL389" s="192"/>
      <c r="BM389" s="192"/>
      <c r="BN389" s="192"/>
      <c r="BO389" s="192"/>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36"/>
      <c r="E390" s="88">
        <v>9</v>
      </c>
      <c r="F390" s="27"/>
      <c r="G390" s="213"/>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192"/>
      <c r="BK390" s="192"/>
      <c r="BL390" s="192"/>
      <c r="BM390" s="192"/>
      <c r="BN390" s="192"/>
      <c r="BO390" s="192"/>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36"/>
      <c r="E391" s="88">
        <v>10</v>
      </c>
      <c r="F391" s="27"/>
      <c r="G391" s="213"/>
      <c r="H391" s="152"/>
      <c r="I391" s="152"/>
      <c r="J391" s="152"/>
      <c r="K391" s="152"/>
      <c r="L391" s="152"/>
      <c r="M391" s="152"/>
      <c r="N391" s="152"/>
      <c r="O391" s="152"/>
      <c r="P391" s="151"/>
      <c r="Q391" s="70">
        <f>IF(A23taxstdlife="n/a","n/a",IF(Q$3&gt;(A23taxstdlife+$E391),(Input!$P$63-Input!$P$97)-SUM($P391:P391),(Input!$P$63-Input!$P$97)/A23taxstdlife))</f>
        <v>0</v>
      </c>
      <c r="R391" s="70"/>
      <c r="S391" s="105"/>
      <c r="T391" s="105"/>
      <c r="U391" s="105"/>
      <c r="V391" s="105"/>
      <c r="W391" s="105"/>
      <c r="X391" s="105"/>
      <c r="Y391" s="105"/>
      <c r="Z391" s="105"/>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192"/>
      <c r="BK391" s="192"/>
      <c r="BL391" s="192"/>
      <c r="BM391" s="192"/>
      <c r="BN391" s="192"/>
      <c r="BO391" s="192"/>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36"/>
      <c r="E392" s="89">
        <v>11</v>
      </c>
      <c r="F392" s="27"/>
      <c r="G392" s="213"/>
      <c r="H392" s="152"/>
      <c r="I392" s="152"/>
      <c r="J392" s="152"/>
      <c r="K392" s="152"/>
      <c r="L392" s="152"/>
      <c r="M392" s="152"/>
      <c r="N392" s="152"/>
      <c r="O392" s="152"/>
      <c r="P392" s="194"/>
      <c r="Q392" s="151"/>
      <c r="R392" s="70"/>
      <c r="S392" s="105"/>
      <c r="T392" s="105"/>
      <c r="U392" s="105"/>
      <c r="V392" s="105"/>
      <c r="W392" s="105"/>
      <c r="X392" s="105"/>
      <c r="Y392" s="105"/>
      <c r="Z392" s="105"/>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192"/>
      <c r="BK392" s="192"/>
      <c r="BL392" s="192"/>
      <c r="BM392" s="192"/>
      <c r="BN392" s="192"/>
      <c r="BO392" s="1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4">
        <f t="shared" ref="G393:L393" si="57">-SUM(G380:G392)</f>
        <v>0</v>
      </c>
      <c r="H393" s="168">
        <f t="shared" si="57"/>
        <v>0</v>
      </c>
      <c r="I393" s="168">
        <f t="shared" si="57"/>
        <v>0</v>
      </c>
      <c r="J393" s="168">
        <f t="shared" si="57"/>
        <v>0</v>
      </c>
      <c r="K393" s="168">
        <f t="shared" si="57"/>
        <v>0</v>
      </c>
      <c r="L393" s="168">
        <f t="shared" si="57"/>
        <v>0</v>
      </c>
      <c r="M393" s="168">
        <f>IF(Input!M173&gt;0, -SUM(M380:M392), 0)</f>
        <v>0</v>
      </c>
      <c r="N393" s="168">
        <f>IF(Input!N173&gt;0, -SUM(N380:N392), 0)</f>
        <v>0</v>
      </c>
      <c r="O393" s="168">
        <f>IF(Input!O173&gt;0, -SUM(O380:O392), 0)</f>
        <v>0</v>
      </c>
      <c r="P393" s="168">
        <f>IF(Input!P173&gt;0, -SUM(P380:P392), 0)</f>
        <v>0</v>
      </c>
      <c r="Q393" s="168">
        <f>IF(Input!Q173&gt;0, -SUM(Q380:Q392), 0)</f>
        <v>0</v>
      </c>
      <c r="R393" s="66"/>
      <c r="S393" s="104"/>
      <c r="T393" s="104"/>
      <c r="U393" s="104"/>
      <c r="V393" s="104"/>
      <c r="W393" s="104"/>
      <c r="X393" s="104"/>
      <c r="Y393" s="104"/>
      <c r="Z393" s="104"/>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192"/>
      <c r="BK393" s="192"/>
      <c r="BL393" s="192"/>
      <c r="BM393" s="192"/>
      <c r="BN393" s="192"/>
      <c r="BO393" s="192"/>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3">
        <f>Asset24</f>
        <v>0</v>
      </c>
      <c r="C394" s="33"/>
      <c r="D394" s="34" t="s">
        <v>69</v>
      </c>
      <c r="E394" s="33"/>
      <c r="F394" s="35"/>
      <c r="G394" s="210">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192"/>
      <c r="BK394" s="192"/>
      <c r="BL394" s="192"/>
      <c r="BM394" s="192"/>
      <c r="BN394" s="192"/>
      <c r="BO394" s="192"/>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35" t="s">
        <v>87</v>
      </c>
      <c r="E395" s="88">
        <v>0</v>
      </c>
      <c r="F395" s="27"/>
      <c r="G395" s="211"/>
      <c r="H395" s="70"/>
      <c r="I395" s="70"/>
      <c r="J395" s="70"/>
      <c r="K395" s="70"/>
      <c r="L395" s="70"/>
      <c r="M395" s="70"/>
      <c r="N395" s="70"/>
      <c r="O395" s="70"/>
      <c r="P395" s="70"/>
      <c r="Q395" s="70"/>
      <c r="R395" s="70"/>
      <c r="S395" s="105"/>
      <c r="T395" s="105"/>
      <c r="U395" s="105"/>
      <c r="V395" s="105"/>
      <c r="W395" s="105"/>
      <c r="X395" s="105"/>
      <c r="Y395" s="105"/>
      <c r="Z395" s="105"/>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192"/>
      <c r="BK395" s="192"/>
      <c r="BL395" s="192"/>
      <c r="BM395" s="192"/>
      <c r="BN395" s="192"/>
      <c r="BO395" s="192"/>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36"/>
      <c r="E396" s="88">
        <v>1</v>
      </c>
      <c r="F396" s="27"/>
      <c r="G396" s="212"/>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192"/>
      <c r="BK396" s="192"/>
      <c r="BL396" s="192"/>
      <c r="BM396" s="192"/>
      <c r="BN396" s="192"/>
      <c r="BO396" s="192"/>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36"/>
      <c r="E397" s="88">
        <v>2</v>
      </c>
      <c r="F397" s="27"/>
      <c r="G397" s="213"/>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192"/>
      <c r="BK397" s="192"/>
      <c r="BL397" s="192"/>
      <c r="BM397" s="192"/>
      <c r="BN397" s="192"/>
      <c r="BO397" s="192"/>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36"/>
      <c r="E398" s="88">
        <v>3</v>
      </c>
      <c r="F398" s="27"/>
      <c r="G398" s="213"/>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3"/>
      <c r="BK398" s="192"/>
      <c r="BL398" s="192"/>
      <c r="BM398" s="192"/>
      <c r="BN398" s="192"/>
      <c r="BO398" s="192"/>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36"/>
      <c r="E399" s="88">
        <v>4</v>
      </c>
      <c r="F399" s="27"/>
      <c r="G399" s="213"/>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192"/>
      <c r="BK399" s="192"/>
      <c r="BL399" s="192"/>
      <c r="BM399" s="192"/>
      <c r="BN399" s="192"/>
      <c r="BO399" s="192"/>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36"/>
      <c r="E400" s="88">
        <v>5</v>
      </c>
      <c r="F400" s="27"/>
      <c r="G400" s="213"/>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192"/>
      <c r="BK400" s="192"/>
      <c r="BL400" s="192"/>
      <c r="BM400" s="192"/>
      <c r="BN400" s="192"/>
      <c r="BO400" s="192"/>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36"/>
      <c r="E401" s="88">
        <v>6</v>
      </c>
      <c r="F401" s="27"/>
      <c r="G401" s="213"/>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192"/>
      <c r="BK401" s="192"/>
      <c r="BL401" s="192"/>
      <c r="BM401" s="192"/>
      <c r="BN401" s="192"/>
      <c r="BO401" s="192"/>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36"/>
      <c r="E402" s="88">
        <v>7</v>
      </c>
      <c r="F402" s="27"/>
      <c r="G402" s="213"/>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192"/>
      <c r="BK402" s="192"/>
      <c r="BL402" s="192"/>
      <c r="BM402" s="192"/>
      <c r="BN402" s="192"/>
      <c r="BO402" s="19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36"/>
      <c r="E403" s="88">
        <v>8</v>
      </c>
      <c r="F403" s="27"/>
      <c r="G403" s="213"/>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192"/>
      <c r="BK403" s="192"/>
      <c r="BL403" s="192"/>
      <c r="BM403" s="192"/>
      <c r="BN403" s="192"/>
      <c r="BO403" s="192"/>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36"/>
      <c r="E404" s="88">
        <v>9</v>
      </c>
      <c r="F404" s="27"/>
      <c r="G404" s="213"/>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192"/>
      <c r="BK404" s="192"/>
      <c r="BL404" s="192"/>
      <c r="BM404" s="192"/>
      <c r="BN404" s="192"/>
      <c r="BO404" s="192"/>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36"/>
      <c r="E405" s="88">
        <v>10</v>
      </c>
      <c r="F405" s="27"/>
      <c r="G405" s="213"/>
      <c r="H405" s="152"/>
      <c r="I405" s="152"/>
      <c r="J405" s="152"/>
      <c r="K405" s="152"/>
      <c r="L405" s="152"/>
      <c r="M405" s="152"/>
      <c r="N405" s="152"/>
      <c r="O405" s="152"/>
      <c r="P405" s="151"/>
      <c r="Q405" s="70">
        <f>IF(A24taxstdlife="n/a","n/a",IF(Q$3&gt;(A24taxstdlife+$E405),(Input!$P$64-Input!$P$98)-SUM($P405:P405),(Input!$P$64-Input!$P$98)/A24taxstdlife))</f>
        <v>0</v>
      </c>
      <c r="R405" s="70"/>
      <c r="S405" s="105"/>
      <c r="T405" s="105"/>
      <c r="U405" s="105"/>
      <c r="V405" s="105"/>
      <c r="W405" s="105"/>
      <c r="X405" s="105"/>
      <c r="Y405" s="105"/>
      <c r="Z405" s="105"/>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192"/>
      <c r="BK405" s="192"/>
      <c r="BL405" s="192"/>
      <c r="BM405" s="192"/>
      <c r="BN405" s="192"/>
      <c r="BO405" s="192"/>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36"/>
      <c r="E406" s="89">
        <v>11</v>
      </c>
      <c r="F406" s="27"/>
      <c r="G406" s="213"/>
      <c r="H406" s="152"/>
      <c r="I406" s="152"/>
      <c r="J406" s="152"/>
      <c r="K406" s="152"/>
      <c r="L406" s="152"/>
      <c r="M406" s="152"/>
      <c r="N406" s="152"/>
      <c r="O406" s="152"/>
      <c r="P406" s="194"/>
      <c r="Q406" s="151"/>
      <c r="R406" s="70"/>
      <c r="S406" s="105"/>
      <c r="T406" s="105"/>
      <c r="U406" s="105"/>
      <c r="V406" s="105"/>
      <c r="W406" s="105"/>
      <c r="X406" s="105"/>
      <c r="Y406" s="105"/>
      <c r="Z406" s="105"/>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192"/>
      <c r="BK406" s="192"/>
      <c r="BL406" s="192"/>
      <c r="BM406" s="192"/>
      <c r="BN406" s="192"/>
      <c r="BO406" s="192"/>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4">
        <f t="shared" ref="G407:L407" si="58">-SUM(G394:G406)</f>
        <v>0</v>
      </c>
      <c r="H407" s="168">
        <f t="shared" si="58"/>
        <v>0</v>
      </c>
      <c r="I407" s="168">
        <f t="shared" si="58"/>
        <v>0</v>
      </c>
      <c r="J407" s="168">
        <f t="shared" si="58"/>
        <v>0</v>
      </c>
      <c r="K407" s="168">
        <f t="shared" si="58"/>
        <v>0</v>
      </c>
      <c r="L407" s="168">
        <f t="shared" si="58"/>
        <v>0</v>
      </c>
      <c r="M407" s="168">
        <f>IF(Input!M173&gt;0, -SUM(M394:M406), 0)</f>
        <v>0</v>
      </c>
      <c r="N407" s="168">
        <f>IF(Input!N173&gt;0, -SUM(N394:N406), 0)</f>
        <v>0</v>
      </c>
      <c r="O407" s="168">
        <f>IF(Input!O173&gt;0, -SUM(O394:O406), 0)</f>
        <v>0</v>
      </c>
      <c r="P407" s="168">
        <f>IF(Input!P173&gt;0, -SUM(P394:P406), 0)</f>
        <v>0</v>
      </c>
      <c r="Q407" s="168">
        <f>IF(Input!Q173&gt;0, -SUM(Q394:Q406), 0)</f>
        <v>0</v>
      </c>
      <c r="R407" s="66"/>
      <c r="S407" s="104"/>
      <c r="T407" s="104"/>
      <c r="U407" s="104"/>
      <c r="V407" s="104"/>
      <c r="W407" s="104"/>
      <c r="X407" s="104"/>
      <c r="Y407" s="104"/>
      <c r="Z407" s="104"/>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192"/>
      <c r="BK407" s="192"/>
      <c r="BL407" s="192"/>
      <c r="BM407" s="192"/>
      <c r="BN407" s="192"/>
      <c r="BO407" s="192"/>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3">
        <f>Asset25</f>
        <v>0</v>
      </c>
      <c r="C408" s="33"/>
      <c r="D408" s="34" t="s">
        <v>69</v>
      </c>
      <c r="E408" s="33"/>
      <c r="F408" s="35"/>
      <c r="G408" s="210">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192"/>
      <c r="BK408" s="192"/>
      <c r="BL408" s="192"/>
      <c r="BM408" s="192"/>
      <c r="BN408" s="192"/>
      <c r="BO408" s="192"/>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35" t="s">
        <v>87</v>
      </c>
      <c r="E409" s="88">
        <v>0</v>
      </c>
      <c r="F409" s="27"/>
      <c r="G409" s="211"/>
      <c r="H409" s="70"/>
      <c r="I409" s="70"/>
      <c r="J409" s="70"/>
      <c r="K409" s="70"/>
      <c r="L409" s="70"/>
      <c r="M409" s="70"/>
      <c r="N409" s="70"/>
      <c r="O409" s="70"/>
      <c r="P409" s="70"/>
      <c r="Q409" s="70"/>
      <c r="R409" s="70"/>
      <c r="S409" s="105"/>
      <c r="T409" s="105"/>
      <c r="U409" s="105"/>
      <c r="V409" s="105"/>
      <c r="W409" s="105"/>
      <c r="X409" s="105"/>
      <c r="Y409" s="105"/>
      <c r="Z409" s="105"/>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192"/>
      <c r="BK409" s="192"/>
      <c r="BL409" s="192"/>
      <c r="BM409" s="192"/>
      <c r="BN409" s="192"/>
      <c r="BO409" s="192"/>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36"/>
      <c r="E410" s="88">
        <v>1</v>
      </c>
      <c r="F410" s="27"/>
      <c r="G410" s="212"/>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192"/>
      <c r="BK410" s="192"/>
      <c r="BL410" s="192"/>
      <c r="BM410" s="192"/>
      <c r="BN410" s="192"/>
      <c r="BO410" s="192"/>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36"/>
      <c r="E411" s="88">
        <v>2</v>
      </c>
      <c r="F411" s="27"/>
      <c r="G411" s="213"/>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192"/>
      <c r="BK411" s="192"/>
      <c r="BL411" s="192"/>
      <c r="BM411" s="192"/>
      <c r="BN411" s="192"/>
      <c r="BO411" s="192"/>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36"/>
      <c r="E412" s="88">
        <v>3</v>
      </c>
      <c r="F412" s="27"/>
      <c r="G412" s="213"/>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3"/>
      <c r="BK412" s="192"/>
      <c r="BL412" s="192"/>
      <c r="BM412" s="192"/>
      <c r="BN412" s="192"/>
      <c r="BO412" s="19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36"/>
      <c r="E413" s="88">
        <v>4</v>
      </c>
      <c r="F413" s="27"/>
      <c r="G413" s="213"/>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192"/>
      <c r="BK413" s="192"/>
      <c r="BL413" s="192"/>
      <c r="BM413" s="192"/>
      <c r="BN413" s="192"/>
      <c r="BO413" s="192"/>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36"/>
      <c r="E414" s="88">
        <v>5</v>
      </c>
      <c r="F414" s="27"/>
      <c r="G414" s="213"/>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192"/>
      <c r="BK414" s="192"/>
      <c r="BL414" s="192"/>
      <c r="BM414" s="192"/>
      <c r="BN414" s="192"/>
      <c r="BO414" s="192"/>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36"/>
      <c r="E415" s="88">
        <v>6</v>
      </c>
      <c r="F415" s="27"/>
      <c r="G415" s="213"/>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192"/>
      <c r="BK415" s="192"/>
      <c r="BL415" s="192"/>
      <c r="BM415" s="192"/>
      <c r="BN415" s="192"/>
      <c r="BO415" s="192"/>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36"/>
      <c r="E416" s="88">
        <v>7</v>
      </c>
      <c r="F416" s="27"/>
      <c r="G416" s="213"/>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192"/>
      <c r="BK416" s="192"/>
      <c r="BL416" s="192"/>
      <c r="BM416" s="192"/>
      <c r="BN416" s="192"/>
      <c r="BO416" s="192"/>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36"/>
      <c r="E417" s="88">
        <v>8</v>
      </c>
      <c r="F417" s="27"/>
      <c r="G417" s="213"/>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192"/>
      <c r="BK417" s="192"/>
      <c r="BL417" s="192"/>
      <c r="BM417" s="192"/>
      <c r="BN417" s="192"/>
      <c r="BO417" s="192"/>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36"/>
      <c r="E418" s="88">
        <v>9</v>
      </c>
      <c r="F418" s="27"/>
      <c r="G418" s="213"/>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192"/>
      <c r="BK418" s="192"/>
      <c r="BL418" s="192"/>
      <c r="BM418" s="192"/>
      <c r="BN418" s="192"/>
      <c r="BO418" s="192"/>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36"/>
      <c r="E419" s="88">
        <v>10</v>
      </c>
      <c r="F419" s="27"/>
      <c r="G419" s="213"/>
      <c r="H419" s="152"/>
      <c r="I419" s="152"/>
      <c r="J419" s="152"/>
      <c r="K419" s="152"/>
      <c r="L419" s="152"/>
      <c r="M419" s="152"/>
      <c r="N419" s="152"/>
      <c r="O419" s="152"/>
      <c r="P419" s="151"/>
      <c r="Q419" s="70">
        <f>IF(A25taxstdlife="n/a","n/a",IF(Q$3&gt;(A25taxstdlife+$E419),(Input!$P$65-Input!$P$99)-SUM($P419:P419),(Input!$P$65-Input!$P$99)/A25taxstdlife))</f>
        <v>0</v>
      </c>
      <c r="R419" s="70"/>
      <c r="S419" s="105"/>
      <c r="T419" s="105"/>
      <c r="U419" s="105"/>
      <c r="V419" s="105"/>
      <c r="W419" s="105"/>
      <c r="X419" s="105"/>
      <c r="Y419" s="105"/>
      <c r="Z419" s="105"/>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192"/>
      <c r="BK419" s="192"/>
      <c r="BL419" s="192"/>
      <c r="BM419" s="192"/>
      <c r="BN419" s="192"/>
      <c r="BO419" s="192"/>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36"/>
      <c r="E420" s="89">
        <v>11</v>
      </c>
      <c r="F420" s="27"/>
      <c r="G420" s="213"/>
      <c r="H420" s="152"/>
      <c r="I420" s="152"/>
      <c r="J420" s="152"/>
      <c r="K420" s="152"/>
      <c r="L420" s="152"/>
      <c r="M420" s="152"/>
      <c r="N420" s="152"/>
      <c r="O420" s="152"/>
      <c r="P420" s="194"/>
      <c r="Q420" s="151"/>
      <c r="R420" s="70"/>
      <c r="S420" s="105"/>
      <c r="T420" s="105"/>
      <c r="U420" s="105"/>
      <c r="V420" s="105"/>
      <c r="W420" s="105"/>
      <c r="X420" s="105"/>
      <c r="Y420" s="105"/>
      <c r="Z420" s="105"/>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192"/>
      <c r="BK420" s="192"/>
      <c r="BL420" s="192"/>
      <c r="BM420" s="192"/>
      <c r="BN420" s="192"/>
      <c r="BO420" s="192"/>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4">
        <f t="shared" ref="G421:L421" si="59">-SUM(G408:G420)</f>
        <v>0</v>
      </c>
      <c r="H421" s="168">
        <f t="shared" si="59"/>
        <v>0</v>
      </c>
      <c r="I421" s="168">
        <f t="shared" si="59"/>
        <v>0</v>
      </c>
      <c r="J421" s="168">
        <f t="shared" si="59"/>
        <v>0</v>
      </c>
      <c r="K421" s="168">
        <f t="shared" si="59"/>
        <v>0</v>
      </c>
      <c r="L421" s="168">
        <f t="shared" si="59"/>
        <v>0</v>
      </c>
      <c r="M421" s="168">
        <f>IF(Input!M173&gt;0, -SUM(M408:M420), 0)</f>
        <v>0</v>
      </c>
      <c r="N421" s="168">
        <f>IF(Input!N173&gt;0, -SUM(N408:N420), 0)</f>
        <v>0</v>
      </c>
      <c r="O421" s="168">
        <f>IF(Input!O173&gt;0, -SUM(O408:O420), 0)</f>
        <v>0</v>
      </c>
      <c r="P421" s="168">
        <f>IF(Input!P173&gt;0, -SUM(P408:P420), 0)</f>
        <v>0</v>
      </c>
      <c r="Q421" s="168">
        <f>IF(Input!Q173&gt;0, -SUM(Q408:Q420), 0)</f>
        <v>0</v>
      </c>
      <c r="R421" s="66"/>
      <c r="S421" s="104"/>
      <c r="T421" s="104"/>
      <c r="U421" s="104"/>
      <c r="V421" s="104"/>
      <c r="W421" s="104"/>
      <c r="X421" s="104"/>
      <c r="Y421" s="104"/>
      <c r="Z421" s="104"/>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192"/>
      <c r="BK421" s="192"/>
      <c r="BL421" s="192"/>
      <c r="BM421" s="192"/>
      <c r="BN421" s="192"/>
      <c r="BO421" s="192"/>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3">
        <f>Asset26</f>
        <v>0</v>
      </c>
      <c r="C422" s="33"/>
      <c r="D422" s="34" t="s">
        <v>69</v>
      </c>
      <c r="E422" s="33"/>
      <c r="F422" s="35"/>
      <c r="G422" s="210">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192"/>
      <c r="BK422" s="192"/>
      <c r="BL422" s="192"/>
      <c r="BM422" s="192"/>
      <c r="BN422" s="192"/>
      <c r="BO422" s="19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35" t="s">
        <v>87</v>
      </c>
      <c r="E423" s="88">
        <v>0</v>
      </c>
      <c r="F423" s="27"/>
      <c r="G423" s="211"/>
      <c r="H423" s="70"/>
      <c r="I423" s="70"/>
      <c r="J423" s="70"/>
      <c r="K423" s="70"/>
      <c r="L423" s="70"/>
      <c r="M423" s="70"/>
      <c r="N423" s="70"/>
      <c r="O423" s="70"/>
      <c r="P423" s="70"/>
      <c r="Q423" s="70"/>
      <c r="R423" s="70"/>
      <c r="S423" s="105"/>
      <c r="T423" s="105"/>
      <c r="U423" s="105"/>
      <c r="V423" s="105"/>
      <c r="W423" s="105"/>
      <c r="X423" s="105"/>
      <c r="Y423" s="105"/>
      <c r="Z423" s="105"/>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192"/>
      <c r="BK423" s="192"/>
      <c r="BL423" s="192"/>
      <c r="BM423" s="192"/>
      <c r="BN423" s="192"/>
      <c r="BO423" s="192"/>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36"/>
      <c r="E424" s="88">
        <v>1</v>
      </c>
      <c r="F424" s="27"/>
      <c r="G424" s="212"/>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192"/>
      <c r="BK424" s="192"/>
      <c r="BL424" s="192"/>
      <c r="BM424" s="192"/>
      <c r="BN424" s="192"/>
      <c r="BO424" s="192"/>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36"/>
      <c r="E425" s="88">
        <v>2</v>
      </c>
      <c r="F425" s="27"/>
      <c r="G425" s="213"/>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192"/>
      <c r="BK425" s="192"/>
      <c r="BL425" s="192"/>
      <c r="BM425" s="192"/>
      <c r="BN425" s="192"/>
      <c r="BO425" s="192"/>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36"/>
      <c r="E426" s="88">
        <v>3</v>
      </c>
      <c r="F426" s="27"/>
      <c r="G426" s="213"/>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3"/>
      <c r="BK426" s="192"/>
      <c r="BL426" s="192"/>
      <c r="BM426" s="192"/>
      <c r="BN426" s="192"/>
      <c r="BO426" s="192"/>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36"/>
      <c r="E427" s="88">
        <v>4</v>
      </c>
      <c r="F427" s="27"/>
      <c r="G427" s="213"/>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192"/>
      <c r="BK427" s="192"/>
      <c r="BL427" s="192"/>
      <c r="BM427" s="192"/>
      <c r="BN427" s="192"/>
      <c r="BO427" s="192"/>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36"/>
      <c r="E428" s="88">
        <v>5</v>
      </c>
      <c r="F428" s="27"/>
      <c r="G428" s="213"/>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192"/>
      <c r="BK428" s="192"/>
      <c r="BL428" s="192"/>
      <c r="BM428" s="192"/>
      <c r="BN428" s="192"/>
      <c r="BO428" s="192"/>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36"/>
      <c r="E429" s="88">
        <v>6</v>
      </c>
      <c r="F429" s="27"/>
      <c r="G429" s="213"/>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192"/>
      <c r="BK429" s="192"/>
      <c r="BL429" s="192"/>
      <c r="BM429" s="192"/>
      <c r="BN429" s="192"/>
      <c r="BO429" s="192"/>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36"/>
      <c r="E430" s="88">
        <v>7</v>
      </c>
      <c r="F430" s="27"/>
      <c r="G430" s="213"/>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192"/>
      <c r="BK430" s="192"/>
      <c r="BL430" s="192"/>
      <c r="BM430" s="192"/>
      <c r="BN430" s="192"/>
      <c r="BO430" s="192"/>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36"/>
      <c r="E431" s="88">
        <v>8</v>
      </c>
      <c r="F431" s="27"/>
      <c r="G431" s="213"/>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192"/>
      <c r="BK431" s="192"/>
      <c r="BL431" s="192"/>
      <c r="BM431" s="192"/>
      <c r="BN431" s="192"/>
      <c r="BO431" s="192"/>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36"/>
      <c r="E432" s="88">
        <v>9</v>
      </c>
      <c r="F432" s="27"/>
      <c r="G432" s="213"/>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192"/>
      <c r="BK432" s="192"/>
      <c r="BL432" s="192"/>
      <c r="BM432" s="192"/>
      <c r="BN432" s="192"/>
      <c r="BO432" s="19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36"/>
      <c r="E433" s="88">
        <v>10</v>
      </c>
      <c r="F433" s="27"/>
      <c r="G433" s="213"/>
      <c r="H433" s="152"/>
      <c r="I433" s="152"/>
      <c r="J433" s="152"/>
      <c r="K433" s="152"/>
      <c r="L433" s="152"/>
      <c r="M433" s="152"/>
      <c r="N433" s="152"/>
      <c r="O433" s="152"/>
      <c r="P433" s="151"/>
      <c r="Q433" s="70">
        <f>IF(A26taxstdlife="n/a","n/a",IF(Q$3&gt;(A26taxstdlife+$E433),(Input!$P$66-Input!$P$100)-SUM($P433:P433),(Input!$P$66-Input!$P$100)/A26taxstdlife))</f>
        <v>0</v>
      </c>
      <c r="R433" s="70"/>
      <c r="S433" s="105"/>
      <c r="T433" s="105"/>
      <c r="U433" s="105"/>
      <c r="V433" s="105"/>
      <c r="W433" s="105"/>
      <c r="X433" s="105"/>
      <c r="Y433" s="105"/>
      <c r="Z433" s="105"/>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192"/>
      <c r="BK433" s="192"/>
      <c r="BL433" s="192"/>
      <c r="BM433" s="192"/>
      <c r="BN433" s="192"/>
      <c r="BO433" s="192"/>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36"/>
      <c r="E434" s="89">
        <v>11</v>
      </c>
      <c r="F434" s="27"/>
      <c r="G434" s="213"/>
      <c r="H434" s="152"/>
      <c r="I434" s="152"/>
      <c r="J434" s="152"/>
      <c r="K434" s="152"/>
      <c r="L434" s="152"/>
      <c r="M434" s="152"/>
      <c r="N434" s="152"/>
      <c r="O434" s="152"/>
      <c r="P434" s="194"/>
      <c r="Q434" s="151"/>
      <c r="R434" s="70"/>
      <c r="S434" s="105"/>
      <c r="T434" s="105"/>
      <c r="U434" s="105"/>
      <c r="V434" s="105"/>
      <c r="W434" s="105"/>
      <c r="X434" s="105"/>
      <c r="Y434" s="105"/>
      <c r="Z434" s="105"/>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192"/>
      <c r="BK434" s="192"/>
      <c r="BL434" s="192"/>
      <c r="BM434" s="192"/>
      <c r="BN434" s="192"/>
      <c r="BO434" s="192"/>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4">
        <f t="shared" ref="G435:L435" si="60">-SUM(G422:G434)</f>
        <v>0</v>
      </c>
      <c r="H435" s="168">
        <f t="shared" si="60"/>
        <v>0</v>
      </c>
      <c r="I435" s="168">
        <f t="shared" si="60"/>
        <v>0</v>
      </c>
      <c r="J435" s="168">
        <f t="shared" si="60"/>
        <v>0</v>
      </c>
      <c r="K435" s="168">
        <f t="shared" si="60"/>
        <v>0</v>
      </c>
      <c r="L435" s="168">
        <f t="shared" si="60"/>
        <v>0</v>
      </c>
      <c r="M435" s="168">
        <f>IF(Input!M173&gt;0, -SUM(M422:M434), 0)</f>
        <v>0</v>
      </c>
      <c r="N435" s="168">
        <f>IF(Input!N173&gt;0, -SUM(N422:N434), 0)</f>
        <v>0</v>
      </c>
      <c r="O435" s="168">
        <f>IF(Input!O173&gt;0, -SUM(O422:O434), 0)</f>
        <v>0</v>
      </c>
      <c r="P435" s="168">
        <f>IF(Input!P173&gt;0, -SUM(P422:P434), 0)</f>
        <v>0</v>
      </c>
      <c r="Q435" s="168">
        <f>IF(Input!Q173&gt;0, -SUM(Q422:Q434), 0)</f>
        <v>0</v>
      </c>
      <c r="R435" s="66"/>
      <c r="S435" s="104"/>
      <c r="T435" s="104"/>
      <c r="U435" s="104"/>
      <c r="V435" s="104"/>
      <c r="W435" s="104"/>
      <c r="X435" s="104"/>
      <c r="Y435" s="104"/>
      <c r="Z435" s="104"/>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192"/>
      <c r="BK435" s="192"/>
      <c r="BL435" s="192"/>
      <c r="BM435" s="192"/>
      <c r="BN435" s="192"/>
      <c r="BO435" s="192"/>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3">
        <f>Asset27</f>
        <v>0</v>
      </c>
      <c r="C436" s="33"/>
      <c r="D436" s="34" t="s">
        <v>69</v>
      </c>
      <c r="E436" s="33"/>
      <c r="F436" s="35"/>
      <c r="G436" s="210">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192"/>
      <c r="BK436" s="192"/>
      <c r="BL436" s="192"/>
      <c r="BM436" s="192"/>
      <c r="BN436" s="192"/>
      <c r="BO436" s="192"/>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35" t="s">
        <v>87</v>
      </c>
      <c r="E437" s="88">
        <v>0</v>
      </c>
      <c r="F437" s="27"/>
      <c r="G437" s="211"/>
      <c r="H437" s="70"/>
      <c r="I437" s="70"/>
      <c r="J437" s="70"/>
      <c r="K437" s="70"/>
      <c r="L437" s="70"/>
      <c r="M437" s="70"/>
      <c r="N437" s="70"/>
      <c r="O437" s="70"/>
      <c r="P437" s="70"/>
      <c r="Q437" s="70"/>
      <c r="R437" s="70"/>
      <c r="S437" s="105"/>
      <c r="T437" s="105"/>
      <c r="U437" s="105"/>
      <c r="V437" s="105"/>
      <c r="W437" s="105"/>
      <c r="X437" s="105"/>
      <c r="Y437" s="105"/>
      <c r="Z437" s="105"/>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192"/>
      <c r="BK437" s="192"/>
      <c r="BL437" s="192"/>
      <c r="BM437" s="192"/>
      <c r="BN437" s="192"/>
      <c r="BO437" s="192"/>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36"/>
      <c r="E438" s="88">
        <v>1</v>
      </c>
      <c r="F438" s="27"/>
      <c r="G438" s="212"/>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192"/>
      <c r="BK438" s="192"/>
      <c r="BL438" s="192"/>
      <c r="BM438" s="192"/>
      <c r="BN438" s="192"/>
      <c r="BO438" s="192"/>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36"/>
      <c r="E439" s="88">
        <v>2</v>
      </c>
      <c r="F439" s="27"/>
      <c r="G439" s="213"/>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192"/>
      <c r="BK439" s="192"/>
      <c r="BL439" s="192"/>
      <c r="BM439" s="192"/>
      <c r="BN439" s="192"/>
      <c r="BO439" s="192"/>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36"/>
      <c r="E440" s="88">
        <v>3</v>
      </c>
      <c r="F440" s="27"/>
      <c r="G440" s="213"/>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3"/>
      <c r="BK440" s="192"/>
      <c r="BL440" s="192"/>
      <c r="BM440" s="192"/>
      <c r="BN440" s="192"/>
      <c r="BO440" s="192"/>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36"/>
      <c r="E441" s="88">
        <v>4</v>
      </c>
      <c r="F441" s="27"/>
      <c r="G441" s="213"/>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192"/>
      <c r="BK441" s="192"/>
      <c r="BL441" s="192"/>
      <c r="BM441" s="192"/>
      <c r="BN441" s="192"/>
      <c r="BO441" s="192"/>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36"/>
      <c r="E442" s="88">
        <v>5</v>
      </c>
      <c r="F442" s="27"/>
      <c r="G442" s="213"/>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192"/>
      <c r="BK442" s="192"/>
      <c r="BL442" s="192"/>
      <c r="BM442" s="192"/>
      <c r="BN442" s="192"/>
      <c r="BO442" s="19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36"/>
      <c r="E443" s="88">
        <v>6</v>
      </c>
      <c r="F443" s="27"/>
      <c r="G443" s="213"/>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192"/>
      <c r="BK443" s="192"/>
      <c r="BL443" s="192"/>
      <c r="BM443" s="192"/>
      <c r="BN443" s="192"/>
      <c r="BO443" s="192"/>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36"/>
      <c r="E444" s="88">
        <v>7</v>
      </c>
      <c r="F444" s="27"/>
      <c r="G444" s="213"/>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192"/>
      <c r="BK444" s="192"/>
      <c r="BL444" s="192"/>
      <c r="BM444" s="192"/>
      <c r="BN444" s="192"/>
      <c r="BO444" s="192"/>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36"/>
      <c r="E445" s="88">
        <v>8</v>
      </c>
      <c r="F445" s="27"/>
      <c r="G445" s="213"/>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192"/>
      <c r="BK445" s="192"/>
      <c r="BL445" s="192"/>
      <c r="BM445" s="192"/>
      <c r="BN445" s="192"/>
      <c r="BO445" s="192"/>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36"/>
      <c r="E446" s="88">
        <v>9</v>
      </c>
      <c r="F446" s="27"/>
      <c r="G446" s="213"/>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192"/>
      <c r="BK446" s="192"/>
      <c r="BL446" s="192"/>
      <c r="BM446" s="192"/>
      <c r="BN446" s="192"/>
      <c r="BO446" s="192"/>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36"/>
      <c r="E447" s="88">
        <v>10</v>
      </c>
      <c r="F447" s="27"/>
      <c r="G447" s="213"/>
      <c r="H447" s="152"/>
      <c r="I447" s="152"/>
      <c r="J447" s="152"/>
      <c r="K447" s="152"/>
      <c r="L447" s="152"/>
      <c r="M447" s="152"/>
      <c r="N447" s="152"/>
      <c r="O447" s="152"/>
      <c r="P447" s="151"/>
      <c r="Q447" s="70">
        <f>IF(A27taxstdlife="n/a","n/a",IF(Q$3&gt;(A27taxstdlife+$E447),(Input!$P$67-Input!$P$101)-SUM($P447:P447),(Input!$P$67-Input!$P$101)/A27taxstdlife))</f>
        <v>0</v>
      </c>
      <c r="R447" s="70"/>
      <c r="S447" s="105"/>
      <c r="T447" s="105"/>
      <c r="U447" s="105"/>
      <c r="V447" s="105"/>
      <c r="W447" s="105"/>
      <c r="X447" s="105"/>
      <c r="Y447" s="105"/>
      <c r="Z447" s="105"/>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192"/>
      <c r="BK447" s="192"/>
      <c r="BL447" s="192"/>
      <c r="BM447" s="192"/>
      <c r="BN447" s="192"/>
      <c r="BO447" s="192"/>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36"/>
      <c r="E448" s="89">
        <v>11</v>
      </c>
      <c r="F448" s="27"/>
      <c r="G448" s="213"/>
      <c r="H448" s="152"/>
      <c r="I448" s="152"/>
      <c r="J448" s="152"/>
      <c r="K448" s="152"/>
      <c r="L448" s="152"/>
      <c r="M448" s="152"/>
      <c r="N448" s="152"/>
      <c r="O448" s="152"/>
      <c r="P448" s="194"/>
      <c r="Q448" s="151"/>
      <c r="R448" s="70"/>
      <c r="S448" s="105"/>
      <c r="T448" s="105"/>
      <c r="U448" s="105"/>
      <c r="V448" s="105"/>
      <c r="W448" s="105"/>
      <c r="X448" s="105"/>
      <c r="Y448" s="105"/>
      <c r="Z448" s="105"/>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192"/>
      <c r="BK448" s="192"/>
      <c r="BL448" s="192"/>
      <c r="BM448" s="192"/>
      <c r="BN448" s="192"/>
      <c r="BO448" s="192"/>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4">
        <f t="shared" ref="G449:L449" si="61">-SUM(G436:G448)</f>
        <v>0</v>
      </c>
      <c r="H449" s="168">
        <f t="shared" si="61"/>
        <v>0</v>
      </c>
      <c r="I449" s="168">
        <f t="shared" si="61"/>
        <v>0</v>
      </c>
      <c r="J449" s="168">
        <f t="shared" si="61"/>
        <v>0</v>
      </c>
      <c r="K449" s="168">
        <f t="shared" si="61"/>
        <v>0</v>
      </c>
      <c r="L449" s="168">
        <f t="shared" si="61"/>
        <v>0</v>
      </c>
      <c r="M449" s="168">
        <f>IF(Input!M173&gt;0, -SUM(M436:M448), 0)</f>
        <v>0</v>
      </c>
      <c r="N449" s="168">
        <f>IF(Input!N173&gt;0, -SUM(N436:N448), 0)</f>
        <v>0</v>
      </c>
      <c r="O449" s="168">
        <f>IF(Input!O173&gt;0, -SUM(O436:O448), 0)</f>
        <v>0</v>
      </c>
      <c r="P449" s="168">
        <f>IF(Input!P173&gt;0, -SUM(P436:P448), 0)</f>
        <v>0</v>
      </c>
      <c r="Q449" s="168">
        <f>IF(Input!Q173&gt;0, -SUM(Q436:Q448), 0)</f>
        <v>0</v>
      </c>
      <c r="R449" s="66"/>
      <c r="S449" s="104"/>
      <c r="T449" s="104"/>
      <c r="U449" s="104"/>
      <c r="V449" s="104"/>
      <c r="W449" s="104"/>
      <c r="X449" s="104"/>
      <c r="Y449" s="104"/>
      <c r="Z449" s="104"/>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192"/>
      <c r="BK449" s="192"/>
      <c r="BL449" s="192"/>
      <c r="BM449" s="192"/>
      <c r="BN449" s="192"/>
      <c r="BO449" s="192"/>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3">
        <f>Asset28</f>
        <v>0</v>
      </c>
      <c r="C450" s="33"/>
      <c r="D450" s="34" t="s">
        <v>69</v>
      </c>
      <c r="E450" s="33"/>
      <c r="F450" s="35"/>
      <c r="G450" s="210">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192"/>
      <c r="BK450" s="192"/>
      <c r="BL450" s="192"/>
      <c r="BM450" s="192"/>
      <c r="BN450" s="192"/>
      <c r="BO450" s="192"/>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35" t="s">
        <v>87</v>
      </c>
      <c r="E451" s="88">
        <v>0</v>
      </c>
      <c r="F451" s="27"/>
      <c r="G451" s="211"/>
      <c r="H451" s="70"/>
      <c r="I451" s="70"/>
      <c r="J451" s="70"/>
      <c r="K451" s="70"/>
      <c r="L451" s="70"/>
      <c r="M451" s="70"/>
      <c r="N451" s="70"/>
      <c r="O451" s="70"/>
      <c r="P451" s="70"/>
      <c r="Q451" s="70"/>
      <c r="R451" s="70"/>
      <c r="S451" s="105"/>
      <c r="T451" s="105"/>
      <c r="U451" s="105"/>
      <c r="V451" s="105"/>
      <c r="W451" s="105"/>
      <c r="X451" s="105"/>
      <c r="Y451" s="105"/>
      <c r="Z451" s="105"/>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192"/>
      <c r="BK451" s="192"/>
      <c r="BL451" s="192"/>
      <c r="BM451" s="192"/>
      <c r="BN451" s="192"/>
      <c r="BO451" s="192"/>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36"/>
      <c r="E452" s="88">
        <v>1</v>
      </c>
      <c r="F452" s="27"/>
      <c r="G452" s="212"/>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192"/>
      <c r="BK452" s="192"/>
      <c r="BL452" s="192"/>
      <c r="BM452" s="192"/>
      <c r="BN452" s="192"/>
      <c r="BO452" s="19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36"/>
      <c r="E453" s="88">
        <v>2</v>
      </c>
      <c r="F453" s="27"/>
      <c r="G453" s="213"/>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192"/>
      <c r="BK453" s="192"/>
      <c r="BL453" s="192"/>
      <c r="BM453" s="192"/>
      <c r="BN453" s="192"/>
      <c r="BO453" s="192"/>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36"/>
      <c r="E454" s="88">
        <v>3</v>
      </c>
      <c r="F454" s="27"/>
      <c r="G454" s="213"/>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3"/>
      <c r="BK454" s="192"/>
      <c r="BL454" s="192"/>
      <c r="BM454" s="192"/>
      <c r="BN454" s="192"/>
      <c r="BO454" s="192"/>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36"/>
      <c r="E455" s="88">
        <v>4</v>
      </c>
      <c r="F455" s="27"/>
      <c r="G455" s="213"/>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192"/>
      <c r="BK455" s="192"/>
      <c r="BL455" s="192"/>
      <c r="BM455" s="192"/>
      <c r="BN455" s="192"/>
      <c r="BO455" s="192"/>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36"/>
      <c r="E456" s="88">
        <v>5</v>
      </c>
      <c r="F456" s="27"/>
      <c r="G456" s="213"/>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192"/>
      <c r="BK456" s="192"/>
      <c r="BL456" s="192"/>
      <c r="BM456" s="192"/>
      <c r="BN456" s="192"/>
      <c r="BO456" s="192"/>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36"/>
      <c r="E457" s="88">
        <v>6</v>
      </c>
      <c r="F457" s="27"/>
      <c r="G457" s="213"/>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192"/>
      <c r="BK457" s="192"/>
      <c r="BL457" s="192"/>
      <c r="BM457" s="192"/>
      <c r="BN457" s="192"/>
      <c r="BO457" s="192"/>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36"/>
      <c r="E458" s="88">
        <v>7</v>
      </c>
      <c r="F458" s="27"/>
      <c r="G458" s="213"/>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192"/>
      <c r="BK458" s="192"/>
      <c r="BL458" s="192"/>
      <c r="BM458" s="192"/>
      <c r="BN458" s="192"/>
      <c r="BO458" s="192"/>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36"/>
      <c r="E459" s="88">
        <v>8</v>
      </c>
      <c r="F459" s="27"/>
      <c r="G459" s="213"/>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192"/>
      <c r="BK459" s="192"/>
      <c r="BL459" s="192"/>
      <c r="BM459" s="192"/>
      <c r="BN459" s="192"/>
      <c r="BO459" s="192"/>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36"/>
      <c r="E460" s="88">
        <v>9</v>
      </c>
      <c r="F460" s="27"/>
      <c r="G460" s="213"/>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192"/>
      <c r="BK460" s="192"/>
      <c r="BL460" s="192"/>
      <c r="BM460" s="192"/>
      <c r="BN460" s="192"/>
      <c r="BO460" s="192"/>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36"/>
      <c r="E461" s="88">
        <v>10</v>
      </c>
      <c r="F461" s="27"/>
      <c r="G461" s="213"/>
      <c r="H461" s="152"/>
      <c r="I461" s="152"/>
      <c r="J461" s="152"/>
      <c r="K461" s="152"/>
      <c r="L461" s="152"/>
      <c r="M461" s="152"/>
      <c r="N461" s="152"/>
      <c r="O461" s="152"/>
      <c r="P461" s="151"/>
      <c r="Q461" s="70">
        <f>IF(A28taxstdlife="n/a","n/a",IF(Q$3&gt;(A28taxstdlife+$E461),(Input!$P$68-Input!$P$102)-SUM($P461:P461),(Input!$P$68-Input!$P$102)/A28taxstdlife))</f>
        <v>0</v>
      </c>
      <c r="R461" s="70"/>
      <c r="S461" s="105"/>
      <c r="T461" s="105"/>
      <c r="U461" s="105"/>
      <c r="V461" s="105"/>
      <c r="W461" s="105"/>
      <c r="X461" s="105"/>
      <c r="Y461" s="105"/>
      <c r="Z461" s="105"/>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192"/>
      <c r="BK461" s="192"/>
      <c r="BL461" s="192"/>
      <c r="BM461" s="192"/>
      <c r="BN461" s="192"/>
      <c r="BO461" s="192"/>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36"/>
      <c r="E462" s="89">
        <v>11</v>
      </c>
      <c r="F462" s="27"/>
      <c r="G462" s="213"/>
      <c r="H462" s="152"/>
      <c r="I462" s="152"/>
      <c r="J462" s="152"/>
      <c r="K462" s="152"/>
      <c r="L462" s="152"/>
      <c r="M462" s="152"/>
      <c r="N462" s="152"/>
      <c r="O462" s="152"/>
      <c r="P462" s="194"/>
      <c r="Q462" s="151"/>
      <c r="R462" s="70"/>
      <c r="S462" s="105"/>
      <c r="T462" s="105"/>
      <c r="U462" s="105"/>
      <c r="V462" s="105"/>
      <c r="W462" s="105"/>
      <c r="X462" s="105"/>
      <c r="Y462" s="105"/>
      <c r="Z462" s="105"/>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192"/>
      <c r="BK462" s="192"/>
      <c r="BL462" s="192"/>
      <c r="BM462" s="192"/>
      <c r="BN462" s="192"/>
      <c r="BO462" s="19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4">
        <f t="shared" ref="G463:L463" si="62">-SUM(G450:G462)</f>
        <v>0</v>
      </c>
      <c r="H463" s="168">
        <f t="shared" si="62"/>
        <v>0</v>
      </c>
      <c r="I463" s="168">
        <f t="shared" si="62"/>
        <v>0</v>
      </c>
      <c r="J463" s="168">
        <f t="shared" si="62"/>
        <v>0</v>
      </c>
      <c r="K463" s="168">
        <f t="shared" si="62"/>
        <v>0</v>
      </c>
      <c r="L463" s="168">
        <f t="shared" si="62"/>
        <v>0</v>
      </c>
      <c r="M463" s="168">
        <f>IF(Input!M173&gt;0, -SUM(M450:M462), 0)</f>
        <v>0</v>
      </c>
      <c r="N463" s="168">
        <f>IF(Input!N173&gt;0, -SUM(N450:N462), 0)</f>
        <v>0</v>
      </c>
      <c r="O463" s="168">
        <f>IF(Input!O173&gt;0, -SUM(O450:O462), 0)</f>
        <v>0</v>
      </c>
      <c r="P463" s="168">
        <f>IF(Input!P173&gt;0, -SUM(P450:P462), 0)</f>
        <v>0</v>
      </c>
      <c r="Q463" s="168">
        <f>IF(Input!Q173&gt;0, -SUM(Q450:Q462), 0)</f>
        <v>0</v>
      </c>
      <c r="R463" s="66"/>
      <c r="S463" s="104"/>
      <c r="T463" s="104"/>
      <c r="U463" s="104"/>
      <c r="V463" s="104"/>
      <c r="W463" s="104"/>
      <c r="X463" s="104"/>
      <c r="Y463" s="104"/>
      <c r="Z463" s="104"/>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192"/>
      <c r="BK463" s="192"/>
      <c r="BL463" s="192"/>
      <c r="BM463" s="192"/>
      <c r="BN463" s="192"/>
      <c r="BO463" s="192"/>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3">
        <f>Asset29</f>
        <v>0</v>
      </c>
      <c r="C464" s="33"/>
      <c r="D464" s="34" t="s">
        <v>69</v>
      </c>
      <c r="E464" s="33"/>
      <c r="F464" s="35"/>
      <c r="G464" s="210">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192"/>
      <c r="BK464" s="192"/>
      <c r="BL464" s="192"/>
      <c r="BM464" s="192"/>
      <c r="BN464" s="192"/>
      <c r="BO464" s="192"/>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35" t="s">
        <v>87</v>
      </c>
      <c r="E465" s="88">
        <v>0</v>
      </c>
      <c r="F465" s="27"/>
      <c r="G465" s="211"/>
      <c r="H465" s="70"/>
      <c r="I465" s="70"/>
      <c r="J465" s="70"/>
      <c r="K465" s="70"/>
      <c r="L465" s="70"/>
      <c r="M465" s="70"/>
      <c r="N465" s="70"/>
      <c r="O465" s="70"/>
      <c r="P465" s="70"/>
      <c r="Q465" s="70"/>
      <c r="R465" s="70"/>
      <c r="S465" s="105"/>
      <c r="T465" s="105"/>
      <c r="U465" s="105"/>
      <c r="V465" s="105"/>
      <c r="W465" s="105"/>
      <c r="X465" s="105"/>
      <c r="Y465" s="105"/>
      <c r="Z465" s="105"/>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192"/>
      <c r="BK465" s="192"/>
      <c r="BL465" s="192"/>
      <c r="BM465" s="192"/>
      <c r="BN465" s="192"/>
      <c r="BO465" s="192"/>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36"/>
      <c r="E466" s="88">
        <v>1</v>
      </c>
      <c r="F466" s="27"/>
      <c r="G466" s="212"/>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192"/>
      <c r="BK466" s="192"/>
      <c r="BL466" s="192"/>
      <c r="BM466" s="192"/>
      <c r="BN466" s="192"/>
      <c r="BO466" s="192"/>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36"/>
      <c r="E467" s="88">
        <v>2</v>
      </c>
      <c r="F467" s="27"/>
      <c r="G467" s="213"/>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192"/>
      <c r="BK467" s="192"/>
      <c r="BL467" s="192"/>
      <c r="BM467" s="192"/>
      <c r="BN467" s="192"/>
      <c r="BO467" s="192"/>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36"/>
      <c r="E468" s="88">
        <v>3</v>
      </c>
      <c r="F468" s="27"/>
      <c r="G468" s="213"/>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3"/>
      <c r="BK468" s="192"/>
      <c r="BL468" s="192"/>
      <c r="BM468" s="192"/>
      <c r="BN468" s="192"/>
      <c r="BO468" s="192"/>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36"/>
      <c r="E469" s="88">
        <v>4</v>
      </c>
      <c r="F469" s="27"/>
      <c r="G469" s="213"/>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192"/>
      <c r="BK469" s="192"/>
      <c r="BL469" s="192"/>
      <c r="BM469" s="192"/>
      <c r="BN469" s="192"/>
      <c r="BO469" s="192"/>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36"/>
      <c r="E470" s="88">
        <v>5</v>
      </c>
      <c r="F470" s="27"/>
      <c r="G470" s="213"/>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192"/>
      <c r="BK470" s="192"/>
      <c r="BL470" s="192"/>
      <c r="BM470" s="192"/>
      <c r="BN470" s="192"/>
      <c r="BO470" s="192"/>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36"/>
      <c r="E471" s="88">
        <v>6</v>
      </c>
      <c r="F471" s="27"/>
      <c r="G471" s="213"/>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192"/>
      <c r="BK471" s="192"/>
      <c r="BL471" s="192"/>
      <c r="BM471" s="192"/>
      <c r="BN471" s="192"/>
      <c r="BO471" s="192"/>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36"/>
      <c r="E472" s="88">
        <v>7</v>
      </c>
      <c r="F472" s="27"/>
      <c r="G472" s="213"/>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192"/>
      <c r="BK472" s="192"/>
      <c r="BL472" s="192"/>
      <c r="BM472" s="192"/>
      <c r="BN472" s="192"/>
      <c r="BO472" s="19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36"/>
      <c r="E473" s="88">
        <v>8</v>
      </c>
      <c r="F473" s="27"/>
      <c r="G473" s="213"/>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192"/>
      <c r="BK473" s="192"/>
      <c r="BL473" s="192"/>
      <c r="BM473" s="192"/>
      <c r="BN473" s="192"/>
      <c r="BO473" s="192"/>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36"/>
      <c r="E474" s="88">
        <v>9</v>
      </c>
      <c r="F474" s="27"/>
      <c r="G474" s="213"/>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192"/>
      <c r="BK474" s="192"/>
      <c r="BL474" s="192"/>
      <c r="BM474" s="192"/>
      <c r="BN474" s="192"/>
      <c r="BO474" s="192"/>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36"/>
      <c r="E475" s="88">
        <v>10</v>
      </c>
      <c r="F475" s="27"/>
      <c r="G475" s="213"/>
      <c r="H475" s="152"/>
      <c r="I475" s="152"/>
      <c r="J475" s="152"/>
      <c r="K475" s="152"/>
      <c r="L475" s="152"/>
      <c r="M475" s="152"/>
      <c r="N475" s="152"/>
      <c r="O475" s="152"/>
      <c r="P475" s="151"/>
      <c r="Q475" s="70">
        <f>IF(A29taxstdlife="n/a","n/a",IF(Q$3&gt;(A29taxstdlife+$E475),(Input!$P$69-Input!$P$103)-SUM($P475:P475),(Input!$P$69-Input!$P$103)/A29taxstdlife))</f>
        <v>0</v>
      </c>
      <c r="R475" s="70"/>
      <c r="S475" s="105"/>
      <c r="T475" s="105"/>
      <c r="U475" s="105"/>
      <c r="V475" s="105"/>
      <c r="W475" s="105"/>
      <c r="X475" s="105"/>
      <c r="Y475" s="105"/>
      <c r="Z475" s="105"/>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192"/>
      <c r="BK475" s="192"/>
      <c r="BL475" s="192"/>
      <c r="BM475" s="192"/>
      <c r="BN475" s="192"/>
      <c r="BO475" s="192"/>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36"/>
      <c r="E476" s="89">
        <v>11</v>
      </c>
      <c r="F476" s="27"/>
      <c r="G476" s="213"/>
      <c r="H476" s="152"/>
      <c r="I476" s="152"/>
      <c r="J476" s="152"/>
      <c r="K476" s="152"/>
      <c r="L476" s="152"/>
      <c r="M476" s="152"/>
      <c r="N476" s="152"/>
      <c r="O476" s="152"/>
      <c r="P476" s="194"/>
      <c r="Q476" s="151"/>
      <c r="R476" s="70"/>
      <c r="S476" s="105"/>
      <c r="T476" s="105"/>
      <c r="U476" s="105"/>
      <c r="V476" s="105"/>
      <c r="W476" s="105"/>
      <c r="X476" s="105"/>
      <c r="Y476" s="105"/>
      <c r="Z476" s="105"/>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192"/>
      <c r="BK476" s="192"/>
      <c r="BL476" s="192"/>
      <c r="BM476" s="192"/>
      <c r="BN476" s="192"/>
      <c r="BO476" s="192"/>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4">
        <f t="shared" ref="G477:L477" si="63">-SUM(G464:G476)</f>
        <v>0</v>
      </c>
      <c r="H477" s="168">
        <f t="shared" si="63"/>
        <v>0</v>
      </c>
      <c r="I477" s="168">
        <f t="shared" si="63"/>
        <v>0</v>
      </c>
      <c r="J477" s="168">
        <f t="shared" si="63"/>
        <v>0</v>
      </c>
      <c r="K477" s="168">
        <f t="shared" si="63"/>
        <v>0</v>
      </c>
      <c r="L477" s="168">
        <f t="shared" si="63"/>
        <v>0</v>
      </c>
      <c r="M477" s="168">
        <f>IF(Input!M173&gt;0, -SUM(M464:M476), 0)</f>
        <v>0</v>
      </c>
      <c r="N477" s="168">
        <f>IF(Input!N173&gt;0, -SUM(N464:N476), 0)</f>
        <v>0</v>
      </c>
      <c r="O477" s="168">
        <f>IF(Input!O173&gt;0, -SUM(O464:O476), 0)</f>
        <v>0</v>
      </c>
      <c r="P477" s="168">
        <f>IF(Input!P173&gt;0, -SUM(P464:P476), 0)</f>
        <v>0</v>
      </c>
      <c r="Q477" s="168">
        <f>IF(Input!Q173&gt;0, -SUM(Q464:Q476), 0)</f>
        <v>0</v>
      </c>
      <c r="R477" s="66"/>
      <c r="S477" s="104"/>
      <c r="T477" s="104"/>
      <c r="U477" s="104"/>
      <c r="V477" s="104"/>
      <c r="W477" s="104"/>
      <c r="X477" s="104"/>
      <c r="Y477" s="104"/>
      <c r="Z477" s="104"/>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192"/>
      <c r="BK477" s="192"/>
      <c r="BL477" s="192"/>
      <c r="BM477" s="192"/>
      <c r="BN477" s="192"/>
      <c r="BO477" s="192"/>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3">
        <f>Asset30</f>
        <v>0</v>
      </c>
      <c r="C478" s="33"/>
      <c r="D478" s="34" t="s">
        <v>69</v>
      </c>
      <c r="E478" s="33"/>
      <c r="F478" s="35"/>
      <c r="G478" s="210">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192"/>
      <c r="BK478" s="192"/>
      <c r="BL478" s="192"/>
      <c r="BM478" s="192"/>
      <c r="BN478" s="192"/>
      <c r="BO478" s="192"/>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35" t="s">
        <v>87</v>
      </c>
      <c r="E479" s="88">
        <v>0</v>
      </c>
      <c r="F479" s="27"/>
      <c r="G479" s="211"/>
      <c r="H479" s="70"/>
      <c r="I479" s="70"/>
      <c r="J479" s="70"/>
      <c r="K479" s="70"/>
      <c r="L479" s="70"/>
      <c r="M479" s="70"/>
      <c r="N479" s="70"/>
      <c r="O479" s="70"/>
      <c r="P479" s="70"/>
      <c r="Q479" s="70"/>
      <c r="R479" s="70"/>
      <c r="S479" s="105"/>
      <c r="T479" s="105"/>
      <c r="U479" s="105"/>
      <c r="V479" s="105"/>
      <c r="W479" s="105"/>
      <c r="X479" s="105"/>
      <c r="Y479" s="105"/>
      <c r="Z479" s="105"/>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192"/>
      <c r="BK479" s="192"/>
      <c r="BL479" s="192"/>
      <c r="BM479" s="192"/>
      <c r="BN479" s="192"/>
      <c r="BO479" s="192"/>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36"/>
      <c r="E480" s="88">
        <v>1</v>
      </c>
      <c r="F480" s="27"/>
      <c r="G480" s="212"/>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192"/>
      <c r="BK480" s="192"/>
      <c r="BL480" s="192"/>
      <c r="BM480" s="192"/>
      <c r="BN480" s="192"/>
      <c r="BO480" s="192"/>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36"/>
      <c r="E481" s="88">
        <v>2</v>
      </c>
      <c r="F481" s="27"/>
      <c r="G481" s="213"/>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192"/>
      <c r="BK481" s="192"/>
      <c r="BL481" s="192"/>
      <c r="BM481" s="192"/>
      <c r="BN481" s="192"/>
      <c r="BO481" s="192"/>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36"/>
      <c r="E482" s="88">
        <v>3</v>
      </c>
      <c r="F482" s="27"/>
      <c r="G482" s="213"/>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3"/>
      <c r="BK482" s="192"/>
      <c r="BL482" s="192"/>
      <c r="BM482" s="192"/>
      <c r="BN482" s="192"/>
      <c r="BO482" s="19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36"/>
      <c r="E483" s="88">
        <v>4</v>
      </c>
      <c r="F483" s="27"/>
      <c r="G483" s="213"/>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192"/>
      <c r="BK483" s="192"/>
      <c r="BL483" s="192"/>
      <c r="BM483" s="192"/>
      <c r="BN483" s="192"/>
      <c r="BO483" s="192"/>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36"/>
      <c r="E484" s="88">
        <v>5</v>
      </c>
      <c r="F484" s="27"/>
      <c r="G484" s="213"/>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192"/>
      <c r="BK484" s="192"/>
      <c r="BL484" s="192"/>
      <c r="BM484" s="192"/>
      <c r="BN484" s="192"/>
      <c r="BO484" s="192"/>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36"/>
      <c r="E485" s="88">
        <v>6</v>
      </c>
      <c r="F485" s="27"/>
      <c r="G485" s="213"/>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192"/>
      <c r="BK485" s="192"/>
      <c r="BL485" s="192"/>
      <c r="BM485" s="192"/>
      <c r="BN485" s="192"/>
      <c r="BO485" s="192"/>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36"/>
      <c r="E486" s="88">
        <v>7</v>
      </c>
      <c r="F486" s="27"/>
      <c r="G486" s="213"/>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192"/>
      <c r="BK486" s="192"/>
      <c r="BL486" s="192"/>
      <c r="BM486" s="192"/>
      <c r="BN486" s="192"/>
      <c r="BO486" s="192"/>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36"/>
      <c r="E487" s="88">
        <v>8</v>
      </c>
      <c r="F487" s="27"/>
      <c r="G487" s="213"/>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192"/>
      <c r="BK487" s="192"/>
      <c r="BL487" s="192"/>
      <c r="BM487" s="192"/>
      <c r="BN487" s="192"/>
      <c r="BO487" s="192"/>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36"/>
      <c r="E488" s="88">
        <v>9</v>
      </c>
      <c r="F488" s="27"/>
      <c r="G488" s="213"/>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192"/>
      <c r="BK488" s="192"/>
      <c r="BL488" s="192"/>
      <c r="BM488" s="192"/>
      <c r="BN488" s="192"/>
      <c r="BO488" s="192"/>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36"/>
      <c r="E489" s="88">
        <v>10</v>
      </c>
      <c r="F489" s="27"/>
      <c r="G489" s="213"/>
      <c r="H489" s="152"/>
      <c r="I489" s="152"/>
      <c r="J489" s="152"/>
      <c r="K489" s="152"/>
      <c r="L489" s="152"/>
      <c r="M489" s="152"/>
      <c r="N489" s="152"/>
      <c r="O489" s="152"/>
      <c r="P489" s="151"/>
      <c r="Q489" s="70">
        <f>IF(A30taxstdlife="n/a","n/a",IF(Q$3&gt;(A30taxstdlife+$E489),(Input!$P$70-Input!$P$104)-SUM($P489:P489),(Input!$P$70-Input!$P$104)/A30taxstdlife))</f>
        <v>0</v>
      </c>
      <c r="R489" s="70"/>
      <c r="S489" s="105"/>
      <c r="T489" s="105"/>
      <c r="U489" s="105"/>
      <c r="V489" s="105"/>
      <c r="W489" s="105"/>
      <c r="X489" s="105"/>
      <c r="Y489" s="105"/>
      <c r="Z489" s="105"/>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192"/>
      <c r="BK489" s="192"/>
      <c r="BL489" s="192"/>
      <c r="BM489" s="192"/>
      <c r="BN489" s="192"/>
      <c r="BO489" s="192"/>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36"/>
      <c r="E490" s="89">
        <v>11</v>
      </c>
      <c r="F490" s="27"/>
      <c r="G490" s="213"/>
      <c r="H490" s="152"/>
      <c r="I490" s="152"/>
      <c r="J490" s="152"/>
      <c r="K490" s="152"/>
      <c r="L490" s="152"/>
      <c r="M490" s="152"/>
      <c r="N490" s="152"/>
      <c r="O490" s="152"/>
      <c r="P490" s="194"/>
      <c r="Q490" s="151"/>
      <c r="R490" s="70"/>
      <c r="S490" s="105"/>
      <c r="T490" s="105"/>
      <c r="U490" s="105"/>
      <c r="V490" s="105"/>
      <c r="W490" s="105"/>
      <c r="X490" s="105"/>
      <c r="Y490" s="105"/>
      <c r="Z490" s="105"/>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192"/>
      <c r="BK490" s="192"/>
      <c r="BL490" s="192"/>
      <c r="BM490" s="192"/>
      <c r="BN490" s="192"/>
      <c r="BO490" s="192"/>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4">
        <f t="shared" ref="G491:L491" si="64">-SUM(G478:G490)</f>
        <v>0</v>
      </c>
      <c r="H491" s="168">
        <f t="shared" si="64"/>
        <v>0</v>
      </c>
      <c r="I491" s="168">
        <f t="shared" si="64"/>
        <v>0</v>
      </c>
      <c r="J491" s="168">
        <f t="shared" si="64"/>
        <v>0</v>
      </c>
      <c r="K491" s="168">
        <f t="shared" si="64"/>
        <v>0</v>
      </c>
      <c r="L491" s="168">
        <f t="shared" si="64"/>
        <v>0</v>
      </c>
      <c r="M491" s="168">
        <f>IF(Input!M173&gt;0, -SUM(M478:M490), 0)</f>
        <v>0</v>
      </c>
      <c r="N491" s="168">
        <f>IF(Input!N173&gt;0, -SUM(N478:N490), 0)</f>
        <v>0</v>
      </c>
      <c r="O491" s="168">
        <f>IF(Input!O173&gt;0, -SUM(O478:O490), 0)</f>
        <v>0</v>
      </c>
      <c r="P491" s="168">
        <f>IF(Input!P173&gt;0, -SUM(P478:P490), 0)</f>
        <v>0</v>
      </c>
      <c r="Q491" s="168">
        <f>IF(Input!Q173&gt;0, -SUM(Q478:Q490), 0)</f>
        <v>0</v>
      </c>
      <c r="R491" s="66"/>
      <c r="S491" s="104"/>
      <c r="T491" s="104"/>
      <c r="U491" s="104"/>
      <c r="V491" s="104"/>
      <c r="W491" s="104"/>
      <c r="X491" s="104"/>
      <c r="Y491" s="104"/>
      <c r="Z491" s="104"/>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192"/>
      <c r="BK491" s="192"/>
      <c r="BL491" s="192"/>
      <c r="BM491" s="192"/>
      <c r="BN491" s="192"/>
      <c r="BO491" s="192"/>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2"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row>
    <row r="493" spans="1:256" s="192"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row>
    <row r="494" spans="1:256" s="192"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row>
    <row r="495" spans="1:256" s="192"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row>
    <row r="496" spans="1:256" s="192"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row>
    <row r="497" spans="1:61" s="192"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row>
    <row r="498" spans="1:61" s="192"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row>
    <row r="499" spans="1:61" s="192"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row>
    <row r="500" spans="1:61" s="192"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row>
    <row r="501" spans="1:61" s="192"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W265"/>
  <sheetViews>
    <sheetView workbookViewId="0"/>
  </sheetViews>
  <sheetFormatPr defaultRowHeight="12.75"/>
  <cols>
    <col min="2" max="2" width="36" bestFit="1" customWidth="1"/>
    <col min="17" max="17" width="46" bestFit="1" customWidth="1"/>
  </cols>
  <sheetData>
    <row r="2" spans="1:23" ht="23.25">
      <c r="B2" s="270" t="s">
        <v>117</v>
      </c>
    </row>
    <row r="3" spans="1:23" ht="13.5" thickBot="1">
      <c r="B3" s="271"/>
      <c r="C3" s="272" t="str">
        <f>Input!G40</f>
        <v>2008-09</v>
      </c>
      <c r="D3" s="272" t="str">
        <f>Input!H40</f>
        <v>2009-10</v>
      </c>
      <c r="E3" s="272" t="str">
        <f>Input!I40</f>
        <v>2010-11</v>
      </c>
      <c r="F3" s="272" t="str">
        <f>Input!J40</f>
        <v>2011-12</v>
      </c>
      <c r="G3" s="272" t="str">
        <f>Input!K40</f>
        <v>2012-13</v>
      </c>
      <c r="H3" s="272" t="str">
        <f>Input!L40</f>
        <v>2013-14</v>
      </c>
      <c r="I3" s="272" t="str">
        <f>Input!M40</f>
        <v>2014-15</v>
      </c>
    </row>
    <row r="4" spans="1:23">
      <c r="A4">
        <v>1</v>
      </c>
      <c r="B4" s="282" t="str">
        <f ca="1">INDIRECT("Asset"&amp;A4)</f>
        <v>Opening Distribution Assets</v>
      </c>
      <c r="C4" s="281"/>
      <c r="P4" s="295" t="s">
        <v>122</v>
      </c>
      <c r="Q4" s="294"/>
      <c r="R4" s="296" t="s">
        <v>126</v>
      </c>
      <c r="S4" s="299" t="s">
        <v>125</v>
      </c>
      <c r="U4" s="284"/>
      <c r="V4" s="284"/>
      <c r="W4" s="284"/>
    </row>
    <row r="5" spans="1:23">
      <c r="B5" s="281" t="s">
        <v>28</v>
      </c>
      <c r="C5" s="283">
        <f>'Actual RAB roll forward'!G437</f>
        <v>498.28027838127326</v>
      </c>
      <c r="D5" s="283">
        <f t="shared" ref="D5:I5" si="0">C8</f>
        <v>501.59257877918782</v>
      </c>
      <c r="E5" s="283">
        <f t="shared" ca="1" si="0"/>
        <v>476.0437697217709</v>
      </c>
      <c r="F5" s="283">
        <f t="shared" ca="1" si="0"/>
        <v>450.49496066435398</v>
      </c>
      <c r="G5" s="283">
        <f t="shared" ca="1" si="0"/>
        <v>424.94615160693706</v>
      </c>
      <c r="H5" s="283">
        <f t="shared" ca="1" si="0"/>
        <v>399.39734254952015</v>
      </c>
      <c r="I5" s="283">
        <f t="shared" ca="1" si="0"/>
        <v>373.84853349210323</v>
      </c>
      <c r="K5" s="283"/>
      <c r="P5" s="289">
        <v>1</v>
      </c>
      <c r="Q5" s="3" t="str">
        <f ca="1">INDIRECT("Asset"&amp;P5)</f>
        <v>Opening Distribution Assets</v>
      </c>
      <c r="R5" s="290">
        <f ca="1">OFFSET($H$1,8*P5,0)</f>
        <v>14.632718599600389</v>
      </c>
      <c r="S5" s="297">
        <f t="shared" ref="S5:S20" ca="1" si="1">OFFSET($H$134,8*P5,0)</f>
        <v>18.553353369015571</v>
      </c>
      <c r="U5" s="284"/>
      <c r="V5" s="284"/>
      <c r="W5" s="284"/>
    </row>
    <row r="6" spans="1:23">
      <c r="B6" s="281" t="s">
        <v>118</v>
      </c>
      <c r="C6" s="283">
        <f>'Actual RAB roll forward'!G632</f>
        <v>-25.847574280198437</v>
      </c>
      <c r="D6" s="283">
        <f ca="1">OFFSET('Actual RAB roll forward'!H$43,13*$A4,0)</f>
        <v>-25.548809057416904</v>
      </c>
      <c r="E6" s="283">
        <f ca="1">OFFSET('Actual RAB roll forward'!I$43,13*$A4,0)</f>
        <v>-25.548809057416904</v>
      </c>
      <c r="F6" s="283">
        <f ca="1">OFFSET('Actual RAB roll forward'!J$43,13*$A4,0)</f>
        <v>-25.548809057416904</v>
      </c>
      <c r="G6" s="283">
        <f ca="1">OFFSET('Actual RAB roll forward'!K$43,13*$A4,0)</f>
        <v>-25.548809057416904</v>
      </c>
      <c r="H6" s="283">
        <f ca="1">OFFSET('Actual RAB roll forward'!L$43,13*$A4,0)</f>
        <v>-25.548809057416904</v>
      </c>
      <c r="I6" s="283"/>
      <c r="K6" s="283"/>
      <c r="P6" s="289">
        <v>2</v>
      </c>
      <c r="Q6" s="3" t="str">
        <f t="shared" ref="Q6:Q20" ca="1" si="2">INDIRECT("Asset"&amp;P6)</f>
        <v>Sub-transmission Overhead</v>
      </c>
      <c r="R6" s="290" t="e">
        <f t="shared" ref="R6:R20" ca="1" si="3">OFFSET($H$1,8*P6,0)</f>
        <v>#DIV/0!</v>
      </c>
      <c r="S6" s="297" t="e">
        <f t="shared" ca="1" si="1"/>
        <v>#DIV/0!</v>
      </c>
      <c r="U6" s="284"/>
      <c r="V6" s="284"/>
      <c r="W6" s="284"/>
    </row>
    <row r="7" spans="1:23">
      <c r="B7" s="281" t="s">
        <v>119</v>
      </c>
      <c r="C7" s="283">
        <f>'Actual RAB roll forward'!G470</f>
        <v>29.159874678113024</v>
      </c>
      <c r="D7" s="283">
        <f ca="1">OFFSET('Actual RAB roll forward'!H$11,$A4,0)</f>
        <v>0</v>
      </c>
      <c r="E7" s="283">
        <f ca="1">OFFSET('Actual RAB roll forward'!I$11,$A4,0)</f>
        <v>0</v>
      </c>
      <c r="F7" s="283">
        <f ca="1">OFFSET('Actual RAB roll forward'!J$11,$A4,0)</f>
        <v>0</v>
      </c>
      <c r="G7" s="283">
        <f ca="1">OFFSET('Actual RAB roll forward'!K$11,$A4,0)</f>
        <v>0</v>
      </c>
      <c r="H7" s="283">
        <f ca="1">OFFSET('Actual RAB roll forward'!L$11,$A4,0)</f>
        <v>0</v>
      </c>
      <c r="I7" s="283"/>
      <c r="P7" s="289">
        <v>3</v>
      </c>
      <c r="Q7" s="3" t="str">
        <f t="shared" ca="1" si="2"/>
        <v>Sub-transmission Underground</v>
      </c>
      <c r="R7" s="290" t="e">
        <f t="shared" ca="1" si="3"/>
        <v>#DIV/0!</v>
      </c>
      <c r="S7" s="297" t="e">
        <f t="shared" ca="1" si="1"/>
        <v>#DIV/0!</v>
      </c>
      <c r="U7" s="284"/>
      <c r="V7" s="284"/>
      <c r="W7" s="284"/>
    </row>
    <row r="8" spans="1:23">
      <c r="B8" s="286" t="s">
        <v>120</v>
      </c>
      <c r="C8" s="287">
        <f t="shared" ref="C8:H8" si="4">C5+C6+C7</f>
        <v>501.59257877918782</v>
      </c>
      <c r="D8" s="287">
        <f t="shared" ca="1" si="4"/>
        <v>476.0437697217709</v>
      </c>
      <c r="E8" s="287">
        <f t="shared" ca="1" si="4"/>
        <v>450.49496066435398</v>
      </c>
      <c r="F8" s="287">
        <f t="shared" ca="1" si="4"/>
        <v>424.94615160693706</v>
      </c>
      <c r="G8" s="287">
        <f t="shared" ca="1" si="4"/>
        <v>399.39734254952015</v>
      </c>
      <c r="H8" s="287">
        <f t="shared" ca="1" si="4"/>
        <v>373.84853349210323</v>
      </c>
      <c r="I8" s="287"/>
      <c r="P8" s="289">
        <v>4</v>
      </c>
      <c r="Q8" s="3" t="str">
        <f t="shared" ca="1" si="2"/>
        <v>Zone Substation</v>
      </c>
      <c r="R8" s="290">
        <f t="shared" ca="1" si="3"/>
        <v>37.639472096340654</v>
      </c>
      <c r="S8" s="297">
        <f t="shared" ca="1" si="1"/>
        <v>37.839143281467464</v>
      </c>
      <c r="U8" s="284"/>
      <c r="V8" s="284"/>
      <c r="W8" s="284"/>
    </row>
    <row r="9" spans="1:23">
      <c r="B9" s="281" t="s">
        <v>123</v>
      </c>
      <c r="C9" s="283"/>
      <c r="D9" s="283">
        <f ca="1">-D8/(D6-D7/INDIRECT("A"&amp;$A4&amp;"stdlife"))</f>
        <v>18.632718599600391</v>
      </c>
      <c r="E9" s="283">
        <f t="shared" ref="E9:G9" ca="1" si="5">-E8/(E6-E7/INDIRECT("A"&amp;$A4&amp;"stdlife"))</f>
        <v>17.632718599600391</v>
      </c>
      <c r="F9" s="283">
        <f t="shared" ca="1" si="5"/>
        <v>16.632718599600391</v>
      </c>
      <c r="G9" s="283">
        <f t="shared" ca="1" si="5"/>
        <v>15.632718599600391</v>
      </c>
      <c r="H9" s="283">
        <f ca="1">-H8/(H6-H7/INDIRECT("A"&amp;$A4&amp;"stdlife"))</f>
        <v>14.632718599600389</v>
      </c>
      <c r="I9" s="283"/>
      <c r="P9" s="289">
        <v>5</v>
      </c>
      <c r="Q9" s="3" t="str">
        <f t="shared" ca="1" si="2"/>
        <v>Distribution Substations</v>
      </c>
      <c r="R9" s="290">
        <f t="shared" ca="1" si="3"/>
        <v>37.854704579201901</v>
      </c>
      <c r="S9" s="297">
        <f t="shared" ca="1" si="1"/>
        <v>37.981864911048639</v>
      </c>
      <c r="U9" s="284"/>
      <c r="V9" s="284"/>
      <c r="W9" s="284"/>
    </row>
    <row r="10" spans="1:23">
      <c r="B10" s="284" t="s">
        <v>121</v>
      </c>
      <c r="C10" s="285"/>
      <c r="D10" s="285"/>
      <c r="E10" s="285">
        <f ca="1">-E5/D9</f>
        <v>-25.548809057416904</v>
      </c>
      <c r="F10" s="285">
        <f t="shared" ref="F10:I10" ca="1" si="6">-F5/E9</f>
        <v>-25.548809057416904</v>
      </c>
      <c r="G10" s="285">
        <f t="shared" ca="1" si="6"/>
        <v>-25.548809057416904</v>
      </c>
      <c r="H10" s="285">
        <f t="shared" ca="1" si="6"/>
        <v>-25.548809057416904</v>
      </c>
      <c r="I10" s="285">
        <f t="shared" ca="1" si="6"/>
        <v>-25.548809057416904</v>
      </c>
      <c r="P10" s="289">
        <v>6</v>
      </c>
      <c r="Q10" s="3" t="str">
        <f t="shared" ca="1" si="2"/>
        <v>Distribution Overhead Lines</v>
      </c>
      <c r="R10" s="290">
        <f t="shared" ca="1" si="3"/>
        <v>47.887703308273444</v>
      </c>
      <c r="S10" s="297">
        <f t="shared" ca="1" si="1"/>
        <v>42.934234930768291</v>
      </c>
      <c r="U10" s="284"/>
      <c r="V10" s="284"/>
      <c r="W10" s="284"/>
    </row>
    <row r="11" spans="1:23">
      <c r="C11" s="283"/>
      <c r="D11" s="283"/>
      <c r="E11" s="283"/>
      <c r="F11" s="283"/>
      <c r="G11" s="283"/>
      <c r="H11" s="283"/>
      <c r="I11" s="283"/>
      <c r="P11" s="289">
        <v>7</v>
      </c>
      <c r="Q11" s="3" t="str">
        <f t="shared" ca="1" si="2"/>
        <v>Distribution Underground Lines</v>
      </c>
      <c r="R11" s="290">
        <f t="shared" ca="1" si="3"/>
        <v>57.793604582040039</v>
      </c>
      <c r="S11" s="297">
        <f t="shared" ca="1" si="1"/>
        <v>47.895059030456629</v>
      </c>
      <c r="U11" s="284"/>
      <c r="V11" s="284"/>
      <c r="W11" s="284"/>
    </row>
    <row r="12" spans="1:23">
      <c r="A12">
        <v>2</v>
      </c>
      <c r="B12" s="288" t="str">
        <f ca="1">INDIRECT("Asset"&amp;A12)</f>
        <v>Sub-transmission Overhead</v>
      </c>
      <c r="C12" s="287"/>
      <c r="D12" s="287"/>
      <c r="E12" s="287"/>
      <c r="F12" s="287"/>
      <c r="G12" s="287"/>
      <c r="H12" s="287"/>
      <c r="I12" s="287"/>
      <c r="P12" s="289">
        <v>8</v>
      </c>
      <c r="Q12" s="3" t="str">
        <f t="shared" ca="1" si="2"/>
        <v>IT &amp; Communication Systems (Networks)</v>
      </c>
      <c r="R12" s="290">
        <f t="shared" ca="1" si="3"/>
        <v>9.3631894058229861</v>
      </c>
      <c r="S12" s="297">
        <f t="shared" ca="1" si="1"/>
        <v>9.3891671644488586</v>
      </c>
      <c r="U12" s="284"/>
      <c r="V12" s="284"/>
      <c r="W12" s="284"/>
    </row>
    <row r="13" spans="1:23">
      <c r="B13" s="281" t="s">
        <v>28</v>
      </c>
      <c r="C13" s="283">
        <v>0</v>
      </c>
      <c r="D13" s="283">
        <v>0</v>
      </c>
      <c r="E13" s="283">
        <f ca="1">D16</f>
        <v>0</v>
      </c>
      <c r="F13" s="283">
        <f ca="1">E16</f>
        <v>0</v>
      </c>
      <c r="G13" s="283">
        <f ca="1">F16</f>
        <v>0</v>
      </c>
      <c r="H13" s="283">
        <f ca="1">G16</f>
        <v>0</v>
      </c>
      <c r="I13" s="283">
        <f ca="1">H16</f>
        <v>0</v>
      </c>
      <c r="P13" s="289">
        <v>9</v>
      </c>
      <c r="Q13" s="3" t="str">
        <f t="shared" ca="1" si="2"/>
        <v>Motor Vehicles</v>
      </c>
      <c r="R13" s="290">
        <f t="shared" ca="1" si="3"/>
        <v>6.1647713295976114</v>
      </c>
      <c r="S13" s="297">
        <f t="shared" ca="1" si="1"/>
        <v>7.1723205051565424</v>
      </c>
      <c r="U13" s="284"/>
      <c r="V13" s="284"/>
      <c r="W13" s="284"/>
    </row>
    <row r="14" spans="1:23">
      <c r="B14" s="281" t="s">
        <v>118</v>
      </c>
      <c r="C14" s="283"/>
      <c r="D14" s="283">
        <f ca="1">OFFSET('Actual RAB roll forward'!H$43,13*$A12,0)</f>
        <v>0</v>
      </c>
      <c r="E14" s="283">
        <f ca="1">OFFSET('Actual RAB roll forward'!I$43,13*$A12,0)</f>
        <v>0</v>
      </c>
      <c r="F14" s="283">
        <f ca="1">OFFSET('Actual RAB roll forward'!J$43,13*$A12,0)</f>
        <v>0</v>
      </c>
      <c r="G14" s="283">
        <f ca="1">OFFSET('Actual RAB roll forward'!K$43,13*$A12,0)</f>
        <v>0</v>
      </c>
      <c r="H14" s="283">
        <f ca="1">OFFSET('Actual RAB roll forward'!L$43,13*$A12,0)</f>
        <v>0</v>
      </c>
      <c r="I14" s="283"/>
      <c r="P14" s="289">
        <v>10</v>
      </c>
      <c r="Q14" s="3" t="str">
        <f t="shared" ca="1" si="2"/>
        <v>Other Non-System Assets (Networks)</v>
      </c>
      <c r="R14" s="290">
        <f t="shared" ca="1" si="3"/>
        <v>2.7577679227946983</v>
      </c>
      <c r="S14" s="297">
        <f t="shared" ca="1" si="1"/>
        <v>3.6170875416795165</v>
      </c>
      <c r="U14" s="284"/>
      <c r="V14" s="284"/>
      <c r="W14" s="284"/>
    </row>
    <row r="15" spans="1:23">
      <c r="B15" s="281" t="s">
        <v>119</v>
      </c>
      <c r="C15" s="283"/>
      <c r="D15" s="283">
        <f ca="1">OFFSET('Actual RAB roll forward'!H$11,$A12,0)</f>
        <v>0</v>
      </c>
      <c r="E15" s="283">
        <f ca="1">OFFSET('Actual RAB roll forward'!I$11,$A12,0)</f>
        <v>0</v>
      </c>
      <c r="F15" s="283">
        <f ca="1">OFFSET('Actual RAB roll forward'!J$11,$A12,0)</f>
        <v>0</v>
      </c>
      <c r="G15" s="283">
        <f ca="1">OFFSET('Actual RAB roll forward'!K$11,$A12,0)</f>
        <v>0</v>
      </c>
      <c r="H15" s="283">
        <f ca="1">OFFSET('Actual RAB roll forward'!L$11,$A12,0)</f>
        <v>0</v>
      </c>
      <c r="I15" s="283"/>
      <c r="P15" s="289">
        <v>11</v>
      </c>
      <c r="Q15" s="3" t="str">
        <f t="shared" ca="1" si="2"/>
        <v>IT Systems (Corporate)</v>
      </c>
      <c r="R15" s="290">
        <f t="shared" ca="1" si="3"/>
        <v>4.1337307731991482</v>
      </c>
      <c r="S15" s="297">
        <f t="shared" ca="1" si="1"/>
        <v>3.2686803377684521</v>
      </c>
      <c r="U15" s="284"/>
      <c r="V15" s="284"/>
      <c r="W15" s="284"/>
    </row>
    <row r="16" spans="1:23">
      <c r="B16" s="286" t="s">
        <v>120</v>
      </c>
      <c r="C16" s="287">
        <v>0</v>
      </c>
      <c r="D16" s="287">
        <f ca="1">D13+D14+D15</f>
        <v>0</v>
      </c>
      <c r="E16" s="287">
        <f ca="1">E13+E14+E15</f>
        <v>0</v>
      </c>
      <c r="F16" s="287">
        <f ca="1">F13+F14+F15</f>
        <v>0</v>
      </c>
      <c r="G16" s="287">
        <f ca="1">G13+G14+G15</f>
        <v>0</v>
      </c>
      <c r="H16" s="287">
        <f ca="1">H13+H14+H15</f>
        <v>0</v>
      </c>
      <c r="I16" s="287"/>
      <c r="P16" s="289">
        <v>12</v>
      </c>
      <c r="Q16" s="3" t="str">
        <f t="shared" ca="1" si="2"/>
        <v>Telecommunications (Corporate)</v>
      </c>
      <c r="R16" s="290">
        <f t="shared" ca="1" si="3"/>
        <v>1.7262792497883916</v>
      </c>
      <c r="S16" s="297">
        <f t="shared" ca="1" si="1"/>
        <v>3.4529187996727755</v>
      </c>
      <c r="U16" s="284"/>
      <c r="V16" s="284"/>
      <c r="W16" s="284"/>
    </row>
    <row r="17" spans="1:23">
      <c r="B17" s="281" t="s">
        <v>123</v>
      </c>
      <c r="C17" s="283"/>
      <c r="D17" s="283" t="e">
        <f ca="1">-D16/(D14-D15/INDIRECT("A"&amp;$A12&amp;"stdlife"))</f>
        <v>#DIV/0!</v>
      </c>
      <c r="E17" s="283" t="e">
        <f t="shared" ref="E17" ca="1" si="7">-E16/(E14-E15/INDIRECT("A"&amp;$A12&amp;"stdlife"))</f>
        <v>#DIV/0!</v>
      </c>
      <c r="F17" s="283" t="e">
        <f t="shared" ref="F17" ca="1" si="8">-F16/(F14-F15/INDIRECT("A"&amp;$A12&amp;"stdlife"))</f>
        <v>#DIV/0!</v>
      </c>
      <c r="G17" s="283" t="e">
        <f t="shared" ref="G17" ca="1" si="9">-G16/(G14-G15/INDIRECT("A"&amp;$A12&amp;"stdlife"))</f>
        <v>#DIV/0!</v>
      </c>
      <c r="H17" s="283" t="e">
        <f t="shared" ref="H17" ca="1" si="10">-H16/(H14-H15/INDIRECT("A"&amp;$A12&amp;"stdlife"))</f>
        <v>#DIV/0!</v>
      </c>
      <c r="I17" s="283"/>
      <c r="P17" s="289">
        <v>13</v>
      </c>
      <c r="Q17" s="3" t="str">
        <f t="shared" ca="1" si="2"/>
        <v>Other Non-System Assets (Corporate)</v>
      </c>
      <c r="R17" s="290">
        <f t="shared" ca="1" si="3"/>
        <v>2.1798622163442989</v>
      </c>
      <c r="S17" s="297">
        <f t="shared" ca="1" si="1"/>
        <v>2.9209075870015706</v>
      </c>
      <c r="U17" s="284"/>
      <c r="V17" s="284"/>
      <c r="W17" s="284"/>
    </row>
    <row r="18" spans="1:23">
      <c r="B18" s="284" t="s">
        <v>121</v>
      </c>
      <c r="C18" s="285"/>
      <c r="D18" s="285"/>
      <c r="E18" s="285" t="e">
        <f ca="1">-E13/D17</f>
        <v>#DIV/0!</v>
      </c>
      <c r="F18" s="285" t="e">
        <f t="shared" ref="F18:I18" ca="1" si="11">-F13/E17</f>
        <v>#DIV/0!</v>
      </c>
      <c r="G18" s="285" t="e">
        <f t="shared" ca="1" si="11"/>
        <v>#DIV/0!</v>
      </c>
      <c r="H18" s="285" t="e">
        <f t="shared" ca="1" si="11"/>
        <v>#DIV/0!</v>
      </c>
      <c r="I18" s="285" t="e">
        <f t="shared" ca="1" si="11"/>
        <v>#DIV/0!</v>
      </c>
      <c r="P18" s="289">
        <v>14</v>
      </c>
      <c r="Q18" s="3" t="str">
        <f t="shared" ca="1" si="2"/>
        <v>Land</v>
      </c>
      <c r="R18" s="290" t="e">
        <f t="shared" ca="1" si="3"/>
        <v>#VALUE!</v>
      </c>
      <c r="S18" s="297" t="e">
        <f t="shared" ca="1" si="1"/>
        <v>#VALUE!</v>
      </c>
      <c r="U18" s="284"/>
      <c r="V18" s="284"/>
      <c r="W18" s="284"/>
    </row>
    <row r="19" spans="1:23">
      <c r="C19" s="283"/>
      <c r="D19" s="283"/>
      <c r="E19" s="283"/>
      <c r="F19" s="283"/>
      <c r="G19" s="283"/>
      <c r="H19" s="283"/>
      <c r="I19" s="283"/>
      <c r="P19" s="289">
        <v>15</v>
      </c>
      <c r="Q19" s="3" t="str">
        <f t="shared" ca="1" si="2"/>
        <v>Buildings</v>
      </c>
      <c r="R19" s="290">
        <f t="shared" ca="1" si="3"/>
        <v>57.07855381012736</v>
      </c>
      <c r="S19" s="297">
        <f t="shared" ca="1" si="1"/>
        <v>97.112299702782877</v>
      </c>
      <c r="U19" s="284"/>
      <c r="V19" s="284"/>
      <c r="W19" s="284"/>
    </row>
    <row r="20" spans="1:23" ht="13.5" thickBot="1">
      <c r="A20">
        <v>3</v>
      </c>
      <c r="B20" s="288" t="str">
        <f ca="1">INDIRECT("Asset"&amp;A20)</f>
        <v>Sub-transmission Underground</v>
      </c>
      <c r="C20" s="287"/>
      <c r="D20" s="287"/>
      <c r="E20" s="287"/>
      <c r="F20" s="287"/>
      <c r="G20" s="287"/>
      <c r="H20" s="287"/>
      <c r="I20" s="287"/>
      <c r="P20" s="291">
        <v>16</v>
      </c>
      <c r="Q20" s="292" t="str">
        <f t="shared" ca="1" si="2"/>
        <v>Equity raising costs</v>
      </c>
      <c r="R20" s="293">
        <f t="shared" ca="1" si="3"/>
        <v>40.549314045499941</v>
      </c>
      <c r="S20" s="298">
        <f t="shared" ca="1" si="1"/>
        <v>40.549314045499941</v>
      </c>
      <c r="U20" s="284"/>
      <c r="V20" s="284"/>
      <c r="W20" s="284"/>
    </row>
    <row r="21" spans="1:23">
      <c r="B21" s="281" t="s">
        <v>28</v>
      </c>
      <c r="C21" s="283">
        <v>0</v>
      </c>
      <c r="D21" s="283">
        <v>0</v>
      </c>
      <c r="E21" s="283">
        <f ca="1">D24</f>
        <v>0</v>
      </c>
      <c r="F21" s="283">
        <f ca="1">E24</f>
        <v>0</v>
      </c>
      <c r="G21" s="283">
        <f ca="1">F24</f>
        <v>0</v>
      </c>
      <c r="H21" s="283">
        <f ca="1">G24</f>
        <v>0</v>
      </c>
      <c r="I21" s="283">
        <f ca="1">H24</f>
        <v>0</v>
      </c>
      <c r="U21" s="284"/>
      <c r="V21" s="284"/>
      <c r="W21" s="284"/>
    </row>
    <row r="22" spans="1:23">
      <c r="B22" s="281" t="s">
        <v>118</v>
      </c>
      <c r="C22" s="283"/>
      <c r="D22" s="283">
        <f ca="1">OFFSET('Actual RAB roll forward'!H$43,13*$A20,0)</f>
        <v>0</v>
      </c>
      <c r="E22" s="283">
        <f ca="1">OFFSET('Actual RAB roll forward'!I$43,13*$A20,0)</f>
        <v>0</v>
      </c>
      <c r="F22" s="283">
        <f ca="1">OFFSET('Actual RAB roll forward'!J$43,13*$A20,0)</f>
        <v>0</v>
      </c>
      <c r="G22" s="283">
        <f ca="1">OFFSET('Actual RAB roll forward'!K$43,13*$A20,0)</f>
        <v>0</v>
      </c>
      <c r="H22" s="283">
        <f ca="1">OFFSET('Actual RAB roll forward'!L$43,13*$A20,0)</f>
        <v>0</v>
      </c>
      <c r="I22" s="283"/>
      <c r="U22" s="284"/>
      <c r="V22" s="284"/>
      <c r="W22" s="284"/>
    </row>
    <row r="23" spans="1:23">
      <c r="B23" s="281" t="s">
        <v>119</v>
      </c>
      <c r="C23" s="283"/>
      <c r="D23" s="283">
        <f ca="1">OFFSET('Actual RAB roll forward'!H$11,$A20,0)</f>
        <v>0</v>
      </c>
      <c r="E23" s="283">
        <f ca="1">OFFSET('Actual RAB roll forward'!I$11,$A20,0)</f>
        <v>0</v>
      </c>
      <c r="F23" s="283">
        <f ca="1">OFFSET('Actual RAB roll forward'!J$11,$A20,0)</f>
        <v>0</v>
      </c>
      <c r="G23" s="283">
        <f ca="1">OFFSET('Actual RAB roll forward'!K$11,$A20,0)</f>
        <v>0</v>
      </c>
      <c r="H23" s="283">
        <f ca="1">OFFSET('Actual RAB roll forward'!L$11,$A20,0)</f>
        <v>0</v>
      </c>
      <c r="I23" s="283"/>
      <c r="U23" s="284"/>
      <c r="V23" s="284"/>
      <c r="W23" s="284"/>
    </row>
    <row r="24" spans="1:23">
      <c r="B24" s="286" t="s">
        <v>120</v>
      </c>
      <c r="C24" s="287">
        <v>0</v>
      </c>
      <c r="D24" s="287">
        <f ca="1">D21+D22+D23</f>
        <v>0</v>
      </c>
      <c r="E24" s="287">
        <f ca="1">E21+E22+E23</f>
        <v>0</v>
      </c>
      <c r="F24" s="287">
        <f ca="1">F21+F22+F23</f>
        <v>0</v>
      </c>
      <c r="G24" s="287">
        <f ca="1">G21+G22+G23</f>
        <v>0</v>
      </c>
      <c r="H24" s="287">
        <f ca="1">H21+H22+H23</f>
        <v>0</v>
      </c>
      <c r="I24" s="287"/>
      <c r="U24" s="284"/>
      <c r="V24" s="284"/>
      <c r="W24" s="284"/>
    </row>
    <row r="25" spans="1:23">
      <c r="B25" s="281" t="s">
        <v>123</v>
      </c>
      <c r="C25" s="283"/>
      <c r="D25" s="283" t="e">
        <f ca="1">-D24/(D22-D23/INDIRECT("A"&amp;$A20&amp;"stdlife"))</f>
        <v>#DIV/0!</v>
      </c>
      <c r="E25" s="283" t="e">
        <f t="shared" ref="E25" ca="1" si="12">-E24/(E22-E23/INDIRECT("A"&amp;$A20&amp;"stdlife"))</f>
        <v>#DIV/0!</v>
      </c>
      <c r="F25" s="283" t="e">
        <f t="shared" ref="F25" ca="1" si="13">-F24/(F22-F23/INDIRECT("A"&amp;$A20&amp;"stdlife"))</f>
        <v>#DIV/0!</v>
      </c>
      <c r="G25" s="283" t="e">
        <f t="shared" ref="G25" ca="1" si="14">-G24/(G22-G23/INDIRECT("A"&amp;$A20&amp;"stdlife"))</f>
        <v>#DIV/0!</v>
      </c>
      <c r="H25" s="283" t="e">
        <f t="shared" ref="H25" ca="1" si="15">-H24/(H22-H23/INDIRECT("A"&amp;$A20&amp;"stdlife"))</f>
        <v>#DIV/0!</v>
      </c>
      <c r="I25" s="283"/>
    </row>
    <row r="26" spans="1:23">
      <c r="B26" s="284" t="s">
        <v>121</v>
      </c>
      <c r="C26" s="285"/>
      <c r="D26" s="285"/>
      <c r="E26" s="285" t="e">
        <f ca="1">-E21/D25</f>
        <v>#DIV/0!</v>
      </c>
      <c r="F26" s="285" t="e">
        <f t="shared" ref="F26:I26" ca="1" si="16">-F21/E25</f>
        <v>#DIV/0!</v>
      </c>
      <c r="G26" s="285" t="e">
        <f t="shared" ca="1" si="16"/>
        <v>#DIV/0!</v>
      </c>
      <c r="H26" s="285" t="e">
        <f t="shared" ca="1" si="16"/>
        <v>#DIV/0!</v>
      </c>
      <c r="I26" s="285" t="e">
        <f t="shared" ca="1" si="16"/>
        <v>#DIV/0!</v>
      </c>
    </row>
    <row r="27" spans="1:23">
      <c r="C27" s="283"/>
      <c r="D27" s="283"/>
      <c r="E27" s="283"/>
      <c r="F27" s="283"/>
      <c r="G27" s="283"/>
      <c r="H27" s="283"/>
      <c r="I27" s="283"/>
    </row>
    <row r="28" spans="1:23">
      <c r="A28">
        <v>4</v>
      </c>
      <c r="B28" s="288" t="str">
        <f ca="1">INDIRECT("Asset"&amp;A28)</f>
        <v>Zone Substation</v>
      </c>
      <c r="C28" s="287"/>
      <c r="D28" s="287"/>
      <c r="E28" s="287"/>
      <c r="F28" s="287"/>
      <c r="G28" s="287"/>
      <c r="H28" s="287"/>
      <c r="I28" s="287"/>
    </row>
    <row r="29" spans="1:23">
      <c r="B29" s="281" t="s">
        <v>28</v>
      </c>
      <c r="C29" s="283">
        <v>0</v>
      </c>
      <c r="D29" s="283">
        <v>0</v>
      </c>
      <c r="E29" s="283">
        <f ca="1">D32</f>
        <v>0.79008281112332457</v>
      </c>
      <c r="F29" s="283">
        <f ca="1">E32</f>
        <v>0.77828842991634417</v>
      </c>
      <c r="G29" s="283">
        <f ca="1">F32</f>
        <v>0.75833741741148353</v>
      </c>
      <c r="H29" s="283">
        <f ca="1">G32</f>
        <v>1.441219772413741</v>
      </c>
      <c r="I29" s="283">
        <f ca="1">H32</f>
        <v>1.5495055792115691</v>
      </c>
    </row>
    <row r="30" spans="1:23">
      <c r="B30" s="281" t="s">
        <v>118</v>
      </c>
      <c r="C30" s="283"/>
      <c r="D30" s="283">
        <f ca="1">OFFSET('Actual RAB roll forward'!H$43,13*$A28,0)</f>
        <v>0</v>
      </c>
      <c r="E30" s="283">
        <f ca="1">OFFSET('Actual RAB roll forward'!I$43,13*$A28,0)</f>
        <v>-1.9752070278083116E-2</v>
      </c>
      <c r="F30" s="283">
        <f ca="1">OFFSET('Actual RAB roll forward'!J$43,13*$A28,0)</f>
        <v>-1.9951012504860685E-2</v>
      </c>
      <c r="G30" s="283">
        <f ca="1">OFFSET('Actual RAB roll forward'!K$43,13*$A28,0)</f>
        <v>-1.9951012504860685E-2</v>
      </c>
      <c r="H30" s="283">
        <f ca="1">OFFSET('Actual RAB roll forward'!L$43,13*$A28,0)</f>
        <v>-3.7521846692538635E-2</v>
      </c>
      <c r="I30" s="283"/>
      <c r="K30" s="302" t="s">
        <v>127</v>
      </c>
      <c r="L30" s="303"/>
      <c r="M30" s="303"/>
      <c r="N30" s="304"/>
    </row>
    <row r="31" spans="1:23">
      <c r="B31" s="281" t="s">
        <v>119</v>
      </c>
      <c r="C31" s="283"/>
      <c r="D31" s="283">
        <f ca="1">OFFSET('Actual RAB roll forward'!H$11,$A28,0)</f>
        <v>0.79008281112332457</v>
      </c>
      <c r="E31" s="283">
        <f ca="1">OFFSET('Actual RAB roll forward'!I$11,$A28,0)</f>
        <v>7.957689071102737E-3</v>
      </c>
      <c r="F31" s="283">
        <f ca="1">OFFSET('Actual RAB roll forward'!J$11,$A28,0)</f>
        <v>0</v>
      </c>
      <c r="G31" s="283">
        <f ca="1">OFFSET('Actual RAB roll forward'!K$11,$A28,0)</f>
        <v>0.70283336750711811</v>
      </c>
      <c r="H31" s="283">
        <f ca="1">OFFSET('Actual RAB roll forward'!L$11,$A28,0)</f>
        <v>0.14580765349036676</v>
      </c>
      <c r="I31" s="283"/>
      <c r="K31" s="305">
        <f>A4stdlife</f>
        <v>40</v>
      </c>
      <c r="L31" s="306">
        <f ca="1">H31</f>
        <v>0.14580765349036676</v>
      </c>
      <c r="M31" s="306">
        <f ca="1">K31*(L31/L33)</f>
        <v>3.5901072611312252</v>
      </c>
      <c r="N31" s="307"/>
    </row>
    <row r="32" spans="1:23" ht="13.5" thickBot="1">
      <c r="B32" s="286" t="s">
        <v>120</v>
      </c>
      <c r="C32" s="287">
        <v>0</v>
      </c>
      <c r="D32" s="287">
        <f ca="1">D29+D30+D31</f>
        <v>0.79008281112332457</v>
      </c>
      <c r="E32" s="287">
        <f ca="1">E29+E30+E31</f>
        <v>0.77828842991634417</v>
      </c>
      <c r="F32" s="287">
        <f ca="1">F29+F30+F31</f>
        <v>0.75833741741148353</v>
      </c>
      <c r="G32" s="287">
        <f ca="1">G29+G30+G31</f>
        <v>1.441219772413741</v>
      </c>
      <c r="H32" s="287">
        <f ca="1">H29+H30+H31</f>
        <v>1.5495055792115691</v>
      </c>
      <c r="I32" s="287"/>
      <c r="K32" s="305">
        <f ca="1">(H32-H31)/-H30</f>
        <v>37.410150337838601</v>
      </c>
      <c r="L32" s="306">
        <f ca="1">H29-H30</f>
        <v>1.4787416191062797</v>
      </c>
      <c r="M32" s="306">
        <f ca="1">K32*(L32/L33)</f>
        <v>34.052489028641475</v>
      </c>
      <c r="N32" s="307"/>
    </row>
    <row r="33" spans="1:14" ht="13.5" thickBot="1">
      <c r="B33" s="281" t="s">
        <v>123</v>
      </c>
      <c r="C33" s="283"/>
      <c r="D33" s="283">
        <f ca="1">-D32/(D30-D31/INDIRECT("A"&amp;$A28&amp;"stdlife"))</f>
        <v>40</v>
      </c>
      <c r="E33" s="283">
        <f t="shared" ref="E33" ca="1" si="17">-E32/(E30-E31/INDIRECT("A"&amp;$A28&amp;"stdlife"))</f>
        <v>39.009971535365885</v>
      </c>
      <c r="F33" s="283">
        <f t="shared" ref="F33" ca="1" si="18">-F32/(F30-F31/INDIRECT("A"&amp;$A28&amp;"stdlife"))</f>
        <v>38.009971535365885</v>
      </c>
      <c r="G33" s="283">
        <f t="shared" ref="G33" ca="1" si="19">-G32/(G30-G31/INDIRECT("A"&amp;$A28&amp;"stdlife"))</f>
        <v>38.410150337838601</v>
      </c>
      <c r="H33" s="283">
        <f t="shared" ref="H33" ca="1" si="20">-H32/(H30-H31/INDIRECT("A"&amp;$A28&amp;"stdlife"))</f>
        <v>37.639472096340654</v>
      </c>
      <c r="I33" s="283"/>
      <c r="K33" s="308"/>
      <c r="L33" s="287">
        <f ca="1">L31+L32</f>
        <v>1.6245492725966464</v>
      </c>
      <c r="M33" s="310">
        <f ca="1">M31+M32</f>
        <v>37.642596289772698</v>
      </c>
      <c r="N33" s="309"/>
    </row>
    <row r="34" spans="1:14">
      <c r="B34" s="284" t="s">
        <v>121</v>
      </c>
      <c r="C34" s="285"/>
      <c r="D34" s="285"/>
      <c r="E34" s="285">
        <f ca="1">-E29/D33</f>
        <v>-1.9752070278083116E-2</v>
      </c>
      <c r="F34" s="285">
        <f t="shared" ref="F34:I34" ca="1" si="21">-F29/E33</f>
        <v>-1.9951012504860685E-2</v>
      </c>
      <c r="G34" s="285">
        <f t="shared" ca="1" si="21"/>
        <v>-1.9951012504860685E-2</v>
      </c>
      <c r="H34" s="285">
        <f t="shared" ca="1" si="21"/>
        <v>-3.7521846692538635E-2</v>
      </c>
      <c r="I34" s="285">
        <f t="shared" ca="1" si="21"/>
        <v>-4.1167038029797806E-2</v>
      </c>
    </row>
    <row r="35" spans="1:14">
      <c r="C35" s="283"/>
      <c r="D35" s="283"/>
      <c r="E35" s="283"/>
      <c r="F35" s="283"/>
      <c r="G35" s="283"/>
      <c r="H35" s="283"/>
      <c r="I35" s="283"/>
    </row>
    <row r="36" spans="1:14">
      <c r="A36">
        <v>5</v>
      </c>
      <c r="B36" s="288" t="str">
        <f ca="1">INDIRECT("Asset"&amp;A36)</f>
        <v>Distribution Substations</v>
      </c>
      <c r="C36" s="287"/>
      <c r="D36" s="287"/>
      <c r="E36" s="287"/>
      <c r="F36" s="287"/>
      <c r="G36" s="287"/>
      <c r="H36" s="287"/>
      <c r="I36" s="287"/>
    </row>
    <row r="37" spans="1:14">
      <c r="B37" s="281" t="s">
        <v>28</v>
      </c>
      <c r="C37" s="283">
        <v>0</v>
      </c>
      <c r="D37" s="283">
        <v>0</v>
      </c>
      <c r="E37" s="283">
        <f ca="1">D40</f>
        <v>9.9231122765235895</v>
      </c>
      <c r="F37" s="283">
        <f ca="1">E40</f>
        <v>21.200984878921112</v>
      </c>
      <c r="G37" s="283">
        <f ca="1">F40</f>
        <v>30.582658295422764</v>
      </c>
      <c r="H37" s="283">
        <f ca="1">G40</f>
        <v>36.572982803240244</v>
      </c>
      <c r="I37" s="283">
        <f ca="1">H40</f>
        <v>44.502090844888727</v>
      </c>
    </row>
    <row r="38" spans="1:14">
      <c r="B38" s="281" t="s">
        <v>118</v>
      </c>
      <c r="C38" s="283"/>
      <c r="D38" s="283">
        <f ca="1">OFFSET('Actual RAB roll forward'!H$43,13*$A36,0)</f>
        <v>0</v>
      </c>
      <c r="E38" s="283">
        <f ca="1">OFFSET('Actual RAB roll forward'!I$43,13*$A36,0)</f>
        <v>-0.24807780691308973</v>
      </c>
      <c r="F38" s="283">
        <f ca="1">OFFSET('Actual RAB roll forward'!J$43,13*$A36,0)</f>
        <v>-0.53622656714585504</v>
      </c>
      <c r="G38" s="283">
        <f ca="1">OFFSET('Actual RAB roll forward'!K$43,13*$A36,0)</f>
        <v>-0.78417406673704271</v>
      </c>
      <c r="H38" s="283">
        <f ca="1">OFFSET('Actual RAB roll forward'!L$43,13*$A36,0)</f>
        <v>-0.95353653110090575</v>
      </c>
      <c r="I38" s="283"/>
    </row>
    <row r="39" spans="1:14">
      <c r="B39" s="281" t="s">
        <v>119</v>
      </c>
      <c r="C39" s="283"/>
      <c r="D39" s="283">
        <f ca="1">OFFSET('Actual RAB roll forward'!H$11,$A36,0)</f>
        <v>9.9231122765235895</v>
      </c>
      <c r="E39" s="283">
        <f ca="1">OFFSET('Actual RAB roll forward'!I$11,$A36,0)</f>
        <v>11.52595040931061</v>
      </c>
      <c r="F39" s="283">
        <f ca="1">OFFSET('Actual RAB roll forward'!J$11,$A36,0)</f>
        <v>9.9178999836475086</v>
      </c>
      <c r="G39" s="283">
        <f ca="1">OFFSET('Actual RAB roll forward'!K$11,$A36,0)</f>
        <v>6.7744985745545225</v>
      </c>
      <c r="H39" s="283">
        <f ca="1">OFFSET('Actual RAB roll forward'!L$11,$A36,0)</f>
        <v>8.8826445727493919</v>
      </c>
      <c r="I39" s="283"/>
    </row>
    <row r="40" spans="1:14">
      <c r="B40" s="286" t="s">
        <v>120</v>
      </c>
      <c r="C40" s="287">
        <v>0</v>
      </c>
      <c r="D40" s="287">
        <f ca="1">D37+D38+D39</f>
        <v>9.9231122765235895</v>
      </c>
      <c r="E40" s="287">
        <f ca="1">E37+E38+E39</f>
        <v>21.200984878921112</v>
      </c>
      <c r="F40" s="287">
        <f ca="1">F37+F38+F39</f>
        <v>30.582658295422764</v>
      </c>
      <c r="G40" s="287">
        <f ca="1">G37+G38+G39</f>
        <v>36.572982803240244</v>
      </c>
      <c r="H40" s="287">
        <f ca="1">H37+H38+H39</f>
        <v>44.502090844888727</v>
      </c>
      <c r="I40" s="287"/>
    </row>
    <row r="41" spans="1:14">
      <c r="B41" s="281" t="s">
        <v>123</v>
      </c>
      <c r="C41" s="283"/>
      <c r="D41" s="283">
        <f ca="1">-D40/(D38-D39/INDIRECT("A"&amp;$A36&amp;"stdlife"))</f>
        <v>40</v>
      </c>
      <c r="E41" s="283">
        <f t="shared" ref="E41" ca="1" si="22">-E40/(E38-E39/INDIRECT("A"&amp;$A36&amp;"stdlife"))</f>
        <v>39.537363826948152</v>
      </c>
      <c r="F41" s="283">
        <f t="shared" ref="F41" ca="1" si="23">-F40/(F38-F39/INDIRECT("A"&amp;$A36&amp;"stdlife"))</f>
        <v>38.999833828575277</v>
      </c>
      <c r="G41" s="283">
        <f t="shared" ref="G41" ca="1" si="24">-G40/(G38-G39/INDIRECT("A"&amp;$A36&amp;"stdlife"))</f>
        <v>38.355093497062875</v>
      </c>
      <c r="H41" s="283">
        <f t="shared" ref="H41" ca="1" si="25">-H40/(H38-H39/INDIRECT("A"&amp;$A36&amp;"stdlife"))</f>
        <v>37.854704579201901</v>
      </c>
      <c r="I41" s="283"/>
    </row>
    <row r="42" spans="1:14">
      <c r="B42" s="284" t="s">
        <v>121</v>
      </c>
      <c r="C42" s="285"/>
      <c r="D42" s="285"/>
      <c r="E42" s="285">
        <f ca="1">-E37/D41</f>
        <v>-0.24807780691308973</v>
      </c>
      <c r="F42" s="285">
        <f t="shared" ref="F42:I42" ca="1" si="26">-F37/E41</f>
        <v>-0.53622656714585504</v>
      </c>
      <c r="G42" s="285">
        <f t="shared" ca="1" si="26"/>
        <v>-0.78417406673704271</v>
      </c>
      <c r="H42" s="285">
        <f t="shared" ca="1" si="26"/>
        <v>-0.95353653110090586</v>
      </c>
      <c r="I42" s="285">
        <f t="shared" ca="1" si="26"/>
        <v>-1.1756026454196404</v>
      </c>
    </row>
    <row r="43" spans="1:14">
      <c r="C43" s="283"/>
      <c r="D43" s="283"/>
      <c r="E43" s="283"/>
      <c r="F43" s="283"/>
      <c r="G43" s="283"/>
      <c r="H43" s="283"/>
      <c r="I43" s="283"/>
    </row>
    <row r="44" spans="1:14">
      <c r="A44">
        <v>6</v>
      </c>
      <c r="B44" s="288" t="str">
        <f ca="1">INDIRECT("Asset"&amp;A44)</f>
        <v>Distribution Overhead Lines</v>
      </c>
      <c r="C44" s="287"/>
      <c r="D44" s="287"/>
      <c r="E44" s="287"/>
      <c r="F44" s="287"/>
      <c r="G44" s="287"/>
      <c r="H44" s="287"/>
      <c r="I44" s="287"/>
    </row>
    <row r="45" spans="1:14">
      <c r="B45" s="281" t="s">
        <v>28</v>
      </c>
      <c r="C45" s="283">
        <v>0</v>
      </c>
      <c r="D45" s="283">
        <v>0</v>
      </c>
      <c r="E45" s="283">
        <f ca="1">D48</f>
        <v>10.784504343792682</v>
      </c>
      <c r="F45" s="283">
        <f ca="1">E48</f>
        <v>22.806886904171435</v>
      </c>
      <c r="G45" s="283">
        <f ca="1">F48</f>
        <v>35.470794979436249</v>
      </c>
      <c r="H45" s="283">
        <f ca="1">G48</f>
        <v>44.799559822930007</v>
      </c>
      <c r="I45" s="283">
        <f ca="1">H48</f>
        <v>52.665745796361165</v>
      </c>
    </row>
    <row r="46" spans="1:14">
      <c r="B46" s="281" t="s">
        <v>118</v>
      </c>
      <c r="C46" s="283"/>
      <c r="D46" s="283">
        <f ca="1">OFFSET('Actual RAB roll forward'!H$43,13*$A44,0)</f>
        <v>0</v>
      </c>
      <c r="E46" s="283">
        <f ca="1">OFFSET('Actual RAB roll forward'!I$43,13*$A44,0)</f>
        <v>-0.21569008687585364</v>
      </c>
      <c r="F46" s="283">
        <f ca="1">OFFSET('Actual RAB roll forward'!J$43,13*$A44,0)</f>
        <v>-0.46045153982094583</v>
      </c>
      <c r="G46" s="283">
        <f ca="1">OFFSET('Actual RAB roll forward'!K$43,13*$A44,0)</f>
        <v>-0.72293873212266102</v>
      </c>
      <c r="H46" s="283">
        <f ca="1">OFFSET('Actual RAB roll forward'!L$43,13*$A44,0)</f>
        <v>-0.92397280363498957</v>
      </c>
      <c r="I46" s="283"/>
    </row>
    <row r="47" spans="1:14">
      <c r="B47" s="281" t="s">
        <v>119</v>
      </c>
      <c r="C47" s="283"/>
      <c r="D47" s="283">
        <f ca="1">OFFSET('Actual RAB roll forward'!H$11,$A44,0)</f>
        <v>10.784504343792682</v>
      </c>
      <c r="E47" s="283">
        <f ca="1">OFFSET('Actual RAB roll forward'!I$11,$A44,0)</f>
        <v>12.23807264725461</v>
      </c>
      <c r="F47" s="283">
        <f ca="1">OFFSET('Actual RAB roll forward'!J$11,$A44,0)</f>
        <v>13.124359615085758</v>
      </c>
      <c r="G47" s="283">
        <f ca="1">OFFSET('Actual RAB roll forward'!K$11,$A44,0)</f>
        <v>10.051703575616425</v>
      </c>
      <c r="H47" s="283">
        <f ca="1">OFFSET('Actual RAB roll forward'!L$11,$A44,0)</f>
        <v>8.7901587770661429</v>
      </c>
      <c r="I47" s="283"/>
    </row>
    <row r="48" spans="1:14">
      <c r="B48" s="286" t="s">
        <v>120</v>
      </c>
      <c r="C48" s="287">
        <v>0</v>
      </c>
      <c r="D48" s="287">
        <f ca="1">D45+D46+D47</f>
        <v>10.784504343792682</v>
      </c>
      <c r="E48" s="287">
        <f ca="1">E45+E46+E47</f>
        <v>22.806886904171435</v>
      </c>
      <c r="F48" s="287">
        <f ca="1">F45+F46+F47</f>
        <v>35.470794979436249</v>
      </c>
      <c r="G48" s="287">
        <f ca="1">G45+G46+G47</f>
        <v>44.799559822930007</v>
      </c>
      <c r="H48" s="287">
        <f ca="1">H45+H46+H47</f>
        <v>52.665745796361165</v>
      </c>
      <c r="I48" s="287"/>
    </row>
    <row r="49" spans="1:9">
      <c r="B49" s="281" t="s">
        <v>123</v>
      </c>
      <c r="C49" s="283"/>
      <c r="D49" s="283">
        <f ca="1">-D48/(D46-D47/INDIRECT("A"&amp;$A44&amp;"stdlife"))</f>
        <v>50</v>
      </c>
      <c r="E49" s="283">
        <f t="shared" ref="E49" ca="1" si="27">-E48/(E46-E47/INDIRECT("A"&amp;$A44&amp;"stdlife"))</f>
        <v>49.531568323216533</v>
      </c>
      <c r="F49" s="283">
        <f t="shared" ref="F49" ca="1" si="28">-F48/(F46-F47/INDIRECT("A"&amp;$A44&amp;"stdlife"))</f>
        <v>49.064731772343215</v>
      </c>
      <c r="G49" s="283">
        <f t="shared" ref="G49" ca="1" si="29">-G48/(G46-G47/INDIRECT("A"&amp;$A44&amp;"stdlife"))</f>
        <v>48.485799199591838</v>
      </c>
      <c r="H49" s="283">
        <f t="shared" ref="H49" ca="1" si="30">-H48/(H46-H47/INDIRECT("A"&amp;$A44&amp;"stdlife"))</f>
        <v>47.887703308273444</v>
      </c>
      <c r="I49" s="283"/>
    </row>
    <row r="50" spans="1:9">
      <c r="B50" s="284" t="s">
        <v>121</v>
      </c>
      <c r="C50" s="285"/>
      <c r="D50" s="285"/>
      <c r="E50" s="285">
        <f ca="1">-E45/D49</f>
        <v>-0.21569008687585364</v>
      </c>
      <c r="F50" s="285">
        <f t="shared" ref="F50:I50" ca="1" si="31">-F45/E49</f>
        <v>-0.46045153982094578</v>
      </c>
      <c r="G50" s="285">
        <f t="shared" ca="1" si="31"/>
        <v>-0.72293873212266102</v>
      </c>
      <c r="H50" s="285">
        <f t="shared" ca="1" si="31"/>
        <v>-0.92397280363498968</v>
      </c>
      <c r="I50" s="285">
        <f t="shared" ca="1" si="31"/>
        <v>-1.0997759791763124</v>
      </c>
    </row>
    <row r="51" spans="1:9">
      <c r="C51" s="283"/>
      <c r="D51" s="283"/>
      <c r="E51" s="283"/>
      <c r="F51" s="283"/>
      <c r="G51" s="283"/>
      <c r="H51" s="283"/>
      <c r="I51" s="283"/>
    </row>
    <row r="52" spans="1:9">
      <c r="A52">
        <v>7</v>
      </c>
      <c r="B52" s="288" t="str">
        <f ca="1">INDIRECT("Asset"&amp;A52)</f>
        <v>Distribution Underground Lines</v>
      </c>
      <c r="C52" s="287"/>
      <c r="D52" s="287"/>
      <c r="E52" s="287"/>
      <c r="F52" s="287"/>
      <c r="G52" s="287"/>
      <c r="H52" s="287"/>
      <c r="I52" s="287"/>
    </row>
    <row r="53" spans="1:9">
      <c r="B53" s="281" t="s">
        <v>28</v>
      </c>
      <c r="C53" s="283">
        <v>0</v>
      </c>
      <c r="D53" s="283">
        <v>0</v>
      </c>
      <c r="E53" s="283">
        <f ca="1">D56</f>
        <v>14.737536433828074</v>
      </c>
      <c r="F53" s="283">
        <f ca="1">E56</f>
        <v>30.479083173485837</v>
      </c>
      <c r="G53" s="283">
        <f ca="1">F56</f>
        <v>46.09794400150524</v>
      </c>
      <c r="H53" s="283">
        <f ca="1">G56</f>
        <v>53.365070854387511</v>
      </c>
      <c r="I53" s="283">
        <f ca="1">H56</f>
        <v>64.271243942953888</v>
      </c>
    </row>
    <row r="54" spans="1:9">
      <c r="B54" s="281" t="s">
        <v>118</v>
      </c>
      <c r="C54" s="283"/>
      <c r="D54" s="283">
        <f ca="1">OFFSET('Actual RAB roll forward'!H$43,13*$A52,0)</f>
        <v>0</v>
      </c>
      <c r="E54" s="283">
        <f ca="1">OFFSET('Actual RAB roll forward'!I$43,13*$A52,0)</f>
        <v>-0.24562560723046792</v>
      </c>
      <c r="F54" s="283">
        <f ca="1">OFFSET('Actual RAB roll forward'!J$43,13*$A52,0)</f>
        <v>-0.51207847967860509</v>
      </c>
      <c r="G54" s="283">
        <f ca="1">OFFSET('Actual RAB roll forward'!K$43,13*$A52,0)</f>
        <v>-0.78092746814023861</v>
      </c>
      <c r="H54" s="283">
        <f ca="1">OFFSET('Actual RAB roll forward'!L$43,13*$A52,0)</f>
        <v>-0.91506170682394716</v>
      </c>
      <c r="I54" s="283"/>
    </row>
    <row r="55" spans="1:9">
      <c r="B55" s="281" t="s">
        <v>119</v>
      </c>
      <c r="C55" s="283"/>
      <c r="D55" s="283">
        <f ca="1">OFFSET('Actual RAB roll forward'!H$11,$A52,0)</f>
        <v>14.737536433828074</v>
      </c>
      <c r="E55" s="283">
        <f ca="1">OFFSET('Actual RAB roll forward'!I$11,$A52,0)</f>
        <v>15.987172346888229</v>
      </c>
      <c r="F55" s="283">
        <f ca="1">OFFSET('Actual RAB roll forward'!J$11,$A52,0)</f>
        <v>16.130939307698011</v>
      </c>
      <c r="G55" s="283">
        <f ca="1">OFFSET('Actual RAB roll forward'!K$11,$A52,0)</f>
        <v>8.0480543210225139</v>
      </c>
      <c r="H55" s="283">
        <f ca="1">OFFSET('Actual RAB roll forward'!L$11,$A52,0)</f>
        <v>11.821234795390328</v>
      </c>
      <c r="I55" s="283"/>
    </row>
    <row r="56" spans="1:9">
      <c r="B56" s="286" t="s">
        <v>120</v>
      </c>
      <c r="C56" s="287">
        <v>0</v>
      </c>
      <c r="D56" s="287">
        <f ca="1">D53+D54+D55</f>
        <v>14.737536433828074</v>
      </c>
      <c r="E56" s="287">
        <f ca="1">E53+E54+E55</f>
        <v>30.479083173485837</v>
      </c>
      <c r="F56" s="287">
        <f ca="1">F53+F54+F55</f>
        <v>46.09794400150524</v>
      </c>
      <c r="G56" s="287">
        <f ca="1">G53+G54+G55</f>
        <v>53.365070854387511</v>
      </c>
      <c r="H56" s="287">
        <f ca="1">H53+H54+H55</f>
        <v>64.271243942953888</v>
      </c>
      <c r="I56" s="287"/>
    </row>
    <row r="57" spans="1:9">
      <c r="B57" s="281" t="s">
        <v>123</v>
      </c>
      <c r="C57" s="283"/>
      <c r="D57" s="283">
        <f ca="1">-D56/(D54-D55/INDIRECT("A"&amp;$A52&amp;"stdlife"))</f>
        <v>60</v>
      </c>
      <c r="E57" s="283">
        <f t="shared" ref="E57" ca="1" si="32">-E56/(E54-E55/INDIRECT("A"&amp;$A52&amp;"stdlife"))</f>
        <v>59.520336009073006</v>
      </c>
      <c r="F57" s="283">
        <f t="shared" ref="F57" ca="1" si="33">-F56/(F54-F55/INDIRECT("A"&amp;$A52&amp;"stdlife"))</f>
        <v>59.029738205119699</v>
      </c>
      <c r="G57" s="283">
        <f t="shared" ref="G57" ca="1" si="34">-G56/(G54-G55/INDIRECT("A"&amp;$A52&amp;"stdlife"))</f>
        <v>58.318548854601623</v>
      </c>
      <c r="H57" s="283">
        <f t="shared" ref="H57" ca="1" si="35">-H56/(H54-H55/INDIRECT("A"&amp;$A52&amp;"stdlife"))</f>
        <v>57.793604582040039</v>
      </c>
      <c r="I57" s="283"/>
    </row>
    <row r="58" spans="1:9">
      <c r="B58" s="284" t="s">
        <v>121</v>
      </c>
      <c r="C58" s="285"/>
      <c r="D58" s="285"/>
      <c r="E58" s="285">
        <f ca="1">-E53/D57</f>
        <v>-0.24562560723046792</v>
      </c>
      <c r="F58" s="285">
        <f t="shared" ref="F58:I58" ca="1" si="36">-F53/E57</f>
        <v>-0.51207847967860509</v>
      </c>
      <c r="G58" s="285">
        <f t="shared" ca="1" si="36"/>
        <v>-0.78092746814023861</v>
      </c>
      <c r="H58" s="285">
        <f t="shared" ca="1" si="36"/>
        <v>-0.91506170682394716</v>
      </c>
      <c r="I58" s="285">
        <f t="shared" ca="1" si="36"/>
        <v>-1.1120822867471194</v>
      </c>
    </row>
    <row r="59" spans="1:9">
      <c r="C59" s="283"/>
      <c r="D59" s="283"/>
      <c r="E59" s="283"/>
      <c r="F59" s="283"/>
      <c r="G59" s="283"/>
      <c r="H59" s="283"/>
      <c r="I59" s="283"/>
    </row>
    <row r="60" spans="1:9">
      <c r="A60">
        <v>8</v>
      </c>
      <c r="B60" s="288" t="str">
        <f ca="1">INDIRECT("Asset"&amp;A60)</f>
        <v>IT &amp; Communication Systems (Networks)</v>
      </c>
      <c r="C60" s="287"/>
      <c r="D60" s="287"/>
      <c r="E60" s="287"/>
      <c r="F60" s="287"/>
      <c r="G60" s="287"/>
      <c r="H60" s="287"/>
      <c r="I60" s="287"/>
    </row>
    <row r="61" spans="1:9">
      <c r="B61" s="281" t="s">
        <v>28</v>
      </c>
      <c r="C61" s="283">
        <v>0</v>
      </c>
      <c r="D61" s="283">
        <v>0</v>
      </c>
      <c r="E61" s="283">
        <f ca="1">D64</f>
        <v>1.2004850917885757</v>
      </c>
      <c r="F61" s="283">
        <f ca="1">E64</f>
        <v>1.9134446570477359</v>
      </c>
      <c r="G61" s="283">
        <f ca="1">F64</f>
        <v>3.9922328843305404</v>
      </c>
      <c r="H61" s="283">
        <f ca="1">G64</f>
        <v>9.3766378770292285</v>
      </c>
      <c r="I61" s="283">
        <f ca="1">H64</f>
        <v>25.997132982047884</v>
      </c>
    </row>
    <row r="62" spans="1:9">
      <c r="B62" s="281" t="s">
        <v>118</v>
      </c>
      <c r="C62" s="283"/>
      <c r="D62" s="283">
        <f ca="1">OFFSET('Actual RAB roll forward'!H$43,13*$A60,0)</f>
        <v>0</v>
      </c>
      <c r="E62" s="283">
        <f ca="1">OFFSET('Actual RAB roll forward'!I$43,13*$A60,0)</f>
        <v>-0.12004850917885757</v>
      </c>
      <c r="F62" s="283">
        <f ca="1">OFFSET('Actual RAB roll forward'!J$43,13*$A60,0)</f>
        <v>-0.20334931662265937</v>
      </c>
      <c r="G62" s="283">
        <f ca="1">OFFSET('Actual RAB roll forward'!K$43,13*$A60,0)</f>
        <v>-0.43156307101320579</v>
      </c>
      <c r="H62" s="283">
        <f ca="1">OFFSET('Actual RAB roll forward'!L$43,13*$A60,0)</f>
        <v>-1.0131598773843953</v>
      </c>
      <c r="I62" s="283"/>
    </row>
    <row r="63" spans="1:9">
      <c r="B63" s="281" t="s">
        <v>119</v>
      </c>
      <c r="C63" s="283"/>
      <c r="D63" s="283">
        <f ca="1">OFFSET('Actual RAB roll forward'!H$11,$A60,0)</f>
        <v>1.2004850917885757</v>
      </c>
      <c r="E63" s="283">
        <f ca="1">OFFSET('Actual RAB roll forward'!I$11,$A60,0)</f>
        <v>0.83300807443801794</v>
      </c>
      <c r="F63" s="283">
        <f ca="1">OFFSET('Actual RAB roll forward'!J$11,$A60,0)</f>
        <v>2.2821375439054639</v>
      </c>
      <c r="G63" s="283">
        <f ca="1">OFFSET('Actual RAB roll forward'!K$11,$A60,0)</f>
        <v>5.8159680637118942</v>
      </c>
      <c r="H63" s="283">
        <f ca="1">OFFSET('Actual RAB roll forward'!L$11,$A60,0)</f>
        <v>17.633654982403051</v>
      </c>
      <c r="I63" s="283"/>
    </row>
    <row r="64" spans="1:9">
      <c r="B64" s="286" t="s">
        <v>120</v>
      </c>
      <c r="C64" s="287">
        <v>0</v>
      </c>
      <c r="D64" s="287">
        <f ca="1">D61+D62+D63</f>
        <v>1.2004850917885757</v>
      </c>
      <c r="E64" s="287">
        <f ca="1">E61+E62+E63</f>
        <v>1.9134446570477359</v>
      </c>
      <c r="F64" s="287">
        <f ca="1">F61+F62+F63</f>
        <v>3.9922328843305404</v>
      </c>
      <c r="G64" s="287">
        <f ca="1">G61+G62+G63</f>
        <v>9.3766378770292285</v>
      </c>
      <c r="H64" s="287">
        <f ca="1">H61+H62+H63</f>
        <v>25.997132982047884</v>
      </c>
      <c r="I64" s="287"/>
    </row>
    <row r="65" spans="1:9">
      <c r="B65" s="281" t="s">
        <v>123</v>
      </c>
      <c r="C65" s="283"/>
      <c r="D65" s="283">
        <f ca="1">-D64/(D62-D63/INDIRECT("A"&amp;$A60&amp;"stdlife"))</f>
        <v>10</v>
      </c>
      <c r="E65" s="283">
        <f t="shared" ref="E65" ca="1" si="37">-E64/(E62-E63/INDIRECT("A"&amp;$A60&amp;"stdlife"))</f>
        <v>9.4096439015744373</v>
      </c>
      <c r="F65" s="283">
        <f t="shared" ref="F65" ca="1" si="38">-F64/(F62-F63/INDIRECT("A"&amp;$A60&amp;"stdlife"))</f>
        <v>9.2506360077514103</v>
      </c>
      <c r="G65" s="283">
        <f t="shared" ref="G65" ca="1" si="39">-G64/(G62-G63/INDIRECT("A"&amp;$A60&amp;"stdlife"))</f>
        <v>9.2548452483493975</v>
      </c>
      <c r="H65" s="283">
        <f t="shared" ref="H65" ca="1" si="40">-H64/(H62-H63/INDIRECT("A"&amp;$A60&amp;"stdlife"))</f>
        <v>9.3631894058229861</v>
      </c>
      <c r="I65" s="283"/>
    </row>
    <row r="66" spans="1:9">
      <c r="B66" s="284" t="s">
        <v>121</v>
      </c>
      <c r="C66" s="285"/>
      <c r="D66" s="285"/>
      <c r="E66" s="285">
        <f ca="1">-E61/D65</f>
        <v>-0.12004850917885757</v>
      </c>
      <c r="F66" s="285">
        <f t="shared" ref="F66:I66" ca="1" si="41">-F61/E65</f>
        <v>-0.20334931662265934</v>
      </c>
      <c r="G66" s="285">
        <f t="shared" ca="1" si="41"/>
        <v>-0.43156307101320579</v>
      </c>
      <c r="H66" s="285">
        <f t="shared" ca="1" si="41"/>
        <v>-1.0131598773843953</v>
      </c>
      <c r="I66" s="285">
        <f t="shared" ca="1" si="41"/>
        <v>-2.7765253756247006</v>
      </c>
    </row>
    <row r="67" spans="1:9">
      <c r="C67" s="283"/>
      <c r="D67" s="283"/>
      <c r="E67" s="283"/>
      <c r="F67" s="283"/>
      <c r="G67" s="283"/>
      <c r="H67" s="283"/>
      <c r="I67" s="283"/>
    </row>
    <row r="68" spans="1:9">
      <c r="A68">
        <v>9</v>
      </c>
      <c r="B68" s="288" t="str">
        <f ca="1">INDIRECT("Asset"&amp;A68)</f>
        <v>Motor Vehicles</v>
      </c>
      <c r="C68" s="287"/>
      <c r="D68" s="287"/>
      <c r="E68" s="287"/>
      <c r="F68" s="287"/>
      <c r="G68" s="287"/>
      <c r="H68" s="287"/>
      <c r="I68" s="287"/>
    </row>
    <row r="69" spans="1:9">
      <c r="B69" s="281" t="s">
        <v>28</v>
      </c>
      <c r="C69" s="283">
        <v>0</v>
      </c>
      <c r="D69" s="283">
        <v>0</v>
      </c>
      <c r="E69" s="283">
        <f ca="1">D72</f>
        <v>0</v>
      </c>
      <c r="F69" s="283">
        <f ca="1">E72</f>
        <v>0</v>
      </c>
      <c r="G69" s="283">
        <f ca="1">F72</f>
        <v>0.54100962381038509</v>
      </c>
      <c r="H69" s="283">
        <f ca="1">G72</f>
        <v>4.1446917853814851</v>
      </c>
      <c r="I69" s="283">
        <f ca="1">H72</f>
        <v>5.0221892139215107</v>
      </c>
    </row>
    <row r="70" spans="1:9">
      <c r="B70" s="281" t="s">
        <v>118</v>
      </c>
      <c r="C70" s="283"/>
      <c r="D70" s="283">
        <f ca="1">OFFSET('Actual RAB roll forward'!H$43,13*$A68,0)</f>
        <v>0</v>
      </c>
      <c r="E70" s="283">
        <f ca="1">OFFSET('Actual RAB roll forward'!I$43,13*$A68,0)</f>
        <v>0</v>
      </c>
      <c r="F70" s="283">
        <f ca="1">OFFSET('Actual RAB roll forward'!J$43,13*$A68,0)</f>
        <v>0</v>
      </c>
      <c r="G70" s="283">
        <f ca="1">OFFSET('Actual RAB roll forward'!K$43,13*$A68,0)</f>
        <v>-7.72870891157693E-2</v>
      </c>
      <c r="H70" s="283">
        <f ca="1">OFFSET('Actual RAB roll forward'!L$43,13*$A68,0)</f>
        <v>-0.60313983921389358</v>
      </c>
      <c r="I70" s="283"/>
    </row>
    <row r="71" spans="1:9">
      <c r="B71" s="281" t="s">
        <v>119</v>
      </c>
      <c r="C71" s="283"/>
      <c r="D71" s="283">
        <f ca="1">OFFSET('Actual RAB roll forward'!H$11,$A68,0)</f>
        <v>0</v>
      </c>
      <c r="E71" s="283">
        <f ca="1">OFFSET('Actual RAB roll forward'!I$11,$A68,0)</f>
        <v>0</v>
      </c>
      <c r="F71" s="283">
        <f ca="1">OFFSET('Actual RAB roll forward'!J$11,$A68,0)</f>
        <v>0.54100962381038509</v>
      </c>
      <c r="G71" s="283">
        <f ca="1">OFFSET('Actual RAB roll forward'!K$11,$A68,0)</f>
        <v>3.6809692506868696</v>
      </c>
      <c r="H71" s="283">
        <f ca="1">OFFSET('Actual RAB roll forward'!L$11,$A68,0)</f>
        <v>1.4806372677539197</v>
      </c>
      <c r="I71" s="283"/>
    </row>
    <row r="72" spans="1:9">
      <c r="B72" s="286" t="s">
        <v>120</v>
      </c>
      <c r="C72" s="287">
        <v>0</v>
      </c>
      <c r="D72" s="287">
        <f ca="1">D69+D70+D71</f>
        <v>0</v>
      </c>
      <c r="E72" s="287">
        <f ca="1">E69+E70+E71</f>
        <v>0</v>
      </c>
      <c r="F72" s="287">
        <f ca="1">F69+F70+F71</f>
        <v>0.54100962381038509</v>
      </c>
      <c r="G72" s="287">
        <f ca="1">G69+G70+G71</f>
        <v>4.1446917853814851</v>
      </c>
      <c r="H72" s="287">
        <f ca="1">H69+H70+H71</f>
        <v>5.0221892139215107</v>
      </c>
      <c r="I72" s="287"/>
    </row>
    <row r="73" spans="1:9">
      <c r="B73" s="281" t="s">
        <v>123</v>
      </c>
      <c r="C73" s="283"/>
      <c r="D73" s="283" t="e">
        <f ca="1">-D72/(D70-D71/INDIRECT("A"&amp;$A68&amp;"stdlife"))</f>
        <v>#DIV/0!</v>
      </c>
      <c r="E73" s="283" t="e">
        <f t="shared" ref="E73" ca="1" si="42">-E72/(E70-E71/INDIRECT("A"&amp;$A68&amp;"stdlife"))</f>
        <v>#DIV/0!</v>
      </c>
      <c r="F73" s="283">
        <f t="shared" ref="F73" ca="1" si="43">-F72/(F70-F71/INDIRECT("A"&amp;$A68&amp;"stdlife"))</f>
        <v>7</v>
      </c>
      <c r="G73" s="283">
        <f t="shared" ref="G73" ca="1" si="44">-G72/(G70-G71/INDIRECT("A"&amp;$A68&amp;"stdlife"))</f>
        <v>6.8718587563101412</v>
      </c>
      <c r="H73" s="283">
        <f t="shared" ref="H73" ca="1" si="45">-H72/(H70-H71/INDIRECT("A"&amp;$A68&amp;"stdlife"))</f>
        <v>6.1647713295976114</v>
      </c>
      <c r="I73" s="283"/>
    </row>
    <row r="74" spans="1:9">
      <c r="B74" s="284" t="s">
        <v>121</v>
      </c>
      <c r="C74" s="285"/>
      <c r="D74" s="285"/>
      <c r="E74" s="285" t="e">
        <f ca="1">-E69/D73</f>
        <v>#DIV/0!</v>
      </c>
      <c r="F74" s="285" t="e">
        <f t="shared" ref="F74:I74" ca="1" si="46">-F69/E73</f>
        <v>#DIV/0!</v>
      </c>
      <c r="G74" s="285">
        <f t="shared" ca="1" si="46"/>
        <v>-7.72870891157693E-2</v>
      </c>
      <c r="H74" s="285">
        <f t="shared" ca="1" si="46"/>
        <v>-0.60313983921389358</v>
      </c>
      <c r="I74" s="285">
        <f t="shared" ca="1" si="46"/>
        <v>-0.814659448893025</v>
      </c>
    </row>
    <row r="75" spans="1:9">
      <c r="C75" s="283"/>
      <c r="D75" s="283"/>
      <c r="E75" s="283"/>
      <c r="F75" s="283"/>
      <c r="G75" s="283"/>
      <c r="H75" s="283"/>
      <c r="I75" s="283"/>
    </row>
    <row r="76" spans="1:9">
      <c r="A76">
        <v>10</v>
      </c>
      <c r="B76" s="288" t="str">
        <f ca="1">INDIRECT("Asset"&amp;A76)</f>
        <v>Other Non-System Assets (Networks)</v>
      </c>
      <c r="C76" s="287"/>
      <c r="D76" s="287"/>
      <c r="E76" s="287"/>
      <c r="F76" s="287"/>
      <c r="G76" s="287"/>
      <c r="H76" s="287"/>
      <c r="I76" s="287"/>
    </row>
    <row r="77" spans="1:9">
      <c r="B77" s="281" t="s">
        <v>28</v>
      </c>
      <c r="C77" s="283">
        <v>0</v>
      </c>
      <c r="D77" s="283">
        <v>0</v>
      </c>
      <c r="E77" s="283">
        <f ca="1">D80</f>
        <v>0.93757947125764385</v>
      </c>
      <c r="F77" s="283">
        <f ca="1">E80</f>
        <v>1.2194979666379417</v>
      </c>
      <c r="G77" s="283">
        <f ca="1">F80</f>
        <v>1.303328605526803</v>
      </c>
      <c r="H77" s="283">
        <f ca="1">G80</f>
        <v>1.4818312560869598</v>
      </c>
      <c r="I77" s="283">
        <f ca="1">H80</f>
        <v>1.579720140353297</v>
      </c>
    </row>
    <row r="78" spans="1:9">
      <c r="B78" s="281" t="s">
        <v>118</v>
      </c>
      <c r="C78" s="283"/>
      <c r="D78" s="283">
        <f ca="1">OFFSET('Actual RAB roll forward'!H$43,13*$A76,0)</f>
        <v>0</v>
      </c>
      <c r="E78" s="283">
        <f ca="1">OFFSET('Actual RAB roll forward'!I$43,13*$A76,0)</f>
        <v>-0.18751589425152876</v>
      </c>
      <c r="F78" s="283">
        <f ca="1">OFFSET('Actual RAB roll forward'!J$43,13*$A76,0)</f>
        <v>-0.28140277217789411</v>
      </c>
      <c r="G78" s="283">
        <f ca="1">OFFSET('Actual RAB roll forward'!K$43,13*$A76,0)</f>
        <v>-0.35444945439124514</v>
      </c>
      <c r="H78" s="283">
        <f ca="1">OFFSET('Actual RAB roll forward'!L$43,13*$A76,0)</f>
        <v>-0.46103987538152558</v>
      </c>
      <c r="I78" s="283"/>
    </row>
    <row r="79" spans="1:9">
      <c r="B79" s="281" t="s">
        <v>119</v>
      </c>
      <c r="C79" s="283"/>
      <c r="D79" s="283">
        <f ca="1">OFFSET('Actual RAB roll forward'!H$11,$A76,0)</f>
        <v>0.93757947125764385</v>
      </c>
      <c r="E79" s="283">
        <f ca="1">OFFSET('Actual RAB roll forward'!I$11,$A76,0)</f>
        <v>0.46943438963182682</v>
      </c>
      <c r="F79" s="283">
        <f ca="1">OFFSET('Actual RAB roll forward'!J$11,$A76,0)</f>
        <v>0.36523341106675522</v>
      </c>
      <c r="G79" s="283">
        <f ca="1">OFFSET('Actual RAB roll forward'!K$11,$A76,0)</f>
        <v>0.53295210495140199</v>
      </c>
      <c r="H79" s="283">
        <f ca="1">OFFSET('Actual RAB roll forward'!L$11,$A76,0)</f>
        <v>0.55892875964786282</v>
      </c>
      <c r="I79" s="283"/>
    </row>
    <row r="80" spans="1:9">
      <c r="B80" s="286" t="s">
        <v>120</v>
      </c>
      <c r="C80" s="287">
        <v>0</v>
      </c>
      <c r="D80" s="287">
        <f ca="1">D77+D78+D79</f>
        <v>0.93757947125764385</v>
      </c>
      <c r="E80" s="287">
        <f ca="1">E77+E78+E79</f>
        <v>1.2194979666379417</v>
      </c>
      <c r="F80" s="287">
        <f ca="1">F77+F78+F79</f>
        <v>1.303328605526803</v>
      </c>
      <c r="G80" s="287">
        <f ca="1">G77+G78+G79</f>
        <v>1.4818312560869598</v>
      </c>
      <c r="H80" s="287">
        <f ca="1">H77+H78+H79</f>
        <v>1.579720140353297</v>
      </c>
      <c r="I80" s="287"/>
    </row>
    <row r="81" spans="1:9">
      <c r="B81" s="281" t="s">
        <v>123</v>
      </c>
      <c r="C81" s="283"/>
      <c r="D81" s="283">
        <f ca="1">-D80/(D78-D79/INDIRECT("A"&amp;$A76&amp;"stdlife"))</f>
        <v>5</v>
      </c>
      <c r="E81" s="283">
        <f t="shared" ref="E81" ca="1" si="47">-E80/(E78-E79/INDIRECT("A"&amp;$A76&amp;"stdlife"))</f>
        <v>4.3336387811667079</v>
      </c>
      <c r="F81" s="283">
        <f t="shared" ref="F81" ca="1" si="48">-F80/(F78-F79/INDIRECT("A"&amp;$A76&amp;"stdlife"))</f>
        <v>3.6770506750115484</v>
      </c>
      <c r="G81" s="283">
        <f t="shared" ref="G81" ca="1" si="49">-G80/(G78-G79/INDIRECT("A"&amp;$A76&amp;"stdlife"))</f>
        <v>3.2141064910289936</v>
      </c>
      <c r="H81" s="283">
        <f t="shared" ref="H81" ca="1" si="50">-H80/(H78-H79/INDIRECT("A"&amp;$A76&amp;"stdlife"))</f>
        <v>2.7577679227946983</v>
      </c>
      <c r="I81" s="283"/>
    </row>
    <row r="82" spans="1:9">
      <c r="B82" s="284" t="s">
        <v>121</v>
      </c>
      <c r="C82" s="285"/>
      <c r="D82" s="285"/>
      <c r="E82" s="285">
        <f ca="1">-E77/D81</f>
        <v>-0.18751589425152876</v>
      </c>
      <c r="F82" s="285">
        <f t="shared" ref="F82:I82" ca="1" si="51">-F77/E81</f>
        <v>-0.28140277217789411</v>
      </c>
      <c r="G82" s="285">
        <f t="shared" ca="1" si="51"/>
        <v>-0.35444945439124514</v>
      </c>
      <c r="H82" s="285">
        <f t="shared" ca="1" si="51"/>
        <v>-0.46103987538152563</v>
      </c>
      <c r="I82" s="285">
        <f t="shared" ca="1" si="51"/>
        <v>-0.5728256273110981</v>
      </c>
    </row>
    <row r="83" spans="1:9">
      <c r="C83" s="283"/>
      <c r="D83" s="283"/>
      <c r="E83" s="283"/>
      <c r="F83" s="283"/>
      <c r="G83" s="283"/>
      <c r="H83" s="283"/>
      <c r="I83" s="283"/>
    </row>
    <row r="84" spans="1:9">
      <c r="A84">
        <v>11</v>
      </c>
      <c r="B84" s="288" t="str">
        <f ca="1">INDIRECT("Asset"&amp;A84)</f>
        <v>IT Systems (Corporate)</v>
      </c>
      <c r="C84" s="287"/>
      <c r="D84" s="287"/>
      <c r="E84" s="287"/>
      <c r="F84" s="287"/>
      <c r="G84" s="287"/>
      <c r="H84" s="287"/>
      <c r="I84" s="287"/>
    </row>
    <row r="85" spans="1:9">
      <c r="B85" s="281" t="s">
        <v>28</v>
      </c>
      <c r="C85" s="283">
        <v>0</v>
      </c>
      <c r="D85" s="283">
        <v>0</v>
      </c>
      <c r="E85" s="283">
        <f ca="1">D88</f>
        <v>0.88731277583044077</v>
      </c>
      <c r="F85" s="283">
        <f ca="1">E88</f>
        <v>0.97554853309946532</v>
      </c>
      <c r="G85" s="283">
        <f ca="1">F88</f>
        <v>2.0793887165933058</v>
      </c>
      <c r="H85" s="283">
        <f ca="1">G88</f>
        <v>4.1481998584517354</v>
      </c>
      <c r="I85" s="283">
        <f ca="1">H88</f>
        <v>9.1443803564404984</v>
      </c>
    </row>
    <row r="86" spans="1:9">
      <c r="B86" s="281" t="s">
        <v>118</v>
      </c>
      <c r="C86" s="283"/>
      <c r="D86" s="283">
        <f ca="1">OFFSET('Actual RAB roll forward'!H$43,13*$A84,0)</f>
        <v>0</v>
      </c>
      <c r="E86" s="283">
        <f ca="1">OFFSET('Actual RAB roll forward'!I$43,13*$A84,0)</f>
        <v>-0.17746255516608817</v>
      </c>
      <c r="F86" s="283">
        <f ca="1">OFFSET('Actual RAB roll forward'!J$43,13*$A84,0)</f>
        <v>-0.2306022176531107</v>
      </c>
      <c r="G86" s="283">
        <f ca="1">OFFSET('Actual RAB roll forward'!K$43,13*$A84,0)</f>
        <v>-0.49749069788250089</v>
      </c>
      <c r="H86" s="283">
        <f ca="1">OFFSET('Actual RAB roll forward'!L$43,13*$A84,0)</f>
        <v>-1.0107510658306871</v>
      </c>
      <c r="I86" s="283"/>
    </row>
    <row r="87" spans="1:9">
      <c r="B87" s="281" t="s">
        <v>119</v>
      </c>
      <c r="C87" s="283"/>
      <c r="D87" s="283">
        <f ca="1">OFFSET('Actual RAB roll forward'!H$11,$A84,0)</f>
        <v>0.88731277583044077</v>
      </c>
      <c r="E87" s="283">
        <f ca="1">OFFSET('Actual RAB roll forward'!I$11,$A84,0)</f>
        <v>0.26569831243511272</v>
      </c>
      <c r="F87" s="283">
        <f ca="1">OFFSET('Actual RAB roll forward'!J$11,$A84,0)</f>
        <v>1.3344424011469511</v>
      </c>
      <c r="G87" s="283">
        <f ca="1">OFFSET('Actual RAB roll forward'!K$11,$A84,0)</f>
        <v>2.5663018397409307</v>
      </c>
      <c r="H87" s="283">
        <f ca="1">OFFSET('Actual RAB roll forward'!L$11,$A84,0)</f>
        <v>6.0069315638194505</v>
      </c>
      <c r="I87" s="283"/>
    </row>
    <row r="88" spans="1:9">
      <c r="B88" s="286" t="s">
        <v>120</v>
      </c>
      <c r="C88" s="287">
        <v>0</v>
      </c>
      <c r="D88" s="287">
        <f ca="1">D85+D86+D87</f>
        <v>0.88731277583044077</v>
      </c>
      <c r="E88" s="287">
        <f ca="1">E85+E86+E87</f>
        <v>0.97554853309946532</v>
      </c>
      <c r="F88" s="287">
        <f ca="1">F85+F86+F87</f>
        <v>2.0793887165933058</v>
      </c>
      <c r="G88" s="287">
        <f ca="1">G85+G86+G87</f>
        <v>4.1481998584517354</v>
      </c>
      <c r="H88" s="287">
        <f ca="1">H85+H86+H87</f>
        <v>9.1443803564404984</v>
      </c>
      <c r="I88" s="287"/>
    </row>
    <row r="89" spans="1:9">
      <c r="B89" s="281" t="s">
        <v>123</v>
      </c>
      <c r="C89" s="283"/>
      <c r="D89" s="283">
        <f ca="1">-D88/(D86-D87/INDIRECT("A"&amp;$A84&amp;"stdlife"))</f>
        <v>5</v>
      </c>
      <c r="E89" s="283">
        <f t="shared" ref="E89" ca="1" si="52">-E88/(E86-E87/INDIRECT("A"&amp;$A84&amp;"stdlife"))</f>
        <v>4.230438644640266</v>
      </c>
      <c r="F89" s="283">
        <f t="shared" ref="F89" ca="1" si="53">-F88/(F86-F87/INDIRECT("A"&amp;$A84&amp;"stdlife"))</f>
        <v>4.1797539641322565</v>
      </c>
      <c r="G89" s="283">
        <f t="shared" ref="G89" ca="1" si="54">-G88/(G86-G87/INDIRECT("A"&amp;$A84&amp;"stdlife"))</f>
        <v>4.1040766601047629</v>
      </c>
      <c r="H89" s="283">
        <f t="shared" ref="H89" ca="1" si="55">-H88/(H86-H87/INDIRECT("A"&amp;$A84&amp;"stdlife"))</f>
        <v>4.1337307731991482</v>
      </c>
      <c r="I89" s="283"/>
    </row>
    <row r="90" spans="1:9">
      <c r="B90" s="284" t="s">
        <v>121</v>
      </c>
      <c r="C90" s="285"/>
      <c r="D90" s="285"/>
      <c r="E90" s="285">
        <f ca="1">-E85/D89</f>
        <v>-0.17746255516608817</v>
      </c>
      <c r="F90" s="285">
        <f t="shared" ref="F90:I90" ca="1" si="56">-F85/E89</f>
        <v>-0.23060221765311073</v>
      </c>
      <c r="G90" s="285">
        <f t="shared" ca="1" si="56"/>
        <v>-0.49749069788250089</v>
      </c>
      <c r="H90" s="285">
        <f t="shared" ca="1" si="56"/>
        <v>-1.0107510658306871</v>
      </c>
      <c r="I90" s="285">
        <f t="shared" ca="1" si="56"/>
        <v>-2.2121373785945773</v>
      </c>
    </row>
    <row r="91" spans="1:9">
      <c r="C91" s="283"/>
      <c r="D91" s="283"/>
      <c r="E91" s="283"/>
      <c r="F91" s="283"/>
      <c r="G91" s="283"/>
      <c r="H91" s="283"/>
      <c r="I91" s="283"/>
    </row>
    <row r="92" spans="1:9">
      <c r="A92">
        <v>12</v>
      </c>
      <c r="B92" s="288" t="str">
        <f ca="1">INDIRECT("Asset"&amp;A92)</f>
        <v>Telecommunications (Corporate)</v>
      </c>
      <c r="C92" s="287"/>
      <c r="D92" s="287"/>
      <c r="E92" s="287"/>
      <c r="F92" s="287"/>
      <c r="G92" s="287"/>
      <c r="H92" s="287"/>
      <c r="I92" s="287"/>
    </row>
    <row r="93" spans="1:9">
      <c r="B93" s="281" t="s">
        <v>28</v>
      </c>
      <c r="C93" s="283">
        <v>0</v>
      </c>
      <c r="D93" s="283">
        <v>0</v>
      </c>
      <c r="E93" s="283">
        <f ca="1">D96</f>
        <v>0.24476145188576812</v>
      </c>
      <c r="F93" s="283">
        <f ca="1">E96</f>
        <v>0.27665913017359417</v>
      </c>
      <c r="G93" s="283">
        <f ca="1">F96</f>
        <v>0.24907994379292514</v>
      </c>
      <c r="H93" s="283">
        <f ca="1">G96</f>
        <v>0.22386710014264494</v>
      </c>
      <c r="I93" s="283">
        <f ca="1">H96</f>
        <v>0.1417525844854462</v>
      </c>
    </row>
    <row r="94" spans="1:9">
      <c r="B94" s="281" t="s">
        <v>118</v>
      </c>
      <c r="C94" s="283"/>
      <c r="D94" s="283">
        <f ca="1">OFFSET('Actual RAB roll forward'!H$43,13*$A92,0)</f>
        <v>0</v>
      </c>
      <c r="E94" s="283">
        <f ca="1">OFFSET('Actual RAB roll forward'!I$43,13*$A92,0)</f>
        <v>-4.8952290377153623E-2</v>
      </c>
      <c r="F94" s="283">
        <f ca="1">OFFSET('Actual RAB roll forward'!J$43,13*$A92,0)</f>
        <v>-6.5122284110149559E-2</v>
      </c>
      <c r="G94" s="283">
        <f ca="1">OFFSET('Actual RAB roll forward'!K$43,13*$A92,0)</f>
        <v>-7.2630903656045659E-2</v>
      </c>
      <c r="H94" s="283">
        <f ca="1">OFFSET('Actual RAB roll forward'!L$43,13*$A92,0)</f>
        <v>-8.2114515657198753E-2</v>
      </c>
      <c r="I94" s="283"/>
    </row>
    <row r="95" spans="1:9">
      <c r="B95" s="281" t="s">
        <v>119</v>
      </c>
      <c r="C95" s="283"/>
      <c r="D95" s="283">
        <f ca="1">OFFSET('Actual RAB roll forward'!H$11,$A92,0)</f>
        <v>0.24476145188576812</v>
      </c>
      <c r="E95" s="283">
        <f ca="1">OFFSET('Actual RAB roll forward'!I$11,$A92,0)</f>
        <v>8.0849968664979691E-2</v>
      </c>
      <c r="F95" s="283">
        <f ca="1">OFFSET('Actual RAB roll forward'!J$11,$A92,0)</f>
        <v>3.7543097729480515E-2</v>
      </c>
      <c r="G95" s="283">
        <f ca="1">OFFSET('Actual RAB roll forward'!K$11,$A92,0)</f>
        <v>4.7418060005765462E-2</v>
      </c>
      <c r="H95" s="283">
        <f ca="1">OFFSET('Actual RAB roll forward'!L$11,$A92,0)</f>
        <v>0</v>
      </c>
      <c r="I95" s="283"/>
    </row>
    <row r="96" spans="1:9">
      <c r="B96" s="286" t="s">
        <v>120</v>
      </c>
      <c r="C96" s="287">
        <v>0</v>
      </c>
      <c r="D96" s="287">
        <f ca="1">D93+D94+D95</f>
        <v>0.24476145188576812</v>
      </c>
      <c r="E96" s="287">
        <f ca="1">E93+E94+E95</f>
        <v>0.27665913017359417</v>
      </c>
      <c r="F96" s="287">
        <f ca="1">F93+F94+F95</f>
        <v>0.24907994379292514</v>
      </c>
      <c r="G96" s="287">
        <f ca="1">G93+G94+G95</f>
        <v>0.22386710014264494</v>
      </c>
      <c r="H96" s="287">
        <f ca="1">H93+H94+H95</f>
        <v>0.1417525844854462</v>
      </c>
      <c r="I96" s="287"/>
    </row>
    <row r="97" spans="1:9">
      <c r="B97" s="281" t="s">
        <v>123</v>
      </c>
      <c r="C97" s="283"/>
      <c r="D97" s="283">
        <f ca="1">-D96/(D94-D95/INDIRECT("A"&amp;$A92&amp;"stdlife"))</f>
        <v>5</v>
      </c>
      <c r="E97" s="283">
        <f t="shared" ref="E97" ca="1" si="57">-E96/(E94-E95/INDIRECT("A"&amp;$A92&amp;"stdlife"))</f>
        <v>4.2483020052804905</v>
      </c>
      <c r="F97" s="283">
        <f t="shared" ref="F97" ca="1" si="58">-F96/(F94-F95/INDIRECT("A"&amp;$A92&amp;"stdlife"))</f>
        <v>3.4293934297235222</v>
      </c>
      <c r="G97" s="283">
        <f t="shared" ref="G97" ca="1" si="59">-G96/(G94-G95/INDIRECT("A"&amp;$A92&amp;"stdlife"))</f>
        <v>2.7262792497883912</v>
      </c>
      <c r="H97" s="283">
        <f t="shared" ref="H97" ca="1" si="60">-H96/(H94-H95/INDIRECT("A"&amp;$A92&amp;"stdlife"))</f>
        <v>1.7262792497883916</v>
      </c>
      <c r="I97" s="283"/>
    </row>
    <row r="98" spans="1:9">
      <c r="B98" s="284" t="s">
        <v>121</v>
      </c>
      <c r="C98" s="285"/>
      <c r="D98" s="285"/>
      <c r="E98" s="285">
        <f ca="1">-E93/D97</f>
        <v>-4.8952290377153623E-2</v>
      </c>
      <c r="F98" s="285">
        <f t="shared" ref="F98:I98" ca="1" si="61">-F93/E97</f>
        <v>-6.5122284110149559E-2</v>
      </c>
      <c r="G98" s="285">
        <f t="shared" ca="1" si="61"/>
        <v>-7.2630903656045659E-2</v>
      </c>
      <c r="H98" s="285">
        <f t="shared" ca="1" si="61"/>
        <v>-8.2114515657198753E-2</v>
      </c>
      <c r="I98" s="285">
        <f t="shared" ca="1" si="61"/>
        <v>-8.2114515657198753E-2</v>
      </c>
    </row>
    <row r="99" spans="1:9">
      <c r="C99" s="283"/>
      <c r="D99" s="283"/>
      <c r="E99" s="283"/>
      <c r="F99" s="283"/>
      <c r="G99" s="283"/>
      <c r="H99" s="283"/>
      <c r="I99" s="283"/>
    </row>
    <row r="100" spans="1:9">
      <c r="A100">
        <v>13</v>
      </c>
      <c r="B100" s="288" t="str">
        <f ca="1">INDIRECT("Asset"&amp;A100)</f>
        <v>Other Non-System Assets (Corporate)</v>
      </c>
      <c r="C100" s="287"/>
      <c r="D100" s="287"/>
      <c r="E100" s="287"/>
      <c r="F100" s="287"/>
      <c r="G100" s="287"/>
      <c r="H100" s="287"/>
      <c r="I100" s="287"/>
    </row>
    <row r="101" spans="1:9">
      <c r="B101" s="281" t="s">
        <v>28</v>
      </c>
      <c r="C101" s="283">
        <v>0</v>
      </c>
      <c r="D101" s="283">
        <v>0</v>
      </c>
      <c r="E101" s="283">
        <f ca="1">D104</f>
        <v>3.2409991674591767</v>
      </c>
      <c r="F101" s="283">
        <f ca="1">E104</f>
        <v>6.4215034810619169</v>
      </c>
      <c r="G101" s="283">
        <f ca="1">F104</f>
        <v>5.5728322415397376</v>
      </c>
      <c r="H101" s="283">
        <f ca="1">G104</f>
        <v>4.6524952503671289</v>
      </c>
      <c r="I101" s="283">
        <f ca="1">H104</f>
        <v>4.0483637479952144</v>
      </c>
    </row>
    <row r="102" spans="1:9">
      <c r="B102" s="281" t="s">
        <v>118</v>
      </c>
      <c r="C102" s="283"/>
      <c r="D102" s="283">
        <f ca="1">OFFSET('Actual RAB roll forward'!H$43,13*$A100,0)</f>
        <v>0</v>
      </c>
      <c r="E102" s="283">
        <f ca="1">OFFSET('Actual RAB roll forward'!I$43,13*$A100,0)</f>
        <v>-0.6481998334918353</v>
      </c>
      <c r="F102" s="283">
        <f ca="1">OFFSET('Actual RAB roll forward'!J$43,13*$A100,0)</f>
        <v>-1.4139406629107505</v>
      </c>
      <c r="G102" s="283">
        <f ca="1">OFFSET('Actual RAB roll forward'!K$43,13*$A100,0)</f>
        <v>-1.5269945475884648</v>
      </c>
      <c r="H102" s="283">
        <f ca="1">OFFSET('Actual RAB roll forward'!L$43,13*$A100,0)</f>
        <v>-1.648326058871636</v>
      </c>
      <c r="I102" s="283"/>
    </row>
    <row r="103" spans="1:9">
      <c r="B103" s="281" t="s">
        <v>119</v>
      </c>
      <c r="C103" s="283"/>
      <c r="D103" s="283">
        <f ca="1">OFFSET('Actual RAB roll forward'!H$11,$A100,0)</f>
        <v>3.2409991674591767</v>
      </c>
      <c r="E103" s="283">
        <f ca="1">OFFSET('Actual RAB roll forward'!I$11,$A100,0)</f>
        <v>3.8287041470945757</v>
      </c>
      <c r="F103" s="283">
        <f ca="1">OFFSET('Actual RAB roll forward'!J$11,$A100,0)</f>
        <v>0.56526942338857111</v>
      </c>
      <c r="G103" s="283">
        <f ca="1">OFFSET('Actual RAB roll forward'!K$11,$A100,0)</f>
        <v>0.60665755641585573</v>
      </c>
      <c r="H103" s="283">
        <f ca="1">OFFSET('Actual RAB roll forward'!L$11,$A100,0)</f>
        <v>1.0441945564997217</v>
      </c>
      <c r="I103" s="283"/>
    </row>
    <row r="104" spans="1:9">
      <c r="B104" s="286" t="s">
        <v>120</v>
      </c>
      <c r="C104" s="287">
        <v>0</v>
      </c>
      <c r="D104" s="287">
        <f ca="1">D101+D102+D103</f>
        <v>3.2409991674591767</v>
      </c>
      <c r="E104" s="287">
        <f ca="1">E101+E102+E103</f>
        <v>6.4215034810619169</v>
      </c>
      <c r="F104" s="287">
        <f ca="1">F101+F102+F103</f>
        <v>5.5728322415397376</v>
      </c>
      <c r="G104" s="287">
        <f ca="1">G101+G102+G103</f>
        <v>4.6524952503671289</v>
      </c>
      <c r="H104" s="287">
        <f ca="1">H101+H102+H103</f>
        <v>4.0483637479952144</v>
      </c>
      <c r="I104" s="287"/>
    </row>
    <row r="105" spans="1:9">
      <c r="B105" s="281" t="s">
        <v>123</v>
      </c>
      <c r="C105" s="283"/>
      <c r="D105" s="283">
        <f ca="1">-D104/(D102-D103/INDIRECT("A"&amp;$A100&amp;"stdlife"))</f>
        <v>5</v>
      </c>
      <c r="E105" s="283">
        <f t="shared" ref="E105" ca="1" si="62">-E104/(E102-E103/INDIRECT("A"&amp;$A100&amp;"stdlife"))</f>
        <v>4.5415650384101367</v>
      </c>
      <c r="F105" s="283">
        <f t="shared" ref="F105" ca="1" si="63">-F104/(F102-F103/INDIRECT("A"&amp;$A100&amp;"stdlife"))</f>
        <v>3.6495429864767619</v>
      </c>
      <c r="G105" s="283">
        <f t="shared" ref="G105" ca="1" si="64">-G104/(G102-G103/INDIRECT("A"&amp;$A100&amp;"stdlife"))</f>
        <v>2.8225576034100932</v>
      </c>
      <c r="H105" s="283">
        <f t="shared" ref="H105" ca="1" si="65">-H104/(H102-H103/INDIRECT("A"&amp;$A100&amp;"stdlife"))</f>
        <v>2.1798622163442989</v>
      </c>
      <c r="I105" s="283"/>
    </row>
    <row r="106" spans="1:9">
      <c r="B106" s="284" t="s">
        <v>121</v>
      </c>
      <c r="C106" s="285"/>
      <c r="D106" s="285"/>
      <c r="E106" s="285">
        <f ca="1">-E101/D105</f>
        <v>-0.6481998334918353</v>
      </c>
      <c r="F106" s="285">
        <f t="shared" ref="F106:I106" ca="1" si="66">-F101/E105</f>
        <v>-1.4139406629107505</v>
      </c>
      <c r="G106" s="285">
        <f t="shared" ca="1" si="66"/>
        <v>-1.5269945475884648</v>
      </c>
      <c r="H106" s="285">
        <f t="shared" ca="1" si="66"/>
        <v>-1.648326058871636</v>
      </c>
      <c r="I106" s="285">
        <f t="shared" ca="1" si="66"/>
        <v>-1.8571649701715802</v>
      </c>
    </row>
    <row r="107" spans="1:9">
      <c r="C107" s="283"/>
      <c r="D107" s="283"/>
      <c r="E107" s="283"/>
      <c r="F107" s="283"/>
      <c r="G107" s="283"/>
      <c r="H107" s="283"/>
      <c r="I107" s="283"/>
    </row>
    <row r="108" spans="1:9">
      <c r="A108">
        <v>14</v>
      </c>
      <c r="B108" s="288" t="str">
        <f ca="1">INDIRECT("Asset"&amp;A108)</f>
        <v>Land</v>
      </c>
      <c r="C108" s="287"/>
      <c r="D108" s="287"/>
      <c r="E108" s="287"/>
      <c r="F108" s="287"/>
      <c r="G108" s="287"/>
      <c r="H108" s="287"/>
      <c r="I108" s="287"/>
    </row>
    <row r="109" spans="1:9">
      <c r="B109" s="281" t="s">
        <v>28</v>
      </c>
      <c r="C109" s="283">
        <v>0</v>
      </c>
      <c r="D109" s="283">
        <v>0</v>
      </c>
      <c r="E109" s="283">
        <f ca="1">D112</f>
        <v>2.3258218098558459</v>
      </c>
      <c r="F109" s="283">
        <f ca="1">E112</f>
        <v>2.3258218098558459</v>
      </c>
      <c r="G109" s="283">
        <f ca="1">F112</f>
        <v>2.3258218098558459</v>
      </c>
      <c r="H109" s="283">
        <f ca="1">G112</f>
        <v>2.3258218098558459</v>
      </c>
      <c r="I109" s="283">
        <f ca="1">H112</f>
        <v>2.3258218098558459</v>
      </c>
    </row>
    <row r="110" spans="1:9">
      <c r="B110" s="281" t="s">
        <v>118</v>
      </c>
      <c r="C110" s="283"/>
      <c r="D110" s="283">
        <f ca="1">OFFSET('Actual RAB roll forward'!H$43,13*$A108,0)</f>
        <v>0</v>
      </c>
      <c r="E110" s="283">
        <f ca="1">OFFSET('Actual RAB roll forward'!I$43,13*$A108,0)</f>
        <v>0</v>
      </c>
      <c r="F110" s="283">
        <f ca="1">OFFSET('Actual RAB roll forward'!J$43,13*$A108,0)</f>
        <v>0</v>
      </c>
      <c r="G110" s="283">
        <f ca="1">OFFSET('Actual RAB roll forward'!K$43,13*$A108,0)</f>
        <v>0</v>
      </c>
      <c r="H110" s="283">
        <f ca="1">OFFSET('Actual RAB roll forward'!L$43,13*$A108,0)</f>
        <v>0</v>
      </c>
      <c r="I110" s="283"/>
    </row>
    <row r="111" spans="1:9">
      <c r="B111" s="281" t="s">
        <v>119</v>
      </c>
      <c r="C111" s="283"/>
      <c r="D111" s="283">
        <f ca="1">OFFSET('Actual RAB roll forward'!H$11,$A108,0)</f>
        <v>2.3258218098558459</v>
      </c>
      <c r="E111" s="283">
        <f ca="1">OFFSET('Actual RAB roll forward'!I$11,$A108,0)</f>
        <v>0</v>
      </c>
      <c r="F111" s="283">
        <f ca="1">OFFSET('Actual RAB roll forward'!J$11,$A108,0)</f>
        <v>0</v>
      </c>
      <c r="G111" s="283">
        <f ca="1">OFFSET('Actual RAB roll forward'!K$11,$A108,0)</f>
        <v>0</v>
      </c>
      <c r="H111" s="283">
        <f ca="1">OFFSET('Actual RAB roll forward'!L$11,$A108,0)</f>
        <v>0</v>
      </c>
      <c r="I111" s="283"/>
    </row>
    <row r="112" spans="1:9">
      <c r="B112" s="286" t="s">
        <v>120</v>
      </c>
      <c r="C112" s="287">
        <v>0</v>
      </c>
      <c r="D112" s="287">
        <f ca="1">D109+D110+D111</f>
        <v>2.3258218098558459</v>
      </c>
      <c r="E112" s="287">
        <f ca="1">E109+E110+E111</f>
        <v>2.3258218098558459</v>
      </c>
      <c r="F112" s="287">
        <f ca="1">F109+F110+F111</f>
        <v>2.3258218098558459</v>
      </c>
      <c r="G112" s="287">
        <f ca="1">G109+G110+G111</f>
        <v>2.3258218098558459</v>
      </c>
      <c r="H112" s="287">
        <f ca="1">H109+H110+H111</f>
        <v>2.3258218098558459</v>
      </c>
      <c r="I112" s="287"/>
    </row>
    <row r="113" spans="1:9">
      <c r="B113" s="281" t="s">
        <v>123</v>
      </c>
      <c r="C113" s="283"/>
      <c r="D113" s="283" t="e">
        <f ca="1">-D112/(D110-D111/INDIRECT("A"&amp;$A108&amp;"stdlife"))</f>
        <v>#VALUE!</v>
      </c>
      <c r="E113" s="283" t="e">
        <f t="shared" ref="E113" ca="1" si="67">-E112/(E110-E111/INDIRECT("A"&amp;$A108&amp;"stdlife"))</f>
        <v>#VALUE!</v>
      </c>
      <c r="F113" s="283" t="e">
        <f t="shared" ref="F113" ca="1" si="68">-F112/(F110-F111/INDIRECT("A"&amp;$A108&amp;"stdlife"))</f>
        <v>#VALUE!</v>
      </c>
      <c r="G113" s="283" t="e">
        <f t="shared" ref="G113" ca="1" si="69">-G112/(G110-G111/INDIRECT("A"&amp;$A108&amp;"stdlife"))</f>
        <v>#VALUE!</v>
      </c>
      <c r="H113" s="283" t="e">
        <f t="shared" ref="H113" ca="1" si="70">-H112/(H110-H111/INDIRECT("A"&amp;$A108&amp;"stdlife"))</f>
        <v>#VALUE!</v>
      </c>
      <c r="I113" s="283"/>
    </row>
    <row r="114" spans="1:9">
      <c r="B114" s="284" t="s">
        <v>121</v>
      </c>
      <c r="C114" s="285"/>
      <c r="D114" s="285"/>
      <c r="E114" s="285" t="e">
        <f ca="1">-E109/D113</f>
        <v>#VALUE!</v>
      </c>
      <c r="F114" s="285" t="e">
        <f t="shared" ref="F114:I114" ca="1" si="71">-F109/E113</f>
        <v>#VALUE!</v>
      </c>
      <c r="G114" s="285" t="e">
        <f t="shared" ca="1" si="71"/>
        <v>#VALUE!</v>
      </c>
      <c r="H114" s="285" t="e">
        <f t="shared" ca="1" si="71"/>
        <v>#VALUE!</v>
      </c>
      <c r="I114" s="285" t="e">
        <f t="shared" ca="1" si="71"/>
        <v>#VALUE!</v>
      </c>
    </row>
    <row r="115" spans="1:9">
      <c r="C115" s="283"/>
      <c r="D115" s="283"/>
      <c r="E115" s="283"/>
      <c r="F115" s="283"/>
      <c r="G115" s="283"/>
      <c r="H115" s="283"/>
      <c r="I115" s="283"/>
    </row>
    <row r="116" spans="1:9">
      <c r="A116">
        <v>15</v>
      </c>
      <c r="B116" s="288" t="str">
        <f ca="1">INDIRECT("Asset"&amp;A116)</f>
        <v>Buildings</v>
      </c>
      <c r="C116" s="287"/>
      <c r="D116" s="287"/>
      <c r="E116" s="287"/>
      <c r="F116" s="287"/>
      <c r="G116" s="287"/>
      <c r="H116" s="287"/>
      <c r="I116" s="287"/>
    </row>
    <row r="117" spans="1:9">
      <c r="B117" s="281" t="s">
        <v>28</v>
      </c>
      <c r="C117" s="283">
        <v>0</v>
      </c>
      <c r="D117" s="283">
        <v>0</v>
      </c>
      <c r="E117" s="283">
        <f ca="1">D120</f>
        <v>5.9693169805723763</v>
      </c>
      <c r="F117" s="283">
        <f ca="1">E120</f>
        <v>14.728226746939836</v>
      </c>
      <c r="G117" s="283">
        <f ca="1">F120</f>
        <v>15.181036274706754</v>
      </c>
      <c r="H117" s="283">
        <f ca="1">G120</f>
        <v>15.958139548221139</v>
      </c>
      <c r="I117" s="283">
        <f ca="1">H120</f>
        <v>17.221973148909136</v>
      </c>
    </row>
    <row r="118" spans="1:9">
      <c r="B118" s="281" t="s">
        <v>118</v>
      </c>
      <c r="C118" s="283"/>
      <c r="D118" s="283">
        <f ca="1">OFFSET('Actual RAB roll forward'!H$43,13*$A116,0)</f>
        <v>0</v>
      </c>
      <c r="E118" s="283">
        <f ca="1">OFFSET('Actual RAB roll forward'!I$43,13*$A116,0)</f>
        <v>-9.948861634287294E-2</v>
      </c>
      <c r="F118" s="283">
        <f ca="1">OFFSET('Actual RAB roll forward'!J$43,13*$A116,0)</f>
        <v>-0.24712858938804516</v>
      </c>
      <c r="G118" s="283">
        <f ca="1">OFFSET('Actual RAB roll forward'!K$43,13*$A116,0)</f>
        <v>-0.25879422467396124</v>
      </c>
      <c r="H118" s="283">
        <f ca="1">OFFSET('Actual RAB roll forward'!L$43,13*$A116,0)</f>
        <v>-0.2760591829771003</v>
      </c>
      <c r="I118" s="283"/>
    </row>
    <row r="119" spans="1:9">
      <c r="B119" s="281" t="s">
        <v>119</v>
      </c>
      <c r="C119" s="283"/>
      <c r="D119" s="283">
        <f ca="1">OFFSET('Actual RAB roll forward'!H$11,$A116,0)</f>
        <v>5.9693169805723763</v>
      </c>
      <c r="E119" s="283">
        <f ca="1">OFFSET('Actual RAB roll forward'!I$11,$A116,0)</f>
        <v>8.8583983827103321</v>
      </c>
      <c r="F119" s="283">
        <f ca="1">OFFSET('Actual RAB roll forward'!J$11,$A116,0)</f>
        <v>0.69993811715496379</v>
      </c>
      <c r="G119" s="283">
        <f ca="1">OFFSET('Actual RAB roll forward'!K$11,$A116,0)</f>
        <v>1.0358974981883453</v>
      </c>
      <c r="H119" s="283">
        <f ca="1">OFFSET('Actual RAB roll forward'!L$11,$A116,0)</f>
        <v>1.5398927836650984</v>
      </c>
      <c r="I119" s="283"/>
    </row>
    <row r="120" spans="1:9">
      <c r="B120" s="286" t="s">
        <v>120</v>
      </c>
      <c r="C120" s="287">
        <v>0</v>
      </c>
      <c r="D120" s="287">
        <f ca="1">D117+D118+D119</f>
        <v>5.9693169805723763</v>
      </c>
      <c r="E120" s="287">
        <f ca="1">E117+E118+E119</f>
        <v>14.728226746939836</v>
      </c>
      <c r="F120" s="287">
        <f ca="1">F117+F118+F119</f>
        <v>15.181036274706754</v>
      </c>
      <c r="G120" s="287">
        <f ca="1">G117+G118+G119</f>
        <v>15.958139548221139</v>
      </c>
      <c r="H120" s="287">
        <f ca="1">H117+H118+H119</f>
        <v>17.221973148909136</v>
      </c>
      <c r="I120" s="287"/>
    </row>
    <row r="121" spans="1:9">
      <c r="B121" s="281" t="s">
        <v>123</v>
      </c>
      <c r="C121" s="283"/>
      <c r="D121" s="283">
        <f ca="1">-D120/(D118-D119/INDIRECT("A"&amp;$A116&amp;"stdlife"))</f>
        <v>60</v>
      </c>
      <c r="E121" s="283">
        <f t="shared" ref="E121" ca="1" si="72">-E120/(E118-E119/INDIRECT("A"&amp;$A116&amp;"stdlife"))</f>
        <v>59.59742166380169</v>
      </c>
      <c r="F121" s="283">
        <f t="shared" ref="F121" ca="1" si="73">-F120/(F118-F119/INDIRECT("A"&amp;$A116&amp;"stdlife"))</f>
        <v>58.660645514143134</v>
      </c>
      <c r="G121" s="283">
        <f t="shared" ref="G121" ca="1" si="74">-G120/(G118-G119/INDIRECT("A"&amp;$A116&amp;"stdlife"))</f>
        <v>57.806950582567289</v>
      </c>
      <c r="H121" s="283">
        <f t="shared" ref="H121" ca="1" si="75">-H120/(H118-H119/INDIRECT("A"&amp;$A116&amp;"stdlife"))</f>
        <v>57.07855381012736</v>
      </c>
      <c r="I121" s="283"/>
    </row>
    <row r="122" spans="1:9">
      <c r="B122" s="284" t="s">
        <v>121</v>
      </c>
      <c r="C122" s="285"/>
      <c r="D122" s="285"/>
      <c r="E122" s="285">
        <f ca="1">-E117/D121</f>
        <v>-9.948861634287294E-2</v>
      </c>
      <c r="F122" s="285">
        <f t="shared" ref="F122:I122" ca="1" si="76">-F117/E121</f>
        <v>-0.24712858938804516</v>
      </c>
      <c r="G122" s="285">
        <f t="shared" ca="1" si="76"/>
        <v>-0.25879422467396124</v>
      </c>
      <c r="H122" s="285">
        <f t="shared" ca="1" si="76"/>
        <v>-0.2760591829771003</v>
      </c>
      <c r="I122" s="285">
        <f t="shared" ca="1" si="76"/>
        <v>-0.30172406270485197</v>
      </c>
    </row>
    <row r="123" spans="1:9">
      <c r="C123" s="283"/>
      <c r="D123" s="283"/>
      <c r="E123" s="283"/>
      <c r="F123" s="283"/>
      <c r="G123" s="283"/>
      <c r="H123" s="283"/>
      <c r="I123" s="283"/>
    </row>
    <row r="124" spans="1:9">
      <c r="A124">
        <v>16</v>
      </c>
      <c r="B124" s="288" t="str">
        <f ca="1">INDIRECT("Asset"&amp;A124)</f>
        <v>Equity raising costs</v>
      </c>
      <c r="C124" s="287"/>
      <c r="D124" s="287"/>
      <c r="E124" s="287"/>
      <c r="F124" s="287"/>
      <c r="G124" s="287"/>
      <c r="H124" s="287"/>
      <c r="I124" s="287"/>
    </row>
    <row r="125" spans="1:9">
      <c r="B125" s="281" t="s">
        <v>28</v>
      </c>
      <c r="C125" s="283">
        <v>0</v>
      </c>
      <c r="D125" s="283">
        <v>0</v>
      </c>
      <c r="E125" s="283">
        <f ca="1">D128</f>
        <v>0.23051002618266622</v>
      </c>
      <c r="F125" s="283">
        <f ca="1">E128</f>
        <v>0.22533575961714206</v>
      </c>
      <c r="G125" s="283">
        <f ca="1">F128</f>
        <v>0.22016149305161789</v>
      </c>
      <c r="H125" s="283">
        <f ca="1">G128</f>
        <v>0.21498722648609372</v>
      </c>
      <c r="I125" s="283">
        <f ca="1">H128</f>
        <v>0.20981295992056956</v>
      </c>
    </row>
    <row r="126" spans="1:9">
      <c r="B126" s="281" t="s">
        <v>118</v>
      </c>
      <c r="C126" s="283"/>
      <c r="D126" s="283">
        <f ca="1">OFFSET('Actual RAB roll forward'!H$43,13*$A124,0)</f>
        <v>0</v>
      </c>
      <c r="E126" s="283">
        <f ca="1">OFFSET('Actual RAB roll forward'!I$43,13*$A124,0)</f>
        <v>-5.1742665655241599E-3</v>
      </c>
      <c r="F126" s="283">
        <f ca="1">OFFSET('Actual RAB roll forward'!J$43,13*$A124,0)</f>
        <v>-5.1742665655241599E-3</v>
      </c>
      <c r="G126" s="283">
        <f ca="1">OFFSET('Actual RAB roll forward'!K$43,13*$A124,0)</f>
        <v>-5.1742665655241599E-3</v>
      </c>
      <c r="H126" s="283">
        <f ca="1">OFFSET('Actual RAB roll forward'!L$43,13*$A124,0)</f>
        <v>-5.1742665655241599E-3</v>
      </c>
      <c r="I126" s="283"/>
    </row>
    <row r="127" spans="1:9">
      <c r="B127" s="281" t="s">
        <v>119</v>
      </c>
      <c r="C127" s="283"/>
      <c r="D127" s="283">
        <f ca="1">OFFSET('Actual RAB roll forward'!H$11,$A124,0)</f>
        <v>0.23051002618266622</v>
      </c>
      <c r="E127" s="283">
        <f ca="1">OFFSET('Actual RAB roll forward'!I$11,$A124,0)</f>
        <v>0</v>
      </c>
      <c r="F127" s="283">
        <f ca="1">OFFSET('Actual RAB roll forward'!J$11,$A124,0)</f>
        <v>0</v>
      </c>
      <c r="G127" s="283">
        <f ca="1">OFFSET('Actual RAB roll forward'!K$11,$A124,0)</f>
        <v>0</v>
      </c>
      <c r="H127" s="283">
        <f ca="1">OFFSET('Actual RAB roll forward'!L$11,$A124,0)</f>
        <v>0</v>
      </c>
      <c r="I127" s="283"/>
    </row>
    <row r="128" spans="1:9">
      <c r="B128" s="286" t="s">
        <v>120</v>
      </c>
      <c r="C128" s="287">
        <v>0</v>
      </c>
      <c r="D128" s="287">
        <f ca="1">D125+D126+D127</f>
        <v>0.23051002618266622</v>
      </c>
      <c r="E128" s="287">
        <f ca="1">E125+E126+E127</f>
        <v>0.22533575961714206</v>
      </c>
      <c r="F128" s="287">
        <f ca="1">F125+F126+F127</f>
        <v>0.22016149305161789</v>
      </c>
      <c r="G128" s="287">
        <f ca="1">G125+G126+G127</f>
        <v>0.21498722648609372</v>
      </c>
      <c r="H128" s="287">
        <f ca="1">H125+H126+H127</f>
        <v>0.20981295992056956</v>
      </c>
      <c r="I128" s="287"/>
    </row>
    <row r="129" spans="1:9">
      <c r="B129" s="281" t="s">
        <v>123</v>
      </c>
      <c r="C129" s="283"/>
      <c r="D129" s="283">
        <f ca="1">-D128/(D126-D127/INDIRECT("A"&amp;$A124&amp;"stdlife"))</f>
        <v>44.549314045499948</v>
      </c>
      <c r="E129" s="283">
        <f t="shared" ref="E129" ca="1" si="77">-E128/(E126-E127/INDIRECT("A"&amp;$A124&amp;"stdlife"))</f>
        <v>43.549314045499948</v>
      </c>
      <c r="F129" s="283">
        <f t="shared" ref="F129" ca="1" si="78">-F128/(F126-F127/INDIRECT("A"&amp;$A124&amp;"stdlife"))</f>
        <v>42.549314045499941</v>
      </c>
      <c r="G129" s="283">
        <f t="shared" ref="G129" ca="1" si="79">-G128/(G126-G127/INDIRECT("A"&amp;$A124&amp;"stdlife"))</f>
        <v>41.549314045499941</v>
      </c>
      <c r="H129" s="283">
        <f t="shared" ref="H129" ca="1" si="80">-H128/(H126-H127/INDIRECT("A"&amp;$A124&amp;"stdlife"))</f>
        <v>40.549314045499941</v>
      </c>
      <c r="I129" s="283"/>
    </row>
    <row r="130" spans="1:9">
      <c r="B130" s="284" t="s">
        <v>121</v>
      </c>
      <c r="C130" s="285"/>
      <c r="D130" s="285"/>
      <c r="E130" s="285">
        <f ca="1">-E125/D129</f>
        <v>-5.1742665655241599E-3</v>
      </c>
      <c r="F130" s="285">
        <f t="shared" ref="F130:I130" ca="1" si="81">-F125/E129</f>
        <v>-5.1742665655241599E-3</v>
      </c>
      <c r="G130" s="285">
        <f t="shared" ca="1" si="81"/>
        <v>-5.1742665655241599E-3</v>
      </c>
      <c r="H130" s="285">
        <f t="shared" ca="1" si="81"/>
        <v>-5.1742665655241599E-3</v>
      </c>
      <c r="I130" s="285">
        <f t="shared" ca="1" si="81"/>
        <v>-5.1742665655241599E-3</v>
      </c>
    </row>
    <row r="135" spans="1:9" ht="23.25">
      <c r="B135" s="270" t="s">
        <v>124</v>
      </c>
    </row>
    <row r="136" spans="1:9">
      <c r="B136" s="271"/>
      <c r="C136" s="272" t="str">
        <f>Input!G40</f>
        <v>2008-09</v>
      </c>
      <c r="D136" s="272" t="str">
        <f>Input!H40</f>
        <v>2009-10</v>
      </c>
      <c r="E136" s="272" t="str">
        <f>Input!I40</f>
        <v>2010-11</v>
      </c>
      <c r="F136" s="272" t="str">
        <f>Input!J40</f>
        <v>2011-12</v>
      </c>
      <c r="G136" s="272" t="str">
        <f>Input!K40</f>
        <v>2012-13</v>
      </c>
      <c r="H136" s="272" t="str">
        <f>Input!L40</f>
        <v>2013-14</v>
      </c>
      <c r="I136" s="272" t="str">
        <f>Input!M40</f>
        <v>2014-15</v>
      </c>
    </row>
    <row r="137" spans="1:9">
      <c r="A137">
        <v>1</v>
      </c>
      <c r="B137" s="282" t="str">
        <f ca="1">INDIRECT("Asset"&amp;A137)</f>
        <v>Opening Distribution Assets</v>
      </c>
      <c r="C137" s="281"/>
    </row>
    <row r="138" spans="1:9">
      <c r="B138" s="281" t="s">
        <v>28</v>
      </c>
      <c r="C138" s="283">
        <f ca="1">OFFSET('Tax value roll forward'!$G$7,A137,0)</f>
        <v>399.29428322833485</v>
      </c>
      <c r="D138" s="283">
        <f t="shared" ref="D138:I138" ca="1" si="82">C141</f>
        <v>412.23662113507027</v>
      </c>
      <c r="E138" s="283">
        <f t="shared" ca="1" si="82"/>
        <v>394.73437359195111</v>
      </c>
      <c r="F138" s="283">
        <f t="shared" ca="1" si="82"/>
        <v>377.23212604883196</v>
      </c>
      <c r="G138" s="283">
        <f t="shared" ca="1" si="82"/>
        <v>359.7298785057128</v>
      </c>
      <c r="H138" s="283">
        <f t="shared" ca="1" si="82"/>
        <v>342.22763096259365</v>
      </c>
      <c r="I138" s="283">
        <f t="shared" ca="1" si="82"/>
        <v>324.7253834194745</v>
      </c>
    </row>
    <row r="139" spans="1:9">
      <c r="B139" s="281" t="s">
        <v>118</v>
      </c>
      <c r="C139" s="283">
        <f ca="1">OFFSET('Tax value roll forward'!G$71,14*$A137,0)</f>
        <v>-16.83492004642611</v>
      </c>
      <c r="D139" s="283">
        <f ca="1">OFFSET('Tax value roll forward'!H$71,14*$A137,0)</f>
        <v>-17.502247543119168</v>
      </c>
      <c r="E139" s="283">
        <f ca="1">OFFSET('Tax value roll forward'!I$71,14*$A137,0)</f>
        <v>-17.502247543119168</v>
      </c>
      <c r="F139" s="283">
        <f ca="1">OFFSET('Tax value roll forward'!J$71,14*$A137,0)</f>
        <v>-17.502247543119168</v>
      </c>
      <c r="G139" s="283">
        <f ca="1">OFFSET('Tax value roll forward'!K$71,14*$A137,0)</f>
        <v>-17.502247543119168</v>
      </c>
      <c r="H139" s="283">
        <f ca="1">OFFSET('Tax value roll forward'!L$71,14*$A137,0)</f>
        <v>-17.502247543119168</v>
      </c>
      <c r="I139" s="283"/>
    </row>
    <row r="140" spans="1:9">
      <c r="B140" s="281" t="s">
        <v>119</v>
      </c>
      <c r="C140" s="283">
        <f ca="1">OFFSET('Tax value roll forward'!G$39,$A137,0)</f>
        <v>29.777257953161545</v>
      </c>
      <c r="D140" s="283">
        <f ca="1">OFFSET('Tax value roll forward'!H$39,$A137,0)</f>
        <v>0</v>
      </c>
      <c r="E140" s="283">
        <f ca="1">OFFSET('Tax value roll forward'!I$39,$A137,0)</f>
        <v>0</v>
      </c>
      <c r="F140" s="283">
        <f ca="1">OFFSET('Tax value roll forward'!J$39,$A137,0)</f>
        <v>0</v>
      </c>
      <c r="G140" s="283">
        <f ca="1">OFFSET('Tax value roll forward'!K$39,$A137,0)</f>
        <v>0</v>
      </c>
      <c r="H140" s="283">
        <f ca="1">OFFSET('Tax value roll forward'!L$39,$A137,0)</f>
        <v>0</v>
      </c>
      <c r="I140" s="283"/>
    </row>
    <row r="141" spans="1:9">
      <c r="B141" s="286" t="s">
        <v>120</v>
      </c>
      <c r="C141" s="287">
        <f t="shared" ref="C141:H141" ca="1" si="83">C138+C139+C140</f>
        <v>412.23662113507027</v>
      </c>
      <c r="D141" s="287">
        <f t="shared" ca="1" si="83"/>
        <v>394.73437359195111</v>
      </c>
      <c r="E141" s="287">
        <f t="shared" ca="1" si="83"/>
        <v>377.23212604883196</v>
      </c>
      <c r="F141" s="287">
        <f t="shared" ca="1" si="83"/>
        <v>359.7298785057128</v>
      </c>
      <c r="G141" s="287">
        <f t="shared" ca="1" si="83"/>
        <v>342.22763096259365</v>
      </c>
      <c r="H141" s="287">
        <f t="shared" ca="1" si="83"/>
        <v>324.7253834194745</v>
      </c>
      <c r="I141" s="287"/>
    </row>
    <row r="142" spans="1:9">
      <c r="B142" s="281" t="s">
        <v>123</v>
      </c>
      <c r="C142" s="283"/>
      <c r="D142" s="283">
        <f ca="1">-D141/(D139-D140/INDIRECT("A"&amp;$A137&amp;"taxstdlife"))</f>
        <v>22.553353369015568</v>
      </c>
      <c r="E142" s="283">
        <f t="shared" ref="E142:H142" ca="1" si="84">-E141/(E139-E140/INDIRECT("A"&amp;$A137&amp;"taxstdlife"))</f>
        <v>21.553353369015568</v>
      </c>
      <c r="F142" s="283">
        <f t="shared" ca="1" si="84"/>
        <v>20.553353369015568</v>
      </c>
      <c r="G142" s="283">
        <f t="shared" ca="1" si="84"/>
        <v>19.553353369015568</v>
      </c>
      <c r="H142" s="283">
        <f t="shared" ca="1" si="84"/>
        <v>18.553353369015571</v>
      </c>
      <c r="I142" s="283"/>
    </row>
    <row r="143" spans="1:9">
      <c r="B143" s="284" t="s">
        <v>121</v>
      </c>
      <c r="C143" s="285"/>
      <c r="D143" s="285"/>
      <c r="E143" s="285">
        <f ca="1">-E138/D142</f>
        <v>-17.502247543119168</v>
      </c>
      <c r="F143" s="285">
        <f t="shared" ref="F143" ca="1" si="85">-F138/E142</f>
        <v>-17.502247543119168</v>
      </c>
      <c r="G143" s="285">
        <f t="shared" ref="G143" ca="1" si="86">-G138/F142</f>
        <v>-17.502247543119168</v>
      </c>
      <c r="H143" s="285">
        <f t="shared" ref="H143" ca="1" si="87">-H138/G142</f>
        <v>-17.502247543119168</v>
      </c>
      <c r="I143" s="285">
        <f t="shared" ref="I143" ca="1" si="88">-I138/H142</f>
        <v>-17.502247543119168</v>
      </c>
    </row>
    <row r="144" spans="1:9">
      <c r="C144" s="283"/>
      <c r="D144" s="283"/>
      <c r="E144" s="283"/>
      <c r="F144" s="283"/>
      <c r="G144" s="283"/>
      <c r="H144" s="283"/>
      <c r="I144" s="283"/>
    </row>
    <row r="145" spans="1:9">
      <c r="A145">
        <v>2</v>
      </c>
      <c r="B145" s="282" t="str">
        <f ca="1">INDIRECT("Asset"&amp;A145)</f>
        <v>Sub-transmission Overhead</v>
      </c>
      <c r="C145" s="281"/>
    </row>
    <row r="146" spans="1:9">
      <c r="B146" s="281" t="s">
        <v>28</v>
      </c>
      <c r="C146" s="283">
        <f ca="1">OFFSET('Tax value roll forward'!$G$7,A145,0)</f>
        <v>0</v>
      </c>
      <c r="D146" s="283">
        <f t="shared" ref="D146:I146" ca="1" si="89">C149</f>
        <v>0</v>
      </c>
      <c r="E146" s="283">
        <f t="shared" ca="1" si="89"/>
        <v>0</v>
      </c>
      <c r="F146" s="283">
        <f t="shared" ca="1" si="89"/>
        <v>0</v>
      </c>
      <c r="G146" s="283">
        <f t="shared" ca="1" si="89"/>
        <v>0</v>
      </c>
      <c r="H146" s="283">
        <f t="shared" ca="1" si="89"/>
        <v>0</v>
      </c>
      <c r="I146" s="283">
        <f t="shared" ca="1" si="89"/>
        <v>0</v>
      </c>
    </row>
    <row r="147" spans="1:9">
      <c r="B147" s="281" t="s">
        <v>118</v>
      </c>
      <c r="C147" s="283">
        <f ca="1">OFFSET('Tax value roll forward'!G$71,14*$A145,0)</f>
        <v>0</v>
      </c>
      <c r="D147" s="283">
        <f ca="1">OFFSET('Tax value roll forward'!H$71,14*$A145,0)</f>
        <v>0</v>
      </c>
      <c r="E147" s="283">
        <f ca="1">OFFSET('Tax value roll forward'!I$71,14*$A145,0)</f>
        <v>0</v>
      </c>
      <c r="F147" s="283">
        <f ca="1">OFFSET('Tax value roll forward'!J$71,14*$A145,0)</f>
        <v>0</v>
      </c>
      <c r="G147" s="283">
        <f ca="1">OFFSET('Tax value roll forward'!K$71,14*$A145,0)</f>
        <v>0</v>
      </c>
      <c r="H147" s="283">
        <f ca="1">OFFSET('Tax value roll forward'!L$71,14*$A145,0)</f>
        <v>0</v>
      </c>
      <c r="I147" s="283"/>
    </row>
    <row r="148" spans="1:9">
      <c r="B148" s="281" t="s">
        <v>119</v>
      </c>
      <c r="C148" s="283">
        <f ca="1">OFFSET('Tax value roll forward'!G$39,$A145,0)</f>
        <v>0</v>
      </c>
      <c r="D148" s="283">
        <f ca="1">OFFSET('Tax value roll forward'!H$39,$A145,0)</f>
        <v>0</v>
      </c>
      <c r="E148" s="283">
        <f ca="1">OFFSET('Tax value roll forward'!I$39,$A145,0)</f>
        <v>0</v>
      </c>
      <c r="F148" s="283">
        <f ca="1">OFFSET('Tax value roll forward'!J$39,$A145,0)</f>
        <v>0</v>
      </c>
      <c r="G148" s="283">
        <f ca="1">OFFSET('Tax value roll forward'!K$39,$A145,0)</f>
        <v>0</v>
      </c>
      <c r="H148" s="283">
        <f ca="1">OFFSET('Tax value roll forward'!L$39,$A145,0)</f>
        <v>0</v>
      </c>
      <c r="I148" s="283"/>
    </row>
    <row r="149" spans="1:9">
      <c r="B149" s="286" t="s">
        <v>120</v>
      </c>
      <c r="C149" s="287">
        <f t="shared" ref="C149:H149" ca="1" si="90">C146+C147+C148</f>
        <v>0</v>
      </c>
      <c r="D149" s="287">
        <f t="shared" ca="1" si="90"/>
        <v>0</v>
      </c>
      <c r="E149" s="287">
        <f t="shared" ca="1" si="90"/>
        <v>0</v>
      </c>
      <c r="F149" s="287">
        <f t="shared" ca="1" si="90"/>
        <v>0</v>
      </c>
      <c r="G149" s="287">
        <f t="shared" ca="1" si="90"/>
        <v>0</v>
      </c>
      <c r="H149" s="287">
        <f t="shared" ca="1" si="90"/>
        <v>0</v>
      </c>
      <c r="I149" s="287"/>
    </row>
    <row r="150" spans="1:9">
      <c r="B150" s="281" t="s">
        <v>123</v>
      </c>
      <c r="C150" s="283"/>
      <c r="D150" s="283" t="e">
        <f ca="1">-D149/(D147-D148/INDIRECT("A"&amp;$A145&amp;"taxstdlife"))</f>
        <v>#DIV/0!</v>
      </c>
      <c r="E150" s="283" t="e">
        <f t="shared" ref="E150" ca="1" si="91">-E149/(E147-E148/INDIRECT("A"&amp;$A145&amp;"taxstdlife"))</f>
        <v>#DIV/0!</v>
      </c>
      <c r="F150" s="283" t="e">
        <f t="shared" ref="F150" ca="1" si="92">-F149/(F147-F148/INDIRECT("A"&amp;$A145&amp;"taxstdlife"))</f>
        <v>#DIV/0!</v>
      </c>
      <c r="G150" s="283" t="e">
        <f t="shared" ref="G150" ca="1" si="93">-G149/(G147-G148/INDIRECT("A"&amp;$A145&amp;"taxstdlife"))</f>
        <v>#DIV/0!</v>
      </c>
      <c r="H150" s="283" t="e">
        <f t="shared" ref="H150" ca="1" si="94">-H149/(H147-H148/INDIRECT("A"&amp;$A145&amp;"taxstdlife"))</f>
        <v>#DIV/0!</v>
      </c>
      <c r="I150" s="283"/>
    </row>
    <row r="151" spans="1:9">
      <c r="B151" s="284" t="s">
        <v>121</v>
      </c>
      <c r="C151" s="285"/>
      <c r="D151" s="285"/>
      <c r="E151" s="285" t="e">
        <f ca="1">-E146/D150</f>
        <v>#DIV/0!</v>
      </c>
      <c r="F151" s="285" t="e">
        <f t="shared" ref="F151" ca="1" si="95">-F146/E150</f>
        <v>#DIV/0!</v>
      </c>
      <c r="G151" s="285" t="e">
        <f t="shared" ref="G151" ca="1" si="96">-G146/F150</f>
        <v>#DIV/0!</v>
      </c>
      <c r="H151" s="285" t="e">
        <f t="shared" ref="H151" ca="1" si="97">-H146/G150</f>
        <v>#DIV/0!</v>
      </c>
      <c r="I151" s="285" t="e">
        <f t="shared" ref="I151" ca="1" si="98">-I146/H150</f>
        <v>#DIV/0!</v>
      </c>
    </row>
    <row r="152" spans="1:9">
      <c r="C152" s="283"/>
      <c r="D152" s="283"/>
      <c r="E152" s="283"/>
      <c r="F152" s="283"/>
      <c r="G152" s="283"/>
      <c r="H152" s="283"/>
      <c r="I152" s="283"/>
    </row>
    <row r="153" spans="1:9">
      <c r="A153">
        <v>3</v>
      </c>
      <c r="B153" s="282" t="str">
        <f ca="1">INDIRECT("Asset"&amp;A153)</f>
        <v>Sub-transmission Underground</v>
      </c>
      <c r="C153" s="281"/>
    </row>
    <row r="154" spans="1:9">
      <c r="B154" s="281" t="s">
        <v>28</v>
      </c>
      <c r="C154" s="283">
        <f ca="1">OFFSET('Tax value roll forward'!$G$7,A153,0)</f>
        <v>0</v>
      </c>
      <c r="D154" s="283">
        <f t="shared" ref="D154:I154" ca="1" si="99">C157</f>
        <v>0</v>
      </c>
      <c r="E154" s="283">
        <f t="shared" ca="1" si="99"/>
        <v>0</v>
      </c>
      <c r="F154" s="283">
        <f t="shared" ca="1" si="99"/>
        <v>0</v>
      </c>
      <c r="G154" s="283">
        <f t="shared" ca="1" si="99"/>
        <v>0</v>
      </c>
      <c r="H154" s="283">
        <f t="shared" ca="1" si="99"/>
        <v>0</v>
      </c>
      <c r="I154" s="283">
        <f t="shared" ca="1" si="99"/>
        <v>0</v>
      </c>
    </row>
    <row r="155" spans="1:9">
      <c r="B155" s="281" t="s">
        <v>118</v>
      </c>
      <c r="C155" s="283">
        <f ca="1">OFFSET('Tax value roll forward'!G$71,14*$A153,0)</f>
        <v>0</v>
      </c>
      <c r="D155" s="283">
        <f ca="1">OFFSET('Tax value roll forward'!H$71,14*$A153,0)</f>
        <v>0</v>
      </c>
      <c r="E155" s="283">
        <f ca="1">OFFSET('Tax value roll forward'!I$71,14*$A153,0)</f>
        <v>0</v>
      </c>
      <c r="F155" s="283">
        <f ca="1">OFFSET('Tax value roll forward'!J$71,14*$A153,0)</f>
        <v>0</v>
      </c>
      <c r="G155" s="283">
        <f ca="1">OFFSET('Tax value roll forward'!K$71,14*$A153,0)</f>
        <v>0</v>
      </c>
      <c r="H155" s="283">
        <f ca="1">OFFSET('Tax value roll forward'!L$71,14*$A153,0)</f>
        <v>0</v>
      </c>
      <c r="I155" s="283"/>
    </row>
    <row r="156" spans="1:9">
      <c r="B156" s="281" t="s">
        <v>119</v>
      </c>
      <c r="C156" s="283">
        <f ca="1">OFFSET('Tax value roll forward'!G$39,$A153,0)</f>
        <v>0</v>
      </c>
      <c r="D156" s="283">
        <f ca="1">OFFSET('Tax value roll forward'!H$39,$A153,0)</f>
        <v>0</v>
      </c>
      <c r="E156" s="283">
        <f ca="1">OFFSET('Tax value roll forward'!I$39,$A153,0)</f>
        <v>0</v>
      </c>
      <c r="F156" s="283">
        <f ca="1">OFFSET('Tax value roll forward'!J$39,$A153,0)</f>
        <v>0</v>
      </c>
      <c r="G156" s="283">
        <f ca="1">OFFSET('Tax value roll forward'!K$39,$A153,0)</f>
        <v>0</v>
      </c>
      <c r="H156" s="283">
        <f ca="1">OFFSET('Tax value roll forward'!L$39,$A153,0)</f>
        <v>0</v>
      </c>
      <c r="I156" s="283"/>
    </row>
    <row r="157" spans="1:9">
      <c r="B157" s="286" t="s">
        <v>120</v>
      </c>
      <c r="C157" s="287">
        <f t="shared" ref="C157:H157" ca="1" si="100">C154+C155+C156</f>
        <v>0</v>
      </c>
      <c r="D157" s="287">
        <f t="shared" ca="1" si="100"/>
        <v>0</v>
      </c>
      <c r="E157" s="287">
        <f t="shared" ca="1" si="100"/>
        <v>0</v>
      </c>
      <c r="F157" s="287">
        <f t="shared" ca="1" si="100"/>
        <v>0</v>
      </c>
      <c r="G157" s="287">
        <f t="shared" ca="1" si="100"/>
        <v>0</v>
      </c>
      <c r="H157" s="287">
        <f t="shared" ca="1" si="100"/>
        <v>0</v>
      </c>
      <c r="I157" s="287"/>
    </row>
    <row r="158" spans="1:9">
      <c r="B158" s="281" t="s">
        <v>123</v>
      </c>
      <c r="C158" s="283"/>
      <c r="D158" s="283" t="e">
        <f ca="1">-D157/(D155-D156/INDIRECT("A"&amp;$A153&amp;"taxstdlife"))</f>
        <v>#DIV/0!</v>
      </c>
      <c r="E158" s="283" t="e">
        <f t="shared" ref="E158" ca="1" si="101">-E157/(E155-E156/INDIRECT("A"&amp;$A153&amp;"taxstdlife"))</f>
        <v>#DIV/0!</v>
      </c>
      <c r="F158" s="283" t="e">
        <f t="shared" ref="F158" ca="1" si="102">-F157/(F155-F156/INDIRECT("A"&amp;$A153&amp;"taxstdlife"))</f>
        <v>#DIV/0!</v>
      </c>
      <c r="G158" s="283" t="e">
        <f t="shared" ref="G158" ca="1" si="103">-G157/(G155-G156/INDIRECT("A"&amp;$A153&amp;"taxstdlife"))</f>
        <v>#DIV/0!</v>
      </c>
      <c r="H158" s="283" t="e">
        <f t="shared" ref="H158" ca="1" si="104">-H157/(H155-H156/INDIRECT("A"&amp;$A153&amp;"taxstdlife"))</f>
        <v>#DIV/0!</v>
      </c>
      <c r="I158" s="283"/>
    </row>
    <row r="159" spans="1:9">
      <c r="B159" s="284" t="s">
        <v>121</v>
      </c>
      <c r="C159" s="285"/>
      <c r="D159" s="285"/>
      <c r="E159" s="285" t="e">
        <f ca="1">-E154/D158</f>
        <v>#DIV/0!</v>
      </c>
      <c r="F159" s="285" t="e">
        <f t="shared" ref="F159" ca="1" si="105">-F154/E158</f>
        <v>#DIV/0!</v>
      </c>
      <c r="G159" s="285" t="e">
        <f t="shared" ref="G159" ca="1" si="106">-G154/F158</f>
        <v>#DIV/0!</v>
      </c>
      <c r="H159" s="285" t="e">
        <f t="shared" ref="H159" ca="1" si="107">-H154/G158</f>
        <v>#DIV/0!</v>
      </c>
      <c r="I159" s="285" t="e">
        <f t="shared" ref="I159" ca="1" si="108">-I154/H158</f>
        <v>#DIV/0!</v>
      </c>
    </row>
    <row r="160" spans="1:9">
      <c r="C160" s="283"/>
      <c r="D160" s="283"/>
      <c r="E160" s="283"/>
      <c r="F160" s="283"/>
      <c r="G160" s="283"/>
      <c r="H160" s="283"/>
      <c r="I160" s="283"/>
    </row>
    <row r="161" spans="1:9">
      <c r="A161">
        <v>4</v>
      </c>
      <c r="B161" s="282" t="str">
        <f ca="1">INDIRECT("Asset"&amp;A161)</f>
        <v>Zone Substation</v>
      </c>
      <c r="C161" s="281"/>
    </row>
    <row r="162" spans="1:9">
      <c r="B162" s="281" t="s">
        <v>28</v>
      </c>
      <c r="C162" s="283">
        <f ca="1">OFFSET('Tax value roll forward'!$G$7,A161,0)</f>
        <v>0</v>
      </c>
      <c r="D162" s="283">
        <f t="shared" ref="D162:I162" ca="1" si="109">C165</f>
        <v>0</v>
      </c>
      <c r="E162" s="283">
        <f t="shared" ca="1" si="109"/>
        <v>0.7930148802741549</v>
      </c>
      <c r="F162" s="283">
        <f t="shared" ca="1" si="109"/>
        <v>0.78128147294857142</v>
      </c>
      <c r="G162" s="283">
        <f t="shared" ca="1" si="109"/>
        <v>0.76125380182468583</v>
      </c>
      <c r="H162" s="283">
        <f t="shared" ca="1" si="109"/>
        <v>1.6414976573330238</v>
      </c>
      <c r="I162" s="283">
        <f t="shared" ca="1" si="109"/>
        <v>1.7934101750954998</v>
      </c>
    </row>
    <row r="163" spans="1:9">
      <c r="B163" s="281" t="s">
        <v>118</v>
      </c>
      <c r="C163" s="283">
        <f ca="1">OFFSET('Tax value roll forward'!G$71,14*$A161,0)</f>
        <v>0</v>
      </c>
      <c r="D163" s="283">
        <f ca="1">OFFSET('Tax value roll forward'!H$71,14*$A161,0)</f>
        <v>0</v>
      </c>
      <c r="E163" s="283">
        <f ca="1">OFFSET('Tax value roll forward'!I$71,14*$A161,0)</f>
        <v>-1.9825372006853872E-2</v>
      </c>
      <c r="F163" s="283">
        <f ca="1">OFFSET('Tax value roll forward'!J$71,14*$A161,0)</f>
        <v>-2.0027671123885631E-2</v>
      </c>
      <c r="G163" s="283">
        <f ca="1">OFFSET('Tax value roll forward'!K$71,14*$A161,0)</f>
        <v>-2.0027671123885631E-2</v>
      </c>
      <c r="H163" s="283">
        <f ca="1">OFFSET('Tax value roll forward'!L$71,14*$A161,0)</f>
        <v>-4.2534459289691212E-2</v>
      </c>
      <c r="I163" s="283"/>
    </row>
    <row r="164" spans="1:9">
      <c r="B164" s="281" t="s">
        <v>119</v>
      </c>
      <c r="C164" s="283">
        <f ca="1">OFFSET('Tax value roll forward'!G$39,$A161,0)</f>
        <v>0</v>
      </c>
      <c r="D164" s="283">
        <f ca="1">OFFSET('Tax value roll forward'!H$39,$A161,0)</f>
        <v>0.7930148802741549</v>
      </c>
      <c r="E164" s="283">
        <f ca="1">OFFSET('Tax value roll forward'!I$39,$A161,0)</f>
        <v>8.09196468127041E-3</v>
      </c>
      <c r="F164" s="283">
        <f ca="1">OFFSET('Tax value roll forward'!J$39,$A161,0)</f>
        <v>0</v>
      </c>
      <c r="G164" s="283">
        <f ca="1">OFFSET('Tax value roll forward'!K$39,$A161,0)</f>
        <v>0.90027152663222343</v>
      </c>
      <c r="H164" s="283">
        <f ca="1">OFFSET('Tax value roll forward'!L$39,$A161,0)</f>
        <v>0.19444697705216729</v>
      </c>
      <c r="I164" s="283"/>
    </row>
    <row r="165" spans="1:9">
      <c r="B165" s="286" t="s">
        <v>120</v>
      </c>
      <c r="C165" s="287">
        <f t="shared" ref="C165:H165" ca="1" si="110">C162+C163+C164</f>
        <v>0</v>
      </c>
      <c r="D165" s="287">
        <f t="shared" ca="1" si="110"/>
        <v>0.7930148802741549</v>
      </c>
      <c r="E165" s="287">
        <f t="shared" ca="1" si="110"/>
        <v>0.78128147294857142</v>
      </c>
      <c r="F165" s="287">
        <f t="shared" ca="1" si="110"/>
        <v>0.76125380182468583</v>
      </c>
      <c r="G165" s="287">
        <f t="shared" ca="1" si="110"/>
        <v>1.6414976573330238</v>
      </c>
      <c r="H165" s="287">
        <f t="shared" ca="1" si="110"/>
        <v>1.7934101750954998</v>
      </c>
      <c r="I165" s="287"/>
    </row>
    <row r="166" spans="1:9">
      <c r="B166" s="281" t="s">
        <v>123</v>
      </c>
      <c r="C166" s="283"/>
      <c r="D166" s="283">
        <f ca="1">-D165/(D163-D164/INDIRECT("A"&amp;$A161&amp;"taxstdlife"))</f>
        <v>40</v>
      </c>
      <c r="E166" s="283">
        <f t="shared" ref="E166" ca="1" si="111">-E165/(E163-E164/INDIRECT("A"&amp;$A161&amp;"taxstdlife"))</f>
        <v>39.010100980577342</v>
      </c>
      <c r="F166" s="283">
        <f t="shared" ref="F166" ca="1" si="112">-F165/(F163-F164/INDIRECT("A"&amp;$A161&amp;"taxstdlife"))</f>
        <v>38.010100980577349</v>
      </c>
      <c r="G166" s="283">
        <f t="shared" ref="G166" ca="1" si="113">-G165/(G163-G164/INDIRECT("A"&amp;$A161&amp;"taxstdlife"))</f>
        <v>38.592183484764846</v>
      </c>
      <c r="H166" s="283">
        <f t="shared" ref="H166" ca="1" si="114">-H165/(H163-H164/INDIRECT("A"&amp;$A161&amp;"taxstdlife"))</f>
        <v>37.839143281467464</v>
      </c>
      <c r="I166" s="283"/>
    </row>
    <row r="167" spans="1:9">
      <c r="B167" s="284" t="s">
        <v>121</v>
      </c>
      <c r="C167" s="285"/>
      <c r="D167" s="285"/>
      <c r="E167" s="285">
        <f ca="1">-E162/D166</f>
        <v>-1.9825372006853872E-2</v>
      </c>
      <c r="F167" s="285">
        <f t="shared" ref="F167" ca="1" si="115">-F162/E166</f>
        <v>-2.0027671123885631E-2</v>
      </c>
      <c r="G167" s="285">
        <f t="shared" ref="G167" ca="1" si="116">-G162/F166</f>
        <v>-2.0027671123885631E-2</v>
      </c>
      <c r="H167" s="285">
        <f t="shared" ref="H167" ca="1" si="117">-H162/G166</f>
        <v>-4.2534459289691212E-2</v>
      </c>
      <c r="I167" s="285">
        <f t="shared" ref="I167" ca="1" si="118">-I162/H166</f>
        <v>-4.7395633715995387E-2</v>
      </c>
    </row>
    <row r="168" spans="1:9">
      <c r="C168" s="283"/>
      <c r="D168" s="283"/>
      <c r="E168" s="283"/>
      <c r="F168" s="283"/>
      <c r="G168" s="283"/>
      <c r="H168" s="283"/>
      <c r="I168" s="283"/>
    </row>
    <row r="169" spans="1:9">
      <c r="A169">
        <v>5</v>
      </c>
      <c r="B169" s="282" t="str">
        <f ca="1">INDIRECT("Asset"&amp;A169)</f>
        <v>Distribution Substations</v>
      </c>
      <c r="C169" s="281"/>
    </row>
    <row r="170" spans="1:9">
      <c r="B170" s="281" t="s">
        <v>28</v>
      </c>
      <c r="C170" s="283">
        <f ca="1">OFFSET('Tax value roll forward'!$G$7,A169,0)</f>
        <v>0</v>
      </c>
      <c r="D170" s="283">
        <f t="shared" ref="D170:I170" ca="1" si="119">C173</f>
        <v>0</v>
      </c>
      <c r="E170" s="283">
        <f t="shared" ca="1" si="119"/>
        <v>12.2938196461266</v>
      </c>
      <c r="F170" s="283">
        <f t="shared" ca="1" si="119"/>
        <v>28.500216829086579</v>
      </c>
      <c r="G170" s="283">
        <f t="shared" ca="1" si="119"/>
        <v>41.790471506579095</v>
      </c>
      <c r="H170" s="283">
        <f t="shared" ca="1" si="119"/>
        <v>53.569313165047433</v>
      </c>
      <c r="I170" s="283">
        <f t="shared" ca="1" si="119"/>
        <v>65.676508423460021</v>
      </c>
    </row>
    <row r="171" spans="1:9">
      <c r="B171" s="281" t="s">
        <v>118</v>
      </c>
      <c r="C171" s="283">
        <f ca="1">OFFSET('Tax value roll forward'!G$71,14*$A169,0)</f>
        <v>0</v>
      </c>
      <c r="D171" s="283">
        <f ca="1">OFFSET('Tax value roll forward'!H$71,14*$A169,0)</f>
        <v>0</v>
      </c>
      <c r="E171" s="283">
        <f ca="1">OFFSET('Tax value roll forward'!I$71,14*$A169,0)</f>
        <v>-0.30734549115316501</v>
      </c>
      <c r="F171" s="283">
        <f ca="1">OFFSET('Tax value roll forward'!J$71,14*$A169,0)</f>
        <v>-0.72018905800599353</v>
      </c>
      <c r="G171" s="283">
        <f ca="1">OFFSET('Tax value roll forward'!K$71,14*$A169,0)</f>
        <v>-1.0704501513934561</v>
      </c>
      <c r="H171" s="283">
        <f ca="1">OFFSET('Tax value roll forward'!L$71,14*$A169,0)</f>
        <v>-1.3916824466400011</v>
      </c>
      <c r="I171" s="283"/>
    </row>
    <row r="172" spans="1:9">
      <c r="B172" s="281" t="s">
        <v>119</v>
      </c>
      <c r="C172" s="283">
        <f ca="1">OFFSET('Tax value roll forward'!G$39,$A169,0)</f>
        <v>0</v>
      </c>
      <c r="D172" s="283">
        <f ca="1">OFFSET('Tax value roll forward'!H$39,$A169,0)</f>
        <v>12.2938196461266</v>
      </c>
      <c r="E172" s="283">
        <f ca="1">OFFSET('Tax value roll forward'!I$39,$A169,0)</f>
        <v>16.513742674113143</v>
      </c>
      <c r="F172" s="283">
        <f ca="1">OFFSET('Tax value roll forward'!J$39,$A169,0)</f>
        <v>14.010443735498505</v>
      </c>
      <c r="G172" s="283">
        <f ca="1">OFFSET('Tax value roll forward'!K$39,$A169,0)</f>
        <v>12.849291809861798</v>
      </c>
      <c r="H172" s="283">
        <f ca="1">OFFSET('Tax value roll forward'!L$39,$A169,0)</f>
        <v>13.498877705052596</v>
      </c>
      <c r="I172" s="283"/>
    </row>
    <row r="173" spans="1:9">
      <c r="B173" s="286" t="s">
        <v>120</v>
      </c>
      <c r="C173" s="287">
        <f t="shared" ref="C173:H173" ca="1" si="120">C170+C171+C172</f>
        <v>0</v>
      </c>
      <c r="D173" s="287">
        <f t="shared" ca="1" si="120"/>
        <v>12.2938196461266</v>
      </c>
      <c r="E173" s="287">
        <f t="shared" ca="1" si="120"/>
        <v>28.500216829086579</v>
      </c>
      <c r="F173" s="287">
        <f t="shared" ca="1" si="120"/>
        <v>41.790471506579095</v>
      </c>
      <c r="G173" s="287">
        <f t="shared" ca="1" si="120"/>
        <v>53.569313165047433</v>
      </c>
      <c r="H173" s="287">
        <f t="shared" ca="1" si="120"/>
        <v>65.676508423460021</v>
      </c>
      <c r="I173" s="287"/>
    </row>
    <row r="174" spans="1:9">
      <c r="B174" s="281" t="s">
        <v>123</v>
      </c>
      <c r="C174" s="283"/>
      <c r="D174" s="283">
        <f ca="1">-D173/(D171-D172/INDIRECT("A"&amp;$A169&amp;"taxstdlife"))</f>
        <v>40</v>
      </c>
      <c r="E174" s="283">
        <f t="shared" ref="E174" ca="1" si="121">-E173/(E171-E172/INDIRECT("A"&amp;$A169&amp;"taxstdlife"))</f>
        <v>39.573243320296868</v>
      </c>
      <c r="F174" s="283">
        <f t="shared" ref="F174" ca="1" si="122">-F173/(F171-F172/INDIRECT("A"&amp;$A169&amp;"taxstdlife"))</f>
        <v>39.040091173025147</v>
      </c>
      <c r="G174" s="283">
        <f t="shared" ref="G174" ca="1" si="123">-G173/(G171-G172/INDIRECT("A"&amp;$A169&amp;"taxstdlife"))</f>
        <v>38.492483177022272</v>
      </c>
      <c r="H174" s="283">
        <f t="shared" ref="H174" ca="1" si="124">-H173/(H171-H172/INDIRECT("A"&amp;$A169&amp;"taxstdlife"))</f>
        <v>37.981864911048639</v>
      </c>
      <c r="I174" s="283"/>
    </row>
    <row r="175" spans="1:9">
      <c r="B175" s="284" t="s">
        <v>121</v>
      </c>
      <c r="C175" s="285"/>
      <c r="D175" s="285"/>
      <c r="E175" s="285">
        <f ca="1">-E170/D174</f>
        <v>-0.30734549115316501</v>
      </c>
      <c r="F175" s="285">
        <f t="shared" ref="F175" ca="1" si="125">-F170/E174</f>
        <v>-0.72018905800599353</v>
      </c>
      <c r="G175" s="285">
        <f t="shared" ref="G175" ca="1" si="126">-G170/F174</f>
        <v>-1.0704501513934561</v>
      </c>
      <c r="H175" s="285">
        <f t="shared" ref="H175" ca="1" si="127">-H170/G174</f>
        <v>-1.3916824466400008</v>
      </c>
      <c r="I175" s="285">
        <f t="shared" ref="I175" ca="1" si="128">-I170/H174</f>
        <v>-1.7291543892663159</v>
      </c>
    </row>
    <row r="176" spans="1:9">
      <c r="C176" s="283"/>
      <c r="D176" s="283"/>
      <c r="E176" s="283"/>
      <c r="F176" s="283"/>
      <c r="G176" s="283"/>
      <c r="H176" s="283"/>
      <c r="I176" s="283"/>
    </row>
    <row r="177" spans="1:9">
      <c r="A177">
        <v>6</v>
      </c>
      <c r="B177" s="282" t="str">
        <f ca="1">INDIRECT("Asset"&amp;A177)</f>
        <v>Distribution Overhead Lines</v>
      </c>
      <c r="C177" s="281"/>
    </row>
    <row r="178" spans="1:9">
      <c r="B178" s="281" t="s">
        <v>28</v>
      </c>
      <c r="C178" s="283">
        <f ca="1">OFFSET('Tax value roll forward'!$G$7,A177,0)</f>
        <v>0</v>
      </c>
      <c r="D178" s="283">
        <f t="shared" ref="D178:I178" ca="1" si="129">C181</f>
        <v>0</v>
      </c>
      <c r="E178" s="283">
        <f t="shared" ca="1" si="129"/>
        <v>10.824526619999999</v>
      </c>
      <c r="F178" s="283">
        <f t="shared" ca="1" si="129"/>
        <v>23.028555724</v>
      </c>
      <c r="G178" s="283">
        <f t="shared" ca="1" si="129"/>
        <v>36.200834446000002</v>
      </c>
      <c r="H178" s="283">
        <f t="shared" ca="1" si="129"/>
        <v>46.305609859111108</v>
      </c>
      <c r="I178" s="283">
        <f t="shared" ca="1" si="129"/>
        <v>54.932069736429568</v>
      </c>
    </row>
    <row r="179" spans="1:9">
      <c r="B179" s="281" t="s">
        <v>118</v>
      </c>
      <c r="C179" s="283">
        <f ca="1">OFFSET('Tax value roll forward'!G$71,14*$A177,0)</f>
        <v>0</v>
      </c>
      <c r="D179" s="283">
        <f ca="1">OFFSET('Tax value roll forward'!H$71,14*$A177,0)</f>
        <v>0</v>
      </c>
      <c r="E179" s="283">
        <f ca="1">OFFSET('Tax value roll forward'!I$71,14*$A177,0)</f>
        <v>-0.24054503599999996</v>
      </c>
      <c r="F179" s="283">
        <f ca="1">OFFSET('Tax value roll forward'!J$71,14*$A177,0)</f>
        <v>-0.51709112800000001</v>
      </c>
      <c r="G179" s="283">
        <f ca="1">OFFSET('Tax value roll forward'!K$71,14*$A177,0)</f>
        <v>-0.82129934688888895</v>
      </c>
      <c r="H179" s="283">
        <f ca="1">OFFSET('Tax value roll forward'!L$71,14*$A177,0)</f>
        <v>-1.0641010082222222</v>
      </c>
      <c r="I179" s="283"/>
    </row>
    <row r="180" spans="1:9">
      <c r="B180" s="281" t="s">
        <v>119</v>
      </c>
      <c r="C180" s="283">
        <f ca="1">OFFSET('Tax value roll forward'!G$39,$A177,0)</f>
        <v>0</v>
      </c>
      <c r="D180" s="283">
        <f ca="1">OFFSET('Tax value roll forward'!H$39,$A177,0)</f>
        <v>10.824526619999999</v>
      </c>
      <c r="E180" s="283">
        <f ca="1">OFFSET('Tax value roll forward'!I$39,$A177,0)</f>
        <v>12.444574140000002</v>
      </c>
      <c r="F180" s="283">
        <f ca="1">OFFSET('Tax value roll forward'!J$39,$A177,0)</f>
        <v>13.689369850000002</v>
      </c>
      <c r="G180" s="283">
        <f ca="1">OFFSET('Tax value roll forward'!K$39,$A177,0)</f>
        <v>10.926074759999999</v>
      </c>
      <c r="H180" s="283">
        <f ca="1">OFFSET('Tax value roll forward'!L$39,$A177,0)</f>
        <v>9.6905608855406804</v>
      </c>
      <c r="I180" s="283"/>
    </row>
    <row r="181" spans="1:9">
      <c r="B181" s="286" t="s">
        <v>120</v>
      </c>
      <c r="C181" s="287">
        <f t="shared" ref="C181:H181" ca="1" si="130">C178+C179+C180</f>
        <v>0</v>
      </c>
      <c r="D181" s="287">
        <f t="shared" ca="1" si="130"/>
        <v>10.824526619999999</v>
      </c>
      <c r="E181" s="287">
        <f t="shared" ca="1" si="130"/>
        <v>23.028555724</v>
      </c>
      <c r="F181" s="287">
        <f t="shared" ca="1" si="130"/>
        <v>36.200834446000002</v>
      </c>
      <c r="G181" s="287">
        <f t="shared" ca="1" si="130"/>
        <v>46.305609859111108</v>
      </c>
      <c r="H181" s="287">
        <f t="shared" ca="1" si="130"/>
        <v>54.932069736429568</v>
      </c>
      <c r="I181" s="287"/>
    </row>
    <row r="182" spans="1:9">
      <c r="B182" s="281" t="s">
        <v>123</v>
      </c>
      <c r="C182" s="283"/>
      <c r="D182" s="283">
        <f ca="1">-D181/(D179-D180/INDIRECT("A"&amp;$A177&amp;"taxstdlife"))</f>
        <v>45</v>
      </c>
      <c r="E182" s="283">
        <f t="shared" ref="E182" ca="1" si="131">-E181/(E179-E180/INDIRECT("A"&amp;$A177&amp;"taxstdlife"))</f>
        <v>44.534811132942124</v>
      </c>
      <c r="F182" s="283">
        <f t="shared" ref="F182" ca="1" si="132">-F181/(F179-F180/INDIRECT("A"&amp;$A177&amp;"taxstdlife"))</f>
        <v>44.077515199701601</v>
      </c>
      <c r="G182" s="283">
        <f t="shared" ref="G182" ca="1" si="133">-G181/(G179-G180/INDIRECT("A"&amp;$A177&amp;"taxstdlife"))</f>
        <v>43.51617891657974</v>
      </c>
      <c r="H182" s="283">
        <f t="shared" ref="H182" ca="1" si="134">-H181/(H179-H180/INDIRECT("A"&amp;$A177&amp;"taxstdlife"))</f>
        <v>42.934234930768291</v>
      </c>
      <c r="I182" s="283"/>
    </row>
    <row r="183" spans="1:9">
      <c r="B183" s="284" t="s">
        <v>121</v>
      </c>
      <c r="C183" s="285"/>
      <c r="D183" s="285"/>
      <c r="E183" s="285">
        <f ca="1">-E178/D182</f>
        <v>-0.24054503599999996</v>
      </c>
      <c r="F183" s="285">
        <f t="shared" ref="F183" ca="1" si="135">-F178/E182</f>
        <v>-0.51709112800000001</v>
      </c>
      <c r="G183" s="285">
        <f t="shared" ref="G183" ca="1" si="136">-G178/F182</f>
        <v>-0.82129934688888895</v>
      </c>
      <c r="H183" s="285">
        <f t="shared" ref="H183" ca="1" si="137">-H178/G182</f>
        <v>-1.0641010082222222</v>
      </c>
      <c r="I183" s="285">
        <f t="shared" ref="I183" ca="1" si="138">-I178/H182</f>
        <v>-1.2794468056786819</v>
      </c>
    </row>
    <row r="184" spans="1:9">
      <c r="C184" s="283"/>
      <c r="D184" s="283"/>
      <c r="E184" s="283"/>
      <c r="F184" s="283"/>
      <c r="G184" s="283"/>
      <c r="H184" s="283"/>
      <c r="I184" s="283"/>
    </row>
    <row r="185" spans="1:9">
      <c r="A185">
        <v>7</v>
      </c>
      <c r="B185" s="282" t="str">
        <f ca="1">INDIRECT("Asset"&amp;A185)</f>
        <v>Distribution Underground Lines</v>
      </c>
      <c r="C185" s="281"/>
    </row>
    <row r="186" spans="1:9">
      <c r="B186" s="281" t="s">
        <v>28</v>
      </c>
      <c r="C186" s="283">
        <f ca="1">OFFSET('Tax value roll forward'!$G$7,A185,0)</f>
        <v>0</v>
      </c>
      <c r="D186" s="283">
        <f t="shared" ref="D186:I186" ca="1" si="139">C189</f>
        <v>0</v>
      </c>
      <c r="E186" s="283">
        <f t="shared" ca="1" si="139"/>
        <v>18.977617213873398</v>
      </c>
      <c r="F186" s="283">
        <f t="shared" ca="1" si="139"/>
        <v>41.021205375482793</v>
      </c>
      <c r="G186" s="283">
        <f t="shared" ca="1" si="139"/>
        <v>61.627305485589083</v>
      </c>
      <c r="H186" s="283">
        <f t="shared" ca="1" si="139"/>
        <v>74.370987766042049</v>
      </c>
      <c r="I186" s="283">
        <f t="shared" ca="1" si="139"/>
        <v>91.036612293175466</v>
      </c>
    </row>
    <row r="187" spans="1:9">
      <c r="B187" s="281" t="s">
        <v>118</v>
      </c>
      <c r="C187" s="283">
        <f ca="1">OFFSET('Tax value roll forward'!G$71,14*$A185,0)</f>
        <v>0</v>
      </c>
      <c r="D187" s="283">
        <f ca="1">OFFSET('Tax value roll forward'!H$71,14*$A185,0)</f>
        <v>0</v>
      </c>
      <c r="E187" s="283">
        <f ca="1">OFFSET('Tax value roll forward'!I$71,14*$A185,0)</f>
        <v>-0.37955234427746798</v>
      </c>
      <c r="F187" s="283">
        <f ca="1">OFFSET('Tax value roll forward'!J$71,14*$A185,0)</f>
        <v>-0.82801515439520523</v>
      </c>
      <c r="G187" s="283">
        <f ca="1">OFFSET('Tax value roll forward'!K$71,14*$A185,0)</f>
        <v>-1.2566974596852352</v>
      </c>
      <c r="H187" s="283">
        <f ca="1">OFFSET('Tax value roll forward'!L$71,14*$A185,0)</f>
        <v>-1.536705054487999</v>
      </c>
      <c r="I187" s="283"/>
    </row>
    <row r="188" spans="1:9">
      <c r="B188" s="281" t="s">
        <v>119</v>
      </c>
      <c r="C188" s="283">
        <f ca="1">OFFSET('Tax value roll forward'!G$39,$A185,0)</f>
        <v>0</v>
      </c>
      <c r="D188" s="283">
        <f ca="1">OFFSET('Tax value roll forward'!H$39,$A185,0)</f>
        <v>18.977617213873398</v>
      </c>
      <c r="E188" s="283">
        <f ca="1">OFFSET('Tax value roll forward'!I$39,$A185,0)</f>
        <v>22.42314050588686</v>
      </c>
      <c r="F188" s="283">
        <f ca="1">OFFSET('Tax value roll forward'!J$39,$A185,0)</f>
        <v>21.434115264501493</v>
      </c>
      <c r="G188" s="283">
        <f ca="1">OFFSET('Tax value roll forward'!K$39,$A185,0)</f>
        <v>14.000379740138197</v>
      </c>
      <c r="H188" s="283">
        <f ca="1">OFFSET('Tax value roll forward'!L$39,$A185,0)</f>
        <v>18.202329581621413</v>
      </c>
      <c r="I188" s="283"/>
    </row>
    <row r="189" spans="1:9">
      <c r="B189" s="286" t="s">
        <v>120</v>
      </c>
      <c r="C189" s="287">
        <f t="shared" ref="C189:H189" ca="1" si="140">C186+C187+C188</f>
        <v>0</v>
      </c>
      <c r="D189" s="287">
        <f t="shared" ca="1" si="140"/>
        <v>18.977617213873398</v>
      </c>
      <c r="E189" s="287">
        <f t="shared" ca="1" si="140"/>
        <v>41.021205375482793</v>
      </c>
      <c r="F189" s="287">
        <f t="shared" ca="1" si="140"/>
        <v>61.627305485589083</v>
      </c>
      <c r="G189" s="287">
        <f t="shared" ca="1" si="140"/>
        <v>74.370987766042049</v>
      </c>
      <c r="H189" s="287">
        <f t="shared" ca="1" si="140"/>
        <v>91.036612293175466</v>
      </c>
      <c r="I189" s="287"/>
    </row>
    <row r="190" spans="1:9">
      <c r="B190" s="281" t="s">
        <v>123</v>
      </c>
      <c r="C190" s="283"/>
      <c r="D190" s="283">
        <f ca="1">-D189/(D187-D188/INDIRECT("A"&amp;$A185&amp;"taxstdlife"))</f>
        <v>50</v>
      </c>
      <c r="E190" s="283">
        <f t="shared" ref="E190" ca="1" si="141">-E189/(E187-E188/INDIRECT("A"&amp;$A185&amp;"taxstdlife"))</f>
        <v>49.541611838548171</v>
      </c>
      <c r="F190" s="283">
        <f t="shared" ref="F190" ca="1" si="142">-F189/(F187-F188/INDIRECT("A"&amp;$A185&amp;"taxstdlife"))</f>
        <v>49.039094501730645</v>
      </c>
      <c r="G190" s="283">
        <f t="shared" ref="G190" ca="1" si="143">-G189/(G187-G188/INDIRECT("A"&amp;$A185&amp;"taxstdlife"))</f>
        <v>48.396396920045959</v>
      </c>
      <c r="H190" s="283">
        <f t="shared" ref="H190" ca="1" si="144">-H189/(H187-H188/INDIRECT("A"&amp;$A185&amp;"taxstdlife"))</f>
        <v>47.895059030456629</v>
      </c>
      <c r="I190" s="283"/>
    </row>
    <row r="191" spans="1:9">
      <c r="B191" s="284" t="s">
        <v>121</v>
      </c>
      <c r="C191" s="285"/>
      <c r="D191" s="285"/>
      <c r="E191" s="285">
        <f ca="1">-E186/D190</f>
        <v>-0.37955234427746798</v>
      </c>
      <c r="F191" s="285">
        <f t="shared" ref="F191" ca="1" si="145">-F186/E190</f>
        <v>-0.82801515439520523</v>
      </c>
      <c r="G191" s="285">
        <f t="shared" ref="G191" ca="1" si="146">-G186/F190</f>
        <v>-1.2566974596852352</v>
      </c>
      <c r="H191" s="285">
        <f t="shared" ref="H191" ca="1" si="147">-H186/G190</f>
        <v>-1.536705054487999</v>
      </c>
      <c r="I191" s="285">
        <f t="shared" ref="I191" ca="1" si="148">-I186/H190</f>
        <v>-1.900751646120427</v>
      </c>
    </row>
    <row r="192" spans="1:9">
      <c r="C192" s="283"/>
      <c r="D192" s="283"/>
      <c r="E192" s="283"/>
      <c r="F192" s="283"/>
      <c r="G192" s="283"/>
      <c r="H192" s="283"/>
      <c r="I192" s="283"/>
    </row>
    <row r="193" spans="1:9">
      <c r="A193">
        <v>8</v>
      </c>
      <c r="B193" s="282" t="str">
        <f ca="1">INDIRECT("Asset"&amp;A193)</f>
        <v>IT &amp; Communication Systems (Networks)</v>
      </c>
      <c r="C193" s="281"/>
    </row>
    <row r="194" spans="1:9">
      <c r="B194" s="281" t="s">
        <v>28</v>
      </c>
      <c r="C194" s="283">
        <f ca="1">OFFSET('Tax value roll forward'!$G$7,A193,0)</f>
        <v>0</v>
      </c>
      <c r="D194" s="283">
        <f t="shared" ref="D194:I194" ca="1" si="149">C197</f>
        <v>0</v>
      </c>
      <c r="E194" s="283">
        <f t="shared" ca="1" si="149"/>
        <v>1.2049402011190273</v>
      </c>
      <c r="F194" s="283">
        <f t="shared" ca="1" si="149"/>
        <v>1.9315101787754396</v>
      </c>
      <c r="G194" s="283">
        <f t="shared" ca="1" si="149"/>
        <v>4.1066944636141347</v>
      </c>
      <c r="H194" s="283">
        <f t="shared" ca="1" si="149"/>
        <v>9.9853393601998501</v>
      </c>
      <c r="I194" s="283">
        <f t="shared" ca="1" si="149"/>
        <v>28.349834801917311</v>
      </c>
    </row>
    <row r="195" spans="1:9">
      <c r="B195" s="281" t="s">
        <v>118</v>
      </c>
      <c r="C195" s="283">
        <f ca="1">OFFSET('Tax value roll forward'!G$71,14*$A193,0)</f>
        <v>0</v>
      </c>
      <c r="D195" s="283">
        <f ca="1">OFFSET('Tax value roll forward'!H$71,14*$A193,0)</f>
        <v>0</v>
      </c>
      <c r="E195" s="283">
        <f ca="1">OFFSET('Tax value roll forward'!I$71,14*$A193,0)</f>
        <v>-0.12049402011190273</v>
      </c>
      <c r="F195" s="283">
        <f ca="1">OFFSET('Tax value roll forward'!J$71,14*$A193,0)</f>
        <v>-0.20520041988873422</v>
      </c>
      <c r="G195" s="283">
        <f ca="1">OFFSET('Tax value roll forward'!K$71,14*$A193,0)</f>
        <v>-0.44323889036147718</v>
      </c>
      <c r="H195" s="283">
        <f ca="1">OFFSET('Tax value roll forward'!L$71,14*$A193,0)</f>
        <v>-1.0754272690561963</v>
      </c>
      <c r="I195" s="283"/>
    </row>
    <row r="196" spans="1:9">
      <c r="B196" s="281" t="s">
        <v>119</v>
      </c>
      <c r="C196" s="283">
        <f ca="1">OFFSET('Tax value roll forward'!G$39,$A193,0)</f>
        <v>0</v>
      </c>
      <c r="D196" s="283">
        <f ca="1">OFFSET('Tax value roll forward'!H$39,$A193,0)</f>
        <v>1.2049402011190273</v>
      </c>
      <c r="E196" s="283">
        <f ca="1">OFFSET('Tax value roll forward'!I$39,$A193,0)</f>
        <v>0.84706399776831498</v>
      </c>
      <c r="F196" s="283">
        <f ca="1">OFFSET('Tax value roll forward'!J$39,$A193,0)</f>
        <v>2.3803847047274296</v>
      </c>
      <c r="G196" s="283">
        <f ca="1">OFFSET('Tax value roll forward'!K$39,$A193,0)</f>
        <v>6.3218837869471924</v>
      </c>
      <c r="H196" s="283">
        <f ca="1">OFFSET('Tax value roll forward'!L$39,$A193,0)</f>
        <v>19.439922710773658</v>
      </c>
      <c r="I196" s="283"/>
    </row>
    <row r="197" spans="1:9">
      <c r="B197" s="286" t="s">
        <v>120</v>
      </c>
      <c r="C197" s="287">
        <f t="shared" ref="C197:H197" ca="1" si="150">C194+C195+C196</f>
        <v>0</v>
      </c>
      <c r="D197" s="287">
        <f t="shared" ca="1" si="150"/>
        <v>1.2049402011190273</v>
      </c>
      <c r="E197" s="287">
        <f t="shared" ca="1" si="150"/>
        <v>1.9315101787754396</v>
      </c>
      <c r="F197" s="287">
        <f t="shared" ca="1" si="150"/>
        <v>4.1066944636141347</v>
      </c>
      <c r="G197" s="287">
        <f t="shared" ca="1" si="150"/>
        <v>9.9853393601998501</v>
      </c>
      <c r="H197" s="287">
        <f t="shared" ca="1" si="150"/>
        <v>28.349834801917311</v>
      </c>
      <c r="I197" s="287"/>
    </row>
    <row r="198" spans="1:9">
      <c r="B198" s="281" t="s">
        <v>123</v>
      </c>
      <c r="C198" s="283"/>
      <c r="D198" s="283">
        <f ca="1">-D197/(D195-D196/INDIRECT("A"&amp;$A193&amp;"taxstdlife"))</f>
        <v>10</v>
      </c>
      <c r="E198" s="283">
        <f t="shared" ref="E198" ca="1" si="151">-E197/(E195-E196/INDIRECT("A"&amp;$A193&amp;"taxstdlife"))</f>
        <v>9.4127983745002179</v>
      </c>
      <c r="F198" s="283">
        <f t="shared" ref="F198" ca="1" si="152">-F197/(F195-F196/INDIRECT("A"&amp;$A193&amp;"taxstdlife"))</f>
        <v>9.2651943521133227</v>
      </c>
      <c r="G198" s="283">
        <f t="shared" ref="G198" ca="1" si="153">-G197/(G195-G196/INDIRECT("A"&amp;$A193&amp;"taxstdlife"))</f>
        <v>9.2849973657103426</v>
      </c>
      <c r="H198" s="283">
        <f t="shared" ref="H198" ca="1" si="154">-H197/(H195-H196/INDIRECT("A"&amp;$A193&amp;"taxstdlife"))</f>
        <v>9.3891671644488586</v>
      </c>
      <c r="I198" s="283"/>
    </row>
    <row r="199" spans="1:9">
      <c r="B199" s="284" t="s">
        <v>121</v>
      </c>
      <c r="C199" s="285"/>
      <c r="D199" s="285"/>
      <c r="E199" s="285">
        <f ca="1">-E194/D198</f>
        <v>-0.12049402011190273</v>
      </c>
      <c r="F199" s="285">
        <f t="shared" ref="F199" ca="1" si="155">-F194/E198</f>
        <v>-0.20520041988873422</v>
      </c>
      <c r="G199" s="285">
        <f t="shared" ref="G199" ca="1" si="156">-G194/F198</f>
        <v>-0.44323889036147718</v>
      </c>
      <c r="H199" s="285">
        <f t="shared" ref="H199" ca="1" si="157">-H194/G198</f>
        <v>-1.0754272690561963</v>
      </c>
      <c r="I199" s="285">
        <f t="shared" ref="I199" ca="1" si="158">-I194/H198</f>
        <v>-3.019419540133562</v>
      </c>
    </row>
    <row r="200" spans="1:9">
      <c r="C200" s="283"/>
      <c r="D200" s="283"/>
      <c r="E200" s="283"/>
      <c r="F200" s="283"/>
      <c r="G200" s="283"/>
      <c r="H200" s="283"/>
      <c r="I200" s="283"/>
    </row>
    <row r="201" spans="1:9">
      <c r="A201">
        <v>9</v>
      </c>
      <c r="B201" s="282" t="str">
        <f ca="1">INDIRECT("Asset"&amp;A201)</f>
        <v>Motor Vehicles</v>
      </c>
      <c r="C201" s="281"/>
    </row>
    <row r="202" spans="1:9">
      <c r="B202" s="281" t="s">
        <v>28</v>
      </c>
      <c r="C202" s="283">
        <f ca="1">OFFSET('Tax value roll forward'!$G$7,A201,0)</f>
        <v>0</v>
      </c>
      <c r="D202" s="283">
        <f t="shared" ref="D202:I202" ca="1" si="159">C205</f>
        <v>0</v>
      </c>
      <c r="E202" s="283">
        <f t="shared" ca="1" si="159"/>
        <v>0</v>
      </c>
      <c r="F202" s="283">
        <f t="shared" ca="1" si="159"/>
        <v>0</v>
      </c>
      <c r="G202" s="283">
        <f t="shared" ca="1" si="159"/>
        <v>0.56430035826181035</v>
      </c>
      <c r="H202" s="283">
        <f t="shared" ca="1" si="159"/>
        <v>4.4949298713526051</v>
      </c>
      <c r="I202" s="283">
        <f t="shared" ca="1" si="159"/>
        <v>5.5565497913474591</v>
      </c>
    </row>
    <row r="203" spans="1:9">
      <c r="B203" s="281" t="s">
        <v>118</v>
      </c>
      <c r="C203" s="283">
        <f ca="1">OFFSET('Tax value roll forward'!G$71,14*$A201,0)</f>
        <v>0</v>
      </c>
      <c r="D203" s="283">
        <f ca="1">OFFSET('Tax value roll forward'!H$71,14*$A201,0)</f>
        <v>0</v>
      </c>
      <c r="E203" s="283">
        <f ca="1">OFFSET('Tax value roll forward'!I$71,14*$A201,0)</f>
        <v>0</v>
      </c>
      <c r="F203" s="283">
        <f ca="1">OFFSET('Tax value roll forward'!J$71,14*$A201,0)</f>
        <v>0</v>
      </c>
      <c r="G203" s="283">
        <f ca="1">OFFSET('Tax value roll forward'!K$71,14*$A201,0)</f>
        <v>-7.0537544782726294E-2</v>
      </c>
      <c r="H203" s="283">
        <f ca="1">OFFSET('Tax value roll forward'!L$71,14*$A201,0)</f>
        <v>-0.57068342701691643</v>
      </c>
      <c r="I203" s="283"/>
    </row>
    <row r="204" spans="1:9">
      <c r="B204" s="281" t="s">
        <v>119</v>
      </c>
      <c r="C204" s="283">
        <f ca="1">OFFSET('Tax value roll forward'!G$39,$A201,0)</f>
        <v>0</v>
      </c>
      <c r="D204" s="283">
        <f ca="1">OFFSET('Tax value roll forward'!H$39,$A201,0)</f>
        <v>0</v>
      </c>
      <c r="E204" s="283">
        <f ca="1">OFFSET('Tax value roll forward'!I$39,$A201,0)</f>
        <v>0</v>
      </c>
      <c r="F204" s="283">
        <f ca="1">OFFSET('Tax value roll forward'!J$39,$A201,0)</f>
        <v>0.56430035826181035</v>
      </c>
      <c r="G204" s="283">
        <f ca="1">OFFSET('Tax value roll forward'!K$39,$A201,0)</f>
        <v>4.0011670578735208</v>
      </c>
      <c r="H204" s="283">
        <f ca="1">OFFSET('Tax value roll forward'!L$39,$A201,0)</f>
        <v>1.6323033470117705</v>
      </c>
      <c r="I204" s="283"/>
    </row>
    <row r="205" spans="1:9">
      <c r="B205" s="286" t="s">
        <v>120</v>
      </c>
      <c r="C205" s="287">
        <f t="shared" ref="C205:H205" ca="1" si="160">C202+C203+C204</f>
        <v>0</v>
      </c>
      <c r="D205" s="287">
        <f t="shared" ca="1" si="160"/>
        <v>0</v>
      </c>
      <c r="E205" s="287">
        <f t="shared" ca="1" si="160"/>
        <v>0</v>
      </c>
      <c r="F205" s="287">
        <f t="shared" ca="1" si="160"/>
        <v>0.56430035826181035</v>
      </c>
      <c r="G205" s="287">
        <f t="shared" ca="1" si="160"/>
        <v>4.4949298713526051</v>
      </c>
      <c r="H205" s="287">
        <f t="shared" ca="1" si="160"/>
        <v>5.5565497913474591</v>
      </c>
      <c r="I205" s="287"/>
    </row>
    <row r="206" spans="1:9">
      <c r="B206" s="281" t="s">
        <v>123</v>
      </c>
      <c r="C206" s="283"/>
      <c r="D206" s="283" t="e">
        <f ca="1">-D205/(D203-D204/INDIRECT("A"&amp;$A201&amp;"taxstdlife"))</f>
        <v>#DIV/0!</v>
      </c>
      <c r="E206" s="283" t="e">
        <f t="shared" ref="E206" ca="1" si="161">-E205/(E203-E204/INDIRECT("A"&amp;$A201&amp;"taxstdlife"))</f>
        <v>#DIV/0!</v>
      </c>
      <c r="F206" s="283">
        <f t="shared" ref="F206" ca="1" si="162">-F205/(F203-F204/INDIRECT("A"&amp;$A201&amp;"taxstdlife"))</f>
        <v>8</v>
      </c>
      <c r="G206" s="283">
        <f t="shared" ref="G206" ca="1" si="163">-G205/(G203-G204/INDIRECT("A"&amp;$A201&amp;"taxstdlife"))</f>
        <v>7.8763981194417347</v>
      </c>
      <c r="H206" s="283">
        <f t="shared" ref="H206" ca="1" si="164">-H205/(H203-H204/INDIRECT("A"&amp;$A201&amp;"taxstdlife"))</f>
        <v>7.1723205051565424</v>
      </c>
      <c r="I206" s="283"/>
    </row>
    <row r="207" spans="1:9">
      <c r="B207" s="284" t="s">
        <v>121</v>
      </c>
      <c r="C207" s="285"/>
      <c r="D207" s="285"/>
      <c r="E207" s="285" t="e">
        <f ca="1">-E202/D206</f>
        <v>#DIV/0!</v>
      </c>
      <c r="F207" s="285" t="e">
        <f t="shared" ref="F207" ca="1" si="165">-F202/E206</f>
        <v>#DIV/0!</v>
      </c>
      <c r="G207" s="285">
        <f t="shared" ref="G207" ca="1" si="166">-G202/F206</f>
        <v>-7.0537544782726294E-2</v>
      </c>
      <c r="H207" s="285">
        <f t="shared" ref="H207" ca="1" si="167">-H202/G206</f>
        <v>-0.57068342701691643</v>
      </c>
      <c r="I207" s="285">
        <f t="shared" ref="I207" ca="1" si="168">-I202/H206</f>
        <v>-0.77472134539338777</v>
      </c>
    </row>
    <row r="208" spans="1:9">
      <c r="C208" s="283"/>
      <c r="D208" s="283"/>
      <c r="E208" s="283"/>
      <c r="F208" s="283"/>
      <c r="G208" s="283"/>
      <c r="H208" s="283"/>
      <c r="I208" s="283"/>
    </row>
    <row r="209" spans="1:9">
      <c r="A209">
        <v>10</v>
      </c>
      <c r="B209" s="282" t="str">
        <f ca="1">INDIRECT("Asset"&amp;A209)</f>
        <v>Other Non-System Assets (Networks)</v>
      </c>
      <c r="C209" s="281"/>
    </row>
    <row r="210" spans="1:9">
      <c r="B210" s="281" t="s">
        <v>28</v>
      </c>
      <c r="C210" s="283">
        <f ca="1">OFFSET('Tax value roll forward'!$G$7,A209,0)</f>
        <v>0</v>
      </c>
      <c r="D210" s="283">
        <f t="shared" ref="D210:I210" ca="1" si="169">C213</f>
        <v>0</v>
      </c>
      <c r="E210" s="283">
        <f t="shared" ca="1" si="169"/>
        <v>0.9410589139254546</v>
      </c>
      <c r="F210" s="283">
        <f t="shared" ca="1" si="169"/>
        <v>1.2561628589075577</v>
      </c>
      <c r="G210" s="283">
        <f t="shared" ca="1" si="169"/>
        <v>1.3925655445245657</v>
      </c>
      <c r="H210" s="283">
        <f t="shared" ca="1" si="169"/>
        <v>1.6616413186221597</v>
      </c>
      <c r="I210" s="283">
        <f t="shared" ca="1" si="169"/>
        <v>1.8677049703644384</v>
      </c>
    </row>
    <row r="211" spans="1:9">
      <c r="B211" s="281" t="s">
        <v>118</v>
      </c>
      <c r="C211" s="283">
        <f ca="1">OFFSET('Tax value roll forward'!G$71,14*$A209,0)</f>
        <v>0</v>
      </c>
      <c r="D211" s="283">
        <f ca="1">OFFSET('Tax value roll forward'!H$71,14*$A209,0)</f>
        <v>0</v>
      </c>
      <c r="E211" s="283">
        <f ca="1">OFFSET('Tax value roll forward'!I$71,14*$A209,0)</f>
        <v>-0.16225153688369906</v>
      </c>
      <c r="F211" s="283">
        <f ca="1">OFFSET('Tax value roll forward'!J$71,14*$A209,0)</f>
        <v>-0.24455420617090634</v>
      </c>
      <c r="G211" s="283">
        <f ca="1">OFFSET('Tax value roll forward'!K$71,14*$A209,0)</f>
        <v>-0.31023642889296055</v>
      </c>
      <c r="H211" s="283">
        <f ca="1">OFFSET('Tax value roll forward'!L$71,14*$A209,0)</f>
        <v>-0.41011784320167682</v>
      </c>
      <c r="I211" s="283"/>
    </row>
    <row r="212" spans="1:9">
      <c r="B212" s="281" t="s">
        <v>119</v>
      </c>
      <c r="C212" s="283">
        <f ca="1">OFFSET('Tax value roll forward'!G$39,$A209,0)</f>
        <v>0</v>
      </c>
      <c r="D212" s="283">
        <f ca="1">OFFSET('Tax value roll forward'!H$39,$A209,0)</f>
        <v>0.9410589139254546</v>
      </c>
      <c r="E212" s="283">
        <f ca="1">OFFSET('Tax value roll forward'!I$39,$A209,0)</f>
        <v>0.47735548186580218</v>
      </c>
      <c r="F212" s="283">
        <f ca="1">OFFSET('Tax value roll forward'!J$39,$A209,0)</f>
        <v>0.3809568917879142</v>
      </c>
      <c r="G212" s="283">
        <f ca="1">OFFSET('Tax value roll forward'!K$39,$A209,0)</f>
        <v>0.57931220299055441</v>
      </c>
      <c r="H212" s="283">
        <f ca="1">OFFSET('Tax value roll forward'!L$39,$A209,0)</f>
        <v>0.61618149494395547</v>
      </c>
      <c r="I212" s="283"/>
    </row>
    <row r="213" spans="1:9">
      <c r="B213" s="286" t="s">
        <v>120</v>
      </c>
      <c r="C213" s="287">
        <f t="shared" ref="C213:H213" ca="1" si="170">C210+C211+C212</f>
        <v>0</v>
      </c>
      <c r="D213" s="287">
        <f t="shared" ca="1" si="170"/>
        <v>0.9410589139254546</v>
      </c>
      <c r="E213" s="287">
        <f t="shared" ca="1" si="170"/>
        <v>1.2561628589075577</v>
      </c>
      <c r="F213" s="287">
        <f t="shared" ca="1" si="170"/>
        <v>1.3925655445245657</v>
      </c>
      <c r="G213" s="287">
        <f t="shared" ca="1" si="170"/>
        <v>1.6616413186221597</v>
      </c>
      <c r="H213" s="287">
        <f t="shared" ca="1" si="170"/>
        <v>1.8677049703644384</v>
      </c>
      <c r="I213" s="287"/>
    </row>
    <row r="214" spans="1:9">
      <c r="B214" s="281" t="s">
        <v>123</v>
      </c>
      <c r="C214" s="283"/>
      <c r="D214" s="283">
        <f ca="1">-D213/(D211-D212/INDIRECT("A"&amp;$A209&amp;"taxstdlife"))</f>
        <v>5.8000000000000007</v>
      </c>
      <c r="E214" s="283">
        <f t="shared" ref="E214" ca="1" si="171">-E213/(E211-E212/INDIRECT("A"&amp;$A209&amp;"taxstdlife"))</f>
        <v>5.1365416223088403</v>
      </c>
      <c r="F214" s="283">
        <f t="shared" ref="F214" ca="1" si="172">-F213/(F211-F212/INDIRECT("A"&amp;$A209&amp;"taxstdlife"))</f>
        <v>4.4887234858064851</v>
      </c>
      <c r="G214" s="283">
        <f t="shared" ref="G214" ca="1" si="173">-G213/(G211-G212/INDIRECT("A"&amp;$A209&amp;"taxstdlife"))</f>
        <v>4.0516191776738717</v>
      </c>
      <c r="H214" s="283">
        <f t="shared" ref="H214" ca="1" si="174">-H213/(H211-H212/INDIRECT("A"&amp;$A209&amp;"taxstdlife"))</f>
        <v>3.6170875416795165</v>
      </c>
      <c r="I214" s="283"/>
    </row>
    <row r="215" spans="1:9">
      <c r="B215" s="284" t="s">
        <v>121</v>
      </c>
      <c r="C215" s="285"/>
      <c r="D215" s="285"/>
      <c r="E215" s="285">
        <f ca="1">-E210/D214</f>
        <v>-0.16225153688369906</v>
      </c>
      <c r="F215" s="285">
        <f t="shared" ref="F215" ca="1" si="175">-F210/E214</f>
        <v>-0.24455420617090631</v>
      </c>
      <c r="G215" s="285">
        <f t="shared" ref="G215" ca="1" si="176">-G210/F214</f>
        <v>-0.31023642889296055</v>
      </c>
      <c r="H215" s="285">
        <f t="shared" ref="H215" ca="1" si="177">-H210/G214</f>
        <v>-0.41011784320167682</v>
      </c>
      <c r="I215" s="285">
        <f t="shared" ref="I215" ca="1" si="178">-I210/H214</f>
        <v>-0.51635603198511748</v>
      </c>
    </row>
    <row r="216" spans="1:9">
      <c r="C216" s="283"/>
      <c r="D216" s="283"/>
      <c r="E216" s="283"/>
      <c r="F216" s="283"/>
      <c r="G216" s="283"/>
      <c r="H216" s="283"/>
      <c r="I216" s="283"/>
    </row>
    <row r="217" spans="1:9">
      <c r="A217">
        <v>11</v>
      </c>
      <c r="B217" s="282" t="str">
        <f ca="1">INDIRECT("Asset"&amp;A217)</f>
        <v>IT Systems (Corporate)</v>
      </c>
      <c r="C217" s="281"/>
    </row>
    <row r="218" spans="1:9">
      <c r="B218" s="281" t="s">
        <v>28</v>
      </c>
      <c r="C218" s="283">
        <f ca="1">OFFSET('Tax value roll forward'!$G$7,A217,0)</f>
        <v>0</v>
      </c>
      <c r="D218" s="283">
        <f t="shared" ref="D218:I218" ca="1" si="179">C221</f>
        <v>0</v>
      </c>
      <c r="E218" s="283">
        <f t="shared" ca="1" si="179"/>
        <v>0.89060567422099191</v>
      </c>
      <c r="F218" s="283">
        <f t="shared" ca="1" si="179"/>
        <v>0.94356640251947188</v>
      </c>
      <c r="G218" s="283">
        <f t="shared" ca="1" si="179"/>
        <v>2.0523383620385456</v>
      </c>
      <c r="H218" s="283">
        <f t="shared" ca="1" si="179"/>
        <v>4.2192716131887611</v>
      </c>
      <c r="I218" s="283">
        <f t="shared" ca="1" si="179"/>
        <v>9.5385315851941606</v>
      </c>
    </row>
    <row r="219" spans="1:9">
      <c r="B219" s="281" t="s">
        <v>118</v>
      </c>
      <c r="C219" s="283">
        <f ca="1">OFFSET('Tax value roll forward'!G$71,14*$A217,0)</f>
        <v>0</v>
      </c>
      <c r="D219" s="283">
        <f ca="1">OFFSET('Tax value roll forward'!H$71,14*$A217,0)</f>
        <v>0</v>
      </c>
      <c r="E219" s="283">
        <f ca="1">OFFSET('Tax value roll forward'!I$71,14*$A217,0)</f>
        <v>-0.21722089615146145</v>
      </c>
      <c r="F219" s="283">
        <f ca="1">OFFSET('Tax value roll forward'!J$71,14*$A217,0)</f>
        <v>-0.28311885333437403</v>
      </c>
      <c r="G219" s="283">
        <f ca="1">OFFSET('Tax value roll forward'!K$71,14*$A217,0)</f>
        <v>-0.62260441744497119</v>
      </c>
      <c r="H219" s="283">
        <f ca="1">OFFSET('Tax value roll forward'!L$71,14*$A217,0)</f>
        <v>-1.3029794585657486</v>
      </c>
      <c r="I219" s="283"/>
    </row>
    <row r="220" spans="1:9">
      <c r="B220" s="281" t="s">
        <v>119</v>
      </c>
      <c r="C220" s="283">
        <f ca="1">OFFSET('Tax value roll forward'!G$39,$A217,0)</f>
        <v>0</v>
      </c>
      <c r="D220" s="283">
        <f ca="1">OFFSET('Tax value roll forward'!H$39,$A217,0)</f>
        <v>0.89060567422099191</v>
      </c>
      <c r="E220" s="283">
        <f ca="1">OFFSET('Tax value roll forward'!I$39,$A217,0)</f>
        <v>0.27018162444994143</v>
      </c>
      <c r="F220" s="283">
        <f ca="1">OFFSET('Tax value roll forward'!J$39,$A217,0)</f>
        <v>1.391890812853448</v>
      </c>
      <c r="G220" s="283">
        <f ca="1">OFFSET('Tax value roll forward'!K$39,$A217,0)</f>
        <v>2.7895376685951869</v>
      </c>
      <c r="H220" s="283">
        <f ca="1">OFFSET('Tax value roll forward'!L$39,$A217,0)</f>
        <v>6.6222394305711489</v>
      </c>
      <c r="I220" s="283"/>
    </row>
    <row r="221" spans="1:9">
      <c r="B221" s="286" t="s">
        <v>120</v>
      </c>
      <c r="C221" s="287">
        <f t="shared" ref="C221:H221" ca="1" si="180">C218+C219+C220</f>
        <v>0</v>
      </c>
      <c r="D221" s="287">
        <f t="shared" ca="1" si="180"/>
        <v>0.89060567422099191</v>
      </c>
      <c r="E221" s="287">
        <f t="shared" ca="1" si="180"/>
        <v>0.94356640251947188</v>
      </c>
      <c r="F221" s="287">
        <f t="shared" ca="1" si="180"/>
        <v>2.0523383620385456</v>
      </c>
      <c r="G221" s="287">
        <f t="shared" ca="1" si="180"/>
        <v>4.2192716131887611</v>
      </c>
      <c r="H221" s="287">
        <f t="shared" ca="1" si="180"/>
        <v>9.5385315851941606</v>
      </c>
      <c r="I221" s="287"/>
    </row>
    <row r="222" spans="1:9">
      <c r="B222" s="281" t="s">
        <v>123</v>
      </c>
      <c r="C222" s="283"/>
      <c r="D222" s="283">
        <f ca="1">-D221/(D219-D220/INDIRECT("A"&amp;$A217&amp;"taxstdlife"))</f>
        <v>4.0999999999999996</v>
      </c>
      <c r="E222" s="283">
        <f t="shared" ref="E222" ca="1" si="181">-E221/(E219-E220/INDIRECT("A"&amp;$A217&amp;"taxstdlife"))</f>
        <v>3.3327572198276898</v>
      </c>
      <c r="F222" s="283">
        <f t="shared" ref="F222" ca="1" si="182">-F221/(F219-F220/INDIRECT("A"&amp;$A217&amp;"taxstdlife"))</f>
        <v>3.2963761652396903</v>
      </c>
      <c r="G222" s="283">
        <f t="shared" ref="G222" ca="1" si="183">-G221/(G219-G220/INDIRECT("A"&amp;$A217&amp;"taxstdlife"))</f>
        <v>3.2381720106571086</v>
      </c>
      <c r="H222" s="283">
        <f t="shared" ref="H222" ca="1" si="184">-H221/(H219-H220/INDIRECT("A"&amp;$A217&amp;"taxstdlife"))</f>
        <v>3.2686803377684521</v>
      </c>
      <c r="I222" s="283"/>
    </row>
    <row r="223" spans="1:9">
      <c r="B223" s="284" t="s">
        <v>121</v>
      </c>
      <c r="C223" s="285"/>
      <c r="D223" s="285"/>
      <c r="E223" s="285">
        <f ca="1">-E218/D222</f>
        <v>-0.21722089615146145</v>
      </c>
      <c r="F223" s="285">
        <f t="shared" ref="F223" ca="1" si="185">-F218/E222</f>
        <v>-0.28311885333437403</v>
      </c>
      <c r="G223" s="285">
        <f t="shared" ref="G223" ca="1" si="186">-G218/F222</f>
        <v>-0.62260441744497119</v>
      </c>
      <c r="H223" s="285">
        <f t="shared" ref="H223" ca="1" si="187">-H218/G222</f>
        <v>-1.3029794585657486</v>
      </c>
      <c r="I223" s="285">
        <f t="shared" ref="I223" ca="1" si="188">-I218/H222</f>
        <v>-2.9181598074855413</v>
      </c>
    </row>
    <row r="224" spans="1:9">
      <c r="C224" s="283"/>
      <c r="D224" s="283"/>
      <c r="E224" s="283"/>
      <c r="F224" s="283"/>
      <c r="G224" s="283"/>
      <c r="H224" s="283"/>
      <c r="I224" s="283"/>
    </row>
    <row r="225" spans="1:9">
      <c r="A225">
        <v>12</v>
      </c>
      <c r="B225" s="282" t="str">
        <f ca="1">INDIRECT("Asset"&amp;A225)</f>
        <v>Telecommunications (Corporate)</v>
      </c>
      <c r="C225" s="281"/>
    </row>
    <row r="226" spans="1:9">
      <c r="B226" s="281" t="s">
        <v>28</v>
      </c>
      <c r="C226" s="283">
        <f ca="1">OFFSET('Tax value roll forward'!$G$7,A225,0)</f>
        <v>0</v>
      </c>
      <c r="D226" s="283">
        <f t="shared" ref="D226:I226" ca="1" si="189">C229</f>
        <v>0</v>
      </c>
      <c r="E226" s="283">
        <f t="shared" ca="1" si="189"/>
        <v>0.24566978388879748</v>
      </c>
      <c r="F226" s="283">
        <f t="shared" ca="1" si="189"/>
        <v>0.29121685825955951</v>
      </c>
      <c r="G226" s="283">
        <f t="shared" ca="1" si="189"/>
        <v>0.28143829611039417</v>
      </c>
      <c r="H226" s="283">
        <f t="shared" ca="1" si="189"/>
        <v>0.27819854048456083</v>
      </c>
      <c r="I226" s="283">
        <f t="shared" ca="1" si="189"/>
        <v>0.21572299287183447</v>
      </c>
    </row>
    <row r="227" spans="1:9">
      <c r="B227" s="281" t="s">
        <v>118</v>
      </c>
      <c r="C227" s="283">
        <f ca="1">OFFSET('Tax value roll forward'!G$71,14*$A225,0)</f>
        <v>0</v>
      </c>
      <c r="D227" s="283">
        <f ca="1">OFFSET('Tax value roll forward'!H$71,14*$A225,0)</f>
        <v>0</v>
      </c>
      <c r="E227" s="283">
        <f ca="1">OFFSET('Tax value roll forward'!I$71,14*$A225,0)</f>
        <v>-3.6667131923701114E-2</v>
      </c>
      <c r="F227" s="283">
        <f ca="1">OFFSET('Tax value roll forward'!J$71,14*$A225,0)</f>
        <v>-4.8937908982576203E-2</v>
      </c>
      <c r="G227" s="283">
        <f ca="1">OFFSET('Tax value roll forward'!K$71,14*$A225,0)</f>
        <v>-5.4782587614428571E-2</v>
      </c>
      <c r="H227" s="283">
        <f ca="1">OFFSET('Tax value roll forward'!L$71,14*$A225,0)</f>
        <v>-6.2475547612726369E-2</v>
      </c>
      <c r="I227" s="283"/>
    </row>
    <row r="228" spans="1:9">
      <c r="B228" s="281" t="s">
        <v>119</v>
      </c>
      <c r="C228" s="283">
        <f ca="1">OFFSET('Tax value roll forward'!G$39,$A225,0)</f>
        <v>0</v>
      </c>
      <c r="D228" s="283">
        <f ca="1">OFFSET('Tax value roll forward'!H$39,$A225,0)</f>
        <v>0.24566978388879748</v>
      </c>
      <c r="E228" s="283">
        <f ca="1">OFFSET('Tax value roll forward'!I$39,$A225,0)</f>
        <v>8.2214206294463119E-2</v>
      </c>
      <c r="F228" s="283">
        <f ca="1">OFFSET('Tax value roll forward'!J$39,$A225,0)</f>
        <v>3.915934683341088E-2</v>
      </c>
      <c r="G228" s="283">
        <f ca="1">OFFSET('Tax value roll forward'!K$39,$A225,0)</f>
        <v>5.1542831988595245E-2</v>
      </c>
      <c r="H228" s="283">
        <f ca="1">OFFSET('Tax value roll forward'!L$39,$A225,0)</f>
        <v>0</v>
      </c>
      <c r="I228" s="283"/>
    </row>
    <row r="229" spans="1:9">
      <c r="B229" s="286" t="s">
        <v>120</v>
      </c>
      <c r="C229" s="287">
        <f t="shared" ref="C229:H229" ca="1" si="190">C226+C227+C228</f>
        <v>0</v>
      </c>
      <c r="D229" s="287">
        <f t="shared" ca="1" si="190"/>
        <v>0.24566978388879748</v>
      </c>
      <c r="E229" s="287">
        <f t="shared" ca="1" si="190"/>
        <v>0.29121685825955951</v>
      </c>
      <c r="F229" s="287">
        <f t="shared" ca="1" si="190"/>
        <v>0.28143829611039417</v>
      </c>
      <c r="G229" s="287">
        <f t="shared" ca="1" si="190"/>
        <v>0.27819854048456083</v>
      </c>
      <c r="H229" s="287">
        <f t="shared" ca="1" si="190"/>
        <v>0.21572299287183447</v>
      </c>
      <c r="I229" s="287"/>
    </row>
    <row r="230" spans="1:9">
      <c r="B230" s="281" t="s">
        <v>123</v>
      </c>
      <c r="C230" s="283"/>
      <c r="D230" s="283">
        <f ca="1">-D229/(D227-D228/INDIRECT("A"&amp;$A225&amp;"taxstdlife"))</f>
        <v>6.7</v>
      </c>
      <c r="E230" s="283">
        <f t="shared" ref="E230" ca="1" si="191">-E229/(E227-E228/INDIRECT("A"&amp;$A225&amp;"taxstdlife"))</f>
        <v>5.950741752436624</v>
      </c>
      <c r="F230" s="283">
        <f t="shared" ref="F230" ca="1" si="192">-F229/(F227-F228/INDIRECT("A"&amp;$A225&amp;"taxstdlife"))</f>
        <v>5.1373676995912714</v>
      </c>
      <c r="G230" s="283">
        <f t="shared" ref="G230" ca="1" si="193">-G229/(G227-G228/INDIRECT("A"&amp;$A225&amp;"taxstdlife"))</f>
        <v>4.4529187996727755</v>
      </c>
      <c r="H230" s="283">
        <f t="shared" ref="H230" ca="1" si="194">-H229/(H227-H228/INDIRECT("A"&amp;$A225&amp;"taxstdlife"))</f>
        <v>3.4529187996727755</v>
      </c>
      <c r="I230" s="283"/>
    </row>
    <row r="231" spans="1:9">
      <c r="B231" s="284" t="s">
        <v>121</v>
      </c>
      <c r="C231" s="285"/>
      <c r="D231" s="285"/>
      <c r="E231" s="285">
        <f ca="1">-E226/D230</f>
        <v>-3.6667131923701114E-2</v>
      </c>
      <c r="F231" s="285">
        <f t="shared" ref="F231" ca="1" si="195">-F226/E230</f>
        <v>-4.8937908982576203E-2</v>
      </c>
      <c r="G231" s="285">
        <f t="shared" ref="G231" ca="1" si="196">-G226/F230</f>
        <v>-5.4782587614428571E-2</v>
      </c>
      <c r="H231" s="285">
        <f t="shared" ref="H231" ca="1" si="197">-H226/G230</f>
        <v>-6.2475547612726369E-2</v>
      </c>
      <c r="I231" s="285">
        <f t="shared" ref="I231" ca="1" si="198">-I226/H230</f>
        <v>-6.2475547612726369E-2</v>
      </c>
    </row>
    <row r="232" spans="1:9">
      <c r="C232" s="283"/>
      <c r="D232" s="283"/>
      <c r="E232" s="283"/>
      <c r="F232" s="283"/>
      <c r="G232" s="283"/>
      <c r="H232" s="283"/>
      <c r="I232" s="283"/>
    </row>
    <row r="233" spans="1:9">
      <c r="A233">
        <v>13</v>
      </c>
      <c r="B233" s="282" t="str">
        <f ca="1">INDIRECT("Asset"&amp;A233)</f>
        <v>Other Non-System Assets (Corporate)</v>
      </c>
      <c r="C233" s="281"/>
    </row>
    <row r="234" spans="1:9">
      <c r="B234" s="281" t="s">
        <v>28</v>
      </c>
      <c r="C234" s="283">
        <f ca="1">OFFSET('Tax value roll forward'!$G$7,A233,0)</f>
        <v>0</v>
      </c>
      <c r="D234" s="283">
        <f t="shared" ref="D234:I234" ca="1" si="199">C237</f>
        <v>0</v>
      </c>
      <c r="E234" s="283">
        <f t="shared" ca="1" si="199"/>
        <v>3.2530268100594033</v>
      </c>
      <c r="F234" s="283">
        <f t="shared" ca="1" si="199"/>
        <v>6.5756288813639134</v>
      </c>
      <c r="G234" s="283">
        <f t="shared" ca="1" si="199"/>
        <v>5.9114903937125485</v>
      </c>
      <c r="H234" s="283">
        <f t="shared" ca="1" si="199"/>
        <v>5.2137370535320908</v>
      </c>
      <c r="I234" s="283">
        <f t="shared" ca="1" si="199"/>
        <v>4.8920198114587485</v>
      </c>
    </row>
    <row r="235" spans="1:9">
      <c r="B235" s="281" t="s">
        <v>118</v>
      </c>
      <c r="C235" s="283">
        <f ca="1">OFFSET('Tax value roll forward'!G$71,14*$A233,0)</f>
        <v>0</v>
      </c>
      <c r="D235" s="283">
        <f ca="1">OFFSET('Tax value roll forward'!H$71,14*$A233,0)</f>
        <v>0</v>
      </c>
      <c r="E235" s="283">
        <f ca="1">OFFSET('Tax value roll forward'!I$71,14*$A233,0)</f>
        <v>-0.5707064579051585</v>
      </c>
      <c r="F235" s="283">
        <f ca="1">OFFSET('Tax value roll forward'!J$71,14*$A233,0)</f>
        <v>-1.2537430419770303</v>
      </c>
      <c r="G235" s="283">
        <f ca="1">OFFSET('Tax value roll forward'!K$71,14*$A233,0)</f>
        <v>-1.357182437472761</v>
      </c>
      <c r="H235" s="283">
        <f ca="1">OFFSET('Tax value roll forward'!L$71,14*$A233,0)</f>
        <v>-1.4728717527872002</v>
      </c>
      <c r="I235" s="283"/>
    </row>
    <row r="236" spans="1:9">
      <c r="B236" s="281" t="s">
        <v>119</v>
      </c>
      <c r="C236" s="283">
        <f ca="1">OFFSET('Tax value roll forward'!G$39,$A233,0)</f>
        <v>0</v>
      </c>
      <c r="D236" s="283">
        <f ca="1">OFFSET('Tax value roll forward'!H$39,$A233,0)</f>
        <v>3.2530268100594033</v>
      </c>
      <c r="E236" s="283">
        <f ca="1">OFFSET('Tax value roll forward'!I$39,$A233,0)</f>
        <v>3.8933085292096687</v>
      </c>
      <c r="F236" s="283">
        <f ca="1">OFFSET('Tax value roll forward'!J$39,$A233,0)</f>
        <v>0.58960455432566472</v>
      </c>
      <c r="G236" s="283">
        <f ca="1">OFFSET('Tax value roll forward'!K$39,$A233,0)</f>
        <v>0.65942909729230337</v>
      </c>
      <c r="H236" s="283">
        <f ca="1">OFFSET('Tax value roll forward'!L$39,$A233,0)</f>
        <v>1.1511545107138581</v>
      </c>
      <c r="I236" s="283"/>
    </row>
    <row r="237" spans="1:9">
      <c r="B237" s="286" t="s">
        <v>120</v>
      </c>
      <c r="C237" s="287">
        <f t="shared" ref="C237:H237" ca="1" si="200">C234+C235+C236</f>
        <v>0</v>
      </c>
      <c r="D237" s="287">
        <f t="shared" ca="1" si="200"/>
        <v>3.2530268100594033</v>
      </c>
      <c r="E237" s="287">
        <f t="shared" ca="1" si="200"/>
        <v>6.5756288813639134</v>
      </c>
      <c r="F237" s="287">
        <f t="shared" ca="1" si="200"/>
        <v>5.9114903937125485</v>
      </c>
      <c r="G237" s="287">
        <f t="shared" ca="1" si="200"/>
        <v>5.2137370535320908</v>
      </c>
      <c r="H237" s="287">
        <f t="shared" ca="1" si="200"/>
        <v>4.8920198114587485</v>
      </c>
      <c r="I237" s="287"/>
    </row>
    <row r="238" spans="1:9">
      <c r="B238" s="281" t="s">
        <v>123</v>
      </c>
      <c r="C238" s="283"/>
      <c r="D238" s="283">
        <f ca="1">-D237/(D235-D236/INDIRECT("A"&amp;$A233&amp;"taxstdlife"))</f>
        <v>5.6999999999999993</v>
      </c>
      <c r="E238" s="283">
        <f t="shared" ref="E238" ca="1" si="201">-E237/(E235-E236/INDIRECT("A"&amp;$A233&amp;"taxstdlife"))</f>
        <v>5.2447979061122352</v>
      </c>
      <c r="F238" s="283">
        <f t="shared" ref="F238" ca="1" si="202">-F237/(F235-F236/INDIRECT("A"&amp;$A233&amp;"taxstdlife"))</f>
        <v>4.3557079951023114</v>
      </c>
      <c r="G238" s="283">
        <f t="shared" ref="G238" ca="1" si="203">-G237/(G235-G236/INDIRECT("A"&amp;$A233&amp;"taxstdlife"))</f>
        <v>3.5398445544670372</v>
      </c>
      <c r="H238" s="283">
        <f t="shared" ref="H238" ca="1" si="204">-H237/(H235-H236/INDIRECT("A"&amp;$A233&amp;"taxstdlife"))</f>
        <v>2.9209075870015706</v>
      </c>
      <c r="I238" s="283"/>
    </row>
    <row r="239" spans="1:9">
      <c r="B239" s="284" t="s">
        <v>121</v>
      </c>
      <c r="C239" s="285"/>
      <c r="D239" s="285"/>
      <c r="E239" s="285">
        <f ca="1">-E234/D238</f>
        <v>-0.5707064579051585</v>
      </c>
      <c r="F239" s="285">
        <f t="shared" ref="F239" ca="1" si="205">-F234/E238</f>
        <v>-1.2537430419770303</v>
      </c>
      <c r="G239" s="285">
        <f t="shared" ref="G239" ca="1" si="206">-G234/F238</f>
        <v>-1.357182437472761</v>
      </c>
      <c r="H239" s="285">
        <f t="shared" ref="H239" ca="1" si="207">-H234/G238</f>
        <v>-1.4728717527872002</v>
      </c>
      <c r="I239" s="285">
        <f t="shared" ref="I239" ca="1" si="208">-I234/H238</f>
        <v>-1.6748286844913858</v>
      </c>
    </row>
    <row r="240" spans="1:9">
      <c r="C240" s="283"/>
      <c r="D240" s="283"/>
      <c r="E240" s="283"/>
      <c r="F240" s="283"/>
      <c r="G240" s="283"/>
      <c r="H240" s="283"/>
      <c r="I240" s="283"/>
    </row>
    <row r="241" spans="1:9">
      <c r="A241">
        <v>14</v>
      </c>
      <c r="B241" s="282" t="str">
        <f ca="1">INDIRECT("Asset"&amp;A241)</f>
        <v>Land</v>
      </c>
      <c r="C241" s="281"/>
    </row>
    <row r="242" spans="1:9">
      <c r="B242" s="281" t="s">
        <v>28</v>
      </c>
      <c r="C242" s="283">
        <f ca="1">OFFSET('Tax value roll forward'!$G$7,A241,0)</f>
        <v>0</v>
      </c>
      <c r="D242" s="283">
        <f t="shared" ref="D242:I242" ca="1" si="209">C245</f>
        <v>0</v>
      </c>
      <c r="E242" s="283">
        <f t="shared" ca="1" si="209"/>
        <v>2.334453146068959</v>
      </c>
      <c r="F242" s="283">
        <f t="shared" ca="1" si="209"/>
        <v>2.334453146068959</v>
      </c>
      <c r="G242" s="283">
        <f t="shared" ca="1" si="209"/>
        <v>2.334453146068959</v>
      </c>
      <c r="H242" s="283">
        <f t="shared" ca="1" si="209"/>
        <v>2.334453146068959</v>
      </c>
      <c r="I242" s="283">
        <f t="shared" ca="1" si="209"/>
        <v>2.334453146068959</v>
      </c>
    </row>
    <row r="243" spans="1:9">
      <c r="B243" s="281" t="s">
        <v>118</v>
      </c>
      <c r="C243" s="283">
        <f ca="1">OFFSET('Tax value roll forward'!G$71,14*$A241,0)</f>
        <v>0</v>
      </c>
      <c r="D243" s="283">
        <f ca="1">OFFSET('Tax value roll forward'!H$71,14*$A241,0)</f>
        <v>0</v>
      </c>
      <c r="E243" s="283">
        <f ca="1">OFFSET('Tax value roll forward'!I$71,14*$A241,0)</f>
        <v>0</v>
      </c>
      <c r="F243" s="283">
        <f ca="1">OFFSET('Tax value roll forward'!J$71,14*$A241,0)</f>
        <v>0</v>
      </c>
      <c r="G243" s="283">
        <f ca="1">OFFSET('Tax value roll forward'!K$71,14*$A241,0)</f>
        <v>0</v>
      </c>
      <c r="H243" s="283">
        <f ca="1">OFFSET('Tax value roll forward'!L$71,14*$A241,0)</f>
        <v>0</v>
      </c>
      <c r="I243" s="283"/>
    </row>
    <row r="244" spans="1:9">
      <c r="B244" s="281" t="s">
        <v>119</v>
      </c>
      <c r="C244" s="283">
        <f ca="1">OFFSET('Tax value roll forward'!G$39,$A241,0)</f>
        <v>0</v>
      </c>
      <c r="D244" s="283">
        <f ca="1">OFFSET('Tax value roll forward'!H$39,$A241,0)</f>
        <v>2.334453146068959</v>
      </c>
      <c r="E244" s="283">
        <f ca="1">OFFSET('Tax value roll forward'!I$39,$A241,0)</f>
        <v>0</v>
      </c>
      <c r="F244" s="283">
        <f ca="1">OFFSET('Tax value roll forward'!J$39,$A241,0)</f>
        <v>0</v>
      </c>
      <c r="G244" s="283">
        <f ca="1">OFFSET('Tax value roll forward'!K$39,$A241,0)</f>
        <v>0</v>
      </c>
      <c r="H244" s="283">
        <f ca="1">OFFSET('Tax value roll forward'!L$39,$A241,0)</f>
        <v>0</v>
      </c>
      <c r="I244" s="283"/>
    </row>
    <row r="245" spans="1:9">
      <c r="B245" s="286" t="s">
        <v>120</v>
      </c>
      <c r="C245" s="287">
        <f t="shared" ref="C245:H245" ca="1" si="210">C242+C243+C244</f>
        <v>0</v>
      </c>
      <c r="D245" s="287">
        <f t="shared" ca="1" si="210"/>
        <v>2.334453146068959</v>
      </c>
      <c r="E245" s="287">
        <f t="shared" ca="1" si="210"/>
        <v>2.334453146068959</v>
      </c>
      <c r="F245" s="287">
        <f t="shared" ca="1" si="210"/>
        <v>2.334453146068959</v>
      </c>
      <c r="G245" s="287">
        <f t="shared" ca="1" si="210"/>
        <v>2.334453146068959</v>
      </c>
      <c r="H245" s="287">
        <f t="shared" ca="1" si="210"/>
        <v>2.334453146068959</v>
      </c>
      <c r="I245" s="287"/>
    </row>
    <row r="246" spans="1:9">
      <c r="B246" s="281" t="s">
        <v>123</v>
      </c>
      <c r="C246" s="283"/>
      <c r="D246" s="283" t="e">
        <f ca="1">-D245/(D243-D244/INDIRECT("A"&amp;$A241&amp;"taxstdlife"))</f>
        <v>#VALUE!</v>
      </c>
      <c r="E246" s="283" t="e">
        <f t="shared" ref="E246" ca="1" si="211">-E245/(E243-E244/INDIRECT("A"&amp;$A241&amp;"taxstdlife"))</f>
        <v>#VALUE!</v>
      </c>
      <c r="F246" s="283" t="e">
        <f t="shared" ref="F246" ca="1" si="212">-F245/(F243-F244/INDIRECT("A"&amp;$A241&amp;"taxstdlife"))</f>
        <v>#VALUE!</v>
      </c>
      <c r="G246" s="283" t="e">
        <f t="shared" ref="G246" ca="1" si="213">-G245/(G243-G244/INDIRECT("A"&amp;$A241&amp;"taxstdlife"))</f>
        <v>#VALUE!</v>
      </c>
      <c r="H246" s="283" t="e">
        <f t="shared" ref="H246" ca="1" si="214">-H245/(H243-H244/INDIRECT("A"&amp;$A241&amp;"taxstdlife"))</f>
        <v>#VALUE!</v>
      </c>
      <c r="I246" s="283"/>
    </row>
    <row r="247" spans="1:9">
      <c r="B247" s="284" t="s">
        <v>121</v>
      </c>
      <c r="C247" s="285"/>
      <c r="D247" s="285"/>
      <c r="E247" s="285" t="e">
        <f ca="1">-E242/D246</f>
        <v>#VALUE!</v>
      </c>
      <c r="F247" s="285" t="e">
        <f t="shared" ref="F247" ca="1" si="215">-F242/E246</f>
        <v>#VALUE!</v>
      </c>
      <c r="G247" s="285" t="e">
        <f t="shared" ref="G247" ca="1" si="216">-G242/F246</f>
        <v>#VALUE!</v>
      </c>
      <c r="H247" s="285" t="e">
        <f t="shared" ref="H247" ca="1" si="217">-H242/G246</f>
        <v>#VALUE!</v>
      </c>
      <c r="I247" s="285" t="e">
        <f t="shared" ref="I247" ca="1" si="218">-I242/H246</f>
        <v>#VALUE!</v>
      </c>
    </row>
    <row r="248" spans="1:9">
      <c r="C248" s="283"/>
      <c r="D248" s="283"/>
      <c r="E248" s="283"/>
      <c r="F248" s="283"/>
      <c r="G248" s="283"/>
      <c r="H248" s="283"/>
      <c r="I248" s="283"/>
    </row>
    <row r="249" spans="1:9">
      <c r="A249">
        <v>15</v>
      </c>
      <c r="B249" s="282" t="str">
        <f ca="1">INDIRECT("Asset"&amp;A249)</f>
        <v>Buildings</v>
      </c>
      <c r="C249" s="281"/>
    </row>
    <row r="250" spans="1:9">
      <c r="B250" s="281" t="s">
        <v>28</v>
      </c>
      <c r="C250" s="283">
        <f ca="1">OFFSET('Tax value roll forward'!$G$7,A249,0)</f>
        <v>0</v>
      </c>
      <c r="D250" s="283">
        <f t="shared" ref="D250:I250" ca="1" si="219">C253</f>
        <v>0</v>
      </c>
      <c r="E250" s="283">
        <f t="shared" ca="1" si="219"/>
        <v>5.9914696586509937</v>
      </c>
      <c r="F250" s="283">
        <f t="shared" ca="1" si="219"/>
        <v>14.9394272482308</v>
      </c>
      <c r="G250" s="283">
        <f t="shared" ca="1" si="219"/>
        <v>15.519504631386456</v>
      </c>
      <c r="H250" s="283">
        <f t="shared" ca="1" si="219"/>
        <v>16.488217993464456</v>
      </c>
      <c r="I250" s="283">
        <f t="shared" ca="1" si="219"/>
        <v>18.017292372758632</v>
      </c>
    </row>
    <row r="251" spans="1:9">
      <c r="B251" s="281" t="s">
        <v>118</v>
      </c>
      <c r="C251" s="283">
        <f ca="1">OFFSET('Tax value roll forward'!G$71,14*$A249,0)</f>
        <v>0</v>
      </c>
      <c r="D251" s="283">
        <f ca="1">OFFSET('Tax value roll forward'!H$71,14*$A249,0)</f>
        <v>0</v>
      </c>
      <c r="E251" s="283">
        <f ca="1">OFFSET('Tax value roll forward'!I$71,14*$A249,0)</f>
        <v>-5.9914696586509934E-2</v>
      </c>
      <c r="F251" s="283">
        <f ca="1">OFFSET('Tax value roll forward'!J$71,14*$A249,0)</f>
        <v>-0.1499934194481731</v>
      </c>
      <c r="G251" s="283">
        <f ca="1">OFFSET('Tax value roll forward'!K$71,14*$A249,0)</f>
        <v>-0.15729412747421137</v>
      </c>
      <c r="H251" s="283">
        <f ca="1">OFFSET('Tax value roll forward'!L$71,14*$A249,0)</f>
        <v>-0.16855420236973348</v>
      </c>
      <c r="I251" s="283"/>
    </row>
    <row r="252" spans="1:9">
      <c r="B252" s="281" t="s">
        <v>119</v>
      </c>
      <c r="C252" s="283">
        <f ca="1">OFFSET('Tax value roll forward'!G$39,$A249,0)</f>
        <v>0</v>
      </c>
      <c r="D252" s="283">
        <f ca="1">OFFSET('Tax value roll forward'!H$39,$A249,0)</f>
        <v>5.9914696586509937</v>
      </c>
      <c r="E252" s="283">
        <f ca="1">OFFSET('Tax value roll forward'!I$39,$A249,0)</f>
        <v>9.0078722861663163</v>
      </c>
      <c r="F252" s="283">
        <f ca="1">OFFSET('Tax value roll forward'!J$39,$A249,0)</f>
        <v>0.73007080260382828</v>
      </c>
      <c r="G252" s="283">
        <f ca="1">OFFSET('Tax value roll forward'!K$39,$A249,0)</f>
        <v>1.1260074895522101</v>
      </c>
      <c r="H252" s="283">
        <f ca="1">OFFSET('Tax value roll forward'!L$39,$A249,0)</f>
        <v>1.6976285816639094</v>
      </c>
      <c r="I252" s="283"/>
    </row>
    <row r="253" spans="1:9">
      <c r="B253" s="286" t="s">
        <v>120</v>
      </c>
      <c r="C253" s="287">
        <f t="shared" ref="C253:H253" ca="1" si="220">C250+C251+C252</f>
        <v>0</v>
      </c>
      <c r="D253" s="287">
        <f t="shared" ca="1" si="220"/>
        <v>5.9914696586509937</v>
      </c>
      <c r="E253" s="287">
        <f t="shared" ca="1" si="220"/>
        <v>14.9394272482308</v>
      </c>
      <c r="F253" s="287">
        <f t="shared" ca="1" si="220"/>
        <v>15.519504631386456</v>
      </c>
      <c r="G253" s="287">
        <f t="shared" ca="1" si="220"/>
        <v>16.488217993464456</v>
      </c>
      <c r="H253" s="287">
        <f t="shared" ca="1" si="220"/>
        <v>18.017292372758632</v>
      </c>
      <c r="I253" s="287"/>
    </row>
    <row r="254" spans="1:9">
      <c r="B254" s="281" t="s">
        <v>123</v>
      </c>
      <c r="C254" s="283"/>
      <c r="D254" s="283">
        <f ca="1">-D253/(D251-D252/INDIRECT("A"&amp;$A249&amp;"taxstdlife"))</f>
        <v>100</v>
      </c>
      <c r="E254" s="283">
        <f t="shared" ref="E254" ca="1" si="221">-E253/(E251-E252/INDIRECT("A"&amp;$A249&amp;"taxstdlife"))</f>
        <v>99.600551165464879</v>
      </c>
      <c r="F254" s="283">
        <f t="shared" ref="F254" ca="1" si="222">-F253/(F251-F252/INDIRECT("A"&amp;$A249&amp;"taxstdlife"))</f>
        <v>98.665505703198633</v>
      </c>
      <c r="G254" s="283">
        <f t="shared" ref="G254" ca="1" si="223">-G253/(G251-G252/INDIRECT("A"&amp;$A249&amp;"taxstdlife"))</f>
        <v>97.821458982651691</v>
      </c>
      <c r="H254" s="283">
        <f t="shared" ref="H254" ca="1" si="224">-H253/(H251-H252/INDIRECT("A"&amp;$A249&amp;"taxstdlife"))</f>
        <v>97.112299702782877</v>
      </c>
      <c r="I254" s="283"/>
    </row>
    <row r="255" spans="1:9">
      <c r="B255" s="284" t="s">
        <v>121</v>
      </c>
      <c r="C255" s="285"/>
      <c r="D255" s="285"/>
      <c r="E255" s="285">
        <f ca="1">-E250/D254</f>
        <v>-5.9914696586509934E-2</v>
      </c>
      <c r="F255" s="285">
        <f t="shared" ref="F255" ca="1" si="225">-F250/E254</f>
        <v>-0.1499934194481731</v>
      </c>
      <c r="G255" s="285">
        <f t="shared" ref="G255" ca="1" si="226">-G250/F254</f>
        <v>-0.15729412747421137</v>
      </c>
      <c r="H255" s="285">
        <f t="shared" ref="H255" ca="1" si="227">-H250/G254</f>
        <v>-0.16855420236973348</v>
      </c>
      <c r="I255" s="285">
        <f t="shared" ref="I255" ca="1" si="228">-I250/H254</f>
        <v>-0.18553048818637258</v>
      </c>
    </row>
    <row r="256" spans="1:9">
      <c r="C256" s="283"/>
      <c r="D256" s="283"/>
      <c r="E256" s="283"/>
      <c r="F256" s="283"/>
      <c r="G256" s="283"/>
      <c r="H256" s="283"/>
      <c r="I256" s="283"/>
    </row>
    <row r="257" spans="1:9">
      <c r="A257">
        <v>16</v>
      </c>
      <c r="B257" s="282" t="str">
        <f ca="1">INDIRECT("Asset"&amp;A257)</f>
        <v>Equity raising costs</v>
      </c>
      <c r="C257" s="281"/>
    </row>
    <row r="258" spans="1:9">
      <c r="B258" s="281" t="s">
        <v>28</v>
      </c>
      <c r="C258" s="283">
        <f ca="1">OFFSET('Tax value roll forward'!$G$7,A257,0)</f>
        <v>0</v>
      </c>
      <c r="D258" s="283">
        <f t="shared" ref="D258:I258" ca="1" si="229">C261</f>
        <v>0</v>
      </c>
      <c r="E258" s="283">
        <f t="shared" ca="1" si="229"/>
        <v>0.23136546984909195</v>
      </c>
      <c r="F258" s="283">
        <f t="shared" ca="1" si="229"/>
        <v>0.22617200110986985</v>
      </c>
      <c r="G258" s="283">
        <f t="shared" ca="1" si="229"/>
        <v>0.22097853237064774</v>
      </c>
      <c r="H258" s="283">
        <f t="shared" ca="1" si="229"/>
        <v>0.21578506363142563</v>
      </c>
      <c r="I258" s="283">
        <f t="shared" ca="1" si="229"/>
        <v>0.21059159489220353</v>
      </c>
    </row>
    <row r="259" spans="1:9">
      <c r="B259" s="281" t="s">
        <v>118</v>
      </c>
      <c r="C259" s="283">
        <f ca="1">OFFSET('Tax value roll forward'!G$71,14*$A257,0)</f>
        <v>0</v>
      </c>
      <c r="D259" s="283">
        <f ca="1">OFFSET('Tax value roll forward'!H$71,14*$A257,0)</f>
        <v>0</v>
      </c>
      <c r="E259" s="283">
        <f ca="1">OFFSET('Tax value roll forward'!I$71,14*$A257,0)</f>
        <v>-5.193468739222099E-3</v>
      </c>
      <c r="F259" s="283">
        <f ca="1">OFFSET('Tax value roll forward'!J$71,14*$A257,0)</f>
        <v>-5.193468739222099E-3</v>
      </c>
      <c r="G259" s="283">
        <f ca="1">OFFSET('Tax value roll forward'!K$71,14*$A257,0)</f>
        <v>-5.193468739222099E-3</v>
      </c>
      <c r="H259" s="283">
        <f ca="1">OFFSET('Tax value roll forward'!L$71,14*$A257,0)</f>
        <v>-5.193468739222099E-3</v>
      </c>
      <c r="I259" s="283"/>
    </row>
    <row r="260" spans="1:9">
      <c r="B260" s="281" t="s">
        <v>119</v>
      </c>
      <c r="C260" s="283">
        <f ca="1">OFFSET('Tax value roll forward'!G$39,$A257,0)</f>
        <v>0</v>
      </c>
      <c r="D260" s="283">
        <f ca="1">OFFSET('Tax value roll forward'!H$39,$A257,0)</f>
        <v>0.23136546984909195</v>
      </c>
      <c r="E260" s="283">
        <f ca="1">OFFSET('Tax value roll forward'!I$39,$A257,0)</f>
        <v>0</v>
      </c>
      <c r="F260" s="283">
        <f ca="1">OFFSET('Tax value roll forward'!J$39,$A257,0)</f>
        <v>0</v>
      </c>
      <c r="G260" s="283">
        <f ca="1">OFFSET('Tax value roll forward'!K$39,$A257,0)</f>
        <v>0</v>
      </c>
      <c r="H260" s="283">
        <f ca="1">OFFSET('Tax value roll forward'!L$39,$A257,0)</f>
        <v>0</v>
      </c>
      <c r="I260" s="283"/>
    </row>
    <row r="261" spans="1:9">
      <c r="B261" s="286" t="s">
        <v>120</v>
      </c>
      <c r="C261" s="287">
        <f t="shared" ref="C261:H261" ca="1" si="230">C258+C259+C260</f>
        <v>0</v>
      </c>
      <c r="D261" s="287">
        <f t="shared" ca="1" si="230"/>
        <v>0.23136546984909195</v>
      </c>
      <c r="E261" s="287">
        <f t="shared" ca="1" si="230"/>
        <v>0.22617200110986985</v>
      </c>
      <c r="F261" s="287">
        <f t="shared" ca="1" si="230"/>
        <v>0.22097853237064774</v>
      </c>
      <c r="G261" s="287">
        <f t="shared" ca="1" si="230"/>
        <v>0.21578506363142563</v>
      </c>
      <c r="H261" s="287">
        <f t="shared" ca="1" si="230"/>
        <v>0.21059159489220353</v>
      </c>
      <c r="I261" s="287"/>
    </row>
    <row r="262" spans="1:9">
      <c r="B262" s="281" t="s">
        <v>123</v>
      </c>
      <c r="C262" s="283"/>
      <c r="D262" s="283">
        <f ca="1">-D261/(D259-D260/INDIRECT("A"&amp;$A257&amp;"taxstdlife"))</f>
        <v>44.549314045499948</v>
      </c>
      <c r="E262" s="283">
        <f t="shared" ref="E262" ca="1" si="231">-E261/(E259-E260/INDIRECT("A"&amp;$A257&amp;"taxstdlife"))</f>
        <v>43.549314045499948</v>
      </c>
      <c r="F262" s="283">
        <f t="shared" ref="F262" ca="1" si="232">-F261/(F259-F260/INDIRECT("A"&amp;$A257&amp;"taxstdlife"))</f>
        <v>42.549314045499941</v>
      </c>
      <c r="G262" s="283">
        <f t="shared" ref="G262" ca="1" si="233">-G261/(G259-G260/INDIRECT("A"&amp;$A257&amp;"taxstdlife"))</f>
        <v>41.549314045499941</v>
      </c>
      <c r="H262" s="283">
        <f t="shared" ref="H262" ca="1" si="234">-H261/(H259-H260/INDIRECT("A"&amp;$A257&amp;"taxstdlife"))</f>
        <v>40.549314045499941</v>
      </c>
      <c r="I262" s="283"/>
    </row>
    <row r="263" spans="1:9">
      <c r="B263" s="284" t="s">
        <v>121</v>
      </c>
      <c r="C263" s="285"/>
      <c r="D263" s="285"/>
      <c r="E263" s="285">
        <f ca="1">-E258/D262</f>
        <v>-5.193468739222099E-3</v>
      </c>
      <c r="F263" s="285">
        <f t="shared" ref="F263" ca="1" si="235">-F258/E262</f>
        <v>-5.193468739222099E-3</v>
      </c>
      <c r="G263" s="285">
        <f t="shared" ref="G263" ca="1" si="236">-G258/F262</f>
        <v>-5.193468739222099E-3</v>
      </c>
      <c r="H263" s="285">
        <f t="shared" ref="H263" ca="1" si="237">-H258/G262</f>
        <v>-5.193468739222099E-3</v>
      </c>
      <c r="I263" s="285">
        <f t="shared" ref="I263" ca="1" si="238">-I258/H262</f>
        <v>-5.193468739222099E-3</v>
      </c>
    </row>
    <row r="264" spans="1:9">
      <c r="C264" s="283"/>
      <c r="D264" s="283"/>
      <c r="E264" s="283"/>
      <c r="F264" s="283"/>
      <c r="G264" s="283"/>
      <c r="H264" s="283"/>
      <c r="I264" s="283"/>
    </row>
    <row r="265" spans="1:9">
      <c r="B265" s="282"/>
      <c r="C265" s="28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5B837E585ADB459E103B78B075353C" ma:contentTypeVersion="0" ma:contentTypeDescription="Create a new document." ma:contentTypeScope="" ma:versionID="0b8c9b6ab23c6b7108f03f87b6b414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32D9EA-FE03-4E2A-8C22-0246F18673AF}"/>
</file>

<file path=customXml/itemProps2.xml><?xml version="1.0" encoding="utf-8"?>
<ds:datastoreItem xmlns:ds="http://schemas.openxmlformats.org/officeDocument/2006/customXml" ds:itemID="{B683C1EB-3E9C-4FE3-A663-C3104965121E}"/>
</file>

<file path=customXml/itemProps3.xml><?xml version="1.0" encoding="utf-8"?>
<ds:datastoreItem xmlns:ds="http://schemas.openxmlformats.org/officeDocument/2006/customXml" ds:itemID="{4FE3904F-C8D7-40E7-94EF-283E6AE0D1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bhtibell</cp:lastModifiedBy>
  <cp:lastPrinted>2007-07-24T06:51:35Z</cp:lastPrinted>
  <dcterms:created xsi:type="dcterms:W3CDTF">2000-02-13T23:07:37Z</dcterms:created>
  <dcterms:modified xsi:type="dcterms:W3CDTF">2014-05-24T05:43:41Z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0x0101001B5B837E585ADB459E103B78B075353C</vt:lpwstr>
  </property>
</Properties>
</file>