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istribution Regulation\AER\Pass-through\June 21 Storm pass-through\Attachment 1 - Build up of costs\Updated information\"/>
    </mc:Choice>
  </mc:AlternateContent>
  <xr:revisionPtr revIDLastSave="0" documentId="13_ncr:1_{23887B24-4B7B-4E15-9CDF-420F9FD483D1}" xr6:coauthVersionLast="47" xr6:coauthVersionMax="47" xr10:uidLastSave="{00000000-0000-0000-0000-000000000000}"/>
  <bookViews>
    <workbookView xWindow="-108" yWindow="-108" windowWidth="23256" windowHeight="12576" tabRatio="910" activeTab="1" xr2:uid="{BD39DEC8-46DD-4375-86E0-C621648E46BE}"/>
  </bookViews>
  <sheets>
    <sheet name="Tables for document" sheetId="24" r:id="rId1"/>
    <sheet name="AUP Summary incl Adjs" sheetId="27" r:id="rId2"/>
  </sheets>
  <externalReferences>
    <externalReference r:id="rId3"/>
    <externalReference r:id="rId4"/>
    <externalReference r:id="rId5"/>
  </externalReferences>
  <definedNames>
    <definedName name="_ftn1" localSheetId="0">'Tables for document'!$B$20</definedName>
    <definedName name="_ftnref1" localSheetId="0">'Tables for document'!$B$16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24" l="1"/>
  <c r="G64" i="24"/>
  <c r="F64" i="24"/>
  <c r="E64" i="24"/>
  <c r="D64" i="24"/>
  <c r="C64" i="24"/>
  <c r="G61" i="24"/>
  <c r="F61" i="24"/>
  <c r="E61" i="24"/>
  <c r="D61" i="24"/>
  <c r="C61" i="24"/>
  <c r="G60" i="24"/>
  <c r="F60" i="24"/>
  <c r="E60" i="24"/>
  <c r="D60" i="24"/>
  <c r="C60" i="24"/>
  <c r="G59" i="24"/>
  <c r="F59" i="24"/>
  <c r="E59" i="24"/>
  <c r="D59" i="24"/>
  <c r="C59" i="24"/>
  <c r="G58" i="24"/>
  <c r="F58" i="24"/>
  <c r="E58" i="24"/>
  <c r="D58" i="24"/>
  <c r="C58" i="24"/>
  <c r="H1" i="24"/>
  <c r="H17" i="24" s="1"/>
  <c r="G1" i="24"/>
  <c r="G17" i="24" s="1"/>
  <c r="F1" i="24"/>
  <c r="F17" i="24" s="1"/>
  <c r="E1" i="24"/>
  <c r="E17" i="24" s="1"/>
  <c r="D1" i="24"/>
  <c r="F16" i="24" l="1"/>
  <c r="G16" i="24"/>
  <c r="H16" i="24"/>
  <c r="C8" i="24" l="1"/>
  <c r="C7" i="24"/>
  <c r="C9" i="24"/>
  <c r="G20" i="27"/>
  <c r="C31" i="24"/>
  <c r="F20" i="27" l="1"/>
  <c r="C6" i="24" s="1"/>
  <c r="F14" i="27"/>
  <c r="E14" i="27"/>
  <c r="E20" i="27"/>
  <c r="G14" i="27"/>
  <c r="E27" i="27"/>
  <c r="C37" i="24"/>
  <c r="F22" i="27" l="1"/>
  <c r="G22" i="27"/>
  <c r="E22" i="27"/>
  <c r="C10" i="24"/>
  <c r="C62" i="24"/>
  <c r="D7" i="24" l="1"/>
  <c r="D8" i="24"/>
  <c r="D9" i="24"/>
  <c r="D6" i="24"/>
  <c r="D62" i="24"/>
  <c r="E28" i="27"/>
  <c r="E62" i="24"/>
  <c r="G62" i="24"/>
  <c r="F62" i="24"/>
  <c r="H47" i="24" l="1"/>
  <c r="G47" i="24"/>
  <c r="F47" i="24"/>
  <c r="E47" i="24"/>
  <c r="D47" i="24"/>
  <c r="H46" i="24"/>
  <c r="G46" i="24"/>
  <c r="F46" i="24"/>
  <c r="E46" i="24"/>
  <c r="H44" i="24"/>
  <c r="G44" i="24"/>
  <c r="F44" i="24"/>
  <c r="E44" i="24"/>
  <c r="L9" i="24"/>
  <c r="H26" i="24"/>
  <c r="G26" i="24"/>
  <c r="F26" i="24"/>
  <c r="E26" i="24"/>
  <c r="D26" i="24"/>
  <c r="H25" i="24"/>
  <c r="G25" i="24"/>
  <c r="F25" i="24"/>
  <c r="E25" i="24"/>
  <c r="H23" i="24"/>
  <c r="G23" i="24"/>
  <c r="F23" i="24"/>
  <c r="E23" i="24"/>
  <c r="C25" i="24"/>
  <c r="C46" i="24" s="1"/>
  <c r="L46" i="24" s="1"/>
  <c r="H11" i="24"/>
  <c r="G11" i="24"/>
  <c r="F11" i="24"/>
  <c r="E11" i="24"/>
  <c r="L10" i="24"/>
  <c r="L25" i="24" l="1"/>
  <c r="I10" i="24"/>
  <c r="C26" i="24"/>
  <c r="I26" i="24" s="1"/>
  <c r="C47" i="24" l="1"/>
  <c r="L26" i="24"/>
  <c r="L47" i="24" l="1"/>
  <c r="L7" i="24" l="1"/>
  <c r="C23" i="24"/>
  <c r="C44" i="24" l="1"/>
  <c r="L23" i="24"/>
  <c r="L44" i="24" l="1"/>
  <c r="C24" i="24" l="1"/>
  <c r="I8" i="24"/>
  <c r="L8" i="24"/>
  <c r="L6" i="24" l="1"/>
  <c r="L11" i="24" s="1"/>
  <c r="C22" i="24"/>
  <c r="C27" i="24" s="1"/>
  <c r="C11" i="24"/>
  <c r="L24" i="24"/>
  <c r="C45" i="24"/>
  <c r="L45" i="24" l="1"/>
  <c r="C48" i="24"/>
  <c r="L48" i="24" s="1"/>
  <c r="L22" i="24"/>
  <c r="L27" i="24" s="1"/>
  <c r="C53" i="24"/>
  <c r="L53" i="24" l="1"/>
  <c r="L54" i="24" s="1"/>
  <c r="C54" i="24"/>
  <c r="D25" i="24"/>
  <c r="M25" i="24" s="1"/>
  <c r="M6" i="24"/>
  <c r="M7" i="24"/>
  <c r="L58" i="24"/>
  <c r="M8" i="24"/>
  <c r="L64" i="24"/>
  <c r="M16" i="24"/>
  <c r="M10" i="24"/>
  <c r="M47" i="24"/>
  <c r="M26" i="24"/>
  <c r="M9" i="24" l="1"/>
  <c r="I9" i="24"/>
  <c r="D11" i="24"/>
  <c r="I6" i="24"/>
  <c r="D46" i="24"/>
  <c r="M46" i="24" s="1"/>
  <c r="I25" i="24"/>
  <c r="I7" i="24"/>
  <c r="D23" i="24"/>
  <c r="M64" i="24"/>
  <c r="M11" i="24"/>
  <c r="D22" i="24"/>
  <c r="N44" i="24"/>
  <c r="N6" i="24"/>
  <c r="N25" i="24"/>
  <c r="N47" i="24"/>
  <c r="N23" i="24"/>
  <c r="N46" i="24"/>
  <c r="N9" i="24"/>
  <c r="N8" i="24"/>
  <c r="N26" i="24"/>
  <c r="N7" i="24"/>
  <c r="N10" i="24"/>
  <c r="M17" i="24"/>
  <c r="D24" i="24"/>
  <c r="I11" i="24" l="1"/>
  <c r="D44" i="24"/>
  <c r="M44" i="24" s="1"/>
  <c r="I23" i="24"/>
  <c r="M23" i="24"/>
  <c r="D53" i="24"/>
  <c r="D27" i="24"/>
  <c r="M22" i="24"/>
  <c r="N11" i="24"/>
  <c r="O44" i="24"/>
  <c r="O6" i="24"/>
  <c r="O7" i="24"/>
  <c r="O46" i="24"/>
  <c r="O23" i="24"/>
  <c r="O47" i="24"/>
  <c r="O8" i="24"/>
  <c r="O26" i="24"/>
  <c r="O25" i="24"/>
  <c r="O9" i="24"/>
  <c r="O10" i="24"/>
  <c r="E22" i="24"/>
  <c r="N16" i="24"/>
  <c r="M24" i="24"/>
  <c r="D45" i="24"/>
  <c r="E24" i="24"/>
  <c r="N17" i="24"/>
  <c r="M27" i="24" l="1"/>
  <c r="O11" i="24"/>
  <c r="P8" i="24"/>
  <c r="P25" i="24"/>
  <c r="P10" i="24"/>
  <c r="P47" i="24"/>
  <c r="P6" i="24"/>
  <c r="P44" i="24"/>
  <c r="P7" i="24"/>
  <c r="P46" i="24"/>
  <c r="P26" i="24"/>
  <c r="P9" i="24"/>
  <c r="P23" i="24"/>
  <c r="O17" i="24"/>
  <c r="F24" i="24"/>
  <c r="D48" i="24"/>
  <c r="M48" i="24" s="1"/>
  <c r="M45" i="24"/>
  <c r="E53" i="24"/>
  <c r="N22" i="24"/>
  <c r="E27" i="24"/>
  <c r="O16" i="24"/>
  <c r="F22" i="24"/>
  <c r="E45" i="24"/>
  <c r="N24" i="24"/>
  <c r="M53" i="24"/>
  <c r="M54" i="24" s="1"/>
  <c r="D54" i="24"/>
  <c r="O64" i="24" l="1"/>
  <c r="N64" i="24"/>
  <c r="P11" i="24"/>
  <c r="N27" i="24"/>
  <c r="E54" i="24"/>
  <c r="N53" i="24"/>
  <c r="N54" i="24" s="1"/>
  <c r="O22" i="24"/>
  <c r="F27" i="24"/>
  <c r="F53" i="24"/>
  <c r="O24" i="24"/>
  <c r="F45" i="24"/>
  <c r="G24" i="24"/>
  <c r="P17" i="24"/>
  <c r="G22" i="24"/>
  <c r="P16" i="24"/>
  <c r="N45" i="24"/>
  <c r="E48" i="24"/>
  <c r="N48" i="24" s="1"/>
  <c r="H64" i="24" l="1"/>
  <c r="H65" i="24" s="1"/>
  <c r="O27" i="24"/>
  <c r="P24" i="24"/>
  <c r="G45" i="24"/>
  <c r="F48" i="24"/>
  <c r="O48" i="24" s="1"/>
  <c r="O45" i="24"/>
  <c r="P22" i="24"/>
  <c r="G53" i="24"/>
  <c r="G27" i="24"/>
  <c r="Q46" i="24"/>
  <c r="Q9" i="24"/>
  <c r="R9" i="24" s="1"/>
  <c r="Q25" i="24"/>
  <c r="R25" i="24" s="1"/>
  <c r="Q10" i="24"/>
  <c r="R10" i="24" s="1"/>
  <c r="Q7" i="24"/>
  <c r="R7" i="24" s="1"/>
  <c r="Q47" i="24"/>
  <c r="Q44" i="24"/>
  <c r="Q8" i="24"/>
  <c r="R8" i="24" s="1"/>
  <c r="Q23" i="24"/>
  <c r="R23" i="24" s="1"/>
  <c r="Q6" i="24"/>
  <c r="Q26" i="24"/>
  <c r="R26" i="24" s="1"/>
  <c r="P64" i="24"/>
  <c r="F54" i="24"/>
  <c r="O53" i="24"/>
  <c r="O54" i="24" s="1"/>
  <c r="Q64" i="24" l="1"/>
  <c r="Q17" i="24"/>
  <c r="H24" i="24"/>
  <c r="Q11" i="24"/>
  <c r="R6" i="24"/>
  <c r="R11" i="24" s="1"/>
  <c r="G54" i="24"/>
  <c r="P53" i="24"/>
  <c r="P54" i="24" s="1"/>
  <c r="G48" i="24"/>
  <c r="P48" i="24" s="1"/>
  <c r="P45" i="24"/>
  <c r="H22" i="24"/>
  <c r="Q16" i="24"/>
  <c r="P27" i="24"/>
  <c r="I22" i="24" l="1"/>
  <c r="H53" i="24"/>
  <c r="Q22" i="24"/>
  <c r="H27" i="24"/>
  <c r="H45" i="24"/>
  <c r="Q24" i="24"/>
  <c r="R24" i="24" s="1"/>
  <c r="I24" i="24"/>
  <c r="I27" i="24" l="1"/>
  <c r="C38" i="24" s="1"/>
  <c r="C39" i="24" s="1"/>
  <c r="R22" i="24"/>
  <c r="R27" i="24" s="1"/>
  <c r="Q27" i="24"/>
  <c r="H54" i="24"/>
  <c r="Q53" i="24"/>
  <c r="Q54" i="24" s="1"/>
  <c r="H48" i="24"/>
  <c r="Q48" i="24" s="1"/>
  <c r="Q45" i="24"/>
  <c r="C32" i="24" l="1"/>
  <c r="C33" i="24" s="1"/>
  <c r="L59" i="24" l="1"/>
  <c r="M58" i="24" l="1"/>
  <c r="N58" i="24" l="1"/>
  <c r="M59" i="24"/>
  <c r="N59" i="24"/>
  <c r="O58" i="24" l="1"/>
  <c r="O59" i="24" l="1"/>
  <c r="P59" i="24"/>
  <c r="P58" i="24"/>
  <c r="L60" i="24" l="1"/>
  <c r="M60" i="24" l="1"/>
  <c r="N60" i="24" l="1"/>
  <c r="L61" i="24" l="1"/>
  <c r="L62" i="24" s="1"/>
  <c r="O60" i="24"/>
  <c r="P60" i="24" l="1"/>
  <c r="M61" i="24" l="1"/>
  <c r="M62" i="24" s="1"/>
  <c r="N61" i="24" l="1"/>
  <c r="N62" i="24" s="1"/>
  <c r="O61" i="24" l="1"/>
  <c r="O62" i="24" s="1"/>
  <c r="P61" i="24" l="1"/>
  <c r="P62" i="24" s="1"/>
</calcChain>
</file>

<file path=xl/sharedStrings.xml><?xml version="1.0" encoding="utf-8"?>
<sst xmlns="http://schemas.openxmlformats.org/spreadsheetml/2006/main" count="201" uniqueCount="73">
  <si>
    <t>OPEX</t>
  </si>
  <si>
    <t xml:space="preserve">   Vegetation Management - internally sourced</t>
  </si>
  <si>
    <t xml:space="preserve">   Vegetation Management - externally sourced</t>
  </si>
  <si>
    <t xml:space="preserve">  Total OPEX</t>
  </si>
  <si>
    <t>CAPEX</t>
  </si>
  <si>
    <t xml:space="preserve">  Total CAPEX</t>
  </si>
  <si>
    <t>Emergency works internally sourced</t>
  </si>
  <si>
    <t>Emergency works externally sourced</t>
  </si>
  <si>
    <t>Emergency works internally sourced - timesheet</t>
  </si>
  <si>
    <t>Emergency works internally sourced - claims</t>
  </si>
  <si>
    <t>Emergency works internally sourced - other</t>
  </si>
  <si>
    <t>Total</t>
  </si>
  <si>
    <t>CL</t>
  </si>
  <si>
    <t>TS</t>
  </si>
  <si>
    <t>Tabs</t>
  </si>
  <si>
    <t>Check</t>
  </si>
  <si>
    <t>OTHER</t>
  </si>
  <si>
    <t>Excluding Overheads &amp; CFCs</t>
  </si>
  <si>
    <t>Pass Through Application - June 2021 Storm Remediation - Impact Summary</t>
  </si>
  <si>
    <t>Cost Review Fees</t>
  </si>
  <si>
    <r>
      <t xml:space="preserve">Table 1: June Storms incurred costs </t>
    </r>
    <r>
      <rPr>
        <sz val="10"/>
        <color theme="1"/>
        <rFont val="Arial"/>
        <family val="2"/>
      </rPr>
      <t> </t>
    </r>
  </si>
  <si>
    <t>$ million </t>
  </si>
  <si>
    <t>(nominal)</t>
  </si>
  <si>
    <t>Jan-June 2021</t>
  </si>
  <si>
    <t>2021-22</t>
  </si>
  <si>
    <t>2022-23</t>
  </si>
  <si>
    <t>2023-24</t>
  </si>
  <si>
    <t>2024-25</t>
  </si>
  <si>
    <t>2025-26</t>
  </si>
  <si>
    <t xml:space="preserve">Source: AusNet </t>
  </si>
  <si>
    <t>Table 2: Forecast cost reductions in 2022-26 regulatory period</t>
  </si>
  <si>
    <t xml:space="preserve">Categories of work </t>
  </si>
  <si>
    <t>($ million (nominal))</t>
  </si>
  <si>
    <t>Vegetation management (opex)</t>
  </si>
  <si>
    <t>Table 3: June Storms incurred costs (net)</t>
  </si>
  <si>
    <t>$ million (nominal)</t>
  </si>
  <si>
    <t>Annual revenue requirement (ARR) (unsmoothed)</t>
  </si>
  <si>
    <t>Total costs</t>
  </si>
  <si>
    <t>Materiality of cost pass through</t>
  </si>
  <si>
    <r>
      <t xml:space="preserve">Table 6: Storm incurred opex (net), breakdown </t>
    </r>
    <r>
      <rPr>
        <sz val="10"/>
        <color theme="1"/>
        <rFont val="Arial"/>
        <family val="2"/>
      </rPr>
      <t> </t>
    </r>
  </si>
  <si>
    <t>Total opex</t>
  </si>
  <si>
    <r>
      <t>Table 7: Storm incurred capex (net), breakdown</t>
    </r>
    <r>
      <rPr>
        <sz val="10"/>
        <color theme="1"/>
        <rFont val="Arial"/>
        <family val="2"/>
      </rPr>
      <t> </t>
    </r>
  </si>
  <si>
    <t>Total capex</t>
  </si>
  <si>
    <r>
      <t>Table 8: Eligible pass through amount</t>
    </r>
    <r>
      <rPr>
        <sz val="10"/>
        <color theme="1"/>
        <rFont val="Arial"/>
        <family val="2"/>
      </rPr>
      <t> </t>
    </r>
  </si>
  <si>
    <t>Return on capital</t>
  </si>
  <si>
    <t>Return of capital</t>
  </si>
  <si>
    <t>Operating expenditure</t>
  </si>
  <si>
    <t>Tax</t>
  </si>
  <si>
    <t xml:space="preserve">Building block revenue </t>
  </si>
  <si>
    <t>Emergency corrective works (opex)</t>
  </si>
  <si>
    <t>Cost review fees (opex)</t>
  </si>
  <si>
    <t>GSL payments (opex)</t>
  </si>
  <si>
    <t>Emergency (replacement) capital works</t>
  </si>
  <si>
    <t>Capital expenditure (replacement)</t>
  </si>
  <si>
    <t>Table 5: Demonstrating material change in costs (Financial year 2020-21 basis)</t>
  </si>
  <si>
    <t>Table 4: Demonstrating material change in costs (Calendar year 2021 basis)</t>
  </si>
  <si>
    <t xml:space="preserve">$ million ($2021) </t>
  </si>
  <si>
    <t>$ million ($2021)</t>
  </si>
  <si>
    <t>Categories of work ($2021)</t>
  </si>
  <si>
    <t>Final Decision inflation</t>
  </si>
  <si>
    <t>Smoothed revenue</t>
  </si>
  <si>
    <t xml:space="preserve">TOTAL CAPEX + OPEX </t>
  </si>
  <si>
    <t>Subtransmission</t>
  </si>
  <si>
    <t>Distribution system assets</t>
  </si>
  <si>
    <t>Audit fees (opex)</t>
  </si>
  <si>
    <t xml:space="preserve">(source: AusNet Electricity Distribution Jan to Jun 2021 actual RIN data) </t>
  </si>
  <si>
    <t>Jan-Jun 2021 Capex split by Asset class</t>
  </si>
  <si>
    <t>(source: AusNet Elec Dist Jan21 - Jun21 Annual Reg Accounts - Consolidated, gross capex including type 1 and type 2 capital contributions)</t>
  </si>
  <si>
    <r>
      <t xml:space="preserve">Annual revenue requirement (ARR) (unsmoothed) </t>
    </r>
    <r>
      <rPr>
        <vertAlign val="superscript"/>
        <sz val="11"/>
        <color theme="1"/>
        <rFont val="Arial"/>
        <family val="2"/>
      </rPr>
      <t>1</t>
    </r>
  </si>
  <si>
    <t>1. 6 months actual Distribution revenue (Jan to Jun 2021) minus STPIS and f factor, plus, 6 months forecast revenue (Jul to Dec 2021) using half of the 2021-22 forecast contained in the AER Final Decision PTRM (2022-26)</t>
  </si>
  <si>
    <t>Jan-Jun 2021</t>
  </si>
  <si>
    <t>check</t>
  </si>
  <si>
    <t>(Including adjustments, and excluding GSL payments)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</si>
</sst>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-* #,##0.00_-;\-* #,##0.00_-;_-* &quot;-&quot;??_-;_-@_-"/>
    <numFmt numFmtId="164" formatCode="_-* #,##0_-;\-* #,##0_-;_-* &quot;-&quot;??_-;_-@_-"/>
    <numFmt numFmtId="165" formatCode="###,000"/>
    <numFmt numFmtId="166" formatCode="_-* #,##0_-;\(#,##0\);_-* &quot;-&quot;??_-;_-@_-"/>
    <numFmt numFmtId="167" formatCode="0.0"/>
    <numFmt numFmtId="168" formatCode="_-* #,##0.0000_-;\-* #,##0.0000_-;_-* &quot;-&quot;??_-;_-@_-"/>
    <numFmt numFmtId="169" formatCode="_-* #,##0.0_-;\-* #,##0.0_-;_-* &quot;-&quot;??_-;_-@_-"/>
    <numFmt numFmtId="170" formatCode="&quot;$&quot;#,##0.0;\-&quot;$&quot;#,##0.0"/>
    <numFmt numFmtId="171" formatCode="_(#,##0_);\(#,##0\);_(&quot;-&quot;_);_)@_)"/>
    <numFmt numFmtId="172" formatCode="_(&quot;$&quot;#,##0.0_);\(&quot;$&quot;#,##0.0\);_(&quot;-&quot;_);_)@_)"/>
    <numFmt numFmtId="173" formatCode="_(&quot;$&quot;#,##0.00_);\(&quot;$&quot;#,##0.00\);_(&quot;-&quot;_);_)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1F497D"/>
      <name val="Verdana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Times New Roman"/>
      <family val="1"/>
    </font>
    <font>
      <b/>
      <sz val="11"/>
      <color theme="0"/>
      <name val="Arial"/>
      <family val="2"/>
    </font>
    <font>
      <sz val="9"/>
      <color theme="1" tint="0.2499465926084170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0"/>
      <name val="Arial"/>
      <family val="2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rgb="FF188CCC"/>
      </left>
      <right/>
      <top style="medium">
        <color rgb="FF188CCC"/>
      </top>
      <bottom style="medium">
        <color rgb="FF188CCC"/>
      </bottom>
      <diagonal/>
    </border>
    <border>
      <left style="medium">
        <color rgb="FF188CCC"/>
      </left>
      <right/>
      <top style="medium">
        <color rgb="FF188CCC"/>
      </top>
      <bottom/>
      <diagonal/>
    </border>
    <border>
      <left style="medium">
        <color rgb="FF188CCC"/>
      </left>
      <right/>
      <top/>
      <bottom style="medium">
        <color rgb="FF188CCC"/>
      </bottom>
      <diagonal/>
    </border>
    <border>
      <left style="medium">
        <color rgb="FF188CCC"/>
      </left>
      <right style="medium">
        <color rgb="FF188CCC"/>
      </right>
      <top style="medium">
        <color rgb="FF188CCC"/>
      </top>
      <bottom style="medium">
        <color rgb="FF188CCC"/>
      </bottom>
      <diagonal/>
    </border>
    <border>
      <left style="medium">
        <color rgb="FF188CCC"/>
      </left>
      <right style="medium">
        <color rgb="FF188CCC"/>
      </right>
      <top style="medium">
        <color rgb="FF188CCC"/>
      </top>
      <bottom/>
      <diagonal/>
    </border>
    <border>
      <left style="medium">
        <color rgb="FF188CCC"/>
      </left>
      <right style="medium">
        <color rgb="FF188CCC"/>
      </right>
      <top/>
      <bottom style="medium">
        <color rgb="FF188CCC"/>
      </bottom>
      <diagonal/>
    </border>
    <border>
      <left/>
      <right/>
      <top style="medium">
        <color rgb="FF188CCC"/>
      </top>
      <bottom style="medium">
        <color rgb="FF188CCC"/>
      </bottom>
      <diagonal/>
    </border>
    <border>
      <left/>
      <right/>
      <top style="medium">
        <color rgb="FF188CCC"/>
      </top>
      <bottom/>
      <diagonal/>
    </border>
    <border>
      <left/>
      <right/>
      <top/>
      <bottom style="medium">
        <color rgb="FF188CCC"/>
      </bottom>
      <diagonal/>
    </border>
    <border>
      <left/>
      <right style="medium">
        <color rgb="FF188CCC"/>
      </right>
      <top style="medium">
        <color rgb="FF188CCC"/>
      </top>
      <bottom style="medium">
        <color rgb="FF188CCC"/>
      </bottom>
      <diagonal/>
    </border>
    <border>
      <left/>
      <right style="medium">
        <color rgb="FF188CCC"/>
      </right>
      <top style="medium">
        <color rgb="FF188CCC"/>
      </top>
      <bottom/>
      <diagonal/>
    </border>
    <border>
      <left/>
      <right style="medium">
        <color rgb="FF188CCC"/>
      </right>
      <top/>
      <bottom style="medium">
        <color rgb="FF188CCC"/>
      </bottom>
      <diagonal/>
    </border>
    <border>
      <left style="medium">
        <color rgb="FF188CCC"/>
      </left>
      <right/>
      <top/>
      <bottom/>
      <diagonal/>
    </border>
    <border>
      <left style="medium">
        <color rgb="FF188CCC"/>
      </left>
      <right style="medium">
        <color rgb="FF188CCC"/>
      </right>
      <top/>
      <bottom/>
      <diagonal/>
    </border>
    <border>
      <left/>
      <right style="medium">
        <color rgb="FF188CCC"/>
      </right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/>
      <right/>
      <top style="medium">
        <color rgb="FF0070C0"/>
      </top>
      <bottom/>
      <diagonal/>
    </border>
    <border>
      <left style="medium">
        <color rgb="FF188CCC"/>
      </left>
      <right style="medium">
        <color rgb="FF188CCC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7030A0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188CCC"/>
      </right>
      <top style="medium">
        <color rgb="FF188CCC"/>
      </top>
      <bottom style="medium">
        <color rgb="FF188CCC"/>
      </bottom>
      <diagonal/>
    </border>
    <border>
      <left style="medium">
        <color rgb="FF188CCC"/>
      </left>
      <right style="medium">
        <color rgb="FF0070C0"/>
      </right>
      <top style="medium">
        <color rgb="FF188CCC"/>
      </top>
      <bottom style="medium">
        <color rgb="FF188CCC"/>
      </bottom>
      <diagonal/>
    </border>
    <border>
      <left style="medium">
        <color rgb="FF188CCC"/>
      </left>
      <right style="thin">
        <color indexed="64"/>
      </right>
      <top style="medium">
        <color rgb="FF188CCC"/>
      </top>
      <bottom style="medium">
        <color rgb="FF188CCC"/>
      </bottom>
      <diagonal/>
    </border>
    <border>
      <left style="medium">
        <color rgb="FF188CCC"/>
      </left>
      <right style="thin">
        <color indexed="64"/>
      </right>
      <top/>
      <bottom style="medium">
        <color rgb="FF188CCC"/>
      </bottom>
      <diagonal/>
    </border>
  </borders>
  <cellStyleXfs count="8">
    <xf numFmtId="0" fontId="0" fillId="0" borderId="0"/>
    <xf numFmtId="0" fontId="4" fillId="0" borderId="0"/>
    <xf numFmtId="43" fontId="5" fillId="0" borderId="0" applyFont="0" applyFill="0" applyBorder="0" applyAlignment="0" applyProtection="0"/>
    <xf numFmtId="0" fontId="6" fillId="0" borderId="0"/>
    <xf numFmtId="165" fontId="8" fillId="3" borderId="4" applyNumberFormat="0" applyAlignment="0" applyProtection="0">
      <alignment horizontal="left" vertical="center" indent="1"/>
    </xf>
    <xf numFmtId="165" fontId="8" fillId="0" borderId="5" applyNumberFormat="0" applyProtection="0">
      <alignment horizontal="right" vertical="center"/>
    </xf>
    <xf numFmtId="9" fontId="5" fillId="0" borderId="0" applyFont="0" applyFill="0" applyBorder="0" applyAlignment="0" applyProtection="0"/>
    <xf numFmtId="172" fontId="15" fillId="0" borderId="0" applyFill="0" applyBorder="0">
      <alignment vertical="center"/>
    </xf>
  </cellStyleXfs>
  <cellXfs count="13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3" fontId="0" fillId="2" borderId="0" xfId="0" applyNumberFormat="1" applyFill="1"/>
    <xf numFmtId="0" fontId="0" fillId="2" borderId="0" xfId="0" applyFill="1" applyAlignment="1">
      <alignment horizontal="left" indent="1"/>
    </xf>
    <xf numFmtId="0" fontId="3" fillId="2" borderId="2" xfId="0" applyFont="1" applyFill="1" applyBorder="1"/>
    <xf numFmtId="43" fontId="0" fillId="0" borderId="0" xfId="0" applyNumberFormat="1"/>
    <xf numFmtId="0" fontId="7" fillId="0" borderId="0" xfId="0" applyFont="1"/>
    <xf numFmtId="164" fontId="0" fillId="0" borderId="0" xfId="0" applyNumberFormat="1"/>
    <xf numFmtId="0" fontId="0" fillId="0" borderId="0" xfId="0" applyAlignment="1">
      <alignment horizontal="left" indent="1"/>
    </xf>
    <xf numFmtId="0" fontId="10" fillId="0" borderId="0" xfId="0" applyFont="1"/>
    <xf numFmtId="0" fontId="1" fillId="2" borderId="0" xfId="0" applyFont="1" applyFill="1" applyAlignment="1">
      <alignment horizontal="center"/>
    </xf>
    <xf numFmtId="166" fontId="0" fillId="2" borderId="0" xfId="0" applyNumberFormat="1" applyFill="1"/>
    <xf numFmtId="166" fontId="1" fillId="2" borderId="1" xfId="0" applyNumberFormat="1" applyFont="1" applyFill="1" applyBorder="1"/>
    <xf numFmtId="166" fontId="0" fillId="0" borderId="0" xfId="0" applyNumberFormat="1"/>
    <xf numFmtId="166" fontId="0" fillId="0" borderId="0" xfId="2" applyNumberFormat="1" applyFont="1"/>
    <xf numFmtId="166" fontId="1" fillId="4" borderId="0" xfId="0" applyNumberFormat="1" applyFont="1" applyFill="1"/>
    <xf numFmtId="0" fontId="12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justify" vertical="center"/>
    </xf>
    <xf numFmtId="0" fontId="11" fillId="5" borderId="0" xfId="0" applyFont="1" applyFill="1" applyAlignment="1">
      <alignment horizontal="left" vertical="center"/>
    </xf>
    <xf numFmtId="43" fontId="11" fillId="5" borderId="8" xfId="0" applyNumberFormat="1" applyFont="1" applyFill="1" applyBorder="1" applyAlignment="1">
      <alignment horizontal="left" vertical="center" wrapText="1"/>
    </xf>
    <xf numFmtId="43" fontId="11" fillId="5" borderId="8" xfId="2" applyFont="1" applyFill="1" applyBorder="1" applyAlignment="1">
      <alignment horizontal="left" vertical="center" wrapText="1"/>
    </xf>
    <xf numFmtId="43" fontId="11" fillId="5" borderId="33" xfId="2" applyFont="1" applyFill="1" applyBorder="1" applyAlignment="1">
      <alignment horizontal="right" vertical="center" wrapText="1"/>
    </xf>
    <xf numFmtId="43" fontId="11" fillId="5" borderId="17" xfId="2" applyFont="1" applyFill="1" applyBorder="1" applyAlignment="1">
      <alignment horizontal="right" vertical="center" wrapText="1"/>
    </xf>
    <xf numFmtId="0" fontId="12" fillId="5" borderId="8" xfId="0" applyFont="1" applyFill="1" applyBorder="1" applyAlignment="1">
      <alignment horizontal="left" vertical="center" wrapText="1"/>
    </xf>
    <xf numFmtId="43" fontId="12" fillId="5" borderId="8" xfId="0" applyNumberFormat="1" applyFont="1" applyFill="1" applyBorder="1" applyAlignment="1">
      <alignment horizontal="left" vertical="center" wrapText="1"/>
    </xf>
    <xf numFmtId="43" fontId="12" fillId="5" borderId="8" xfId="2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justify" vertical="center"/>
    </xf>
    <xf numFmtId="169" fontId="12" fillId="5" borderId="0" xfId="2" applyNumberFormat="1" applyFont="1" applyFill="1"/>
    <xf numFmtId="169" fontId="12" fillId="5" borderId="0" xfId="0" applyNumberFormat="1" applyFont="1" applyFill="1"/>
    <xf numFmtId="0" fontId="11" fillId="5" borderId="0" xfId="0" applyFont="1" applyFill="1"/>
    <xf numFmtId="0" fontId="11" fillId="5" borderId="0" xfId="0" applyFont="1" applyFill="1" applyAlignment="1">
      <alignment horizontal="justify" vertical="center"/>
    </xf>
    <xf numFmtId="0" fontId="0" fillId="5" borderId="0" xfId="0" applyFont="1" applyFill="1"/>
    <xf numFmtId="2" fontId="0" fillId="5" borderId="0" xfId="0" applyNumberFormat="1" applyFont="1" applyFill="1"/>
    <xf numFmtId="0" fontId="11" fillId="5" borderId="25" xfId="0" applyFont="1" applyFill="1" applyBorder="1" applyAlignment="1">
      <alignment horizontal="left" vertical="center" wrapText="1"/>
    </xf>
    <xf numFmtId="43" fontId="11" fillId="5" borderId="21" xfId="2" applyFont="1" applyFill="1" applyBorder="1" applyAlignment="1">
      <alignment horizontal="right" vertical="center" wrapText="1"/>
    </xf>
    <xf numFmtId="43" fontId="11" fillId="5" borderId="28" xfId="2" applyFont="1" applyFill="1" applyBorder="1" applyAlignment="1">
      <alignment horizontal="right" vertical="center" wrapText="1"/>
    </xf>
    <xf numFmtId="43" fontId="11" fillId="5" borderId="30" xfId="2" applyFont="1" applyFill="1" applyBorder="1" applyAlignment="1">
      <alignment horizontal="right" vertical="center" wrapText="1"/>
    </xf>
    <xf numFmtId="43" fontId="11" fillId="5" borderId="26" xfId="0" applyNumberFormat="1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left" vertical="center" wrapText="1"/>
    </xf>
    <xf numFmtId="0" fontId="0" fillId="5" borderId="31" xfId="0" applyFont="1" applyFill="1" applyBorder="1"/>
    <xf numFmtId="0" fontId="0" fillId="5" borderId="22" xfId="0" applyFont="1" applyFill="1" applyBorder="1"/>
    <xf numFmtId="0" fontId="11" fillId="5" borderId="23" xfId="0" applyFont="1" applyFill="1" applyBorder="1" applyAlignment="1">
      <alignment horizontal="left" vertical="center" wrapText="1"/>
    </xf>
    <xf numFmtId="43" fontId="11" fillId="5" borderId="27" xfId="2" applyFont="1" applyFill="1" applyBorder="1" applyAlignment="1">
      <alignment horizontal="right" vertical="center" wrapText="1"/>
    </xf>
    <xf numFmtId="43" fontId="11" fillId="5" borderId="31" xfId="2" applyFont="1" applyFill="1" applyBorder="1" applyAlignment="1">
      <alignment horizontal="right" vertical="center" wrapText="1"/>
    </xf>
    <xf numFmtId="43" fontId="11" fillId="5" borderId="28" xfId="2" applyFont="1" applyFill="1" applyBorder="1" applyAlignment="1">
      <alignment vertical="center" wrapText="1"/>
    </xf>
    <xf numFmtId="0" fontId="0" fillId="5" borderId="0" xfId="0" applyFont="1" applyFill="1" applyBorder="1"/>
    <xf numFmtId="43" fontId="11" fillId="5" borderId="29" xfId="2" applyFont="1" applyFill="1" applyBorder="1" applyAlignment="1">
      <alignment horizontal="right" vertical="center" wrapText="1"/>
    </xf>
    <xf numFmtId="43" fontId="11" fillId="5" borderId="23" xfId="2" applyFont="1" applyFill="1" applyBorder="1" applyAlignment="1">
      <alignment horizontal="right" vertical="center" wrapText="1"/>
    </xf>
    <xf numFmtId="43" fontId="11" fillId="5" borderId="32" xfId="2" applyFont="1" applyFill="1" applyBorder="1" applyAlignment="1">
      <alignment horizontal="right" vertical="center" wrapText="1"/>
    </xf>
    <xf numFmtId="0" fontId="12" fillId="5" borderId="21" xfId="0" applyFont="1" applyFill="1" applyBorder="1" applyAlignment="1">
      <alignment horizontal="left" vertical="center" wrapText="1"/>
    </xf>
    <xf numFmtId="43" fontId="12" fillId="5" borderId="21" xfId="2" applyFont="1" applyFill="1" applyBorder="1" applyAlignment="1">
      <alignment horizontal="right" vertical="center" wrapText="1"/>
    </xf>
    <xf numFmtId="0" fontId="13" fillId="5" borderId="0" xfId="0" applyFont="1" applyFill="1" applyBorder="1" applyAlignment="1">
      <alignment horizontal="justify" vertical="center"/>
    </xf>
    <xf numFmtId="0" fontId="0" fillId="5" borderId="23" xfId="0" applyFont="1" applyFill="1" applyBorder="1"/>
    <xf numFmtId="0" fontId="11" fillId="5" borderId="8" xfId="0" applyFont="1" applyFill="1" applyBorder="1" applyAlignment="1">
      <alignment horizontal="left" vertical="center" wrapText="1"/>
    </xf>
    <xf numFmtId="43" fontId="11" fillId="5" borderId="21" xfId="0" applyNumberFormat="1" applyFont="1" applyFill="1" applyBorder="1" applyAlignment="1">
      <alignment horizontal="right" vertical="center" wrapText="1"/>
    </xf>
    <xf numFmtId="43" fontId="12" fillId="5" borderId="29" xfId="2" applyFont="1" applyFill="1" applyBorder="1" applyAlignment="1">
      <alignment horizontal="right" vertical="center" wrapText="1"/>
    </xf>
    <xf numFmtId="168" fontId="0" fillId="5" borderId="0" xfId="0" applyNumberFormat="1" applyFont="1" applyFill="1"/>
    <xf numFmtId="170" fontId="11" fillId="5" borderId="11" xfId="0" applyNumberFormat="1" applyFont="1" applyFill="1" applyBorder="1" applyAlignment="1">
      <alignment horizontal="right" vertical="center" wrapText="1"/>
    </xf>
    <xf numFmtId="9" fontId="11" fillId="5" borderId="11" xfId="6" applyFont="1" applyFill="1" applyBorder="1" applyAlignment="1">
      <alignment horizontal="right" vertical="center" wrapText="1"/>
    </xf>
    <xf numFmtId="0" fontId="11" fillId="5" borderId="0" xfId="0" applyFont="1" applyFill="1" applyBorder="1" applyAlignment="1">
      <alignment horizontal="left" vertical="center" wrapText="1"/>
    </xf>
    <xf numFmtId="43" fontId="11" fillId="5" borderId="34" xfId="2" applyFont="1" applyFill="1" applyBorder="1" applyAlignment="1">
      <alignment horizontal="left" vertical="center" wrapText="1"/>
    </xf>
    <xf numFmtId="43" fontId="12" fillId="5" borderId="8" xfId="2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left" vertical="center" wrapText="1"/>
    </xf>
    <xf numFmtId="167" fontId="11" fillId="5" borderId="33" xfId="0" applyNumberFormat="1" applyFont="1" applyFill="1" applyBorder="1" applyAlignment="1">
      <alignment horizontal="right" vertical="center" wrapText="1"/>
    </xf>
    <xf numFmtId="167" fontId="12" fillId="5" borderId="33" xfId="0" applyNumberFormat="1" applyFont="1" applyFill="1" applyBorder="1" applyAlignment="1">
      <alignment horizontal="right" vertical="center" wrapText="1"/>
    </xf>
    <xf numFmtId="169" fontId="11" fillId="5" borderId="21" xfId="2" applyNumberFormat="1" applyFont="1" applyFill="1" applyBorder="1" applyAlignment="1">
      <alignment horizontal="right" vertical="center" wrapText="1"/>
    </xf>
    <xf numFmtId="169" fontId="11" fillId="5" borderId="28" xfId="2" applyNumberFormat="1" applyFont="1" applyFill="1" applyBorder="1" applyAlignment="1">
      <alignment horizontal="right" vertical="center" wrapText="1"/>
    </xf>
    <xf numFmtId="169" fontId="11" fillId="5" borderId="30" xfId="2" applyNumberFormat="1" applyFont="1" applyFill="1" applyBorder="1" applyAlignment="1">
      <alignment horizontal="right" vertical="center" wrapText="1"/>
    </xf>
    <xf numFmtId="169" fontId="11" fillId="5" borderId="27" xfId="2" applyNumberFormat="1" applyFont="1" applyFill="1" applyBorder="1" applyAlignment="1">
      <alignment horizontal="right" vertical="center" wrapText="1"/>
    </xf>
    <xf numFmtId="169" fontId="11" fillId="5" borderId="31" xfId="2" applyNumberFormat="1" applyFont="1" applyFill="1" applyBorder="1" applyAlignment="1">
      <alignment horizontal="right" vertical="center" wrapText="1"/>
    </xf>
    <xf numFmtId="169" fontId="11" fillId="5" borderId="29" xfId="2" applyNumberFormat="1" applyFont="1" applyFill="1" applyBorder="1" applyAlignment="1">
      <alignment horizontal="right" vertical="center" wrapText="1"/>
    </xf>
    <xf numFmtId="169" fontId="11" fillId="5" borderId="23" xfId="2" applyNumberFormat="1" applyFont="1" applyFill="1" applyBorder="1" applyAlignment="1">
      <alignment horizontal="right" vertical="center" wrapText="1"/>
    </xf>
    <xf numFmtId="169" fontId="11" fillId="5" borderId="32" xfId="2" applyNumberFormat="1" applyFont="1" applyFill="1" applyBorder="1" applyAlignment="1">
      <alignment horizontal="right" vertical="center" wrapText="1"/>
    </xf>
    <xf numFmtId="169" fontId="12" fillId="5" borderId="21" xfId="2" applyNumberFormat="1" applyFont="1" applyFill="1" applyBorder="1" applyAlignment="1">
      <alignment horizontal="right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43" fontId="12" fillId="5" borderId="34" xfId="2" applyFont="1" applyFill="1" applyBorder="1" applyAlignment="1">
      <alignment horizontal="right" vertical="center" wrapText="1"/>
    </xf>
    <xf numFmtId="0" fontId="16" fillId="0" borderId="0" xfId="0" applyFont="1"/>
    <xf numFmtId="9" fontId="16" fillId="0" borderId="0" xfId="6" applyFont="1"/>
    <xf numFmtId="0" fontId="14" fillId="7" borderId="7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43" fontId="11" fillId="5" borderId="35" xfId="0" applyNumberFormat="1" applyFont="1" applyFill="1" applyBorder="1" applyAlignment="1">
      <alignment horizontal="left" vertical="center" wrapText="1"/>
    </xf>
    <xf numFmtId="43" fontId="11" fillId="5" borderId="36" xfId="0" applyNumberFormat="1" applyFont="1" applyFill="1" applyBorder="1" applyAlignment="1">
      <alignment horizontal="left" vertical="center" wrapText="1"/>
    </xf>
    <xf numFmtId="43" fontId="12" fillId="5" borderId="36" xfId="0" applyNumberFormat="1" applyFont="1" applyFill="1" applyBorder="1" applyAlignment="1">
      <alignment horizontal="left" vertical="center" wrapText="1"/>
    </xf>
    <xf numFmtId="43" fontId="11" fillId="5" borderId="35" xfId="2" applyFont="1" applyFill="1" applyBorder="1" applyAlignment="1">
      <alignment horizontal="left" vertical="center" wrapText="1"/>
    </xf>
    <xf numFmtId="43" fontId="12" fillId="5" borderId="36" xfId="2" applyFont="1" applyFill="1" applyBorder="1" applyAlignment="1">
      <alignment horizontal="right" vertical="center" wrapText="1"/>
    </xf>
    <xf numFmtId="0" fontId="10" fillId="5" borderId="0" xfId="0" applyFont="1" applyFill="1"/>
    <xf numFmtId="0" fontId="17" fillId="5" borderId="0" xfId="0" applyFont="1" applyFill="1" applyAlignment="1">
      <alignment horizontal="justify"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171" fontId="10" fillId="5" borderId="0" xfId="0" applyNumberFormat="1" applyFont="1" applyFill="1" applyAlignment="1">
      <alignment vertical="center"/>
    </xf>
    <xf numFmtId="173" fontId="18" fillId="5" borderId="0" xfId="7" applyNumberFormat="1" applyFont="1" applyFill="1">
      <alignment vertical="center"/>
    </xf>
    <xf numFmtId="0" fontId="19" fillId="0" borderId="0" xfId="0" applyFont="1"/>
    <xf numFmtId="170" fontId="11" fillId="0" borderId="11" xfId="0" applyNumberFormat="1" applyFont="1" applyFill="1" applyBorder="1" applyAlignment="1">
      <alignment horizontal="right" vertical="center" wrapText="1"/>
    </xf>
    <xf numFmtId="0" fontId="0" fillId="5" borderId="0" xfId="0" applyFont="1" applyFill="1" applyAlignment="1"/>
    <xf numFmtId="0" fontId="19" fillId="5" borderId="0" xfId="0" applyFont="1" applyFill="1"/>
    <xf numFmtId="0" fontId="1" fillId="0" borderId="0" xfId="0" applyFont="1" applyAlignment="1">
      <alignment horizontal="center"/>
    </xf>
    <xf numFmtId="164" fontId="1" fillId="0" borderId="1" xfId="0" applyNumberFormat="1" applyFont="1" applyBorder="1"/>
    <xf numFmtId="166" fontId="3" fillId="2" borderId="3" xfId="0" applyNumberFormat="1" applyFont="1" applyFill="1" applyBorder="1"/>
    <xf numFmtId="164" fontId="1" fillId="0" borderId="0" xfId="0" applyNumberFormat="1" applyFont="1" applyBorder="1"/>
    <xf numFmtId="166" fontId="3" fillId="5" borderId="0" xfId="0" applyNumberFormat="1" applyFont="1" applyFill="1" applyBorder="1"/>
    <xf numFmtId="164" fontId="0" fillId="2" borderId="0" xfId="2" applyNumberFormat="1" applyFont="1" applyFill="1"/>
    <xf numFmtId="164" fontId="0" fillId="0" borderId="0" xfId="2" applyNumberFormat="1" applyFont="1"/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8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</cellXfs>
  <cellStyles count="8">
    <cellStyle name="Comma" xfId="2" builtinId="3"/>
    <cellStyle name="Currency." xfId="7" xr:uid="{ADC08833-EC4F-4347-84C2-1A4B148B3526}"/>
    <cellStyle name="Normal" xfId="0" builtinId="0"/>
    <cellStyle name="Normal 2" xfId="1" xr:uid="{D9EC35C2-059B-4430-845A-203EE3150B2F}"/>
    <cellStyle name="Normal 3" xfId="3" xr:uid="{526E8FE9-AF48-4E67-A407-ECD8F6B51FD9}"/>
    <cellStyle name="Percent" xfId="6" builtinId="5"/>
    <cellStyle name="SAPDataCell" xfId="5" xr:uid="{6BB80CA2-00A3-4DAA-9E7E-F8322D8951ED}"/>
    <cellStyle name="SAPMemberCell" xfId="4" xr:uid="{6679E9DC-A37E-425D-B0FF-A65F71B59E56}"/>
  </cellStyles>
  <dxfs count="0"/>
  <tableStyles count="1" defaultTableStyle="TableStyleMedium2" defaultPivotStyle="PivotStyleLight16">
    <tableStyle name="Invisible" pivot="0" table="0" count="0" xr9:uid="{474F20F7-D0C3-4850-95C4-E4A497850807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bution%20Regulation/AER/Pass-through/June%2021%20Storm%20pass-through/Attachment%2012%20-%20GSL%20payment/GSL%20Impact%20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Price%20Review/2021-25%20EDPR/20.0%202021%20EDPR%20-%20AER%20Final%20Decision%2030%20April%202021/AER%20Final%20Decision/Final%20Decision%20-%20Models/AER%20-%20Final%20Decision%20-%20AusNet%20Services%20distribution%20determination-%202021&#8211;26%20-%20Post-tax%20revenue%20model%20-%20April%202021.xlsm?C2FAA674" TargetMode="External"/><Relationship Id="rId1" Type="http://schemas.openxmlformats.org/officeDocument/2006/relationships/externalLinkPath" Target="file:///\\C2FAA674\AER%20-%20Final%20Decision%20-%20AusNet%20Services%20distribution%20determination-%202021&#8211;26%20-%20Post-tax%20revenue%20model%20-%20April%2020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bution%20Regulation/AER/Pass-through/June%2021%20Storm%20pass-through/Attachments%208%20-%2011%20-%20%20PTRM%20and%20RFM/Updated%20post%20submission/ASD%20-%20Attachment%2011%20-%20CP4%20-%20AusNet%20Final%20Decision%20PTRM%202021-26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SL Impact Summary"/>
    </sheetNames>
    <sheetDataSet>
      <sheetData sheetId="0">
        <row r="20">
          <cell r="B20">
            <v>22232060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AER amendments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F12">
            <v>677.44701219512194</v>
          </cell>
          <cell r="G12">
            <v>739.51500751661911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AER amendments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SD - Attachment 11 - CP4 - A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6">
          <cell r="T66"/>
          <cell r="U66"/>
          <cell r="V66"/>
          <cell r="W66"/>
        </row>
        <row r="67">
          <cell r="T67"/>
          <cell r="U67"/>
          <cell r="V67"/>
          <cell r="W67"/>
        </row>
        <row r="335">
          <cell r="H335"/>
          <cell r="I335"/>
          <cell r="J335"/>
          <cell r="K335"/>
        </row>
      </sheetData>
      <sheetData sheetId="8"/>
      <sheetData sheetId="9"/>
      <sheetData sheetId="10"/>
      <sheetData sheetId="11"/>
      <sheetData sheetId="12">
        <row r="11">
          <cell r="G11">
            <v>1.0199938725048476</v>
          </cell>
          <cell r="H11">
            <v>1.0403874999474354</v>
          </cell>
          <cell r="I11">
            <v>1.0611888749770215</v>
          </cell>
          <cell r="J11">
            <v>1.0824061500468747</v>
          </cell>
          <cell r="K11">
            <v>1.1040476406093749</v>
          </cell>
        </row>
        <row r="30">
          <cell r="G30">
            <v>226.13661365431403</v>
          </cell>
          <cell r="H30">
            <v>224.93587679488496</v>
          </cell>
          <cell r="I30">
            <v>223.70360439029332</v>
          </cell>
          <cell r="J30">
            <v>219.60893855750686</v>
          </cell>
          <cell r="K30">
            <v>213.65034973165785</v>
          </cell>
          <cell r="Z30">
            <v>225.0874342291113</v>
          </cell>
          <cell r="AA30">
            <v>223.91911556133778</v>
          </cell>
          <cell r="AB30">
            <v>222.7289526757109</v>
          </cell>
          <cell r="AC30">
            <v>218.67670473429763</v>
          </cell>
          <cell r="AD30">
            <v>212.76080204182577</v>
          </cell>
        </row>
        <row r="31">
          <cell r="G31">
            <v>184.91961832588845</v>
          </cell>
          <cell r="H31">
            <v>163.26348981556799</v>
          </cell>
          <cell r="I31">
            <v>163.02677588429245</v>
          </cell>
          <cell r="J31">
            <v>168.53878902770515</v>
          </cell>
          <cell r="K31">
            <v>170.83014313527116</v>
          </cell>
          <cell r="Z31">
            <v>184.89660612792107</v>
          </cell>
          <cell r="AA31">
            <v>163.23080048722858</v>
          </cell>
          <cell r="AB31">
            <v>162.98403286674204</v>
          </cell>
          <cell r="AC31">
            <v>168.48560336430356</v>
          </cell>
          <cell r="AD31">
            <v>170.76611433489114</v>
          </cell>
        </row>
        <row r="32">
          <cell r="G32">
            <v>275.0073115531776</v>
          </cell>
          <cell r="H32">
            <v>253.23455009124666</v>
          </cell>
          <cell r="I32">
            <v>262.21270668937308</v>
          </cell>
          <cell r="J32">
            <v>272.11458687106636</v>
          </cell>
          <cell r="K32">
            <v>283.36043371424535</v>
          </cell>
          <cell r="Z32">
            <v>244.90759579170748</v>
          </cell>
          <cell r="AA32">
            <v>253.23455009124666</v>
          </cell>
          <cell r="AB32">
            <v>262.21270668937308</v>
          </cell>
          <cell r="AC32">
            <v>272.11458687106636</v>
          </cell>
          <cell r="AD32">
            <v>283.36043371424535</v>
          </cell>
        </row>
        <row r="33">
          <cell r="G33">
            <v>84.623371367879201</v>
          </cell>
          <cell r="H33">
            <v>53.910528397860674</v>
          </cell>
          <cell r="I33">
            <v>32.750014802896779</v>
          </cell>
          <cell r="J33">
            <v>12.385611429103049</v>
          </cell>
          <cell r="K33">
            <v>10.221638888774683</v>
          </cell>
          <cell r="Z33">
            <v>84.623371367879201</v>
          </cell>
          <cell r="AA33">
            <v>53.910528397860674</v>
          </cell>
          <cell r="AB33">
            <v>32.750014802896779</v>
          </cell>
          <cell r="AC33">
            <v>12.385611429103049</v>
          </cell>
          <cell r="AD33">
            <v>10.221638888774683</v>
          </cell>
        </row>
        <row r="66">
          <cell r="Z66">
            <v>0</v>
          </cell>
          <cell r="AA66">
            <v>9.651598569038697</v>
          </cell>
          <cell r="AB66">
            <v>9.6746430867019626</v>
          </cell>
          <cell r="AC66">
            <v>9.6977426263173356</v>
          </cell>
          <cell r="AD66">
            <v>9.7208973192574604</v>
          </cell>
          <cell r="AF66">
            <v>38.744881601315456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320C-D9BA-49EB-9E79-C95B4B503D75}">
  <dimension ref="A1:V79"/>
  <sheetViews>
    <sheetView zoomScaleNormal="100" workbookViewId="0">
      <selection activeCell="C10" sqref="C10"/>
    </sheetView>
  </sheetViews>
  <sheetFormatPr defaultColWidth="9.109375" defaultRowHeight="14.4" outlineLevelCol="1" x14ac:dyDescent="0.3"/>
  <cols>
    <col min="1" max="1" width="9.109375" style="33"/>
    <col min="2" max="2" width="39.5546875" style="33" bestFit="1" customWidth="1"/>
    <col min="3" max="3" width="13.44140625" style="33" customWidth="1" outlineLevel="1"/>
    <col min="4" max="8" width="12.5546875" style="33" customWidth="1"/>
    <col min="9" max="10" width="9.109375" style="33"/>
    <col min="11" max="11" width="39.5546875" style="33" bestFit="1" customWidth="1"/>
    <col min="12" max="12" width="13" style="33" customWidth="1" outlineLevel="1"/>
    <col min="13" max="15" width="9.109375" style="33"/>
    <col min="16" max="16" width="10.33203125" style="33" customWidth="1"/>
    <col min="17" max="16384" width="9.109375" style="33"/>
  </cols>
  <sheetData>
    <row r="1" spans="1:18" x14ac:dyDescent="0.3">
      <c r="B1" s="33" t="s">
        <v>59</v>
      </c>
      <c r="C1" s="33">
        <v>1</v>
      </c>
      <c r="D1" s="34">
        <f>'[3]X factors'!G$11</f>
        <v>1.0199938725048476</v>
      </c>
      <c r="E1" s="34">
        <f>'[3]X factors'!H$11</f>
        <v>1.0403874999474354</v>
      </c>
      <c r="F1" s="34">
        <f>'[3]X factors'!I$11</f>
        <v>1.0611888749770215</v>
      </c>
      <c r="G1" s="34">
        <f>'[3]X factors'!J$11</f>
        <v>1.0824061500468747</v>
      </c>
      <c r="H1" s="34">
        <f>'[3]X factors'!K$11</f>
        <v>1.1040476406093749</v>
      </c>
    </row>
    <row r="2" spans="1:18" x14ac:dyDescent="0.3">
      <c r="K2" s="18" t="s">
        <v>20</v>
      </c>
    </row>
    <row r="3" spans="1:18" ht="15" thickBot="1" x14ac:dyDescent="0.35">
      <c r="B3" s="18" t="s">
        <v>20</v>
      </c>
    </row>
    <row r="4" spans="1:18" x14ac:dyDescent="0.3">
      <c r="B4" s="83" t="s">
        <v>21</v>
      </c>
      <c r="C4" s="131" t="s">
        <v>23</v>
      </c>
      <c r="D4" s="133" t="s">
        <v>24</v>
      </c>
      <c r="E4" s="135" t="s">
        <v>25</v>
      </c>
      <c r="F4" s="135" t="s">
        <v>26</v>
      </c>
      <c r="G4" s="126" t="s">
        <v>27</v>
      </c>
      <c r="H4" s="133" t="s">
        <v>28</v>
      </c>
      <c r="I4" s="126" t="s">
        <v>11</v>
      </c>
      <c r="K4" s="116" t="s">
        <v>57</v>
      </c>
      <c r="L4" s="116" t="s">
        <v>23</v>
      </c>
      <c r="M4" s="112" t="s">
        <v>24</v>
      </c>
      <c r="N4" s="120" t="s">
        <v>25</v>
      </c>
      <c r="O4" s="120" t="s">
        <v>26</v>
      </c>
      <c r="P4" s="114" t="s">
        <v>27</v>
      </c>
      <c r="Q4" s="112" t="s">
        <v>28</v>
      </c>
      <c r="R4" s="114" t="s">
        <v>11</v>
      </c>
    </row>
    <row r="5" spans="1:18" ht="15" thickBot="1" x14ac:dyDescent="0.35">
      <c r="B5" s="84" t="s">
        <v>22</v>
      </c>
      <c r="C5" s="132"/>
      <c r="D5" s="134"/>
      <c r="E5" s="136"/>
      <c r="F5" s="136"/>
      <c r="G5" s="130"/>
      <c r="H5" s="134"/>
      <c r="I5" s="130"/>
      <c r="K5" s="117"/>
      <c r="L5" s="125"/>
      <c r="M5" s="122"/>
      <c r="N5" s="124"/>
      <c r="O5" s="124"/>
      <c r="P5" s="123"/>
      <c r="Q5" s="122"/>
      <c r="R5" s="123"/>
    </row>
    <row r="6" spans="1:18" ht="15" thickBot="1" x14ac:dyDescent="0.35">
      <c r="B6" s="35" t="s">
        <v>52</v>
      </c>
      <c r="C6" s="36">
        <f>'AUP Summary incl Adjs'!F20/10^6</f>
        <v>21.580825180000016</v>
      </c>
      <c r="D6" s="36">
        <f>'AUP Summary incl Adjs'!G20/10^6*D1</f>
        <v>0.31823808822151245</v>
      </c>
      <c r="E6" s="37">
        <v>0</v>
      </c>
      <c r="F6" s="37">
        <v>0</v>
      </c>
      <c r="G6" s="38">
        <v>0</v>
      </c>
      <c r="H6" s="38">
        <v>0</v>
      </c>
      <c r="I6" s="39">
        <f>SUM(C6:H6)</f>
        <v>21.899063268221528</v>
      </c>
      <c r="K6" s="35" t="s">
        <v>52</v>
      </c>
      <c r="L6" s="67">
        <f>C6/C$1</f>
        <v>21.580825180000016</v>
      </c>
      <c r="M6" s="67">
        <f t="shared" ref="M6:M10" si="0">D6/D$1</f>
        <v>0.312</v>
      </c>
      <c r="N6" s="68">
        <f t="shared" ref="N6:N10" si="1">E6/E$1</f>
        <v>0</v>
      </c>
      <c r="O6" s="68">
        <f t="shared" ref="O6:O10" si="2">F6/F$1</f>
        <v>0</v>
      </c>
      <c r="P6" s="69">
        <f t="shared" ref="P6:P10" si="3">G6/G$1</f>
        <v>0</v>
      </c>
      <c r="Q6" s="69">
        <f t="shared" ref="Q6:Q10" si="4">H6/H$1</f>
        <v>0</v>
      </c>
      <c r="R6" s="67">
        <f>SUM(L6:Q6)</f>
        <v>21.892825180000017</v>
      </c>
    </row>
    <row r="7" spans="1:18" ht="15" thickBot="1" x14ac:dyDescent="0.35">
      <c r="B7" s="40" t="s">
        <v>49</v>
      </c>
      <c r="C7" s="37">
        <f>SUM('AUP Summary incl Adjs'!F8:F11)/10^6</f>
        <v>4.1700481100000015</v>
      </c>
      <c r="D7" s="37">
        <f>SUM('AUP Summary incl Adjs'!G8:G11)/10^6*D1</f>
        <v>7.649954043786357E-2</v>
      </c>
      <c r="E7" s="37">
        <v>0</v>
      </c>
      <c r="F7" s="36">
        <v>0</v>
      </c>
      <c r="G7" s="38">
        <v>0</v>
      </c>
      <c r="H7" s="36">
        <v>0</v>
      </c>
      <c r="I7" s="39">
        <f t="shared" ref="I7:I10" si="5">SUM(C7:H7)</f>
        <v>4.246547650437865</v>
      </c>
      <c r="J7" s="41"/>
      <c r="K7" s="40" t="s">
        <v>49</v>
      </c>
      <c r="L7" s="68">
        <f t="shared" ref="L7:L10" si="6">C7/C$1</f>
        <v>4.1700481100000015</v>
      </c>
      <c r="M7" s="68">
        <f t="shared" si="0"/>
        <v>7.4999999999999997E-2</v>
      </c>
      <c r="N7" s="68">
        <f t="shared" si="1"/>
        <v>0</v>
      </c>
      <c r="O7" s="67">
        <f t="shared" si="2"/>
        <v>0</v>
      </c>
      <c r="P7" s="69">
        <f t="shared" si="3"/>
        <v>0</v>
      </c>
      <c r="Q7" s="67">
        <f t="shared" si="4"/>
        <v>0</v>
      </c>
      <c r="R7" s="67">
        <f t="shared" ref="R7:R10" si="7">SUM(L7:Q7)</f>
        <v>4.2450481100000017</v>
      </c>
    </row>
    <row r="8" spans="1:18" ht="15" thickBot="1" x14ac:dyDescent="0.35">
      <c r="A8" s="42"/>
      <c r="B8" s="43" t="s">
        <v>33</v>
      </c>
      <c r="C8" s="44">
        <f>SUM('AUP Summary incl Adjs'!F12:F13)/10^6</f>
        <v>3.0056020100000032</v>
      </c>
      <c r="D8" s="36">
        <f>SUM('AUP Summary incl Adjs'!G12:G13)/10^6*D1</f>
        <v>0</v>
      </c>
      <c r="E8" s="37">
        <v>0</v>
      </c>
      <c r="F8" s="45">
        <v>0</v>
      </c>
      <c r="G8" s="36">
        <v>0</v>
      </c>
      <c r="H8" s="36">
        <v>0</v>
      </c>
      <c r="I8" s="39">
        <f t="shared" si="5"/>
        <v>3.0056020100000032</v>
      </c>
      <c r="J8" s="41"/>
      <c r="K8" s="46" t="s">
        <v>33</v>
      </c>
      <c r="L8" s="70">
        <f t="shared" si="6"/>
        <v>3.0056020100000032</v>
      </c>
      <c r="M8" s="67">
        <f t="shared" si="0"/>
        <v>0</v>
      </c>
      <c r="N8" s="68">
        <f t="shared" si="1"/>
        <v>0</v>
      </c>
      <c r="O8" s="71">
        <f t="shared" si="2"/>
        <v>0</v>
      </c>
      <c r="P8" s="67">
        <f t="shared" si="3"/>
        <v>0</v>
      </c>
      <c r="Q8" s="67">
        <f t="shared" si="4"/>
        <v>0</v>
      </c>
      <c r="R8" s="67">
        <f t="shared" si="7"/>
        <v>3.0056020100000032</v>
      </c>
    </row>
    <row r="9" spans="1:18" ht="15" thickBot="1" x14ac:dyDescent="0.35">
      <c r="B9" s="40" t="s">
        <v>64</v>
      </c>
      <c r="C9" s="37">
        <f>'AUP Summary incl Adjs'!F7/10^6*C1</f>
        <v>0</v>
      </c>
      <c r="D9" s="37">
        <f>'AUP Summary incl Adjs'!G7/10^6*D1</f>
        <v>0.10042349671746477</v>
      </c>
      <c r="E9" s="36">
        <v>0</v>
      </c>
      <c r="F9" s="44">
        <v>0</v>
      </c>
      <c r="G9" s="38">
        <v>0</v>
      </c>
      <c r="H9" s="36">
        <v>0</v>
      </c>
      <c r="I9" s="39">
        <f t="shared" si="5"/>
        <v>0.10042349671746477</v>
      </c>
      <c r="J9" s="47"/>
      <c r="K9" s="40" t="s">
        <v>64</v>
      </c>
      <c r="L9" s="67">
        <f t="shared" si="6"/>
        <v>0</v>
      </c>
      <c r="M9" s="68">
        <f t="shared" si="0"/>
        <v>9.8455000000000001E-2</v>
      </c>
      <c r="N9" s="67">
        <f t="shared" si="1"/>
        <v>0</v>
      </c>
      <c r="O9" s="70">
        <f t="shared" si="2"/>
        <v>0</v>
      </c>
      <c r="P9" s="69">
        <f t="shared" si="3"/>
        <v>0</v>
      </c>
      <c r="Q9" s="67">
        <f t="shared" si="4"/>
        <v>0</v>
      </c>
      <c r="R9" s="67">
        <f t="shared" si="7"/>
        <v>9.8455000000000001E-2</v>
      </c>
    </row>
    <row r="10" spans="1:18" ht="15" thickBot="1" x14ac:dyDescent="0.35">
      <c r="B10" s="40" t="s">
        <v>51</v>
      </c>
      <c r="C10" s="36">
        <f>[1]Sheet1!$B$20/10^6</f>
        <v>22.232060000000001</v>
      </c>
      <c r="D10" s="48">
        <v>0</v>
      </c>
      <c r="E10" s="36">
        <v>0</v>
      </c>
      <c r="F10" s="49">
        <v>0</v>
      </c>
      <c r="G10" s="38">
        <v>0</v>
      </c>
      <c r="H10" s="50">
        <v>0</v>
      </c>
      <c r="I10" s="39">
        <f t="shared" si="5"/>
        <v>22.232060000000001</v>
      </c>
      <c r="J10" s="47"/>
      <c r="K10" s="40" t="s">
        <v>51</v>
      </c>
      <c r="L10" s="67">
        <f t="shared" si="6"/>
        <v>22.232060000000001</v>
      </c>
      <c r="M10" s="72">
        <f t="shared" si="0"/>
        <v>0</v>
      </c>
      <c r="N10" s="67">
        <f t="shared" si="1"/>
        <v>0</v>
      </c>
      <c r="O10" s="73">
        <f t="shared" si="2"/>
        <v>0</v>
      </c>
      <c r="P10" s="69">
        <f t="shared" si="3"/>
        <v>0</v>
      </c>
      <c r="Q10" s="74">
        <f t="shared" si="4"/>
        <v>0</v>
      </c>
      <c r="R10" s="67">
        <f t="shared" si="7"/>
        <v>22.232060000000001</v>
      </c>
    </row>
    <row r="11" spans="1:18" ht="15" thickBot="1" x14ac:dyDescent="0.35">
      <c r="B11" s="51" t="s">
        <v>11</v>
      </c>
      <c r="C11" s="52">
        <f>SUM(C6:C10)</f>
        <v>50.988535300000024</v>
      </c>
      <c r="D11" s="52">
        <f t="shared" ref="D11:I11" si="8">SUM(D6:D10)</f>
        <v>0.49516112537684076</v>
      </c>
      <c r="E11" s="52">
        <f t="shared" si="8"/>
        <v>0</v>
      </c>
      <c r="F11" s="52">
        <f t="shared" si="8"/>
        <v>0</v>
      </c>
      <c r="G11" s="52">
        <f t="shared" si="8"/>
        <v>0</v>
      </c>
      <c r="H11" s="52">
        <f t="shared" si="8"/>
        <v>0</v>
      </c>
      <c r="I11" s="52">
        <f t="shared" si="8"/>
        <v>51.483696425376863</v>
      </c>
      <c r="J11" s="41"/>
      <c r="K11" s="51" t="s">
        <v>11</v>
      </c>
      <c r="L11" s="75">
        <f t="shared" ref="L11" si="9">SUM(L6:L10)</f>
        <v>50.988535300000024</v>
      </c>
      <c r="M11" s="75">
        <f t="shared" ref="M11" si="10">SUM(M6:M10)</f>
        <v>0.48545500000000003</v>
      </c>
      <c r="N11" s="75">
        <f t="shared" ref="N11" si="11">SUM(N6:N10)</f>
        <v>0</v>
      </c>
      <c r="O11" s="75">
        <f t="shared" ref="O11" si="12">SUM(O6:O10)</f>
        <v>0</v>
      </c>
      <c r="P11" s="75">
        <f t="shared" ref="P11" si="13">SUM(P6:P10)</f>
        <v>0</v>
      </c>
      <c r="Q11" s="75">
        <f t="shared" ref="Q11" si="14">SUM(Q6:Q10)</f>
        <v>0</v>
      </c>
      <c r="R11" s="75">
        <f>SUM(R6:R10)</f>
        <v>51.473990300000025</v>
      </c>
    </row>
    <row r="12" spans="1:18" x14ac:dyDescent="0.3">
      <c r="B12" s="53" t="s">
        <v>29</v>
      </c>
      <c r="C12" s="54"/>
      <c r="D12" s="47"/>
      <c r="I12" s="54"/>
      <c r="K12" s="18" t="s">
        <v>30</v>
      </c>
    </row>
    <row r="13" spans="1:18" ht="15" thickBot="1" x14ac:dyDescent="0.35">
      <c r="B13" s="18" t="s">
        <v>30</v>
      </c>
    </row>
    <row r="14" spans="1:18" x14ac:dyDescent="0.3">
      <c r="B14" s="83" t="s">
        <v>31</v>
      </c>
      <c r="C14" s="131" t="s">
        <v>23</v>
      </c>
      <c r="D14" s="133" t="s">
        <v>24</v>
      </c>
      <c r="E14" s="135" t="s">
        <v>25</v>
      </c>
      <c r="F14" s="135" t="s">
        <v>26</v>
      </c>
      <c r="G14" s="126" t="s">
        <v>27</v>
      </c>
      <c r="H14" s="133" t="s">
        <v>28</v>
      </c>
      <c r="K14" s="116" t="s">
        <v>58</v>
      </c>
      <c r="L14" s="116" t="s">
        <v>23</v>
      </c>
      <c r="M14" s="116" t="s">
        <v>24</v>
      </c>
      <c r="N14" s="120" t="s">
        <v>25</v>
      </c>
      <c r="O14" s="120" t="s">
        <v>26</v>
      </c>
      <c r="P14" s="114" t="s">
        <v>27</v>
      </c>
      <c r="Q14" s="112" t="s">
        <v>28</v>
      </c>
    </row>
    <row r="15" spans="1:18" ht="15" thickBot="1" x14ac:dyDescent="0.35">
      <c r="B15" s="85" t="s">
        <v>32</v>
      </c>
      <c r="C15" s="132"/>
      <c r="D15" s="134"/>
      <c r="E15" s="136"/>
      <c r="F15" s="136"/>
      <c r="G15" s="130"/>
      <c r="H15" s="134"/>
      <c r="K15" s="118"/>
      <c r="L15" s="125"/>
      <c r="M15" s="119"/>
      <c r="N15" s="124"/>
      <c r="O15" s="124"/>
      <c r="P15" s="123"/>
      <c r="Q15" s="122"/>
    </row>
    <row r="16" spans="1:18" ht="15" thickBot="1" x14ac:dyDescent="0.35">
      <c r="B16" s="55" t="s">
        <v>53</v>
      </c>
      <c r="C16" s="36"/>
      <c r="D16" s="36">
        <v>-0.12750252363389986</v>
      </c>
      <c r="E16" s="36">
        <f>SUM('[3]PTRM input'!T66:T67)*E$1</f>
        <v>0</v>
      </c>
      <c r="F16" s="37">
        <f>SUM('[3]PTRM input'!U66:U67)*F$1</f>
        <v>0</v>
      </c>
      <c r="G16" s="37">
        <f>SUM('[3]PTRM input'!V66:V67)*G$1</f>
        <v>0</v>
      </c>
      <c r="H16" s="38">
        <f>SUM('[3]PTRM input'!W66:W67)*H$1</f>
        <v>0</v>
      </c>
      <c r="K16" s="55" t="s">
        <v>53</v>
      </c>
      <c r="L16" s="56"/>
      <c r="M16" s="56">
        <f>D16/D$1</f>
        <v>-0.12500322508878001</v>
      </c>
      <c r="N16" s="56">
        <f t="shared" ref="M16:Q17" si="15">E16/E$1</f>
        <v>0</v>
      </c>
      <c r="O16" s="56">
        <f t="shared" si="15"/>
        <v>0</v>
      </c>
      <c r="P16" s="56">
        <f t="shared" si="15"/>
        <v>0</v>
      </c>
      <c r="Q16" s="56">
        <f t="shared" si="15"/>
        <v>0</v>
      </c>
    </row>
    <row r="17" spans="2:18" ht="15" thickBot="1" x14ac:dyDescent="0.35">
      <c r="B17" s="55" t="s">
        <v>33</v>
      </c>
      <c r="C17" s="37"/>
      <c r="D17" s="37">
        <v>-4.2839742645203606E-2</v>
      </c>
      <c r="E17" s="37">
        <f>'[3]PTRM input'!H$335*E$1</f>
        <v>0</v>
      </c>
      <c r="F17" s="37">
        <f>'[3]PTRM input'!I$335*F$1</f>
        <v>0</v>
      </c>
      <c r="G17" s="36">
        <f>'[3]PTRM input'!J$335*G$1</f>
        <v>0</v>
      </c>
      <c r="H17" s="36">
        <f>'[3]PTRM input'!K$335*H$1</f>
        <v>0</v>
      </c>
      <c r="K17" s="55" t="s">
        <v>33</v>
      </c>
      <c r="L17" s="56"/>
      <c r="M17" s="56">
        <f t="shared" si="15"/>
        <v>-4.2000000000000003E-2</v>
      </c>
      <c r="N17" s="56">
        <f t="shared" si="15"/>
        <v>0</v>
      </c>
      <c r="O17" s="56">
        <f t="shared" si="15"/>
        <v>0</v>
      </c>
      <c r="P17" s="56">
        <f t="shared" si="15"/>
        <v>0</v>
      </c>
      <c r="Q17" s="56">
        <f t="shared" si="15"/>
        <v>0</v>
      </c>
    </row>
    <row r="18" spans="2:18" x14ac:dyDescent="0.3">
      <c r="K18" s="18" t="s">
        <v>34</v>
      </c>
    </row>
    <row r="19" spans="2:18" ht="15" thickBot="1" x14ac:dyDescent="0.35">
      <c r="B19" s="18" t="s">
        <v>34</v>
      </c>
    </row>
    <row r="20" spans="2:18" ht="29.25" customHeight="1" x14ac:dyDescent="0.3">
      <c r="B20" s="83" t="s">
        <v>21</v>
      </c>
      <c r="C20" s="131" t="s">
        <v>23</v>
      </c>
      <c r="D20" s="133" t="s">
        <v>24</v>
      </c>
      <c r="E20" s="135" t="s">
        <v>25</v>
      </c>
      <c r="F20" s="135" t="s">
        <v>26</v>
      </c>
      <c r="G20" s="126" t="s">
        <v>27</v>
      </c>
      <c r="H20" s="128" t="s">
        <v>65</v>
      </c>
      <c r="I20" s="126" t="s">
        <v>11</v>
      </c>
      <c r="K20" s="116" t="s">
        <v>57</v>
      </c>
      <c r="L20" s="116" t="s">
        <v>23</v>
      </c>
      <c r="M20" s="112" t="s">
        <v>24</v>
      </c>
      <c r="N20" s="120" t="s">
        <v>25</v>
      </c>
      <c r="O20" s="120" t="s">
        <v>26</v>
      </c>
      <c r="P20" s="114" t="s">
        <v>27</v>
      </c>
      <c r="Q20" s="112" t="s">
        <v>28</v>
      </c>
      <c r="R20" s="114" t="s">
        <v>11</v>
      </c>
    </row>
    <row r="21" spans="2:18" ht="15" thickBot="1" x14ac:dyDescent="0.35">
      <c r="B21" s="85" t="s">
        <v>22</v>
      </c>
      <c r="C21" s="137"/>
      <c r="D21" s="129"/>
      <c r="E21" s="138"/>
      <c r="F21" s="138"/>
      <c r="G21" s="127"/>
      <c r="H21" s="129"/>
      <c r="I21" s="127"/>
      <c r="K21" s="118"/>
      <c r="L21" s="119"/>
      <c r="M21" s="113"/>
      <c r="N21" s="121"/>
      <c r="O21" s="121"/>
      <c r="P21" s="115"/>
      <c r="Q21" s="113"/>
      <c r="R21" s="115"/>
    </row>
    <row r="22" spans="2:18" ht="15" thickBot="1" x14ac:dyDescent="0.35">
      <c r="B22" s="55" t="s">
        <v>52</v>
      </c>
      <c r="C22" s="36">
        <f>C6</f>
        <v>21.580825180000016</v>
      </c>
      <c r="D22" s="36">
        <f>D6+D16</f>
        <v>0.19073556458761259</v>
      </c>
      <c r="E22" s="37">
        <f>E6+E16</f>
        <v>0</v>
      </c>
      <c r="F22" s="37">
        <f>F6+F16</f>
        <v>0</v>
      </c>
      <c r="G22" s="38">
        <f>G6+G16</f>
        <v>0</v>
      </c>
      <c r="H22" s="38">
        <f>H6+H16</f>
        <v>0</v>
      </c>
      <c r="I22" s="44">
        <f>SUM(C22:H22)</f>
        <v>21.771560744587628</v>
      </c>
      <c r="J22" s="41"/>
      <c r="K22" s="55" t="s">
        <v>52</v>
      </c>
      <c r="L22" s="36">
        <f>C22/C$1</f>
        <v>21.580825180000016</v>
      </c>
      <c r="M22" s="36">
        <f t="shared" ref="M22:M26" si="16">D22/D$1</f>
        <v>0.18699677491121997</v>
      </c>
      <c r="N22" s="37">
        <f t="shared" ref="N22:N26" si="17">E22/E$1</f>
        <v>0</v>
      </c>
      <c r="O22" s="37">
        <f t="shared" ref="O22:O26" si="18">F22/F$1</f>
        <v>0</v>
      </c>
      <c r="P22" s="38">
        <f t="shared" ref="P22:P26" si="19">G22/G$1</f>
        <v>0</v>
      </c>
      <c r="Q22" s="38">
        <f t="shared" ref="Q22:Q26" si="20">H22/H$1</f>
        <v>0</v>
      </c>
      <c r="R22" s="36">
        <f>SUM(L22:Q22)</f>
        <v>21.767821954911234</v>
      </c>
    </row>
    <row r="23" spans="2:18" ht="15" thickBot="1" x14ac:dyDescent="0.35">
      <c r="B23" s="55" t="s">
        <v>49</v>
      </c>
      <c r="C23" s="37">
        <f>C7</f>
        <v>4.1700481100000015</v>
      </c>
      <c r="D23" s="37">
        <f t="shared" ref="D23:H23" si="21">D7</f>
        <v>7.649954043786357E-2</v>
      </c>
      <c r="E23" s="37">
        <f t="shared" si="21"/>
        <v>0</v>
      </c>
      <c r="F23" s="37">
        <f t="shared" si="21"/>
        <v>0</v>
      </c>
      <c r="G23" s="37">
        <f t="shared" si="21"/>
        <v>0</v>
      </c>
      <c r="H23" s="37">
        <f t="shared" si="21"/>
        <v>0</v>
      </c>
      <c r="I23" s="44">
        <f t="shared" ref="I23:I26" si="22">SUM(C23:H23)</f>
        <v>4.246547650437865</v>
      </c>
      <c r="J23" s="41"/>
      <c r="K23" s="55" t="s">
        <v>49</v>
      </c>
      <c r="L23" s="37">
        <f t="shared" ref="L23:L26" si="23">C23/C$1</f>
        <v>4.1700481100000015</v>
      </c>
      <c r="M23" s="37">
        <f t="shared" si="16"/>
        <v>7.4999999999999997E-2</v>
      </c>
      <c r="N23" s="37">
        <f t="shared" si="17"/>
        <v>0</v>
      </c>
      <c r="O23" s="36">
        <f t="shared" si="18"/>
        <v>0</v>
      </c>
      <c r="P23" s="38">
        <f t="shared" si="19"/>
        <v>0</v>
      </c>
      <c r="Q23" s="36">
        <f t="shared" si="20"/>
        <v>0</v>
      </c>
      <c r="R23" s="36">
        <f t="shared" ref="R23:R26" si="24">SUM(L23:Q23)</f>
        <v>4.2450481100000017</v>
      </c>
    </row>
    <row r="24" spans="2:18" ht="15" thickBot="1" x14ac:dyDescent="0.35">
      <c r="B24" s="55" t="s">
        <v>33</v>
      </c>
      <c r="C24" s="44">
        <f>C8</f>
        <v>3.0056020100000032</v>
      </c>
      <c r="D24" s="44">
        <f>D8+D17</f>
        <v>-4.2839742645203606E-2</v>
      </c>
      <c r="E24" s="44">
        <f>E8+E17</f>
        <v>0</v>
      </c>
      <c r="F24" s="44">
        <f>F8+F17</f>
        <v>0</v>
      </c>
      <c r="G24" s="44">
        <f>G8+G17</f>
        <v>0</v>
      </c>
      <c r="H24" s="44">
        <f>H8+H17</f>
        <v>0</v>
      </c>
      <c r="I24" s="36">
        <f t="shared" si="22"/>
        <v>2.9627622673547998</v>
      </c>
      <c r="K24" s="55" t="s">
        <v>33</v>
      </c>
      <c r="L24" s="44">
        <f t="shared" si="23"/>
        <v>3.0056020100000032</v>
      </c>
      <c r="M24" s="36">
        <f t="shared" si="16"/>
        <v>-4.2000000000000003E-2</v>
      </c>
      <c r="N24" s="37">
        <f t="shared" si="17"/>
        <v>0</v>
      </c>
      <c r="O24" s="45">
        <f t="shared" si="18"/>
        <v>0</v>
      </c>
      <c r="P24" s="36">
        <f t="shared" si="19"/>
        <v>0</v>
      </c>
      <c r="Q24" s="36">
        <f t="shared" si="20"/>
        <v>0</v>
      </c>
      <c r="R24" s="36">
        <f t="shared" si="24"/>
        <v>2.9636020100000033</v>
      </c>
    </row>
    <row r="25" spans="2:18" ht="15" thickBot="1" x14ac:dyDescent="0.35">
      <c r="B25" s="55" t="s">
        <v>64</v>
      </c>
      <c r="C25" s="36">
        <f>C9</f>
        <v>0</v>
      </c>
      <c r="D25" s="36">
        <f t="shared" ref="D25:H25" si="25">D9</f>
        <v>0.10042349671746477</v>
      </c>
      <c r="E25" s="36">
        <f t="shared" si="25"/>
        <v>0</v>
      </c>
      <c r="F25" s="36">
        <f t="shared" si="25"/>
        <v>0</v>
      </c>
      <c r="G25" s="36">
        <f t="shared" si="25"/>
        <v>0</v>
      </c>
      <c r="H25" s="36">
        <f t="shared" si="25"/>
        <v>0</v>
      </c>
      <c r="I25" s="36">
        <f t="shared" si="22"/>
        <v>0.10042349671746477</v>
      </c>
      <c r="K25" s="55" t="s">
        <v>64</v>
      </c>
      <c r="L25" s="36">
        <f t="shared" si="23"/>
        <v>0</v>
      </c>
      <c r="M25" s="37">
        <f t="shared" si="16"/>
        <v>9.8455000000000001E-2</v>
      </c>
      <c r="N25" s="36">
        <f t="shared" si="17"/>
        <v>0</v>
      </c>
      <c r="O25" s="44">
        <f t="shared" si="18"/>
        <v>0</v>
      </c>
      <c r="P25" s="38">
        <f t="shared" si="19"/>
        <v>0</v>
      </c>
      <c r="Q25" s="36">
        <f t="shared" si="20"/>
        <v>0</v>
      </c>
      <c r="R25" s="36">
        <f t="shared" si="24"/>
        <v>9.8455000000000001E-2</v>
      </c>
    </row>
    <row r="26" spans="2:18" ht="15" thickBot="1" x14ac:dyDescent="0.35">
      <c r="B26" s="55" t="s">
        <v>51</v>
      </c>
      <c r="C26" s="36">
        <f>C10</f>
        <v>22.232060000000001</v>
      </c>
      <c r="D26" s="36">
        <f t="shared" ref="D26:H26" si="26">D10</f>
        <v>0</v>
      </c>
      <c r="E26" s="36">
        <f t="shared" si="26"/>
        <v>0</v>
      </c>
      <c r="F26" s="36">
        <f t="shared" si="26"/>
        <v>0</v>
      </c>
      <c r="G26" s="36">
        <f t="shared" si="26"/>
        <v>0</v>
      </c>
      <c r="H26" s="36">
        <f t="shared" si="26"/>
        <v>0</v>
      </c>
      <c r="I26" s="36">
        <f t="shared" si="22"/>
        <v>22.232060000000001</v>
      </c>
      <c r="K26" s="55" t="s">
        <v>51</v>
      </c>
      <c r="L26" s="36">
        <f t="shared" si="23"/>
        <v>22.232060000000001</v>
      </c>
      <c r="M26" s="48">
        <f t="shared" si="16"/>
        <v>0</v>
      </c>
      <c r="N26" s="36">
        <f t="shared" si="17"/>
        <v>0</v>
      </c>
      <c r="O26" s="49">
        <f t="shared" si="18"/>
        <v>0</v>
      </c>
      <c r="P26" s="38">
        <f t="shared" si="19"/>
        <v>0</v>
      </c>
      <c r="Q26" s="50">
        <f t="shared" si="20"/>
        <v>0</v>
      </c>
      <c r="R26" s="36">
        <f t="shared" si="24"/>
        <v>22.232060000000001</v>
      </c>
    </row>
    <row r="27" spans="2:18" ht="15" thickBot="1" x14ac:dyDescent="0.35">
      <c r="B27" s="25" t="s">
        <v>11</v>
      </c>
      <c r="C27" s="52">
        <f t="shared" ref="C27:H27" si="27">SUM(C22:C26)</f>
        <v>50.988535300000024</v>
      </c>
      <c r="D27" s="57">
        <f t="shared" si="27"/>
        <v>0.32481885909773733</v>
      </c>
      <c r="E27" s="52">
        <f t="shared" si="27"/>
        <v>0</v>
      </c>
      <c r="F27" s="57">
        <f t="shared" si="27"/>
        <v>0</v>
      </c>
      <c r="G27" s="52">
        <f t="shared" si="27"/>
        <v>0</v>
      </c>
      <c r="H27" s="52">
        <f t="shared" si="27"/>
        <v>0</v>
      </c>
      <c r="I27" s="52">
        <f>SUM(I22:I26)</f>
        <v>51.313354159097756</v>
      </c>
      <c r="K27" s="25" t="s">
        <v>11</v>
      </c>
      <c r="L27" s="52">
        <f t="shared" ref="L27:Q27" si="28">SUM(L22:L26)</f>
        <v>50.988535300000024</v>
      </c>
      <c r="M27" s="52">
        <f t="shared" si="28"/>
        <v>0.31845177491121995</v>
      </c>
      <c r="N27" s="52">
        <f t="shared" si="28"/>
        <v>0</v>
      </c>
      <c r="O27" s="52">
        <f t="shared" si="28"/>
        <v>0</v>
      </c>
      <c r="P27" s="52">
        <f t="shared" si="28"/>
        <v>0</v>
      </c>
      <c r="Q27" s="52">
        <f t="shared" si="28"/>
        <v>0</v>
      </c>
      <c r="R27" s="52">
        <f>SUM(R22:R26)</f>
        <v>51.306987074911241</v>
      </c>
    </row>
    <row r="28" spans="2:18" x14ac:dyDescent="0.3">
      <c r="R28" s="58"/>
    </row>
    <row r="29" spans="2:18" ht="15" thickBot="1" x14ac:dyDescent="0.35">
      <c r="B29" s="18" t="s">
        <v>55</v>
      </c>
    </row>
    <row r="30" spans="2:18" ht="24" customHeight="1" thickBot="1" x14ac:dyDescent="0.35">
      <c r="B30" s="76" t="s">
        <v>35</v>
      </c>
      <c r="C30" s="78">
        <v>2021</v>
      </c>
    </row>
    <row r="31" spans="2:18" ht="30.6" thickBot="1" x14ac:dyDescent="0.35">
      <c r="B31" s="55" t="s">
        <v>68</v>
      </c>
      <c r="C31" s="102">
        <f>296.057+0.5*'[2]Revenue summary'!$G$12</f>
        <v>665.81450375830957</v>
      </c>
    </row>
    <row r="32" spans="2:18" ht="15" thickBot="1" x14ac:dyDescent="0.35">
      <c r="B32" s="55" t="s">
        <v>37</v>
      </c>
      <c r="C32" s="59">
        <f>I27</f>
        <v>51.313354159097756</v>
      </c>
    </row>
    <row r="33" spans="2:17" ht="15" thickBot="1" x14ac:dyDescent="0.35">
      <c r="B33" s="55" t="s">
        <v>38</v>
      </c>
      <c r="C33" s="60">
        <f>C32/C31</f>
        <v>7.7068543670121795E-2</v>
      </c>
    </row>
    <row r="34" spans="2:17" x14ac:dyDescent="0.3">
      <c r="B34" s="104" t="s">
        <v>69</v>
      </c>
      <c r="C34" s="103"/>
    </row>
    <row r="35" spans="2:17" ht="15" thickBot="1" x14ac:dyDescent="0.35">
      <c r="B35" s="18" t="s">
        <v>54</v>
      </c>
    </row>
    <row r="36" spans="2:17" ht="26.25" customHeight="1" thickBot="1" x14ac:dyDescent="0.35">
      <c r="B36" s="76" t="s">
        <v>35</v>
      </c>
      <c r="C36" s="78">
        <v>2021</v>
      </c>
    </row>
    <row r="37" spans="2:17" ht="28.2" thickBot="1" x14ac:dyDescent="0.35">
      <c r="B37" s="55" t="s">
        <v>36</v>
      </c>
      <c r="C37" s="59">
        <f>'[2]Revenue summary'!$F$12</f>
        <v>677.44701219512194</v>
      </c>
    </row>
    <row r="38" spans="2:17" ht="15" thickBot="1" x14ac:dyDescent="0.35">
      <c r="B38" s="55" t="s">
        <v>37</v>
      </c>
      <c r="C38" s="59">
        <f>I27</f>
        <v>51.313354159097756</v>
      </c>
    </row>
    <row r="39" spans="2:17" ht="15" thickBot="1" x14ac:dyDescent="0.35">
      <c r="B39" s="55" t="s">
        <v>38</v>
      </c>
      <c r="C39" s="60">
        <f>C38/C37</f>
        <v>7.5745192222234206E-2</v>
      </c>
    </row>
    <row r="41" spans="2:17" x14ac:dyDescent="0.3">
      <c r="B41" s="18" t="s">
        <v>39</v>
      </c>
      <c r="K41" s="18" t="s">
        <v>39</v>
      </c>
    </row>
    <row r="42" spans="2:17" ht="15" thickBot="1" x14ac:dyDescent="0.35">
      <c r="B42" s="20"/>
      <c r="K42" s="20"/>
    </row>
    <row r="43" spans="2:17" ht="28.2" thickBot="1" x14ac:dyDescent="0.35">
      <c r="B43" s="86" t="s">
        <v>35</v>
      </c>
      <c r="C43" s="87" t="s">
        <v>23</v>
      </c>
      <c r="D43" s="88" t="s">
        <v>24</v>
      </c>
      <c r="E43" s="88" t="s">
        <v>25</v>
      </c>
      <c r="F43" s="88" t="s">
        <v>26</v>
      </c>
      <c r="G43" s="89" t="s">
        <v>27</v>
      </c>
      <c r="H43" s="88" t="s">
        <v>28</v>
      </c>
      <c r="K43" s="76" t="s">
        <v>56</v>
      </c>
      <c r="L43" s="77" t="s">
        <v>23</v>
      </c>
      <c r="M43" s="78" t="s">
        <v>24</v>
      </c>
      <c r="N43" s="78" t="s">
        <v>25</v>
      </c>
      <c r="O43" s="78" t="s">
        <v>26</v>
      </c>
      <c r="P43" s="79" t="s">
        <v>27</v>
      </c>
      <c r="Q43" s="78" t="s">
        <v>28</v>
      </c>
    </row>
    <row r="44" spans="2:17" ht="15" thickBot="1" x14ac:dyDescent="0.35">
      <c r="B44" s="55" t="s">
        <v>49</v>
      </c>
      <c r="C44" s="21">
        <f>C23</f>
        <v>4.1700481100000015</v>
      </c>
      <c r="D44" s="21">
        <f t="shared" ref="D44:H44" si="29">D23</f>
        <v>7.649954043786357E-2</v>
      </c>
      <c r="E44" s="21">
        <f t="shared" si="29"/>
        <v>0</v>
      </c>
      <c r="F44" s="21">
        <f t="shared" si="29"/>
        <v>0</v>
      </c>
      <c r="G44" s="21">
        <f t="shared" si="29"/>
        <v>0</v>
      </c>
      <c r="H44" s="90">
        <f t="shared" si="29"/>
        <v>0</v>
      </c>
      <c r="K44" s="55" t="s">
        <v>49</v>
      </c>
      <c r="L44" s="22">
        <f t="shared" ref="L44:L48" si="30">C44/C$1</f>
        <v>4.1700481100000015</v>
      </c>
      <c r="M44" s="22">
        <f t="shared" ref="M44:M48" si="31">D44/D$1</f>
        <v>7.4999999999999997E-2</v>
      </c>
      <c r="N44" s="23">
        <f t="shared" ref="N44:N48" si="32">E44/E$1</f>
        <v>0</v>
      </c>
      <c r="O44" s="24">
        <f t="shared" ref="O44:O48" si="33">F44/F$1</f>
        <v>0</v>
      </c>
      <c r="P44" s="24">
        <f t="shared" ref="P44:P48" si="34">G44/G$1</f>
        <v>0</v>
      </c>
      <c r="Q44" s="24">
        <f t="shared" ref="Q44:Q48" si="35">H44/H$1</f>
        <v>0</v>
      </c>
    </row>
    <row r="45" spans="2:17" ht="15" thickBot="1" x14ac:dyDescent="0.35">
      <c r="B45" s="55" t="s">
        <v>33</v>
      </c>
      <c r="C45" s="21">
        <f t="shared" ref="C45:H45" si="36">C24</f>
        <v>3.0056020100000032</v>
      </c>
      <c r="D45" s="21">
        <f t="shared" si="36"/>
        <v>-4.2839742645203606E-2</v>
      </c>
      <c r="E45" s="21">
        <f t="shared" si="36"/>
        <v>0</v>
      </c>
      <c r="F45" s="21">
        <f t="shared" si="36"/>
        <v>0</v>
      </c>
      <c r="G45" s="21">
        <f t="shared" si="36"/>
        <v>0</v>
      </c>
      <c r="H45" s="91">
        <f t="shared" si="36"/>
        <v>0</v>
      </c>
      <c r="K45" s="55" t="s">
        <v>33</v>
      </c>
      <c r="L45" s="22">
        <f t="shared" si="30"/>
        <v>3.0056020100000032</v>
      </c>
      <c r="M45" s="22">
        <f t="shared" si="31"/>
        <v>-4.2000000000000003E-2</v>
      </c>
      <c r="N45" s="23">
        <f t="shared" si="32"/>
        <v>0</v>
      </c>
      <c r="O45" s="24">
        <f t="shared" si="33"/>
        <v>0</v>
      </c>
      <c r="P45" s="24">
        <f t="shared" si="34"/>
        <v>0</v>
      </c>
      <c r="Q45" s="24">
        <f t="shared" si="35"/>
        <v>0</v>
      </c>
    </row>
    <row r="46" spans="2:17" ht="15" thickBot="1" x14ac:dyDescent="0.35">
      <c r="B46" s="55" t="s">
        <v>64</v>
      </c>
      <c r="C46" s="21">
        <f t="shared" ref="C46:H46" si="37">C25</f>
        <v>0</v>
      </c>
      <c r="D46" s="21">
        <f t="shared" si="37"/>
        <v>0.10042349671746477</v>
      </c>
      <c r="E46" s="21">
        <f t="shared" si="37"/>
        <v>0</v>
      </c>
      <c r="F46" s="21">
        <f t="shared" si="37"/>
        <v>0</v>
      </c>
      <c r="G46" s="21">
        <f t="shared" si="37"/>
        <v>0</v>
      </c>
      <c r="H46" s="91">
        <f t="shared" si="37"/>
        <v>0</v>
      </c>
      <c r="K46" s="55" t="s">
        <v>50</v>
      </c>
      <c r="L46" s="22">
        <f t="shared" si="30"/>
        <v>0</v>
      </c>
      <c r="M46" s="22">
        <f t="shared" si="31"/>
        <v>9.8455000000000001E-2</v>
      </c>
      <c r="N46" s="23">
        <f t="shared" si="32"/>
        <v>0</v>
      </c>
      <c r="O46" s="24">
        <f t="shared" si="33"/>
        <v>0</v>
      </c>
      <c r="P46" s="24">
        <f t="shared" si="34"/>
        <v>0</v>
      </c>
      <c r="Q46" s="24">
        <f t="shared" si="35"/>
        <v>0</v>
      </c>
    </row>
    <row r="47" spans="2:17" ht="15" thickBot="1" x14ac:dyDescent="0.35">
      <c r="B47" s="55" t="s">
        <v>51</v>
      </c>
      <c r="C47" s="21">
        <f t="shared" ref="C47:H47" si="38">C26</f>
        <v>22.232060000000001</v>
      </c>
      <c r="D47" s="21">
        <f t="shared" si="38"/>
        <v>0</v>
      </c>
      <c r="E47" s="21">
        <f t="shared" si="38"/>
        <v>0</v>
      </c>
      <c r="F47" s="21">
        <f t="shared" si="38"/>
        <v>0</v>
      </c>
      <c r="G47" s="21">
        <f t="shared" si="38"/>
        <v>0</v>
      </c>
      <c r="H47" s="91">
        <f t="shared" si="38"/>
        <v>0</v>
      </c>
      <c r="K47" s="55" t="s">
        <v>51</v>
      </c>
      <c r="L47" s="22">
        <f t="shared" si="30"/>
        <v>22.232060000000001</v>
      </c>
      <c r="M47" s="22">
        <f t="shared" si="31"/>
        <v>0</v>
      </c>
      <c r="N47" s="23">
        <f t="shared" si="32"/>
        <v>0</v>
      </c>
      <c r="O47" s="24">
        <f t="shared" si="33"/>
        <v>0</v>
      </c>
      <c r="P47" s="24">
        <f t="shared" si="34"/>
        <v>0</v>
      </c>
      <c r="Q47" s="24">
        <f t="shared" si="35"/>
        <v>0</v>
      </c>
    </row>
    <row r="48" spans="2:17" ht="15" thickBot="1" x14ac:dyDescent="0.35">
      <c r="B48" s="25" t="s">
        <v>40</v>
      </c>
      <c r="C48" s="26">
        <f>SUM(C44:C47)</f>
        <v>29.407710120000004</v>
      </c>
      <c r="D48" s="26">
        <f t="shared" ref="D48:H48" si="39">SUM(D44:D47)</f>
        <v>0.13408329451012474</v>
      </c>
      <c r="E48" s="26">
        <f t="shared" si="39"/>
        <v>0</v>
      </c>
      <c r="F48" s="26">
        <f t="shared" si="39"/>
        <v>0</v>
      </c>
      <c r="G48" s="26">
        <f t="shared" si="39"/>
        <v>0</v>
      </c>
      <c r="H48" s="92">
        <f t="shared" si="39"/>
        <v>0</v>
      </c>
      <c r="K48" s="25" t="s">
        <v>40</v>
      </c>
      <c r="L48" s="27">
        <f t="shared" si="30"/>
        <v>29.407710120000004</v>
      </c>
      <c r="M48" s="27">
        <f t="shared" si="31"/>
        <v>0.13145499999999999</v>
      </c>
      <c r="N48" s="23">
        <f t="shared" si="32"/>
        <v>0</v>
      </c>
      <c r="O48" s="24">
        <f t="shared" si="33"/>
        <v>0</v>
      </c>
      <c r="P48" s="24">
        <f t="shared" si="34"/>
        <v>0</v>
      </c>
      <c r="Q48" s="24">
        <f t="shared" si="35"/>
        <v>0</v>
      </c>
    </row>
    <row r="49" spans="2:22" x14ac:dyDescent="0.3">
      <c r="B49" s="28"/>
      <c r="K49" s="28"/>
    </row>
    <row r="50" spans="2:22" x14ac:dyDescent="0.3">
      <c r="B50" s="18" t="s">
        <v>41</v>
      </c>
      <c r="K50" s="18" t="s">
        <v>41</v>
      </c>
    </row>
    <row r="51" spans="2:22" ht="15" thickBot="1" x14ac:dyDescent="0.35">
      <c r="B51" s="20"/>
      <c r="K51" s="20"/>
    </row>
    <row r="52" spans="2:22" ht="28.2" thickBot="1" x14ac:dyDescent="0.35">
      <c r="B52" s="86" t="s">
        <v>35</v>
      </c>
      <c r="C52" s="87" t="s">
        <v>23</v>
      </c>
      <c r="D52" s="88" t="s">
        <v>24</v>
      </c>
      <c r="E52" s="88" t="s">
        <v>25</v>
      </c>
      <c r="F52" s="88" t="s">
        <v>26</v>
      </c>
      <c r="G52" s="89" t="s">
        <v>27</v>
      </c>
      <c r="H52" s="88" t="s">
        <v>28</v>
      </c>
      <c r="K52" s="76" t="s">
        <v>56</v>
      </c>
      <c r="L52" s="77" t="s">
        <v>23</v>
      </c>
      <c r="M52" s="78" t="s">
        <v>24</v>
      </c>
      <c r="N52" s="78" t="s">
        <v>25</v>
      </c>
      <c r="O52" s="78" t="s">
        <v>26</v>
      </c>
      <c r="P52" s="79" t="s">
        <v>27</v>
      </c>
      <c r="Q52" s="78" t="s">
        <v>28</v>
      </c>
      <c r="T52" s="47"/>
      <c r="U52" s="47"/>
      <c r="V52" s="47"/>
    </row>
    <row r="53" spans="2:22" ht="15" thickBot="1" x14ac:dyDescent="0.35">
      <c r="B53" s="55" t="s">
        <v>52</v>
      </c>
      <c r="C53" s="22">
        <f>C22</f>
        <v>21.580825180000016</v>
      </c>
      <c r="D53" s="22">
        <f t="shared" ref="D53:H53" si="40">D22</f>
        <v>0.19073556458761259</v>
      </c>
      <c r="E53" s="22">
        <f t="shared" si="40"/>
        <v>0</v>
      </c>
      <c r="F53" s="22">
        <f t="shared" si="40"/>
        <v>0</v>
      </c>
      <c r="G53" s="22">
        <f t="shared" si="40"/>
        <v>0</v>
      </c>
      <c r="H53" s="93">
        <f t="shared" si="40"/>
        <v>0</v>
      </c>
      <c r="I53" s="61"/>
      <c r="K53" s="55" t="s">
        <v>52</v>
      </c>
      <c r="L53" s="22">
        <f t="shared" ref="L53" si="41">C53/C$1</f>
        <v>21.580825180000016</v>
      </c>
      <c r="M53" s="22">
        <f t="shared" ref="M53" si="42">D53/D$1</f>
        <v>0.18699677491121997</v>
      </c>
      <c r="N53" s="62">
        <f t="shared" ref="N53" si="43">E53/E$1</f>
        <v>0</v>
      </c>
      <c r="O53" s="24">
        <f t="shared" ref="O53" si="44">F53/F$1</f>
        <v>0</v>
      </c>
      <c r="P53" s="24">
        <f t="shared" ref="P53" si="45">G53/G$1</f>
        <v>0</v>
      </c>
      <c r="Q53" s="24">
        <f t="shared" ref="Q53" si="46">H53/H$1</f>
        <v>0</v>
      </c>
      <c r="T53" s="47"/>
      <c r="U53" s="47"/>
      <c r="V53" s="47"/>
    </row>
    <row r="54" spans="2:22" ht="15" thickBot="1" x14ac:dyDescent="0.35">
      <c r="B54" s="25" t="s">
        <v>42</v>
      </c>
      <c r="C54" s="63">
        <f>C53</f>
        <v>21.580825180000016</v>
      </c>
      <c r="D54" s="63">
        <f t="shared" ref="D54:H54" si="47">D53</f>
        <v>0.19073556458761259</v>
      </c>
      <c r="E54" s="63">
        <f t="shared" si="47"/>
        <v>0</v>
      </c>
      <c r="F54" s="63">
        <f t="shared" si="47"/>
        <v>0</v>
      </c>
      <c r="G54" s="63">
        <f t="shared" si="47"/>
        <v>0</v>
      </c>
      <c r="H54" s="94">
        <f t="shared" si="47"/>
        <v>0</v>
      </c>
      <c r="I54" s="64"/>
      <c r="K54" s="25" t="s">
        <v>42</v>
      </c>
      <c r="L54" s="63">
        <f>L53</f>
        <v>21.580825180000016</v>
      </c>
      <c r="M54" s="63">
        <f t="shared" ref="M54:Q54" si="48">M53</f>
        <v>0.18699677491121997</v>
      </c>
      <c r="N54" s="63">
        <f t="shared" si="48"/>
        <v>0</v>
      </c>
      <c r="O54" s="63">
        <f t="shared" si="48"/>
        <v>0</v>
      </c>
      <c r="P54" s="63">
        <f t="shared" si="48"/>
        <v>0</v>
      </c>
      <c r="Q54" s="80">
        <f t="shared" si="48"/>
        <v>0</v>
      </c>
      <c r="T54" s="47"/>
      <c r="U54" s="47"/>
      <c r="V54" s="47"/>
    </row>
    <row r="55" spans="2:22" x14ac:dyDescent="0.3">
      <c r="B55" s="19"/>
      <c r="K55" s="19"/>
      <c r="T55" s="47"/>
      <c r="U55" s="47"/>
      <c r="V55" s="47"/>
    </row>
    <row r="56" spans="2:22" ht="15" thickBot="1" x14ac:dyDescent="0.35">
      <c r="B56" s="18" t="s">
        <v>43</v>
      </c>
      <c r="K56" s="18" t="s">
        <v>43</v>
      </c>
      <c r="T56" s="47"/>
      <c r="U56" s="47"/>
      <c r="V56" s="47"/>
    </row>
    <row r="57" spans="2:22" ht="29.25" customHeight="1" thickBot="1" x14ac:dyDescent="0.35">
      <c r="B57" s="86" t="s">
        <v>35</v>
      </c>
      <c r="C57" s="89" t="s">
        <v>24</v>
      </c>
      <c r="D57" s="89" t="s">
        <v>25</v>
      </c>
      <c r="E57" s="89" t="s">
        <v>26</v>
      </c>
      <c r="F57" s="89" t="s">
        <v>27</v>
      </c>
      <c r="G57" s="89" t="s">
        <v>28</v>
      </c>
      <c r="K57" s="76" t="s">
        <v>57</v>
      </c>
      <c r="L57" s="79" t="s">
        <v>24</v>
      </c>
      <c r="M57" s="79" t="s">
        <v>25</v>
      </c>
      <c r="N57" s="79" t="s">
        <v>26</v>
      </c>
      <c r="O57" s="79" t="s">
        <v>27</v>
      </c>
      <c r="P57" s="79" t="s">
        <v>28</v>
      </c>
    </row>
    <row r="58" spans="2:22" ht="15" thickBot="1" x14ac:dyDescent="0.35">
      <c r="B58" s="55" t="s">
        <v>44</v>
      </c>
      <c r="C58" s="65">
        <f>'[3]X factors'!G30-'[3]X factors'!Z30</f>
        <v>1.0491794252027375</v>
      </c>
      <c r="D58" s="65">
        <f>'[3]X factors'!H30-'[3]X factors'!AA30</f>
        <v>1.0167612335471858</v>
      </c>
      <c r="E58" s="65">
        <f>'[3]X factors'!I30-'[3]X factors'!AB30</f>
        <v>0.97465171458242139</v>
      </c>
      <c r="F58" s="65">
        <f>'[3]X factors'!J30-'[3]X factors'!AC30</f>
        <v>0.93223382320923065</v>
      </c>
      <c r="G58" s="65">
        <f>'[3]X factors'!K30-'[3]X factors'!AD30</f>
        <v>0.8895476898320851</v>
      </c>
      <c r="K58" s="55" t="s">
        <v>44</v>
      </c>
      <c r="L58" s="65">
        <f>C58/D$1</f>
        <v>1.0286134588497258</v>
      </c>
      <c r="M58" s="65">
        <f t="shared" ref="M58:M61" si="49">D58/E$1</f>
        <v>0.97729089747671583</v>
      </c>
      <c r="N58" s="65">
        <f t="shared" ref="N58:N61" si="50">E58/F$1</f>
        <v>0.918452631350405</v>
      </c>
      <c r="O58" s="65">
        <f t="shared" ref="O58:O61" si="51">F58/G$1</f>
        <v>0.86126064894296783</v>
      </c>
      <c r="P58" s="65">
        <f t="shared" ref="P58:P61" si="52">G58/H$1</f>
        <v>0.80571495025441353</v>
      </c>
    </row>
    <row r="59" spans="2:22" ht="15" thickBot="1" x14ac:dyDescent="0.35">
      <c r="B59" s="55" t="s">
        <v>45</v>
      </c>
      <c r="C59" s="65">
        <f>'[3]X factors'!G31-'[3]X factors'!Z31</f>
        <v>2.3012197967375414E-2</v>
      </c>
      <c r="D59" s="65">
        <f>'[3]X factors'!H31-'[3]X factors'!AA31</f>
        <v>3.2689328339415624E-2</v>
      </c>
      <c r="E59" s="65">
        <f>'[3]X factors'!I31-'[3]X factors'!AB31</f>
        <v>4.2743017550407103E-2</v>
      </c>
      <c r="F59" s="65">
        <f>'[3]X factors'!J31-'[3]X factors'!AC31</f>
        <v>5.3185663401592365E-2</v>
      </c>
      <c r="G59" s="65">
        <f>'[3]X factors'!K31-'[3]X factors'!AD31</f>
        <v>6.4028800380015127E-2</v>
      </c>
      <c r="K59" s="55" t="s">
        <v>45</v>
      </c>
      <c r="L59" s="65">
        <f t="shared" ref="L59:L61" si="53">C59/D$1</f>
        <v>2.2561113931854573E-2</v>
      </c>
      <c r="M59" s="65">
        <f t="shared" si="49"/>
        <v>3.1420339384188319E-2</v>
      </c>
      <c r="N59" s="65">
        <f t="shared" si="50"/>
        <v>4.0278425978912229E-2</v>
      </c>
      <c r="O59" s="65">
        <f t="shared" si="51"/>
        <v>4.9136512573666649E-2</v>
      </c>
      <c r="P59" s="65">
        <f t="shared" si="52"/>
        <v>5.7994599168451351E-2</v>
      </c>
    </row>
    <row r="60" spans="2:22" ht="15" thickBot="1" x14ac:dyDescent="0.35">
      <c r="B60" s="55" t="s">
        <v>46</v>
      </c>
      <c r="C60" s="65">
        <f>'[3]X factors'!G32-'[3]X factors'!Z32</f>
        <v>30.099715761470122</v>
      </c>
      <c r="D60" s="65">
        <f>'[3]X factors'!H32-'[3]X factors'!AA32</f>
        <v>0</v>
      </c>
      <c r="E60" s="65">
        <f>'[3]X factors'!I32-'[3]X factors'!AB32</f>
        <v>0</v>
      </c>
      <c r="F60" s="65">
        <f>'[3]X factors'!J32-'[3]X factors'!AC32</f>
        <v>0</v>
      </c>
      <c r="G60" s="65">
        <f>'[3]X factors'!K32-'[3]X factors'!AD32</f>
        <v>0</v>
      </c>
      <c r="K60" s="55" t="s">
        <v>46</v>
      </c>
      <c r="L60" s="65">
        <f t="shared" si="53"/>
        <v>29.509702531401306</v>
      </c>
      <c r="M60" s="65">
        <f t="shared" si="49"/>
        <v>0</v>
      </c>
      <c r="N60" s="65">
        <f t="shared" si="50"/>
        <v>0</v>
      </c>
      <c r="O60" s="65">
        <f t="shared" si="51"/>
        <v>0</v>
      </c>
      <c r="P60" s="65">
        <f t="shared" si="52"/>
        <v>0</v>
      </c>
    </row>
    <row r="61" spans="2:22" ht="15" thickBot="1" x14ac:dyDescent="0.35">
      <c r="B61" s="55" t="s">
        <v>47</v>
      </c>
      <c r="C61" s="65">
        <f>'[3]X factors'!G33-'[3]X factors'!Z33</f>
        <v>0</v>
      </c>
      <c r="D61" s="65">
        <f>'[3]X factors'!H33-'[3]X factors'!AA33</f>
        <v>0</v>
      </c>
      <c r="E61" s="65">
        <f>'[3]X factors'!I33-'[3]X factors'!AB33</f>
        <v>0</v>
      </c>
      <c r="F61" s="65">
        <f>'[3]X factors'!J33-'[3]X factors'!AC33</f>
        <v>0</v>
      </c>
      <c r="G61" s="65">
        <f>'[3]X factors'!K33-'[3]X factors'!AD33</f>
        <v>0</v>
      </c>
      <c r="K61" s="55" t="s">
        <v>47</v>
      </c>
      <c r="L61" s="65">
        <f t="shared" si="53"/>
        <v>0</v>
      </c>
      <c r="M61" s="65">
        <f t="shared" si="49"/>
        <v>0</v>
      </c>
      <c r="N61" s="65">
        <f t="shared" si="50"/>
        <v>0</v>
      </c>
      <c r="O61" s="65">
        <f t="shared" si="51"/>
        <v>0</v>
      </c>
      <c r="P61" s="65">
        <f t="shared" si="52"/>
        <v>0</v>
      </c>
    </row>
    <row r="62" spans="2:22" ht="15" thickBot="1" x14ac:dyDescent="0.35">
      <c r="B62" s="25" t="s">
        <v>48</v>
      </c>
      <c r="C62" s="66">
        <f>SUM(C58:C61)</f>
        <v>31.171907384640235</v>
      </c>
      <c r="D62" s="66">
        <f t="shared" ref="D62:G62" si="54">SUM(D58:D61)</f>
        <v>1.0494505618866015</v>
      </c>
      <c r="E62" s="66">
        <f t="shared" si="54"/>
        <v>1.0173947321328285</v>
      </c>
      <c r="F62" s="66">
        <f t="shared" si="54"/>
        <v>0.98541948661082301</v>
      </c>
      <c r="G62" s="66">
        <f t="shared" si="54"/>
        <v>0.95357649021210023</v>
      </c>
      <c r="K62" s="25" t="s">
        <v>48</v>
      </c>
      <c r="L62" s="66">
        <f>SUM(L58:L61)</f>
        <v>30.560877104182886</v>
      </c>
      <c r="M62" s="66">
        <f t="shared" ref="M62:P62" si="55">SUM(M58:M61)</f>
        <v>1.0087112368609041</v>
      </c>
      <c r="N62" s="66">
        <f t="shared" si="55"/>
        <v>0.95873105732931718</v>
      </c>
      <c r="O62" s="66">
        <f t="shared" si="55"/>
        <v>0.91039716151663452</v>
      </c>
      <c r="P62" s="66">
        <f t="shared" si="55"/>
        <v>0.86370954942286493</v>
      </c>
    </row>
    <row r="63" spans="2:22" x14ac:dyDescent="0.3">
      <c r="B63" s="28"/>
      <c r="K63" s="28"/>
    </row>
    <row r="64" spans="2:22" x14ac:dyDescent="0.3">
      <c r="B64" s="18" t="s">
        <v>60</v>
      </c>
      <c r="C64" s="29">
        <f>'[3]X factors'!Z$66</f>
        <v>0</v>
      </c>
      <c r="D64" s="29">
        <f>'[3]X factors'!AA$66</f>
        <v>9.651598569038697</v>
      </c>
      <c r="E64" s="29">
        <f>'[3]X factors'!AB$66</f>
        <v>9.6746430867019626</v>
      </c>
      <c r="F64" s="29">
        <f>'[3]X factors'!AC$66</f>
        <v>9.6977426263173356</v>
      </c>
      <c r="G64" s="29">
        <f>'[3]X factors'!AD$66</f>
        <v>9.7208973192574604</v>
      </c>
      <c r="H64" s="30">
        <f>SUM(C64:G64)</f>
        <v>38.744881601315456</v>
      </c>
      <c r="K64" s="18" t="s">
        <v>60</v>
      </c>
      <c r="L64" s="29">
        <f t="shared" ref="L64" si="56">C64/D$1</f>
        <v>0</v>
      </c>
      <c r="M64" s="29">
        <f>D64/E$1</f>
        <v>9.2769266927239471</v>
      </c>
      <c r="N64" s="29">
        <f t="shared" ref="N64" si="57">E64/F$1</f>
        <v>9.1167965616973259</v>
      </c>
      <c r="O64" s="29">
        <f t="shared" ref="O64" si="58">F64/G$1</f>
        <v>8.9594304558389339</v>
      </c>
      <c r="P64" s="29">
        <f t="shared" ref="P64" si="59">G64/H$1</f>
        <v>8.8047806649829425</v>
      </c>
      <c r="Q64" s="30">
        <f>SUM(L64:P64)</f>
        <v>36.157934375243151</v>
      </c>
    </row>
    <row r="65" spans="1:8" x14ac:dyDescent="0.3">
      <c r="B65" s="20"/>
      <c r="H65" s="31" t="b">
        <f>H64='[3]X factors'!$AF$66</f>
        <v>1</v>
      </c>
    </row>
    <row r="66" spans="1:8" x14ac:dyDescent="0.3">
      <c r="B66" s="32"/>
    </row>
    <row r="67" spans="1:8" x14ac:dyDescent="0.3">
      <c r="B67" s="32"/>
    </row>
    <row r="68" spans="1:8" x14ac:dyDescent="0.3">
      <c r="B68" s="32"/>
    </row>
    <row r="69" spans="1:8" x14ac:dyDescent="0.3">
      <c r="A69" s="95"/>
      <c r="B69" s="96"/>
      <c r="C69" s="95"/>
      <c r="D69" s="95"/>
      <c r="E69" s="95"/>
      <c r="F69" s="95"/>
    </row>
    <row r="70" spans="1:8" x14ac:dyDescent="0.3">
      <c r="A70" s="95"/>
      <c r="B70" s="97"/>
      <c r="C70" s="98"/>
      <c r="D70" s="99"/>
      <c r="E70" s="95"/>
      <c r="F70" s="95"/>
    </row>
    <row r="71" spans="1:8" x14ac:dyDescent="0.3">
      <c r="A71" s="95"/>
      <c r="B71" s="97"/>
      <c r="C71" s="98"/>
      <c r="D71" s="99"/>
      <c r="E71" s="95"/>
      <c r="F71" s="95"/>
    </row>
    <row r="72" spans="1:8" x14ac:dyDescent="0.3">
      <c r="A72" s="95"/>
      <c r="B72" s="97"/>
      <c r="C72" s="98"/>
      <c r="D72" s="97"/>
      <c r="E72" s="95"/>
      <c r="F72" s="95"/>
    </row>
    <row r="73" spans="1:8" x14ac:dyDescent="0.3">
      <c r="A73" s="95"/>
      <c r="B73" s="97"/>
      <c r="C73" s="98"/>
      <c r="D73" s="100"/>
      <c r="E73" s="95"/>
      <c r="F73" s="95"/>
    </row>
    <row r="74" spans="1:8" x14ac:dyDescent="0.3">
      <c r="A74" s="95"/>
      <c r="B74" s="97"/>
      <c r="C74" s="98"/>
      <c r="D74" s="100"/>
      <c r="E74" s="95"/>
      <c r="F74" s="95"/>
    </row>
    <row r="75" spans="1:8" x14ac:dyDescent="0.3">
      <c r="A75" s="95"/>
      <c r="B75" s="97"/>
      <c r="C75" s="98"/>
      <c r="D75" s="100"/>
      <c r="E75" s="95"/>
      <c r="F75" s="95"/>
    </row>
    <row r="76" spans="1:8" x14ac:dyDescent="0.3">
      <c r="A76" s="95"/>
      <c r="B76" s="95"/>
      <c r="C76" s="95"/>
      <c r="D76" s="95"/>
      <c r="E76" s="95"/>
      <c r="F76" s="95"/>
    </row>
    <row r="77" spans="1:8" x14ac:dyDescent="0.3">
      <c r="A77" s="95"/>
      <c r="B77" s="95"/>
      <c r="C77" s="95"/>
      <c r="D77" s="95"/>
      <c r="E77" s="95"/>
      <c r="F77" s="95"/>
    </row>
    <row r="78" spans="1:8" x14ac:dyDescent="0.3">
      <c r="A78" s="95"/>
      <c r="B78" s="95"/>
      <c r="C78" s="95"/>
      <c r="D78" s="95"/>
      <c r="E78" s="95"/>
      <c r="F78" s="95"/>
    </row>
    <row r="79" spans="1:8" x14ac:dyDescent="0.3">
      <c r="A79" s="95"/>
      <c r="B79" s="95"/>
      <c r="C79" s="95"/>
      <c r="D79" s="95"/>
      <c r="E79" s="95"/>
      <c r="F79" s="95"/>
    </row>
  </sheetData>
  <mergeCells count="43">
    <mergeCell ref="Q14:Q15"/>
    <mergeCell ref="C14:C15"/>
    <mergeCell ref="D14:D15"/>
    <mergeCell ref="E14:E15"/>
    <mergeCell ref="F14:F15"/>
    <mergeCell ref="G14:G15"/>
    <mergeCell ref="P14:P15"/>
    <mergeCell ref="H20:H21"/>
    <mergeCell ref="I4:I5"/>
    <mergeCell ref="C4:C5"/>
    <mergeCell ref="D4:D5"/>
    <mergeCell ref="E4:E5"/>
    <mergeCell ref="F4:F5"/>
    <mergeCell ref="G4:G5"/>
    <mergeCell ref="H4:H5"/>
    <mergeCell ref="H14:H15"/>
    <mergeCell ref="C20:C21"/>
    <mergeCell ref="D20:D21"/>
    <mergeCell ref="E20:E21"/>
    <mergeCell ref="F20:F21"/>
    <mergeCell ref="G20:G21"/>
    <mergeCell ref="M4:M5"/>
    <mergeCell ref="N4:N5"/>
    <mergeCell ref="O4:O5"/>
    <mergeCell ref="P4:P5"/>
    <mergeCell ref="I20:I21"/>
    <mergeCell ref="L14:L15"/>
    <mergeCell ref="Q20:Q21"/>
    <mergeCell ref="R20:R21"/>
    <mergeCell ref="K4:K5"/>
    <mergeCell ref="K14:K15"/>
    <mergeCell ref="K20:K21"/>
    <mergeCell ref="L20:L21"/>
    <mergeCell ref="M20:M21"/>
    <mergeCell ref="N20:N21"/>
    <mergeCell ref="O20:O21"/>
    <mergeCell ref="P20:P21"/>
    <mergeCell ref="Q4:Q5"/>
    <mergeCell ref="R4:R5"/>
    <mergeCell ref="M14:M15"/>
    <mergeCell ref="N14:N15"/>
    <mergeCell ref="O14:O15"/>
    <mergeCell ref="L4:L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BC274-B5FE-4E06-A267-41669B6A6E76}">
  <dimension ref="C3:L32"/>
  <sheetViews>
    <sheetView showGridLines="0" tabSelected="1" topLeftCell="B1" zoomScaleNormal="100" workbookViewId="0">
      <selection activeCell="D1" sqref="D1"/>
    </sheetView>
  </sheetViews>
  <sheetFormatPr defaultRowHeight="14.4" x14ac:dyDescent="0.3"/>
  <cols>
    <col min="1" max="1" width="8.88671875" customWidth="1"/>
    <col min="3" max="3" width="11.109375" style="8" customWidth="1"/>
    <col min="4" max="4" width="69.109375" customWidth="1"/>
    <col min="5" max="5" width="15.6640625" customWidth="1"/>
    <col min="6" max="6" width="12.6640625" customWidth="1"/>
    <col min="7" max="7" width="12.44140625" customWidth="1"/>
    <col min="8" max="8" width="9" customWidth="1"/>
  </cols>
  <sheetData>
    <row r="3" spans="3:8" x14ac:dyDescent="0.3">
      <c r="D3" s="2" t="s">
        <v>18</v>
      </c>
      <c r="E3" s="12"/>
    </row>
    <row r="4" spans="3:8" x14ac:dyDescent="0.3">
      <c r="D4" s="2" t="s">
        <v>72</v>
      </c>
      <c r="E4" s="12" t="s">
        <v>11</v>
      </c>
      <c r="F4" s="105" t="s">
        <v>70</v>
      </c>
      <c r="G4" s="105" t="s">
        <v>24</v>
      </c>
      <c r="H4" s="105"/>
    </row>
    <row r="5" spans="3:8" x14ac:dyDescent="0.3">
      <c r="D5" s="2"/>
      <c r="E5" s="4"/>
    </row>
    <row r="6" spans="3:8" x14ac:dyDescent="0.3">
      <c r="C6" s="11"/>
      <c r="D6" s="3" t="s">
        <v>0</v>
      </c>
      <c r="E6" s="4"/>
    </row>
    <row r="7" spans="3:8" x14ac:dyDescent="0.3">
      <c r="C7" s="11"/>
      <c r="D7" s="5" t="s">
        <v>19</v>
      </c>
      <c r="E7" s="13">
        <v>98455</v>
      </c>
      <c r="F7" s="7">
        <v>0</v>
      </c>
      <c r="G7" s="15">
        <v>98455</v>
      </c>
      <c r="H7" s="15"/>
    </row>
    <row r="8" spans="3:8" x14ac:dyDescent="0.3">
      <c r="C8" s="11" t="s">
        <v>13</v>
      </c>
      <c r="D8" s="5" t="s">
        <v>8</v>
      </c>
      <c r="E8" s="13">
        <v>380355.02000000019</v>
      </c>
      <c r="F8" s="15">
        <v>380355.02000000019</v>
      </c>
      <c r="G8" s="15">
        <v>0</v>
      </c>
      <c r="H8" s="15"/>
    </row>
    <row r="9" spans="3:8" x14ac:dyDescent="0.3">
      <c r="C9" s="11" t="s">
        <v>12</v>
      </c>
      <c r="D9" s="5" t="s">
        <v>9</v>
      </c>
      <c r="E9" s="13">
        <v>1090960.8700000001</v>
      </c>
      <c r="F9" s="15">
        <v>1090960.8700000001</v>
      </c>
      <c r="G9" s="15">
        <v>0</v>
      </c>
      <c r="H9" s="15"/>
    </row>
    <row r="10" spans="3:8" x14ac:dyDescent="0.3">
      <c r="C10" s="11" t="s">
        <v>16</v>
      </c>
      <c r="D10" s="5" t="s">
        <v>10</v>
      </c>
      <c r="E10" s="13">
        <v>1415280.38</v>
      </c>
      <c r="F10" s="15">
        <v>1415280.38</v>
      </c>
      <c r="G10" s="15">
        <v>0</v>
      </c>
      <c r="H10" s="15"/>
    </row>
    <row r="11" spans="3:8" x14ac:dyDescent="0.3">
      <c r="C11" s="11"/>
      <c r="D11" s="5" t="s">
        <v>7</v>
      </c>
      <c r="E11" s="13">
        <v>1358451.8400000012</v>
      </c>
      <c r="F11" s="15">
        <v>1283451.8400000012</v>
      </c>
      <c r="G11" s="15">
        <v>75000</v>
      </c>
      <c r="H11" s="15"/>
    </row>
    <row r="12" spans="3:8" x14ac:dyDescent="0.3">
      <c r="C12" s="11"/>
      <c r="D12" s="1" t="s">
        <v>1</v>
      </c>
      <c r="E12" s="13">
        <v>107957.64000000001</v>
      </c>
      <c r="F12" s="15">
        <v>107957.64000000001</v>
      </c>
      <c r="G12" s="15">
        <v>0</v>
      </c>
      <c r="H12" s="15"/>
    </row>
    <row r="13" spans="3:8" x14ac:dyDescent="0.3">
      <c r="C13" s="11"/>
      <c r="D13" s="1" t="s">
        <v>2</v>
      </c>
      <c r="E13" s="13">
        <v>2897644.3700000029</v>
      </c>
      <c r="F13" s="15">
        <v>2897644.3700000029</v>
      </c>
      <c r="G13" s="15">
        <v>0</v>
      </c>
      <c r="H13" s="15"/>
    </row>
    <row r="14" spans="3:8" x14ac:dyDescent="0.3">
      <c r="C14" s="11"/>
      <c r="D14" s="2" t="s">
        <v>3</v>
      </c>
      <c r="E14" s="14">
        <f>SUM(E7:E13)</f>
        <v>7349105.1200000038</v>
      </c>
      <c r="F14" s="106">
        <f>SUM(F7:F13)</f>
        <v>7175650.1200000048</v>
      </c>
      <c r="G14" s="106">
        <f>SUM(G7:G13)</f>
        <v>173455</v>
      </c>
      <c r="H14" s="108"/>
    </row>
    <row r="15" spans="3:8" x14ac:dyDescent="0.3">
      <c r="C15" s="11"/>
      <c r="D15" s="5" t="s">
        <v>71</v>
      </c>
      <c r="E15" s="13">
        <v>0</v>
      </c>
      <c r="F15" s="9">
        <v>0</v>
      </c>
      <c r="G15" s="15">
        <v>0</v>
      </c>
      <c r="H15" s="15"/>
    </row>
    <row r="16" spans="3:8" x14ac:dyDescent="0.3">
      <c r="D16" s="3" t="s">
        <v>4</v>
      </c>
      <c r="E16" s="13"/>
      <c r="G16" s="15"/>
      <c r="H16" s="15"/>
    </row>
    <row r="17" spans="4:12" x14ac:dyDescent="0.3">
      <c r="D17" s="5" t="s">
        <v>6</v>
      </c>
      <c r="E17" s="13">
        <v>696090.96</v>
      </c>
      <c r="F17" s="15">
        <v>696090.96</v>
      </c>
      <c r="G17" s="15">
        <v>0</v>
      </c>
      <c r="H17" s="15"/>
      <c r="I17" s="81" t="s">
        <v>66</v>
      </c>
      <c r="J17" s="81"/>
      <c r="K17" s="81"/>
      <c r="L17" s="81"/>
    </row>
    <row r="18" spans="4:12" x14ac:dyDescent="0.3">
      <c r="D18" s="5" t="s">
        <v>7</v>
      </c>
      <c r="E18" s="13">
        <v>19364082.850000013</v>
      </c>
      <c r="F18" s="15">
        <v>19052082.850000013</v>
      </c>
      <c r="G18" s="15">
        <v>312000</v>
      </c>
      <c r="H18" s="15"/>
      <c r="I18" s="81" t="s">
        <v>62</v>
      </c>
      <c r="J18" s="81"/>
      <c r="K18" s="81"/>
      <c r="L18" s="82">
        <v>0.26183674452965799</v>
      </c>
    </row>
    <row r="19" spans="4:12" x14ac:dyDescent="0.3">
      <c r="D19" s="1" t="s">
        <v>2</v>
      </c>
      <c r="E19" s="13">
        <v>1832651.3699999999</v>
      </c>
      <c r="F19" s="15">
        <v>1832651.3699999999</v>
      </c>
      <c r="G19" s="15">
        <v>0</v>
      </c>
      <c r="H19" s="15"/>
      <c r="I19" s="81" t="s">
        <v>63</v>
      </c>
      <c r="J19" s="81"/>
      <c r="K19" s="81"/>
      <c r="L19" s="82">
        <v>0.73816325547034201</v>
      </c>
    </row>
    <row r="20" spans="4:12" x14ac:dyDescent="0.3">
      <c r="D20" s="2" t="s">
        <v>5</v>
      </c>
      <c r="E20" s="14">
        <f>SUM(E17:E19)</f>
        <v>21892825.180000015</v>
      </c>
      <c r="F20" s="106">
        <f>SUM(F17:F19)</f>
        <v>21580825.180000015</v>
      </c>
      <c r="G20" s="106">
        <f>SUM(G17:G19)</f>
        <v>312000</v>
      </c>
      <c r="H20" s="108"/>
      <c r="I20" s="101" t="s">
        <v>67</v>
      </c>
    </row>
    <row r="21" spans="4:12" ht="15" thickBot="1" x14ac:dyDescent="0.35">
      <c r="D21" s="5" t="s">
        <v>71</v>
      </c>
      <c r="E21" s="110">
        <v>0</v>
      </c>
      <c r="F21" s="111">
        <v>0</v>
      </c>
      <c r="G21" s="111">
        <v>0</v>
      </c>
      <c r="H21" s="15"/>
    </row>
    <row r="22" spans="4:12" ht="16.2" thickBot="1" x14ac:dyDescent="0.35">
      <c r="D22" s="6" t="s">
        <v>61</v>
      </c>
      <c r="E22" s="107">
        <f>E14+E20</f>
        <v>29241930.300000019</v>
      </c>
      <c r="F22" s="107">
        <f>F14+F20</f>
        <v>28756475.300000019</v>
      </c>
      <c r="G22" s="107">
        <f>G14+G20</f>
        <v>485455</v>
      </c>
      <c r="H22" s="109"/>
    </row>
    <row r="23" spans="4:12" x14ac:dyDescent="0.3">
      <c r="D23" s="10" t="s">
        <v>71</v>
      </c>
      <c r="E23" s="15">
        <v>0</v>
      </c>
      <c r="F23" s="15">
        <v>0</v>
      </c>
      <c r="G23" s="15">
        <v>0</v>
      </c>
      <c r="H23" s="15"/>
    </row>
    <row r="24" spans="4:12" x14ac:dyDescent="0.3">
      <c r="E24" s="15"/>
    </row>
    <row r="25" spans="4:12" x14ac:dyDescent="0.3">
      <c r="D25" t="s">
        <v>14</v>
      </c>
      <c r="E25" s="16">
        <v>32511956.699999999</v>
      </c>
    </row>
    <row r="26" spans="4:12" x14ac:dyDescent="0.3">
      <c r="D26" t="s">
        <v>17</v>
      </c>
      <c r="E26" s="16">
        <v>3270026.4299999988</v>
      </c>
    </row>
    <row r="27" spans="4:12" x14ac:dyDescent="0.3">
      <c r="E27" s="16">
        <f>E25-E26</f>
        <v>29241930.27</v>
      </c>
    </row>
    <row r="28" spans="4:12" x14ac:dyDescent="0.3">
      <c r="D28" t="s">
        <v>15</v>
      </c>
      <c r="E28" s="17">
        <f>E22-E27</f>
        <v>3.0000019818544388E-2</v>
      </c>
    </row>
    <row r="32" spans="4:12" x14ac:dyDescent="0.3">
      <c r="E32" s="9"/>
    </row>
  </sheetData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Tables for document</vt:lpstr>
      <vt:lpstr>AUP Summary incl Adjs</vt:lpstr>
      <vt:lpstr>'Tables for document'!_ftn1</vt:lpstr>
      <vt:lpstr>'Tables for document'!_ftnref1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Nyall Manning-Smith</dc:creator>
  <cp:lastModifiedBy>Steven Martin</cp:lastModifiedBy>
  <dcterms:created xsi:type="dcterms:W3CDTF">2021-06-27T23:51:45Z</dcterms:created>
  <dcterms:modified xsi:type="dcterms:W3CDTF">2021-12-01T06:02:13Z</dcterms:modified>
</cp:coreProperties>
</file>