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hidePivotFieldList="1" defaultThemeVersion="124226"/>
  <bookViews>
    <workbookView xWindow="480" yWindow="495" windowWidth="20010" windowHeight="7695" activeTab="2"/>
  </bookViews>
  <sheets>
    <sheet name="Input│ Historic Opex" sheetId="21" r:id="rId1"/>
    <sheet name="Calc│Forecast" sheetId="20" r:id="rId2"/>
    <sheet name="Outputs│PTRM" sheetId="22" r:id="rId3"/>
    <sheet name="Outputs│Tables" sheetId="25" r:id="rId4"/>
    <sheet name="Outputs│Graphs" sheetId="26" r:id="rId5"/>
  </sheets>
  <calcPr calcId="145621"/>
</workbook>
</file>

<file path=xl/calcChain.xml><?xml version="1.0" encoding="utf-8"?>
<calcChain xmlns="http://schemas.openxmlformats.org/spreadsheetml/2006/main">
  <c r="M111" i="25" l="1"/>
  <c r="F106" i="25"/>
  <c r="G106" i="25"/>
  <c r="H106" i="25"/>
  <c r="I106" i="25"/>
  <c r="J106" i="25"/>
  <c r="F107" i="25"/>
  <c r="G107" i="25"/>
  <c r="H107" i="25"/>
  <c r="I107" i="25"/>
  <c r="J107" i="25"/>
  <c r="F108" i="25"/>
  <c r="G108" i="25"/>
  <c r="H108" i="25"/>
  <c r="I108" i="25"/>
  <c r="J108" i="25"/>
  <c r="F109" i="25"/>
  <c r="G109" i="25"/>
  <c r="H109" i="25"/>
  <c r="I109" i="25"/>
  <c r="J109" i="25"/>
  <c r="F110" i="25"/>
  <c r="G110" i="25"/>
  <c r="H110" i="25"/>
  <c r="I110" i="25"/>
  <c r="J110" i="25"/>
  <c r="G105" i="25"/>
  <c r="H105" i="25"/>
  <c r="I105" i="25"/>
  <c r="J105" i="25"/>
  <c r="F105" i="25"/>
  <c r="E64" i="20"/>
  <c r="F64" i="20"/>
  <c r="F59" i="20" s="1"/>
  <c r="G64" i="20"/>
  <c r="G59" i="20" s="1"/>
  <c r="H64" i="20"/>
  <c r="H59" i="20" s="1"/>
  <c r="I64" i="20"/>
  <c r="D64" i="20"/>
  <c r="E59" i="20"/>
  <c r="I59" i="20"/>
  <c r="D60" i="20"/>
  <c r="E60" i="20"/>
  <c r="F60" i="20"/>
  <c r="G60" i="20"/>
  <c r="H60" i="20"/>
  <c r="I60" i="20"/>
  <c r="D61" i="20"/>
  <c r="E61" i="20"/>
  <c r="F61" i="20"/>
  <c r="G61" i="20"/>
  <c r="H61" i="20"/>
  <c r="I61" i="20"/>
  <c r="D62" i="20"/>
  <c r="E62" i="20"/>
  <c r="F62" i="20"/>
  <c r="G62" i="20"/>
  <c r="H62" i="20"/>
  <c r="I62" i="20"/>
  <c r="D63" i="20"/>
  <c r="E63" i="20"/>
  <c r="F63" i="20"/>
  <c r="G63" i="20"/>
  <c r="H63" i="20"/>
  <c r="I63" i="20"/>
  <c r="B62" i="20"/>
  <c r="C62" i="20" s="1"/>
  <c r="B63" i="20"/>
  <c r="C60" i="20"/>
  <c r="C61" i="20"/>
  <c r="C63" i="20"/>
  <c r="B64" i="20"/>
  <c r="B61" i="20"/>
  <c r="B60" i="20"/>
  <c r="B59" i="20"/>
  <c r="A65" i="20"/>
  <c r="D59" i="20" l="1"/>
  <c r="C59" i="20"/>
  <c r="B65" i="20"/>
  <c r="G139" i="25"/>
  <c r="H139" i="25"/>
  <c r="I139" i="25"/>
  <c r="J139" i="25"/>
  <c r="F139" i="25"/>
  <c r="F135" i="25"/>
  <c r="G135" i="25"/>
  <c r="H135" i="25"/>
  <c r="I135" i="25"/>
  <c r="J135" i="25"/>
  <c r="F136" i="25"/>
  <c r="G136" i="25"/>
  <c r="H136" i="25"/>
  <c r="I136" i="25"/>
  <c r="J136" i="25"/>
  <c r="F137" i="25"/>
  <c r="G137" i="25"/>
  <c r="H137" i="25"/>
  <c r="I137" i="25"/>
  <c r="J137" i="25"/>
  <c r="G134" i="25"/>
  <c r="H134" i="25"/>
  <c r="I134" i="25"/>
  <c r="J134" i="25"/>
  <c r="F134" i="25"/>
  <c r="O101" i="25" l="1"/>
  <c r="P96" i="25"/>
  <c r="Q96" i="25"/>
  <c r="R96" i="25"/>
  <c r="S96" i="25"/>
  <c r="O96" i="25"/>
  <c r="I20" i="21" l="1"/>
  <c r="C21" i="21" l="1"/>
  <c r="D97" i="21" l="1"/>
  <c r="D99" i="21"/>
  <c r="D76" i="21"/>
  <c r="D78" i="21"/>
  <c r="E75" i="21"/>
  <c r="E77" i="21"/>
  <c r="E97" i="21"/>
  <c r="E99" i="21"/>
  <c r="E76" i="21"/>
  <c r="E78" i="21"/>
  <c r="F75" i="21"/>
  <c r="F77" i="21"/>
  <c r="F97" i="21"/>
  <c r="F99" i="21"/>
  <c r="F76" i="21"/>
  <c r="F78" i="21"/>
  <c r="G75" i="21"/>
  <c r="G77" i="21"/>
  <c r="G97" i="21"/>
  <c r="G99" i="21"/>
  <c r="G76" i="21"/>
  <c r="G78" i="21"/>
  <c r="H75" i="21"/>
  <c r="H77" i="21"/>
  <c r="H97" i="21"/>
  <c r="H99" i="21"/>
  <c r="H76" i="21"/>
  <c r="H78" i="21"/>
  <c r="H80" i="21"/>
  <c r="H81" i="21"/>
  <c r="D98" i="21"/>
  <c r="D100" i="21"/>
  <c r="D85" i="21"/>
  <c r="D87" i="21"/>
  <c r="E84" i="21"/>
  <c r="E86" i="21"/>
  <c r="E98" i="21"/>
  <c r="E100" i="21"/>
  <c r="E85" i="21"/>
  <c r="E87" i="21"/>
  <c r="F84" i="21"/>
  <c r="F86" i="21"/>
  <c r="F98" i="21"/>
  <c r="F100" i="21"/>
  <c r="F85" i="21"/>
  <c r="F87" i="21"/>
  <c r="G84" i="21"/>
  <c r="G86" i="21"/>
  <c r="G98" i="21"/>
  <c r="G100" i="21"/>
  <c r="G85" i="21"/>
  <c r="G87" i="21"/>
  <c r="H84" i="21"/>
  <c r="H86" i="21"/>
  <c r="H98" i="21"/>
  <c r="H100" i="21"/>
  <c r="H85" i="21"/>
  <c r="H87" i="21"/>
  <c r="H89" i="21"/>
  <c r="H90" i="21"/>
  <c r="H102" i="21"/>
  <c r="I30" i="20"/>
  <c r="S98" i="25" s="1"/>
  <c r="I21" i="21"/>
  <c r="H22" i="21" s="1"/>
  <c r="H150" i="21"/>
  <c r="H151" i="21"/>
  <c r="H152" i="21"/>
  <c r="H16" i="21"/>
  <c r="H52" i="21"/>
  <c r="K16" i="22"/>
  <c r="J82" i="25" s="1"/>
  <c r="G80" i="21"/>
  <c r="G81" i="21"/>
  <c r="G89" i="21"/>
  <c r="G90" i="21"/>
  <c r="G102" i="21"/>
  <c r="H30" i="20"/>
  <c r="R98" i="25" s="1"/>
  <c r="G52" i="21"/>
  <c r="F80" i="21"/>
  <c r="F81" i="21"/>
  <c r="F89" i="21"/>
  <c r="F90" i="21"/>
  <c r="F102" i="21"/>
  <c r="G30" i="20"/>
  <c r="Q98" i="25" s="1"/>
  <c r="F52" i="21"/>
  <c r="E80" i="21"/>
  <c r="E81" i="21"/>
  <c r="E89" i="21"/>
  <c r="E90" i="21"/>
  <c r="E102" i="21"/>
  <c r="F30" i="20"/>
  <c r="P98" i="25" s="1"/>
  <c r="E52" i="21"/>
  <c r="D80" i="21"/>
  <c r="D81" i="21"/>
  <c r="D89" i="21"/>
  <c r="D90" i="21"/>
  <c r="D102" i="21"/>
  <c r="E30" i="20"/>
  <c r="O98" i="25" s="1"/>
  <c r="D52" i="21"/>
  <c r="B279" i="21"/>
  <c r="B278" i="21"/>
  <c r="B277" i="21"/>
  <c r="I40" i="21"/>
  <c r="C78" i="21"/>
  <c r="D75" i="21"/>
  <c r="C94" i="21"/>
  <c r="D94" i="21"/>
  <c r="D70" i="21"/>
  <c r="D77" i="21"/>
  <c r="I41" i="21"/>
  <c r="C87" i="21"/>
  <c r="D84" i="21"/>
  <c r="C95" i="21"/>
  <c r="D95" i="21"/>
  <c r="D86" i="21"/>
  <c r="E94" i="21"/>
  <c r="E70" i="21"/>
  <c r="E95" i="21"/>
  <c r="F31" i="20"/>
  <c r="P101" i="25" s="1"/>
  <c r="F94" i="21"/>
  <c r="F70" i="21"/>
  <c r="F95" i="21"/>
  <c r="G31" i="20"/>
  <c r="Q101" i="25" s="1"/>
  <c r="G94" i="21"/>
  <c r="G70" i="21"/>
  <c r="G95" i="21"/>
  <c r="H94" i="21"/>
  <c r="H70" i="21"/>
  <c r="H95" i="21"/>
  <c r="H17" i="21"/>
  <c r="C44" i="20"/>
  <c r="C45" i="20"/>
  <c r="D45" i="20"/>
  <c r="E45" i="20"/>
  <c r="F45" i="20" s="1"/>
  <c r="G45" i="20" s="1"/>
  <c r="H45" i="20" s="1"/>
  <c r="I45" i="20" s="1"/>
  <c r="C46" i="20"/>
  <c r="D46" i="20" s="1"/>
  <c r="E46" i="20" s="1"/>
  <c r="F46" i="20" s="1"/>
  <c r="G46" i="20" s="1"/>
  <c r="H46" i="20" s="1"/>
  <c r="I46" i="20" s="1"/>
  <c r="C47" i="20"/>
  <c r="D47" i="20" s="1"/>
  <c r="E47" i="20" s="1"/>
  <c r="F47" i="20" s="1"/>
  <c r="G47" i="20" s="1"/>
  <c r="H47" i="20" s="1"/>
  <c r="I47" i="20" s="1"/>
  <c r="H235" i="21"/>
  <c r="H238" i="21"/>
  <c r="H239" i="21"/>
  <c r="H240" i="21"/>
  <c r="H243" i="21"/>
  <c r="H245" i="21"/>
  <c r="H246" i="21"/>
  <c r="H244" i="21"/>
  <c r="H247" i="21"/>
  <c r="G24" i="22"/>
  <c r="O100" i="25" s="1"/>
  <c r="H24" i="22"/>
  <c r="P100" i="25" s="1"/>
  <c r="G81" i="25"/>
  <c r="I24" i="22"/>
  <c r="Q100" i="25" s="1"/>
  <c r="J24" i="22"/>
  <c r="R100" i="25" s="1"/>
  <c r="I81" i="25"/>
  <c r="K24" i="22"/>
  <c r="S100" i="25" s="1"/>
  <c r="E82" i="25"/>
  <c r="D30" i="20"/>
  <c r="C52" i="21"/>
  <c r="C268" i="21"/>
  <c r="E268" i="21"/>
  <c r="H260" i="21"/>
  <c r="H265" i="21"/>
  <c r="E272" i="21"/>
  <c r="H259" i="21"/>
  <c r="H264" i="21"/>
  <c r="E271" i="21"/>
  <c r="F268" i="21"/>
  <c r="F272" i="21"/>
  <c r="F271" i="21"/>
  <c r="G268" i="21"/>
  <c r="G272" i="21"/>
  <c r="G271" i="21"/>
  <c r="H268" i="21"/>
  <c r="H272" i="21"/>
  <c r="H271" i="21"/>
  <c r="D268" i="21"/>
  <c r="D272" i="21"/>
  <c r="D271" i="21"/>
  <c r="J115" i="25"/>
  <c r="J119" i="25" s="1"/>
  <c r="I115" i="25"/>
  <c r="I119" i="25" s="1"/>
  <c r="H115" i="25"/>
  <c r="H119" i="25" s="1"/>
  <c r="G115" i="25"/>
  <c r="G119" i="25" s="1"/>
  <c r="F115" i="25"/>
  <c r="F119" i="25" s="1"/>
  <c r="A100" i="21"/>
  <c r="A99" i="21"/>
  <c r="A272" i="21"/>
  <c r="A271" i="21"/>
  <c r="A260" i="21"/>
  <c r="A259" i="21"/>
  <c r="E273" i="21"/>
  <c r="D273" i="21"/>
  <c r="F273" i="21"/>
  <c r="G273" i="21"/>
  <c r="H273" i="21"/>
  <c r="B89" i="21"/>
  <c r="B80" i="21"/>
  <c r="B42" i="21"/>
  <c r="A41" i="21"/>
  <c r="I105" i="21"/>
  <c r="A106" i="21"/>
  <c r="F70" i="25"/>
  <c r="C32" i="20"/>
  <c r="A244" i="21"/>
  <c r="A245" i="21"/>
  <c r="A246" i="21"/>
  <c r="A247" i="21"/>
  <c r="A248" i="21"/>
  <c r="A249" i="21"/>
  <c r="A250" i="21"/>
  <c r="A251" i="21"/>
  <c r="A252" i="21"/>
  <c r="A243" i="21"/>
  <c r="F38" i="25"/>
  <c r="F39" i="25"/>
  <c r="F40" i="25"/>
  <c r="E39" i="25"/>
  <c r="E40" i="25"/>
  <c r="E38" i="25"/>
  <c r="B227" i="21"/>
  <c r="B216" i="21"/>
  <c r="B217" i="21"/>
  <c r="B220" i="21"/>
  <c r="B223" i="21"/>
  <c r="A203" i="21"/>
  <c r="A202" i="21"/>
  <c r="A208" i="21"/>
  <c r="A213" i="21"/>
  <c r="A201" i="21"/>
  <c r="A207" i="21"/>
  <c r="A212" i="21"/>
  <c r="A200" i="21"/>
  <c r="A206" i="21"/>
  <c r="A211" i="21"/>
  <c r="L37" i="25"/>
  <c r="F136" i="21"/>
  <c r="G136" i="21"/>
  <c r="H136" i="21"/>
  <c r="I136" i="21"/>
  <c r="E136" i="21"/>
  <c r="E25" i="21"/>
  <c r="A137" i="21"/>
  <c r="A138" i="21"/>
  <c r="A139" i="21"/>
  <c r="E65" i="25"/>
  <c r="F112" i="21"/>
  <c r="G112" i="21"/>
  <c r="H112" i="21"/>
  <c r="I112" i="21"/>
  <c r="E112" i="21"/>
  <c r="C55" i="21"/>
  <c r="E55" i="21"/>
  <c r="F55" i="21"/>
  <c r="G55" i="21"/>
  <c r="H55" i="21"/>
  <c r="D55" i="21"/>
  <c r="B52" i="21"/>
  <c r="D67" i="21"/>
  <c r="D109" i="21"/>
  <c r="E67" i="21"/>
  <c r="E109" i="21"/>
  <c r="F67" i="21"/>
  <c r="F109" i="21"/>
  <c r="G67" i="21"/>
  <c r="G109" i="21"/>
  <c r="H67" i="21"/>
  <c r="H109" i="21"/>
  <c r="C67" i="21"/>
  <c r="E12" i="25"/>
  <c r="A169" i="21"/>
  <c r="A179" i="21"/>
  <c r="A189" i="21"/>
  <c r="A170" i="21"/>
  <c r="A180" i="21"/>
  <c r="A190" i="21"/>
  <c r="A171" i="21"/>
  <c r="A181" i="21"/>
  <c r="A191" i="21"/>
  <c r="A172" i="21"/>
  <c r="A182" i="21"/>
  <c r="A192" i="21"/>
  <c r="A173" i="21"/>
  <c r="A183" i="21"/>
  <c r="A193" i="21"/>
  <c r="A174" i="21"/>
  <c r="A184" i="21"/>
  <c r="A194" i="21"/>
  <c r="A175" i="21"/>
  <c r="A185" i="21"/>
  <c r="A195" i="21"/>
  <c r="A168" i="21"/>
  <c r="A178" i="21"/>
  <c r="A188" i="21"/>
  <c r="H191" i="21"/>
  <c r="H192" i="21"/>
  <c r="L14" i="25"/>
  <c r="L23" i="25" s="1"/>
  <c r="K14" i="25"/>
  <c r="J45" i="25" s="1"/>
  <c r="H203" i="21"/>
  <c r="E60" i="21"/>
  <c r="C60" i="21"/>
  <c r="B56" i="21"/>
  <c r="B57" i="21"/>
  <c r="B58" i="21"/>
  <c r="B59" i="21"/>
  <c r="A62" i="21"/>
  <c r="E62" i="25"/>
  <c r="A63" i="21"/>
  <c r="E63" i="25"/>
  <c r="A64" i="21"/>
  <c r="E64" i="25"/>
  <c r="A61" i="21"/>
  <c r="E61" i="25"/>
  <c r="A53" i="21"/>
  <c r="B152" i="21"/>
  <c r="F24" i="25"/>
  <c r="F25" i="25" s="1"/>
  <c r="F26" i="25" s="1"/>
  <c r="E24" i="25"/>
  <c r="A10" i="26"/>
  <c r="N14" i="25"/>
  <c r="P14" i="26" s="1"/>
  <c r="O14" i="25"/>
  <c r="H55" i="25" s="1"/>
  <c r="P14" i="25"/>
  <c r="I69" i="25" s="1"/>
  <c r="I60" i="25"/>
  <c r="I74" i="25" s="1"/>
  <c r="I79" i="25" s="1"/>
  <c r="I88" i="25" s="1"/>
  <c r="I93" i="25" s="1"/>
  <c r="I99" i="25" s="1"/>
  <c r="Q14" i="25"/>
  <c r="J55" i="25" s="1"/>
  <c r="M14" i="25"/>
  <c r="F69" i="25" s="1"/>
  <c r="H14" i="25"/>
  <c r="G50" i="25" s="1"/>
  <c r="J14" i="26"/>
  <c r="I14" i="25"/>
  <c r="H45" i="25" s="1"/>
  <c r="J14" i="25"/>
  <c r="I45" i="25" s="1"/>
  <c r="G14" i="25"/>
  <c r="G23" i="25" s="1"/>
  <c r="A10" i="25"/>
  <c r="F55" i="25"/>
  <c r="G60" i="25"/>
  <c r="G74" i="25" s="1"/>
  <c r="G79" i="25" s="1"/>
  <c r="G88" i="25" s="1"/>
  <c r="G93" i="25" s="1"/>
  <c r="G99" i="25" s="1"/>
  <c r="K30" i="25"/>
  <c r="K37" i="25" s="1"/>
  <c r="A48" i="20"/>
  <c r="A55" i="20" s="1"/>
  <c r="F51" i="25"/>
  <c r="G51" i="25"/>
  <c r="H51" i="25"/>
  <c r="I51" i="25"/>
  <c r="E12" i="22"/>
  <c r="P14" i="22"/>
  <c r="O14" i="22"/>
  <c r="N14" i="22"/>
  <c r="M14" i="22"/>
  <c r="L14" i="22"/>
  <c r="K14" i="22"/>
  <c r="J14" i="22"/>
  <c r="I14" i="22"/>
  <c r="H14" i="22"/>
  <c r="G14" i="22"/>
  <c r="A10" i="22"/>
  <c r="C39" i="20"/>
  <c r="B16" i="20"/>
  <c r="B19" i="20"/>
  <c r="B22" i="20"/>
  <c r="B25" i="20" s="1"/>
  <c r="B29" i="20" s="1"/>
  <c r="B30" i="20" s="1"/>
  <c r="A33" i="21"/>
  <c r="A45" i="20"/>
  <c r="A52" i="20"/>
  <c r="A46" i="20"/>
  <c r="A53" i="20"/>
  <c r="A47" i="20"/>
  <c r="A54" i="20" s="1"/>
  <c r="A44" i="20"/>
  <c r="A51" i="20" s="1"/>
  <c r="A10" i="21"/>
  <c r="A10" i="20"/>
  <c r="G55" i="25"/>
  <c r="F60" i="21"/>
  <c r="D60" i="21"/>
  <c r="G70" i="25"/>
  <c r="H194" i="21"/>
  <c r="H216" i="21"/>
  <c r="G60" i="21"/>
  <c r="F119" i="21"/>
  <c r="H223" i="21"/>
  <c r="A29" i="21"/>
  <c r="E15" i="25"/>
  <c r="H30" i="25"/>
  <c r="H37" i="25" s="1"/>
  <c r="G119" i="21"/>
  <c r="H195" i="21"/>
  <c r="H188" i="21"/>
  <c r="K14" i="26"/>
  <c r="H50" i="25"/>
  <c r="H190" i="21"/>
  <c r="H217" i="21"/>
  <c r="H227" i="21"/>
  <c r="I119" i="21"/>
  <c r="A32" i="21"/>
  <c r="E18" i="25"/>
  <c r="E25" i="25"/>
  <c r="H23" i="25"/>
  <c r="S14" i="26"/>
  <c r="D17" i="21"/>
  <c r="H220" i="21"/>
  <c r="E137" i="21"/>
  <c r="F25" i="21"/>
  <c r="A31" i="21"/>
  <c r="E17" i="25"/>
  <c r="G17" i="21"/>
  <c r="E17" i="21"/>
  <c r="A30" i="21"/>
  <c r="E16" i="25"/>
  <c r="I42" i="21"/>
  <c r="H60" i="21"/>
  <c r="I50" i="25"/>
  <c r="E119" i="21"/>
  <c r="H119" i="21"/>
  <c r="H193" i="21"/>
  <c r="F17" i="21"/>
  <c r="H226" i="21"/>
  <c r="J51" i="25"/>
  <c r="F137" i="21"/>
  <c r="G25" i="21"/>
  <c r="H25" i="21"/>
  <c r="G137" i="21"/>
  <c r="C98" i="21"/>
  <c r="C100" i="21"/>
  <c r="H248" i="21"/>
  <c r="H249" i="21"/>
  <c r="H251" i="21"/>
  <c r="H250" i="21"/>
  <c r="H137" i="21"/>
  <c r="I25" i="21"/>
  <c r="I137" i="21"/>
  <c r="C97" i="21"/>
  <c r="C99" i="21"/>
  <c r="H252" i="21"/>
  <c r="F116" i="25"/>
  <c r="F120" i="25"/>
  <c r="G116" i="25"/>
  <c r="G120" i="25"/>
  <c r="H116" i="25"/>
  <c r="H120" i="25"/>
  <c r="I116" i="25"/>
  <c r="I120" i="25"/>
  <c r="J116" i="25"/>
  <c r="J120" i="25"/>
  <c r="M25" i="22" l="1"/>
  <c r="J81" i="25"/>
  <c r="H81" i="25"/>
  <c r="F81" i="25"/>
  <c r="B31" i="20"/>
  <c r="B32" i="20"/>
  <c r="B35" i="20" s="1"/>
  <c r="C48" i="20"/>
  <c r="D48" i="20" s="1"/>
  <c r="E48" i="20" s="1"/>
  <c r="F48" i="20" s="1"/>
  <c r="G48" i="20" s="1"/>
  <c r="H48" i="20" s="1"/>
  <c r="I48" i="20" s="1"/>
  <c r="H70" i="25"/>
  <c r="D44" i="20"/>
  <c r="E44" i="20" s="1"/>
  <c r="F44" i="20" s="1"/>
  <c r="G44" i="20" s="1"/>
  <c r="H44" i="20" s="1"/>
  <c r="I44" i="20" s="1"/>
  <c r="G16" i="22"/>
  <c r="F82" i="25" s="1"/>
  <c r="I16" i="22"/>
  <c r="H82" i="25" s="1"/>
  <c r="H16" i="22"/>
  <c r="G82" i="25" s="1"/>
  <c r="J16" i="22"/>
  <c r="I82" i="25" s="1"/>
  <c r="G69" i="25"/>
  <c r="N14" i="26"/>
  <c r="F50" i="25"/>
  <c r="L14" i="26"/>
  <c r="J60" i="25"/>
  <c r="J74" i="25" s="1"/>
  <c r="J79" i="25" s="1"/>
  <c r="J88" i="25" s="1"/>
  <c r="J93" i="25" s="1"/>
  <c r="J99" i="25" s="1"/>
  <c r="H69" i="25"/>
  <c r="G45" i="25"/>
  <c r="G37" i="25"/>
  <c r="H60" i="25"/>
  <c r="H74" i="25" s="1"/>
  <c r="H79" i="25" s="1"/>
  <c r="H88" i="25" s="1"/>
  <c r="H93" i="25" s="1"/>
  <c r="H99" i="25" s="1"/>
  <c r="J69" i="25"/>
  <c r="I23" i="25"/>
  <c r="K81" i="25"/>
  <c r="Q14" i="26"/>
  <c r="J23" i="25"/>
  <c r="J124" i="25"/>
  <c r="I124" i="25"/>
  <c r="F60" i="25"/>
  <c r="F74" i="25" s="1"/>
  <c r="F79" i="25" s="1"/>
  <c r="F88" i="25" s="1"/>
  <c r="F93" i="25" s="1"/>
  <c r="F99" i="25" s="1"/>
  <c r="O14" i="26"/>
  <c r="M14" i="26"/>
  <c r="J50" i="25"/>
  <c r="J30" i="25"/>
  <c r="J37" i="25" s="1"/>
  <c r="G30" i="25"/>
  <c r="R14" i="26"/>
  <c r="I55" i="25"/>
  <c r="K23" i="25"/>
  <c r="I30" i="25"/>
  <c r="I37" i="25" s="1"/>
  <c r="D53" i="21"/>
  <c r="E38" i="20" s="1"/>
  <c r="F56" i="25" s="1"/>
  <c r="E64" i="21"/>
  <c r="G64" i="25" s="1"/>
  <c r="H53" i="21"/>
  <c r="I38" i="20" s="1"/>
  <c r="J56" i="25" s="1"/>
  <c r="F62" i="21"/>
  <c r="H62" i="25" s="1"/>
  <c r="F21" i="21"/>
  <c r="G21" i="21"/>
  <c r="D21" i="21"/>
  <c r="C23" i="21" s="1"/>
  <c r="J126" i="25"/>
  <c r="H21" i="21"/>
  <c r="G22" i="21" s="1"/>
  <c r="D64" i="21"/>
  <c r="F64" i="25" s="1"/>
  <c r="E53" i="21"/>
  <c r="F38" i="20" s="1"/>
  <c r="G56" i="25" s="1"/>
  <c r="E62" i="21"/>
  <c r="G62" i="25" s="1"/>
  <c r="H40" i="21"/>
  <c r="E21" i="21"/>
  <c r="E23" i="21" s="1"/>
  <c r="E121" i="21" s="1"/>
  <c r="H29" i="21"/>
  <c r="H31" i="21"/>
  <c r="H61" i="21"/>
  <c r="H32" i="21"/>
  <c r="K18" i="25" s="1"/>
  <c r="K25" i="25" s="1"/>
  <c r="G63" i="21"/>
  <c r="I63" i="25" s="1"/>
  <c r="F63" i="21"/>
  <c r="H63" i="25" s="1"/>
  <c r="E63" i="21"/>
  <c r="G63" i="25" s="1"/>
  <c r="D63" i="21"/>
  <c r="F63" i="25" s="1"/>
  <c r="J125" i="25"/>
  <c r="I125" i="25"/>
  <c r="H30" i="21"/>
  <c r="K16" i="25" s="1"/>
  <c r="H63" i="21"/>
  <c r="J63" i="25" s="1"/>
  <c r="G61" i="21"/>
  <c r="F61" i="21"/>
  <c r="E61" i="21"/>
  <c r="D61" i="21"/>
  <c r="J127" i="25"/>
  <c r="I127" i="25"/>
  <c r="C53" i="21"/>
  <c r="D38" i="20" s="1"/>
  <c r="D39" i="20" s="1"/>
  <c r="H41" i="21"/>
  <c r="H62" i="21"/>
  <c r="J62" i="25" s="1"/>
  <c r="G62" i="21"/>
  <c r="I62" i="25" s="1"/>
  <c r="F64" i="21"/>
  <c r="H64" i="25" s="1"/>
  <c r="F53" i="21"/>
  <c r="G38" i="20" s="1"/>
  <c r="I126" i="25"/>
  <c r="H64" i="21"/>
  <c r="J64" i="25" s="1"/>
  <c r="G64" i="21"/>
  <c r="I64" i="25" s="1"/>
  <c r="G53" i="21"/>
  <c r="H38" i="20" s="1"/>
  <c r="D62" i="21"/>
  <c r="F62" i="25" s="1"/>
  <c r="C65" i="21"/>
  <c r="D29" i="20" s="1"/>
  <c r="N25" i="22" l="1"/>
  <c r="L25" i="22"/>
  <c r="B38" i="20"/>
  <c r="B39" i="20"/>
  <c r="B41" i="20" s="1"/>
  <c r="K82" i="25"/>
  <c r="E39" i="20"/>
  <c r="F39" i="20"/>
  <c r="H42" i="21"/>
  <c r="J32" i="25" s="1"/>
  <c r="J39" i="25" s="1"/>
  <c r="I39" i="20"/>
  <c r="E138" i="21"/>
  <c r="G31" i="25" s="1"/>
  <c r="G38" i="25" s="1"/>
  <c r="G31" i="21"/>
  <c r="J17" i="25" s="1"/>
  <c r="G40" i="21"/>
  <c r="G32" i="21"/>
  <c r="J18" i="25" s="1"/>
  <c r="J25" i="25" s="1"/>
  <c r="F22" i="21"/>
  <c r="F30" i="21" s="1"/>
  <c r="I16" i="25" s="1"/>
  <c r="G30" i="21"/>
  <c r="J16" i="25" s="1"/>
  <c r="G29" i="21"/>
  <c r="J15" i="25" s="1"/>
  <c r="G41" i="21"/>
  <c r="K64" i="25"/>
  <c r="F23" i="21"/>
  <c r="F65" i="21"/>
  <c r="G29" i="20" s="1"/>
  <c r="Q99" i="25" s="1"/>
  <c r="H61" i="25"/>
  <c r="H65" i="25" s="1"/>
  <c r="I128" i="25"/>
  <c r="K17" i="25"/>
  <c r="J46" i="25"/>
  <c r="F29" i="21"/>
  <c r="K62" i="25"/>
  <c r="G65" i="21"/>
  <c r="H29" i="20" s="1"/>
  <c r="R99" i="25" s="1"/>
  <c r="I61" i="25"/>
  <c r="I65" i="25" s="1"/>
  <c r="J128" i="25"/>
  <c r="H33" i="21"/>
  <c r="C13" i="20" s="1"/>
  <c r="C19" i="20" s="1"/>
  <c r="C25" i="20" s="1"/>
  <c r="K15" i="25"/>
  <c r="K19" i="25" s="1"/>
  <c r="H39" i="20"/>
  <c r="I56" i="25"/>
  <c r="G39" i="20"/>
  <c r="H56" i="25"/>
  <c r="D65" i="21"/>
  <c r="E29" i="20" s="1"/>
  <c r="O99" i="25" s="1"/>
  <c r="F61" i="25"/>
  <c r="K63" i="25"/>
  <c r="E65" i="21"/>
  <c r="F29" i="20" s="1"/>
  <c r="P99" i="25" s="1"/>
  <c r="G61" i="25"/>
  <c r="G65" i="25" s="1"/>
  <c r="H65" i="21"/>
  <c r="I29" i="20" s="1"/>
  <c r="S99" i="25" s="1"/>
  <c r="J61" i="25"/>
  <c r="J65" i="25" s="1"/>
  <c r="O25" i="22" l="1"/>
  <c r="K56" i="25"/>
  <c r="F32" i="21"/>
  <c r="I18" i="25" s="1"/>
  <c r="I25" i="25" s="1"/>
  <c r="J19" i="25"/>
  <c r="J24" i="25" s="1"/>
  <c r="J26" i="25" s="1"/>
  <c r="G42" i="21"/>
  <c r="I32" i="25" s="1"/>
  <c r="I39" i="25" s="1"/>
  <c r="I46" i="25"/>
  <c r="G23" i="21"/>
  <c r="F121" i="21"/>
  <c r="F138" i="21"/>
  <c r="H31" i="25" s="1"/>
  <c r="H38" i="25" s="1"/>
  <c r="F31" i="21"/>
  <c r="H46" i="25" s="1"/>
  <c r="E22" i="21"/>
  <c r="E29" i="21" s="1"/>
  <c r="F41" i="21"/>
  <c r="G33" i="21"/>
  <c r="F40" i="21"/>
  <c r="F42" i="21" s="1"/>
  <c r="H32" i="25" s="1"/>
  <c r="G121" i="21"/>
  <c r="H23" i="21"/>
  <c r="G138" i="21"/>
  <c r="L15" i="26"/>
  <c r="C35" i="20"/>
  <c r="C41" i="20" s="1"/>
  <c r="D25" i="20"/>
  <c r="K61" i="25"/>
  <c r="K65" i="25" s="1"/>
  <c r="F65" i="25"/>
  <c r="G32" i="20"/>
  <c r="K24" i="25"/>
  <c r="K26" i="25" s="1"/>
  <c r="M15" i="26"/>
  <c r="F32" i="20"/>
  <c r="E32" i="20"/>
  <c r="I15" i="25"/>
  <c r="P25" i="22" l="1"/>
  <c r="I17" i="25"/>
  <c r="I19" i="25" s="1"/>
  <c r="F33" i="21"/>
  <c r="E32" i="21"/>
  <c r="H18" i="25" s="1"/>
  <c r="H25" i="25" s="1"/>
  <c r="F139" i="21"/>
  <c r="K16" i="26" s="1"/>
  <c r="D22" i="21"/>
  <c r="D29" i="21" s="1"/>
  <c r="E139" i="21"/>
  <c r="J16" i="26" s="1"/>
  <c r="E30" i="21"/>
  <c r="H16" i="25" s="1"/>
  <c r="E41" i="21"/>
  <c r="E31" i="21"/>
  <c r="H17" i="25" s="1"/>
  <c r="E40" i="21"/>
  <c r="I31" i="25"/>
  <c r="G139" i="21"/>
  <c r="L16" i="26" s="1"/>
  <c r="I23" i="21"/>
  <c r="H138" i="21"/>
  <c r="H121" i="21"/>
  <c r="H33" i="25"/>
  <c r="H39" i="25"/>
  <c r="H40" i="25" s="1"/>
  <c r="E25" i="20"/>
  <c r="H15" i="25"/>
  <c r="C51" i="20"/>
  <c r="C52" i="20"/>
  <c r="C53" i="20"/>
  <c r="C54" i="20"/>
  <c r="D31" i="21" l="1"/>
  <c r="G17" i="25" s="1"/>
  <c r="C22" i="21"/>
  <c r="H106" i="21" s="1"/>
  <c r="H19" i="25"/>
  <c r="H24" i="25" s="1"/>
  <c r="H26" i="25" s="1"/>
  <c r="E42" i="21"/>
  <c r="G32" i="25" s="1"/>
  <c r="G39" i="25" s="1"/>
  <c r="K15" i="26"/>
  <c r="I24" i="25"/>
  <c r="I26" i="25" s="1"/>
  <c r="C55" i="20"/>
  <c r="E33" i="21"/>
  <c r="G46" i="25"/>
  <c r="D32" i="21"/>
  <c r="G18" i="25" s="1"/>
  <c r="G25" i="25" s="1"/>
  <c r="D30" i="21"/>
  <c r="G16" i="25" s="1"/>
  <c r="D40" i="21"/>
  <c r="D41" i="21"/>
  <c r="I138" i="21"/>
  <c r="I121" i="21"/>
  <c r="I38" i="25"/>
  <c r="I33" i="25"/>
  <c r="H139" i="21"/>
  <c r="M16" i="26" s="1"/>
  <c r="J31" i="25"/>
  <c r="E106" i="21"/>
  <c r="G106" i="21"/>
  <c r="G15" i="25"/>
  <c r="G33" i="25"/>
  <c r="F25" i="20"/>
  <c r="E35" i="20"/>
  <c r="E41" i="20" s="1"/>
  <c r="O97" i="25" s="1"/>
  <c r="O102" i="25" s="1"/>
  <c r="F100" i="25" s="1"/>
  <c r="J15" i="26" l="1"/>
  <c r="C40" i="21"/>
  <c r="I106" i="21"/>
  <c r="D31" i="20" s="1"/>
  <c r="D32" i="20" s="1"/>
  <c r="D35" i="20" s="1"/>
  <c r="D41" i="20" s="1"/>
  <c r="D106" i="21"/>
  <c r="I31" i="20" s="1"/>
  <c r="C41" i="21"/>
  <c r="C106" i="21"/>
  <c r="H31" i="20" s="1"/>
  <c r="R101" i="25" s="1"/>
  <c r="F106" i="21"/>
  <c r="D33" i="21"/>
  <c r="G19" i="25"/>
  <c r="G24" i="25" s="1"/>
  <c r="G26" i="25" s="1"/>
  <c r="I40" i="25"/>
  <c r="J38" i="25"/>
  <c r="J40" i="25" s="1"/>
  <c r="J33" i="25"/>
  <c r="K31" i="25"/>
  <c r="K38" i="25" s="1"/>
  <c r="I139" i="21"/>
  <c r="N16" i="26" s="1"/>
  <c r="G40" i="25"/>
  <c r="E51" i="20"/>
  <c r="E53" i="20"/>
  <c r="M17" i="25" s="1"/>
  <c r="G15" i="22"/>
  <c r="E52" i="20"/>
  <c r="M16" i="25" s="1"/>
  <c r="E54" i="20"/>
  <c r="M18" i="25" s="1"/>
  <c r="G25" i="20"/>
  <c r="F35" i="20"/>
  <c r="F41" i="20" s="1"/>
  <c r="P97" i="25" s="1"/>
  <c r="P102" i="25" s="1"/>
  <c r="G100" i="25" s="1"/>
  <c r="D54" i="20"/>
  <c r="L18" i="25" s="1"/>
  <c r="D51" i="20"/>
  <c r="K32" i="25"/>
  <c r="D52" i="20"/>
  <c r="L16" i="25" s="1"/>
  <c r="D53" i="20"/>
  <c r="L17" i="25" s="1"/>
  <c r="I32" i="20"/>
  <c r="H32" i="20" l="1"/>
  <c r="J70" i="25"/>
  <c r="S101" i="25"/>
  <c r="I70" i="25"/>
  <c r="K70" i="25" s="1"/>
  <c r="C65" i="20"/>
  <c r="L31" i="25"/>
  <c r="L38" i="25"/>
  <c r="L25" i="25"/>
  <c r="O25" i="25" s="1"/>
  <c r="K39" i="25"/>
  <c r="K33" i="25"/>
  <c r="L32" i="25"/>
  <c r="F52" i="20"/>
  <c r="N16" i="25" s="1"/>
  <c r="H15" i="22"/>
  <c r="F54" i="20"/>
  <c r="N18" i="25" s="1"/>
  <c r="F51" i="20"/>
  <c r="F53" i="20"/>
  <c r="N17" i="25" s="1"/>
  <c r="G25" i="22"/>
  <c r="M15" i="25"/>
  <c r="M19" i="25" s="1"/>
  <c r="E55" i="20"/>
  <c r="H25" i="20"/>
  <c r="G35" i="20"/>
  <c r="G41" i="20" s="1"/>
  <c r="Q97" i="25" s="1"/>
  <c r="Q102" i="25" s="1"/>
  <c r="H100" i="25" s="1"/>
  <c r="L15" i="25"/>
  <c r="L19" i="25" s="1"/>
  <c r="D55" i="20"/>
  <c r="L33" i="25" l="1"/>
  <c r="I25" i="20"/>
  <c r="I35" i="20" s="1"/>
  <c r="I41" i="20" s="1"/>
  <c r="S97" i="25" s="1"/>
  <c r="S102" i="25" s="1"/>
  <c r="J100" i="25" s="1"/>
  <c r="H35" i="20"/>
  <c r="H41" i="20" s="1"/>
  <c r="R97" i="25" s="1"/>
  <c r="R102" i="25" s="1"/>
  <c r="I100" i="25" s="1"/>
  <c r="N15" i="25"/>
  <c r="N19" i="25" s="1"/>
  <c r="F55" i="20"/>
  <c r="F111" i="25"/>
  <c r="H25" i="22"/>
  <c r="L24" i="25"/>
  <c r="L26" i="25" s="1"/>
  <c r="N15" i="26"/>
  <c r="G51" i="20"/>
  <c r="G53" i="20"/>
  <c r="O17" i="25" s="1"/>
  <c r="G54" i="20"/>
  <c r="O18" i="25" s="1"/>
  <c r="I15" i="22"/>
  <c r="G52" i="20"/>
  <c r="O16" i="25" s="1"/>
  <c r="F75" i="25"/>
  <c r="O15" i="26"/>
  <c r="F80" i="25"/>
  <c r="K40" i="25"/>
  <c r="L40" i="25" s="1"/>
  <c r="L39" i="25"/>
  <c r="D65" i="20" l="1"/>
  <c r="E65" i="20"/>
  <c r="O24" i="25"/>
  <c r="G89" i="25"/>
  <c r="G94" i="25" s="1"/>
  <c r="G95" i="25" s="1"/>
  <c r="J89" i="25"/>
  <c r="J94" i="25" s="1"/>
  <c r="J95" i="25" s="1"/>
  <c r="I89" i="25"/>
  <c r="I94" i="25" s="1"/>
  <c r="I95" i="25" s="1"/>
  <c r="H89" i="25"/>
  <c r="H94" i="25" s="1"/>
  <c r="H95" i="25" s="1"/>
  <c r="I53" i="20"/>
  <c r="I51" i="20"/>
  <c r="K15" i="22"/>
  <c r="I52" i="20"/>
  <c r="I54" i="20"/>
  <c r="I25" i="22"/>
  <c r="G111" i="25"/>
  <c r="G75" i="25"/>
  <c r="G80" i="25"/>
  <c r="P15" i="26"/>
  <c r="O15" i="25"/>
  <c r="O19" i="25" s="1"/>
  <c r="G55" i="20"/>
  <c r="J15" i="22"/>
  <c r="H54" i="20"/>
  <c r="P18" i="25" s="1"/>
  <c r="H52" i="20"/>
  <c r="P16" i="25" s="1"/>
  <c r="H51" i="20"/>
  <c r="H53" i="20"/>
  <c r="P17" i="25" s="1"/>
  <c r="F65" i="20" l="1"/>
  <c r="H111" i="25"/>
  <c r="G84" i="25"/>
  <c r="Q15" i="25"/>
  <c r="I55" i="20"/>
  <c r="Q15" i="26"/>
  <c r="H75" i="25"/>
  <c r="H80" i="25"/>
  <c r="H84" i="25" s="1"/>
  <c r="Q16" i="25"/>
  <c r="P15" i="25"/>
  <c r="P19" i="25" s="1"/>
  <c r="H55" i="20"/>
  <c r="Q18" i="25"/>
  <c r="K25" i="22"/>
  <c r="J25" i="22"/>
  <c r="Q17" i="25"/>
  <c r="K100" i="25"/>
  <c r="G65" i="20" l="1"/>
  <c r="I111" i="25"/>
  <c r="J111" i="25"/>
  <c r="I80" i="25"/>
  <c r="I75" i="25"/>
  <c r="R15" i="26"/>
  <c r="Q19" i="25"/>
  <c r="I65" i="20" l="1"/>
  <c r="H65" i="20"/>
  <c r="F89" i="25"/>
  <c r="K83" i="25"/>
  <c r="F84" i="25"/>
  <c r="J75" i="25"/>
  <c r="K75" i="25" s="1"/>
  <c r="J80" i="25"/>
  <c r="J84" i="25" s="1"/>
  <c r="S15" i="26"/>
  <c r="I84" i="25"/>
  <c r="K84" i="25" l="1"/>
  <c r="F94" i="25"/>
  <c r="K89" i="25"/>
  <c r="K80" i="25"/>
  <c r="F95" i="25" l="1"/>
  <c r="K95" i="25" s="1"/>
  <c r="K94" i="25"/>
</calcChain>
</file>

<file path=xl/sharedStrings.xml><?xml version="1.0" encoding="utf-8"?>
<sst xmlns="http://schemas.openxmlformats.org/spreadsheetml/2006/main" count="387" uniqueCount="219">
  <si>
    <t>Unit</t>
  </si>
  <si>
    <t>$ nominal</t>
  </si>
  <si>
    <t>Total</t>
  </si>
  <si>
    <t>Inflation Value</t>
  </si>
  <si>
    <t>Percent</t>
  </si>
  <si>
    <t>CPI</t>
  </si>
  <si>
    <t>Source: Regulatory Accounts</t>
  </si>
  <si>
    <t>Historic opex in $2017 real</t>
  </si>
  <si>
    <t>Efficient Base Year</t>
  </si>
  <si>
    <t>Total Operating Expenditure</t>
  </si>
  <si>
    <t>real $2017</t>
  </si>
  <si>
    <t>Less one off costs</t>
  </si>
  <si>
    <t>Efficient Base Year Less one off costs</t>
  </si>
  <si>
    <t>Total one off costs</t>
  </si>
  <si>
    <t>Total items forecast separately</t>
  </si>
  <si>
    <t>Starting Base Year Opex</t>
  </si>
  <si>
    <t>Separate Forecasts</t>
  </si>
  <si>
    <t>Total of Separate Forecasts</t>
  </si>
  <si>
    <t>Baseline forecast Opex</t>
  </si>
  <si>
    <t>Step Changes</t>
  </si>
  <si>
    <t>Total Step changes</t>
  </si>
  <si>
    <t>Total Opex Forecast</t>
  </si>
  <si>
    <t>Year</t>
  </si>
  <si>
    <t>Debt raising costs</t>
  </si>
  <si>
    <t>Inflation Index (base 2017)</t>
  </si>
  <si>
    <t>Forecast inputs</t>
  </si>
  <si>
    <t>Yes</t>
  </si>
  <si>
    <t>Debt Raising Costs</t>
  </si>
  <si>
    <t>Allowances</t>
  </si>
  <si>
    <t>EBSS</t>
  </si>
  <si>
    <t>Allocation to categories</t>
  </si>
  <si>
    <t>Allocation in dollars</t>
  </si>
  <si>
    <t>real $2016</t>
  </si>
  <si>
    <t>Linepack</t>
  </si>
  <si>
    <t>Spares</t>
  </si>
  <si>
    <t>real 2017 m</t>
  </si>
  <si>
    <t>Operating expenditure less corporate overheads</t>
  </si>
  <si>
    <t>Total operating expenditure</t>
  </si>
  <si>
    <t>Corporate Overheads</t>
  </si>
  <si>
    <t>1 Jan to 30 June (Actuals)</t>
  </si>
  <si>
    <t>1 July to 31 December (Budget)</t>
  </si>
  <si>
    <t>Calculation of VTS budget overheads</t>
  </si>
  <si>
    <t>Budgeted Corporate overheads Victoria (1 Jul - 31 Dec)</t>
  </si>
  <si>
    <t>Opex allocator to VTS</t>
  </si>
  <si>
    <t>percent</t>
  </si>
  <si>
    <t>Total Corporate Allocation to VTS</t>
  </si>
  <si>
    <t>Actuals FY16</t>
  </si>
  <si>
    <t>Actual (1 Jan to 30 June)</t>
  </si>
  <si>
    <t>Calculation of VTS actual overheads</t>
  </si>
  <si>
    <t>Step changes</t>
  </si>
  <si>
    <t>Docklands Rental</t>
  </si>
  <si>
    <t>Docklands lease</t>
  </si>
  <si>
    <t>Operating Expenditure (real 2017 $m)</t>
  </si>
  <si>
    <t>Docklands Relocation</t>
  </si>
  <si>
    <t>Proportion attributable to operation of VTS</t>
  </si>
  <si>
    <t>VTS proportion of lease</t>
  </si>
  <si>
    <t xml:space="preserve"> $ 2016</t>
  </si>
  <si>
    <t>AER's Final Decision</t>
  </si>
  <si>
    <t>Difference</t>
  </si>
  <si>
    <t>Historic Opex from Regulatory Accounts</t>
  </si>
  <si>
    <t>Actuals vs AER Forecast</t>
  </si>
  <si>
    <t>$ 2012</t>
  </si>
  <si>
    <t>Opex for VTS less debt raising cost</t>
  </si>
  <si>
    <t>Corporate overheads</t>
  </si>
  <si>
    <t>Historic Operating Expenditure</t>
  </si>
  <si>
    <t>Corporate Cost Allocation for 2016</t>
  </si>
  <si>
    <t>Networks</t>
  </si>
  <si>
    <t>Transmission</t>
  </si>
  <si>
    <t>Generation</t>
  </si>
  <si>
    <t>Allgas</t>
  </si>
  <si>
    <t>Wallumbilla Gas Pipelines</t>
  </si>
  <si>
    <t>Australian Gas Network</t>
  </si>
  <si>
    <t>Commercial Development</t>
  </si>
  <si>
    <t>Residual</t>
  </si>
  <si>
    <t>Actuals (Jul to Dec 15)</t>
  </si>
  <si>
    <t>Actual (Jul to Jun 16)</t>
  </si>
  <si>
    <t>Forecast (Jul to Dec 16)</t>
  </si>
  <si>
    <t>Estimate Calendar year 16</t>
  </si>
  <si>
    <t>nominal $</t>
  </si>
  <si>
    <t>Total operating expenditure less debt raising costs</t>
  </si>
  <si>
    <t>Capex related operating expenditure (real 2017 $'000)</t>
  </si>
  <si>
    <t>Total forecast operating expenditure excluding Debt Raising Costs (real 2017 $m)</t>
  </si>
  <si>
    <t>Selection</t>
  </si>
  <si>
    <t>No</t>
  </si>
  <si>
    <t>Inflation Index (base 2012)</t>
  </si>
  <si>
    <t>Operating expenditure less corporate overheads and debt raising costs (real 2017 $m)</t>
  </si>
  <si>
    <t>nominal $m</t>
  </si>
  <si>
    <t>Insurance</t>
  </si>
  <si>
    <t>Corporate Overheads  (nominal $m)</t>
  </si>
  <si>
    <t>Insurance (nominal $000)</t>
  </si>
  <si>
    <t>APA VTS actual expenditure</t>
  </si>
  <si>
    <t>AER forecast</t>
  </si>
  <si>
    <t>Labour</t>
  </si>
  <si>
    <t>Materials</t>
  </si>
  <si>
    <t>Outside services</t>
  </si>
  <si>
    <t>Other operating costs</t>
  </si>
  <si>
    <t>Overheads/corporate costs</t>
  </si>
  <si>
    <t>Equity raising costs</t>
  </si>
  <si>
    <t>Insurance costs</t>
  </si>
  <si>
    <t>Other overheads</t>
  </si>
  <si>
    <t>Forecast</t>
  </si>
  <si>
    <t>AER's Revised AAI following appeal</t>
  </si>
  <si>
    <t>$m nominal</t>
  </si>
  <si>
    <t>2013*</t>
  </si>
  <si>
    <t>Controllable opex</t>
  </si>
  <si>
    <t>Reset costs</t>
  </si>
  <si>
    <t>Other allowances</t>
  </si>
  <si>
    <t>Real 2012 $m</t>
  </si>
  <si>
    <t>AER</t>
  </si>
  <si>
    <t>AER baseline to real $2012</t>
  </si>
  <si>
    <t>Overheads</t>
  </si>
  <si>
    <t>Revenue</t>
  </si>
  <si>
    <t>Revenue for VTS</t>
  </si>
  <si>
    <t>Revenue for Residual Allocator</t>
  </si>
  <si>
    <t>Revenue for Transmission Allocator</t>
  </si>
  <si>
    <t>Revenue for VTS 1 Jan to 31 Dec</t>
  </si>
  <si>
    <t>Transmission Allocator Revenue</t>
  </si>
  <si>
    <t>Residual Allocator Revenue</t>
  </si>
  <si>
    <t>Revenue for 1 Jan to 31 Dec</t>
  </si>
  <si>
    <t>Regulated VTS</t>
  </si>
  <si>
    <t>Percentage for AA submission</t>
  </si>
  <si>
    <t>Controllable operating expenditure</t>
  </si>
  <si>
    <t>EBSS adjustments</t>
  </si>
  <si>
    <t>RIN calculation</t>
  </si>
  <si>
    <t>2016 operating expense</t>
  </si>
  <si>
    <t>Proportions</t>
  </si>
  <si>
    <t>Augmentation and Expansion related opex</t>
  </si>
  <si>
    <t>Access Arrangement Costs</t>
  </si>
  <si>
    <t>Less base year items forecast separately</t>
  </si>
  <si>
    <t>Access Arrangement costs</t>
  </si>
  <si>
    <t>Debt Raising costs from PTRM</t>
  </si>
  <si>
    <t>`</t>
  </si>
  <si>
    <t>Access arrangement (real 2017 $'000)</t>
  </si>
  <si>
    <t>Access arrangement</t>
  </si>
  <si>
    <t>Docklands lease (real 2017 $'000)</t>
  </si>
  <si>
    <t>Corporate overheads allocated to VTS</t>
  </si>
  <si>
    <t>real $2012</t>
  </si>
  <si>
    <t>Total operating expenditure actual and forecast</t>
  </si>
  <si>
    <t>AER Forecast</t>
  </si>
  <si>
    <t>AER Total Operating Expenditure</t>
  </si>
  <si>
    <t>Real 2017 $m</t>
  </si>
  <si>
    <t>Operating Expenditure (actual)</t>
  </si>
  <si>
    <t>Operating Expenditure (forecast)</t>
  </si>
  <si>
    <t>EBSS Efficiency Carryover (real 2017 $m)</t>
  </si>
  <si>
    <t>DRC</t>
  </si>
  <si>
    <t>$2017</t>
  </si>
  <si>
    <t>$nominal</t>
  </si>
  <si>
    <t>AAI</t>
  </si>
  <si>
    <t>Controllable Opex</t>
  </si>
  <si>
    <t>$m real 2017</t>
  </si>
  <si>
    <t>Contractors</t>
  </si>
  <si>
    <t>Insurance, Licences and Fees</t>
  </si>
  <si>
    <t>Corporate costs</t>
  </si>
  <si>
    <t>Forecast operating expenditure</t>
  </si>
  <si>
    <t>Allowance</t>
  </si>
  <si>
    <t>Incremental allowance</t>
  </si>
  <si>
    <t>Opening RAB</t>
  </si>
  <si>
    <t>Return on linepack</t>
  </si>
  <si>
    <t>Ratio lineack</t>
  </si>
  <si>
    <t>Ratio spares</t>
  </si>
  <si>
    <t>Forecast Allowance</t>
  </si>
  <si>
    <t>Forecast as commissioned capex</t>
  </si>
  <si>
    <t>As adjusted in response to AER information request #005 supplied on 10 March 2017</t>
  </si>
  <si>
    <t>As adjusted in response to AER information request #002 supplied on 23 February 2017</t>
  </si>
  <si>
    <t>Change in linepack</t>
  </si>
  <si>
    <t>Change in spares</t>
  </si>
  <si>
    <t>Opening Balance</t>
  </si>
  <si>
    <t>Closing balance</t>
  </si>
  <si>
    <t>Indexation</t>
  </si>
  <si>
    <t>Assumed inflation</t>
  </si>
  <si>
    <t>Nominal Vanilla WACC</t>
  </si>
  <si>
    <t>abs cpi All cities</t>
  </si>
  <si>
    <t>Doesn't include AA costs</t>
  </si>
  <si>
    <t>Doesn't include linepack or spares</t>
  </si>
  <si>
    <t>Balance</t>
  </si>
  <si>
    <t>Return on spares</t>
  </si>
  <si>
    <t xml:space="preserve">Spares </t>
  </si>
  <si>
    <t>AER IR 006</t>
  </si>
  <si>
    <t>Proportion</t>
  </si>
  <si>
    <t>Forecast Capex</t>
  </si>
  <si>
    <t>Asset value</t>
  </si>
  <si>
    <t>Inflation Index</t>
  </si>
  <si>
    <t>Net changes in spares</t>
  </si>
  <si>
    <t>.</t>
  </si>
  <si>
    <t>Changes in linepack</t>
  </si>
  <si>
    <t>WORM</t>
  </si>
  <si>
    <t>Opex from Capex (from business cases)</t>
  </si>
  <si>
    <t>2016 Corporate Overheads</t>
  </si>
  <si>
    <t>Total operating expenditure (real 2017 $m)</t>
  </si>
  <si>
    <t>Check</t>
  </si>
  <si>
    <t>AA period total operating expenditure vs AER forecast (nominal $m)</t>
  </si>
  <si>
    <t>2013-17 total operating expenditure vs AER forecast (nominal $m)</t>
  </si>
  <si>
    <t>Controllable opex (nominal $m)</t>
  </si>
  <si>
    <t>Operating expenditure (real 2017 $m)</t>
  </si>
  <si>
    <t>WORM Stage 2 &amp; 3 (49.311km 450NB Pipeline) incl. PRS</t>
  </si>
  <si>
    <t>Wollert Unit 6</t>
  </si>
  <si>
    <t>Rockbank PRS</t>
  </si>
  <si>
    <t>WORM Opex</t>
  </si>
  <si>
    <t>WORM additional opex (real 2017 $000)</t>
  </si>
  <si>
    <t>Supplied by Daniel Tucci on 11/5/2017</t>
  </si>
  <si>
    <t>Spares allowance</t>
  </si>
  <si>
    <t>Linepack allowance</t>
  </si>
  <si>
    <t>Total Opex</t>
  </si>
  <si>
    <t>Capital Growth</t>
  </si>
  <si>
    <t>Debt raising cost</t>
  </si>
  <si>
    <t>Access Arrangement</t>
  </si>
  <si>
    <t>2013</t>
  </si>
  <si>
    <t>2016(e)</t>
  </si>
  <si>
    <t>2017(f)</t>
  </si>
  <si>
    <t xml:space="preserve">Asset operations and management </t>
  </si>
  <si>
    <t>Regulatory (Asset Licences)</t>
  </si>
  <si>
    <t xml:space="preserve">Insurance </t>
  </si>
  <si>
    <t xml:space="preserve">Corporate overheads costs </t>
  </si>
  <si>
    <t>Table 2.2:  Operating expenditure by category over the earlier Access Arrangement Period ($real 2017l)</t>
  </si>
  <si>
    <t>Warragul</t>
  </si>
  <si>
    <t>Anglesea</t>
  </si>
  <si>
    <t>VNIE</t>
  </si>
  <si>
    <t>Step out and scope changes</t>
  </si>
  <si>
    <t>Benefit sharing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</si>
</sst>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_-* #,##0.0_-;\-* #,##0.0_-;_-* &quot;-&quot;_-;_-@_-"/>
    <numFmt numFmtId="169" formatCode="_(* #,##0_);_(* \(#,##0\);_(* &quot;-&quot;_);_(@_)"/>
    <numFmt numFmtId="170" formatCode="_(* #,##0.00_);_(* \(#,##0.00\);_(* &quot;-&quot;??_);_(@_)"/>
    <numFmt numFmtId="171" formatCode="_([$€-2]* #,##0.00_);_([$€-2]* \(#,##0.00\);_([$€-2]* &quot;-&quot;??_)"/>
    <numFmt numFmtId="172" formatCode="_-* #,##0.00_-;[Red]\(#,##0.00\)_-;_-* &quot;-&quot;??_-;_-@_-"/>
    <numFmt numFmtId="173" formatCode="mm/dd/yy"/>
    <numFmt numFmtId="174" formatCode="0_);[Red]\(0\)"/>
    <numFmt numFmtId="175" formatCode="_(* #,##0.0_);_(* \(#,##0.0\);_(* &quot;-&quot;?_);_(@_)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_-* #,##0.00_-;\-* #,##0.00_-;_-* &quot;-&quot;_-;_-@_-"/>
  </numFmts>
  <fonts count="75">
    <font>
      <sz val="14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9"/>
      <color theme="0"/>
      <name val="Century Gothic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A7D00"/>
      <name val="Arial"/>
      <family val="2"/>
    </font>
    <font>
      <b/>
      <sz val="11"/>
      <color rgb="FFBEAFA8"/>
      <name val="Century Gothic"/>
      <family val="2"/>
    </font>
    <font>
      <sz val="14"/>
      <name val="Century Gothic"/>
      <family val="2"/>
    </font>
    <font>
      <b/>
      <sz val="14"/>
      <color rgb="FF25282A"/>
      <name val="Century Gothic"/>
      <family val="2"/>
    </font>
    <font>
      <sz val="14"/>
      <color rgb="FF25282A"/>
      <name val="Century Gothic"/>
      <family val="2"/>
    </font>
    <font>
      <sz val="8"/>
      <name val="Century Gothic"/>
      <family val="2"/>
    </font>
    <font>
      <b/>
      <sz val="14"/>
      <color rgb="FFC8102E"/>
      <name val="Century Gothic"/>
      <family val="2"/>
    </font>
    <font>
      <b/>
      <sz val="14"/>
      <color rgb="FFFFFFFF"/>
      <name val="Arial Narrow"/>
      <family val="2"/>
    </font>
    <font>
      <sz val="14"/>
      <color theme="1"/>
      <name val="Century Gothic"/>
      <family val="2"/>
    </font>
    <font>
      <b/>
      <sz val="18"/>
      <color rgb="FFC8102E"/>
      <name val="Century Gothic"/>
      <family val="2"/>
    </font>
    <font>
      <sz val="14"/>
      <color theme="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0"/>
      <name val="Century Gothic"/>
      <family val="2"/>
    </font>
    <font>
      <b/>
      <sz val="9"/>
      <color rgb="FFFFFFFF"/>
      <name val="Century Gothic"/>
      <family val="2"/>
    </font>
    <font>
      <b/>
      <sz val="10"/>
      <color theme="1"/>
      <name val="Century Gothic"/>
      <family val="2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448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9B5C0"/>
        <bgColor indexed="64"/>
      </patternFill>
    </fill>
    <fill>
      <patternFill patternType="solid">
        <fgColor rgb="FFABB1B5"/>
        <bgColor indexed="64"/>
      </patternFill>
    </fill>
    <fill>
      <patternFill patternType="solid">
        <fgColor rgb="FFD3F1E2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rgb="FFF68E6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</borders>
  <cellStyleXfs count="301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35" borderId="1" applyNumberFormat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2" borderId="0" applyNumberFormat="0" applyAlignment="0" applyProtection="0"/>
    <xf numFmtId="0" fontId="15" fillId="2" borderId="0" applyNumberFormat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14" fillId="34" borderId="2" applyNumberFormat="0" applyAlignment="0" applyProtection="0"/>
    <xf numFmtId="0" fontId="9" fillId="31" borderId="3" applyNumberFormat="0" applyAlignment="0" applyProtection="0"/>
    <xf numFmtId="0" fontId="14" fillId="0" borderId="2" applyNumberFormat="0" applyAlignment="0" applyProtection="0"/>
    <xf numFmtId="0" fontId="2" fillId="6" borderId="4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8" fillId="3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9" fillId="32" borderId="7">
      <alignment horizontal="left" vertical="center" wrapText="1"/>
    </xf>
    <xf numFmtId="0" fontId="16" fillId="2" borderId="8">
      <alignment horizontal="left" vertical="center" wrapText="1"/>
    </xf>
    <xf numFmtId="43" fontId="16" fillId="2" borderId="8">
      <alignment horizontal="right" vertical="center" wrapText="1"/>
    </xf>
    <xf numFmtId="9" fontId="20" fillId="0" borderId="0" applyFill="0" applyBorder="0" applyAlignment="0" applyProtection="0"/>
    <xf numFmtId="0" fontId="13" fillId="0" borderId="0" applyNumberFormat="0" applyFill="0" applyAlignment="0" applyProtection="0"/>
    <xf numFmtId="0" fontId="14" fillId="33" borderId="2" applyAlignment="0" applyProtection="0"/>
    <xf numFmtId="41" fontId="20" fillId="0" borderId="0" applyFill="0" applyBorder="0" applyAlignment="0" applyProtection="0"/>
    <xf numFmtId="0" fontId="22" fillId="36" borderId="0"/>
    <xf numFmtId="0" fontId="23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/>
    <xf numFmtId="9" fontId="23" fillId="0" borderId="0" applyFont="0" applyFill="0" applyBorder="0" applyAlignment="0" applyProtection="0"/>
    <xf numFmtId="0" fontId="30" fillId="41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169" fontId="23" fillId="42" borderId="0" applyFont="0" applyBorder="0" applyAlignment="0">
      <alignment horizontal="right"/>
      <protection locked="0"/>
    </xf>
    <xf numFmtId="169" fontId="23" fillId="40" borderId="0" applyFont="0" applyBorder="0">
      <alignment horizontal="right"/>
      <protection locked="0"/>
    </xf>
    <xf numFmtId="0" fontId="25" fillId="0" borderId="0"/>
    <xf numFmtId="0" fontId="23" fillId="0" borderId="0" applyFill="0"/>
    <xf numFmtId="0" fontId="30" fillId="43" borderId="0">
      <alignment horizontal="left" vertical="center"/>
      <protection locked="0"/>
    </xf>
    <xf numFmtId="0" fontId="31" fillId="37" borderId="0">
      <alignment vertical="center"/>
      <protection locked="0"/>
    </xf>
    <xf numFmtId="0" fontId="23" fillId="0" borderId="0"/>
    <xf numFmtId="0" fontId="23" fillId="0" borderId="0"/>
    <xf numFmtId="0" fontId="23" fillId="0" borderId="0"/>
    <xf numFmtId="171" fontId="23" fillId="0" borderId="0"/>
    <xf numFmtId="0" fontId="32" fillId="0" borderId="0"/>
    <xf numFmtId="0" fontId="32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3" fillId="0" borderId="0"/>
    <xf numFmtId="0" fontId="23" fillId="0" borderId="0"/>
    <xf numFmtId="0" fontId="23" fillId="0" borderId="0"/>
    <xf numFmtId="172" fontId="27" fillId="0" borderId="0"/>
    <xf numFmtId="172" fontId="27" fillId="0" borderId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7" borderId="0" applyNumberFormat="0" applyBorder="0" applyAlignment="0" applyProtection="0"/>
    <xf numFmtId="0" fontId="34" fillId="54" borderId="0" applyNumberFormat="0" applyBorder="0" applyAlignment="0" applyProtection="0"/>
    <xf numFmtId="0" fontId="34" fillId="58" borderId="0" applyNumberFormat="0" applyBorder="0" applyAlignment="0" applyProtection="0"/>
    <xf numFmtId="0" fontId="35" fillId="55" borderId="0" applyNumberFormat="0" applyBorder="0" applyAlignment="0" applyProtection="0"/>
    <xf numFmtId="0" fontId="35" fillId="59" borderId="0" applyNumberFormat="0" applyBorder="0" applyAlignment="0" applyProtection="0"/>
    <xf numFmtId="0" fontId="34" fillId="51" borderId="0" applyNumberFormat="0" applyBorder="0" applyAlignment="0" applyProtection="0"/>
    <xf numFmtId="0" fontId="34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3" borderId="0" applyNumberFormat="0" applyBorder="0" applyAlignment="0" applyProtection="0"/>
    <xf numFmtId="0" fontId="36" fillId="0" borderId="0"/>
    <xf numFmtId="42" fontId="37" fillId="0" borderId="0" applyFont="0" applyFill="0" applyBorder="0" applyAlignment="0" applyProtection="0"/>
    <xf numFmtId="0" fontId="38" fillId="64" borderId="0" applyNumberFormat="0" applyBorder="0" applyAlignment="0" applyProtection="0"/>
    <xf numFmtId="0" fontId="39" fillId="0" borderId="0" applyNumberFormat="0" applyFill="0" applyBorder="0" applyAlignment="0"/>
    <xf numFmtId="169" fontId="23" fillId="39" borderId="0" applyNumberFormat="0" applyFont="0" applyBorder="0" applyAlignment="0">
      <alignment horizontal="right"/>
    </xf>
    <xf numFmtId="169" fontId="23" fillId="39" borderId="0" applyNumberFormat="0" applyFont="0" applyBorder="0" applyAlignment="0">
      <alignment horizontal="right"/>
    </xf>
    <xf numFmtId="0" fontId="40" fillId="0" borderId="0" applyNumberFormat="0" applyFill="0" applyBorder="0" applyAlignment="0">
      <protection locked="0"/>
    </xf>
    <xf numFmtId="0" fontId="41" fillId="48" borderId="13" applyNumberFormat="0" applyAlignment="0" applyProtection="0"/>
    <xf numFmtId="0" fontId="42" fillId="65" borderId="14" applyNumberFormat="0" applyAlignment="0" applyProtection="0"/>
    <xf numFmtId="41" fontId="2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6" fillId="66" borderId="0" applyNumberFormat="0" applyBorder="0" applyAlignment="0" applyProtection="0"/>
    <xf numFmtId="0" fontId="46" fillId="67" borderId="0" applyNumberFormat="0" applyBorder="0" applyAlignment="0" applyProtection="0"/>
    <xf numFmtId="0" fontId="46" fillId="68" borderId="0" applyNumberFormat="0" applyBorder="0" applyAlignment="0" applyProtection="0"/>
    <xf numFmtId="171" fontId="3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8" fillId="0" borderId="0"/>
    <xf numFmtId="0" fontId="49" fillId="0" borderId="0"/>
    <xf numFmtId="0" fontId="50" fillId="69" borderId="0" applyNumberFormat="0" applyBorder="0" applyAlignment="0" applyProtection="0"/>
    <xf numFmtId="0" fontId="24" fillId="0" borderId="0" applyFill="0" applyBorder="0">
      <alignment vertical="center"/>
    </xf>
    <xf numFmtId="0" fontId="51" fillId="0" borderId="15" applyNumberFormat="0" applyFill="0" applyAlignment="0" applyProtection="0"/>
    <xf numFmtId="0" fontId="24" fillId="0" borderId="0" applyFill="0" applyBorder="0">
      <alignment vertical="center"/>
    </xf>
    <xf numFmtId="0" fontId="28" fillId="0" borderId="0" applyFill="0" applyBorder="0">
      <alignment vertical="center"/>
    </xf>
    <xf numFmtId="0" fontId="52" fillId="0" borderId="16" applyNumberFormat="0" applyFill="0" applyAlignment="0" applyProtection="0"/>
    <xf numFmtId="0" fontId="28" fillId="0" borderId="0" applyFill="0" applyBorder="0">
      <alignment vertical="center"/>
    </xf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29" fillId="0" borderId="0" applyFill="0" applyBorder="0">
      <alignment vertical="center"/>
    </xf>
    <xf numFmtId="0" fontId="29" fillId="0" borderId="0" applyFill="0" applyBorder="0">
      <alignment vertical="center"/>
    </xf>
    <xf numFmtId="0" fontId="27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7" fillId="0" borderId="0" applyFill="0" applyBorder="0">
      <alignment vertical="center"/>
    </xf>
    <xf numFmtId="16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175" fontId="23" fillId="40" borderId="0" applyFont="0" applyBorder="0">
      <alignment horizontal="right"/>
    </xf>
    <xf numFmtId="0" fontId="58" fillId="46" borderId="13" applyNumberFormat="0" applyAlignment="0" applyProtection="0"/>
    <xf numFmtId="169" fontId="23" fillId="70" borderId="0" applyFont="0" applyBorder="0" applyAlignment="0">
      <alignment horizontal="right"/>
      <protection locked="0"/>
    </xf>
    <xf numFmtId="169" fontId="23" fillId="42" borderId="0" applyFont="0" applyBorder="0" applyAlignment="0">
      <alignment horizontal="right"/>
      <protection locked="0"/>
    </xf>
    <xf numFmtId="176" fontId="23" fillId="71" borderId="0" applyFont="0" applyBorder="0">
      <alignment horizontal="right"/>
      <protection locked="0"/>
    </xf>
    <xf numFmtId="176" fontId="23" fillId="71" borderId="0" applyFont="0" applyBorder="0">
      <alignment horizontal="right"/>
      <protection locked="0"/>
    </xf>
    <xf numFmtId="169" fontId="23" fillId="40" borderId="0" applyFont="0" applyBorder="0">
      <alignment horizontal="right"/>
      <protection locked="0"/>
    </xf>
    <xf numFmtId="0" fontId="27" fillId="39" borderId="0"/>
    <xf numFmtId="0" fontId="59" fillId="0" borderId="18" applyNumberFormat="0" applyFill="0" applyAlignment="0" applyProtection="0"/>
    <xf numFmtId="177" fontId="60" fillId="0" borderId="0"/>
    <xf numFmtId="0" fontId="26" fillId="0" borderId="0" applyFill="0" applyBorder="0">
      <alignment horizontal="left" vertical="center"/>
    </xf>
    <xf numFmtId="0" fontId="61" fillId="49" borderId="0" applyNumberFormat="0" applyBorder="0" applyAlignment="0" applyProtection="0"/>
    <xf numFmtId="178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8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38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47" borderId="19" applyNumberFormat="0" applyFont="0" applyAlignment="0" applyProtection="0"/>
    <xf numFmtId="0" fontId="63" fillId="48" borderId="20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64" fillId="0" borderId="0"/>
    <xf numFmtId="0" fontId="29" fillId="0" borderId="0" applyFill="0" applyBorder="0">
      <alignment vertical="center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180" fontId="65" fillId="0" borderId="11"/>
    <xf numFmtId="0" fontId="66" fillId="0" borderId="12">
      <alignment horizontal="center"/>
    </xf>
    <xf numFmtId="3" fontId="43" fillId="0" borderId="0" applyFont="0" applyFill="0" applyBorder="0" applyAlignment="0" applyProtection="0"/>
    <xf numFmtId="0" fontId="43" fillId="72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7" fillId="0" borderId="0" applyFill="0" applyBorder="0">
      <alignment horizontal="right" vertical="center"/>
    </xf>
    <xf numFmtId="183" fontId="27" fillId="0" borderId="0" applyFill="0" applyBorder="0">
      <alignment horizontal="right" vertical="center"/>
    </xf>
    <xf numFmtId="184" fontId="27" fillId="0" borderId="0" applyFill="0" applyBorder="0">
      <alignment horizontal="right" vertical="center"/>
    </xf>
    <xf numFmtId="0" fontId="23" fillId="47" borderId="0" applyNumberFormat="0" applyFont="0" applyBorder="0" applyAlignment="0" applyProtection="0"/>
    <xf numFmtId="0" fontId="23" fillId="47" borderId="0" applyNumberFormat="0" applyFont="0" applyBorder="0" applyAlignment="0" applyProtection="0"/>
    <xf numFmtId="0" fontId="23" fillId="48" borderId="0" applyNumberFormat="0" applyFont="0" applyBorder="0" applyAlignment="0" applyProtection="0"/>
    <xf numFmtId="0" fontId="23" fillId="48" borderId="0" applyNumberFormat="0" applyFont="0" applyBorder="0" applyAlignment="0" applyProtection="0"/>
    <xf numFmtId="0" fontId="23" fillId="50" borderId="0" applyNumberFormat="0" applyFont="0" applyBorder="0" applyAlignment="0" applyProtection="0"/>
    <xf numFmtId="0" fontId="23" fillId="50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50" borderId="0" applyNumberFormat="0" applyFont="0" applyBorder="0" applyAlignment="0" applyProtection="0"/>
    <xf numFmtId="0" fontId="23" fillId="50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6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6" fillId="0" borderId="0"/>
    <xf numFmtId="0" fontId="68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69" fillId="44" borderId="9" applyBorder="0" applyProtection="0">
      <alignment horizontal="centerContinuous" vertical="center"/>
    </xf>
    <xf numFmtId="0" fontId="70" fillId="0" borderId="0" applyBorder="0" applyProtection="0">
      <alignment vertical="center"/>
    </xf>
    <xf numFmtId="0" fontId="71" fillId="0" borderId="21" applyFill="0" applyBorder="0" applyProtection="0">
      <alignment horizontal="left" vertical="top"/>
    </xf>
    <xf numFmtId="0" fontId="72" fillId="73" borderId="10" applyNumberFormat="0" applyFont="0" applyBorder="0" applyAlignment="0" applyProtection="0"/>
  </cellStyleXfs>
  <cellXfs count="102">
    <xf numFmtId="0" fontId="0" fillId="2" borderId="0" xfId="0"/>
    <xf numFmtId="0" fontId="17" fillId="35" borderId="1" xfId="4"/>
    <xf numFmtId="0" fontId="3" fillId="2" borderId="0" xfId="0" applyFont="1"/>
    <xf numFmtId="0" fontId="3" fillId="2" borderId="0" xfId="0" applyFont="1" applyFill="1"/>
    <xf numFmtId="0" fontId="3" fillId="0" borderId="0" xfId="0" applyFont="1" applyFill="1"/>
    <xf numFmtId="0" fontId="21" fillId="0" borderId="0" xfId="7" applyFill="1"/>
    <xf numFmtId="0" fontId="14" fillId="0" borderId="2" xfId="15"/>
    <xf numFmtId="0" fontId="14" fillId="34" borderId="2" xfId="13"/>
    <xf numFmtId="0" fontId="14" fillId="33" borderId="2" xfId="50"/>
    <xf numFmtId="0" fontId="18" fillId="2" borderId="0" xfId="8"/>
    <xf numFmtId="41" fontId="20" fillId="34" borderId="2" xfId="51" applyFill="1" applyBorder="1"/>
    <xf numFmtId="41" fontId="14" fillId="0" borderId="2" xfId="15" applyNumberFormat="1"/>
    <xf numFmtId="6" fontId="14" fillId="34" borderId="2" xfId="13" quotePrefix="1" applyNumberFormat="1"/>
    <xf numFmtId="6" fontId="14" fillId="0" borderId="2" xfId="15" quotePrefix="1" applyNumberFormat="1"/>
    <xf numFmtId="0" fontId="15" fillId="2" borderId="0" xfId="9"/>
    <xf numFmtId="0" fontId="15" fillId="2" borderId="0" xfId="9" applyAlignment="1">
      <alignment horizontal="left" vertical="center" wrapText="1"/>
    </xf>
    <xf numFmtId="6" fontId="14" fillId="0" borderId="2" xfId="15" applyNumberFormat="1"/>
    <xf numFmtId="41" fontId="14" fillId="33" borderId="2" xfId="50" applyNumberFormat="1"/>
    <xf numFmtId="0" fontId="21" fillId="0" borderId="0" xfId="7"/>
    <xf numFmtId="0" fontId="19" fillId="32" borderId="7" xfId="45">
      <alignment horizontal="left" vertical="center" wrapText="1"/>
    </xf>
    <xf numFmtId="0" fontId="16" fillId="2" borderId="8" xfId="46">
      <alignment horizontal="left" vertical="center" wrapText="1"/>
    </xf>
    <xf numFmtId="43" fontId="16" fillId="2" borderId="8" xfId="47">
      <alignment horizontal="right" vertical="center" wrapText="1"/>
    </xf>
    <xf numFmtId="0" fontId="19" fillId="32" borderId="7" xfId="45" applyAlignment="1">
      <alignment horizontal="right" vertical="center" wrapText="1"/>
    </xf>
    <xf numFmtId="2" fontId="14" fillId="0" borderId="2" xfId="15" applyNumberFormat="1"/>
    <xf numFmtId="166" fontId="14" fillId="0" borderId="2" xfId="15" applyNumberFormat="1"/>
    <xf numFmtId="41" fontId="14" fillId="34" borderId="2" xfId="13" applyNumberFormat="1"/>
    <xf numFmtId="9" fontId="14" fillId="0" borderId="2" xfId="15" applyNumberFormat="1"/>
    <xf numFmtId="9" fontId="14" fillId="34" borderId="2" xfId="13" applyNumberFormat="1"/>
    <xf numFmtId="166" fontId="14" fillId="34" borderId="2" xfId="13" applyNumberFormat="1"/>
    <xf numFmtId="0" fontId="15" fillId="2" borderId="0" xfId="9"/>
    <xf numFmtId="43" fontId="3" fillId="2" borderId="0" xfId="0" applyNumberFormat="1" applyFont="1"/>
    <xf numFmtId="0" fontId="15" fillId="2" borderId="0" xfId="9"/>
    <xf numFmtId="6" fontId="14" fillId="34" borderId="2" xfId="13" applyNumberFormat="1"/>
    <xf numFmtId="0" fontId="15" fillId="2" borderId="0" xfId="9"/>
    <xf numFmtId="0" fontId="21" fillId="2" borderId="0" xfId="7" applyFill="1"/>
    <xf numFmtId="0" fontId="18" fillId="2" borderId="0" xfId="8" applyFill="1"/>
    <xf numFmtId="0" fontId="16" fillId="2" borderId="8" xfId="46" applyFill="1">
      <alignment horizontal="left" vertical="center" wrapText="1"/>
    </xf>
    <xf numFmtId="43" fontId="14" fillId="34" borderId="2" xfId="13" applyNumberFormat="1"/>
    <xf numFmtId="0" fontId="14" fillId="34" borderId="2" xfId="13" quotePrefix="1"/>
    <xf numFmtId="43" fontId="14" fillId="0" borderId="2" xfId="15" applyNumberFormat="1"/>
    <xf numFmtId="168" fontId="14" fillId="0" borderId="2" xfId="15" applyNumberFormat="1"/>
    <xf numFmtId="0" fontId="15" fillId="2" borderId="0" xfId="9"/>
    <xf numFmtId="0" fontId="15" fillId="2" borderId="0" xfId="9"/>
    <xf numFmtId="165" fontId="3" fillId="2" borderId="0" xfId="0" applyNumberFormat="1" applyFont="1"/>
    <xf numFmtId="165" fontId="16" fillId="2" borderId="8" xfId="47" applyNumberFormat="1" applyFill="1">
      <alignment horizontal="right" vertical="center" wrapText="1"/>
    </xf>
    <xf numFmtId="165" fontId="16" fillId="2" borderId="8" xfId="47" applyNumberFormat="1">
      <alignment horizontal="right" vertical="center" wrapText="1"/>
    </xf>
    <xf numFmtId="0" fontId="15" fillId="2" borderId="8" xfId="46" applyFont="1">
      <alignment horizontal="left" vertical="center" wrapText="1"/>
    </xf>
    <xf numFmtId="166" fontId="16" fillId="2" borderId="8" xfId="47" applyNumberFormat="1">
      <alignment horizontal="right" vertical="center" wrapText="1"/>
    </xf>
    <xf numFmtId="166" fontId="15" fillId="2" borderId="8" xfId="47" applyNumberFormat="1" applyFont="1">
      <alignment horizontal="right" vertical="center" wrapText="1"/>
    </xf>
    <xf numFmtId="0" fontId="15" fillId="2" borderId="0" xfId="9"/>
    <xf numFmtId="167" fontId="14" fillId="0" borderId="2" xfId="15" applyNumberFormat="1"/>
    <xf numFmtId="0" fontId="17" fillId="35" borderId="1" xfId="4"/>
    <xf numFmtId="0" fontId="15" fillId="2" borderId="0" xfId="9" applyAlignment="1">
      <alignment vertical="center" wrapText="1"/>
    </xf>
    <xf numFmtId="0" fontId="15" fillId="2" borderId="0" xfId="9" applyAlignment="1">
      <alignment horizontal="center" vertical="center" wrapText="1"/>
    </xf>
    <xf numFmtId="0" fontId="14" fillId="34" borderId="2" xfId="13" applyAlignment="1">
      <alignment vertical="center" wrapText="1"/>
    </xf>
    <xf numFmtId="0" fontId="14" fillId="34" borderId="2" xfId="13" applyAlignment="1">
      <alignment horizontal="center" vertical="center" wrapText="1"/>
    </xf>
    <xf numFmtId="0" fontId="14" fillId="0" borderId="2" xfId="15" applyAlignment="1">
      <alignment vertical="center" wrapText="1"/>
    </xf>
    <xf numFmtId="0" fontId="14" fillId="0" borderId="2" xfId="15" applyAlignment="1">
      <alignment horizontal="center" vertical="center" wrapText="1"/>
    </xf>
    <xf numFmtId="164" fontId="20" fillId="0" borderId="2" xfId="48" applyNumberFormat="1" applyBorder="1"/>
    <xf numFmtId="3" fontId="14" fillId="34" borderId="2" xfId="13" applyNumberFormat="1"/>
    <xf numFmtId="164" fontId="20" fillId="33" borderId="2" xfId="48" applyNumberFormat="1" applyFill="1" applyBorder="1"/>
    <xf numFmtId="3" fontId="14" fillId="0" borderId="2" xfId="15" applyNumberFormat="1"/>
    <xf numFmtId="167" fontId="14" fillId="0" borderId="2" xfId="15" applyNumberFormat="1"/>
    <xf numFmtId="2" fontId="14" fillId="34" borderId="2" xfId="13" applyNumberFormat="1"/>
    <xf numFmtId="0" fontId="15" fillId="2" borderId="0" xfId="9"/>
    <xf numFmtId="0" fontId="16" fillId="2" borderId="8" xfId="46" applyAlignment="1">
      <alignment horizontal="left" vertical="center"/>
    </xf>
    <xf numFmtId="43" fontId="16" fillId="2" borderId="8" xfId="47" applyAlignment="1">
      <alignment horizontal="right" vertical="center"/>
    </xf>
    <xf numFmtId="43" fontId="16" fillId="2" borderId="8" xfId="47" applyNumberFormat="1">
      <alignment horizontal="right" vertical="center" wrapText="1"/>
    </xf>
    <xf numFmtId="6" fontId="16" fillId="2" borderId="8" xfId="46" quotePrefix="1" applyNumberFormat="1">
      <alignment horizontal="left" vertical="center" wrapText="1"/>
    </xf>
    <xf numFmtId="0" fontId="73" fillId="32" borderId="7" xfId="0" applyFont="1" applyFill="1" applyBorder="1" applyAlignment="1">
      <alignment horizontal="left" vertical="center" wrapText="1"/>
    </xf>
    <xf numFmtId="0" fontId="73" fillId="32" borderId="7" xfId="0" applyFont="1" applyFill="1" applyBorder="1" applyAlignment="1">
      <alignment horizontal="center" vertical="center" wrapText="1"/>
    </xf>
    <xf numFmtId="0" fontId="17" fillId="35" borderId="1" xfId="4"/>
    <xf numFmtId="0" fontId="13" fillId="2" borderId="0" xfId="49" applyFill="1"/>
    <xf numFmtId="10" fontId="20" fillId="0" borderId="2" xfId="48" applyNumberFormat="1" applyBorder="1"/>
    <xf numFmtId="10" fontId="14" fillId="0" borderId="2" xfId="15" applyNumberFormat="1"/>
    <xf numFmtId="164" fontId="14" fillId="34" borderId="2" xfId="13" applyNumberFormat="1"/>
    <xf numFmtId="0" fontId="15" fillId="2" borderId="0" xfId="9"/>
    <xf numFmtId="41" fontId="3" fillId="2" borderId="0" xfId="0" applyNumberFormat="1" applyFont="1"/>
    <xf numFmtId="0" fontId="17" fillId="35" borderId="1" xfId="4"/>
    <xf numFmtId="164" fontId="3" fillId="2" borderId="0" xfId="0" applyNumberFormat="1" applyFont="1"/>
    <xf numFmtId="10" fontId="3" fillId="2" borderId="0" xfId="0" applyNumberFormat="1" applyFont="1"/>
    <xf numFmtId="10" fontId="14" fillId="34" borderId="2" xfId="13" applyNumberFormat="1"/>
    <xf numFmtId="164" fontId="14" fillId="0" borderId="2" xfId="15" applyNumberFormat="1"/>
    <xf numFmtId="0" fontId="15" fillId="2" borderId="0" xfId="9"/>
    <xf numFmtId="0" fontId="14" fillId="34" borderId="2" xfId="13" applyNumberFormat="1"/>
    <xf numFmtId="166" fontId="3" fillId="2" borderId="0" xfId="0" applyNumberFormat="1" applyFont="1"/>
    <xf numFmtId="0" fontId="14" fillId="74" borderId="2" xfId="13" applyFill="1"/>
    <xf numFmtId="6" fontId="14" fillId="74" borderId="2" xfId="13" applyNumberFormat="1" applyFill="1"/>
    <xf numFmtId="41" fontId="14" fillId="74" borderId="2" xfId="13" applyNumberFormat="1" applyFill="1"/>
    <xf numFmtId="0" fontId="17" fillId="35" borderId="1" xfId="4"/>
    <xf numFmtId="0" fontId="17" fillId="35" borderId="1" xfId="4"/>
    <xf numFmtId="6" fontId="15" fillId="2" borderId="8" xfId="46" quotePrefix="1" applyNumberFormat="1" applyFont="1">
      <alignment horizontal="left" vertical="center" wrapText="1"/>
    </xf>
    <xf numFmtId="165" fontId="17" fillId="35" borderId="1" xfId="4" applyNumberFormat="1"/>
    <xf numFmtId="43" fontId="17" fillId="35" borderId="1" xfId="4" applyNumberFormat="1"/>
    <xf numFmtId="0" fontId="0" fillId="2" borderId="0" xfId="0" quotePrefix="1"/>
    <xf numFmtId="14" fontId="14" fillId="74" borderId="2" xfId="13" applyNumberFormat="1" applyFill="1"/>
    <xf numFmtId="10" fontId="14" fillId="74" borderId="2" xfId="15" applyNumberFormat="1" applyFill="1"/>
    <xf numFmtId="0" fontId="74" fillId="2" borderId="0" xfId="0" applyFont="1"/>
    <xf numFmtId="185" fontId="3" fillId="2" borderId="0" xfId="0" applyNumberFormat="1" applyFont="1"/>
    <xf numFmtId="0" fontId="73" fillId="32" borderId="7" xfId="0" applyFont="1" applyFill="1" applyBorder="1" applyAlignment="1">
      <alignment horizontal="right" vertical="center" wrapText="1"/>
    </xf>
    <xf numFmtId="9" fontId="20" fillId="2" borderId="0" xfId="48" applyFill="1"/>
    <xf numFmtId="165" fontId="15" fillId="2" borderId="8" xfId="47" applyNumberFormat="1" applyFont="1">
      <alignment horizontal="right" vertical="center" wrapText="1"/>
    </xf>
  </cellXfs>
  <cellStyles count="301">
    <cellStyle name=" 1" xfId="71"/>
    <cellStyle name=" 1 2" xfId="72"/>
    <cellStyle name=" 1 2 2" xfId="73"/>
    <cellStyle name=" 1 3" xfId="74"/>
    <cellStyle name=" 1 3 2" xfId="75"/>
    <cellStyle name=" 1 4" xfId="76"/>
    <cellStyle name=" 1_29(d) - Gas extensions -tariffs" xfId="77"/>
    <cellStyle name="_3GIS model v2.77_Distribution Business_Retail Fin Perform " xfId="78"/>
    <cellStyle name="_3GIS model v2.77_Fleet Overhead Costs 2_Retail Fin Perform " xfId="79"/>
    <cellStyle name="_3GIS model v2.77_Fleet Overhead Costs_Retail Fin Perform " xfId="80"/>
    <cellStyle name="_3GIS model v2.77_Forecast 2_Retail Fin Perform " xfId="81"/>
    <cellStyle name="_3GIS model v2.77_Forecast_Retail Fin Perform " xfId="82"/>
    <cellStyle name="_3GIS model v2.77_Funding &amp; Cashflow_1_Retail Fin Perform " xfId="83"/>
    <cellStyle name="_3GIS model v2.77_Funding &amp; Cashflow_Retail Fin Perform " xfId="84"/>
    <cellStyle name="_3GIS model v2.77_Group P&amp;L_1_Retail Fin Perform " xfId="85"/>
    <cellStyle name="_3GIS model v2.77_Group P&amp;L_Retail Fin Perform " xfId="86"/>
    <cellStyle name="_3GIS model v2.77_Opening  Detailed BS_Retail Fin Perform " xfId="87"/>
    <cellStyle name="_3GIS model v2.77_OUTPUT DB_Retail Fin Perform " xfId="88"/>
    <cellStyle name="_3GIS model v2.77_OUTPUT EB_Retail Fin Perform " xfId="89"/>
    <cellStyle name="_3GIS model v2.77_Report_Retail Fin Perform " xfId="90"/>
    <cellStyle name="_3GIS model v2.77_Retail Fin Perform " xfId="91"/>
    <cellStyle name="_3GIS model v2.77_Sheet2 2_Retail Fin Perform " xfId="92"/>
    <cellStyle name="_3GIS model v2.77_Sheet2_Retail Fin Perform " xfId="93"/>
    <cellStyle name="_Capex" xfId="94"/>
    <cellStyle name="_Capex 2" xfId="95"/>
    <cellStyle name="_Capex_29(d) - Gas extensions -tariffs" xfId="96"/>
    <cellStyle name="_UED AMP 2009-14 Final 250309 Less PU" xfId="97"/>
    <cellStyle name="_UED AMP 2009-14 Final 250309 Less PU_1011 monthly" xfId="98"/>
    <cellStyle name="20% - Accent1" xfId="19" builtinId="30" hidden="1"/>
    <cellStyle name="20% - Accent1 2" xfId="99"/>
    <cellStyle name="20% - Accent2" xfId="23" builtinId="34" hidden="1"/>
    <cellStyle name="20% - Accent2 2" xfId="100"/>
    <cellStyle name="20% - Accent3" xfId="27" builtinId="38" hidden="1"/>
    <cellStyle name="20% - Accent3 2" xfId="101"/>
    <cellStyle name="20% - Accent4" xfId="31" builtinId="42" hidden="1"/>
    <cellStyle name="20% - Accent4 2" xfId="102"/>
    <cellStyle name="20% - Accent5" xfId="35" builtinId="46" hidden="1"/>
    <cellStyle name="20% - Accent5 2" xfId="103"/>
    <cellStyle name="20% - Accent6" xfId="39" builtinId="50" hidden="1"/>
    <cellStyle name="20% - Accent6 2" xfId="104"/>
    <cellStyle name="40% - Accent1" xfId="20" builtinId="31" hidden="1"/>
    <cellStyle name="40% - Accent1 2" xfId="105"/>
    <cellStyle name="40% - Accent2" xfId="24" builtinId="35" hidden="1"/>
    <cellStyle name="40% - Accent2 2" xfId="106"/>
    <cellStyle name="40% - Accent3" xfId="28" builtinId="39" hidden="1"/>
    <cellStyle name="40% - Accent3 2" xfId="107"/>
    <cellStyle name="40% - Accent4" xfId="32" builtinId="43" hidden="1"/>
    <cellStyle name="40% - Accent4 2" xfId="108"/>
    <cellStyle name="40% - Accent5" xfId="36" builtinId="47" hidden="1"/>
    <cellStyle name="40% - Accent5 2" xfId="109"/>
    <cellStyle name="40% - Accent6" xfId="40" builtinId="51" hidden="1"/>
    <cellStyle name="40% - Accent6 2" xfId="110"/>
    <cellStyle name="60% - Accent1" xfId="21" builtinId="32" hidden="1"/>
    <cellStyle name="60% - Accent1 2" xfId="111"/>
    <cellStyle name="60% - Accent2" xfId="25" builtinId="36" hidden="1"/>
    <cellStyle name="60% - Accent2 2" xfId="112"/>
    <cellStyle name="60% - Accent3" xfId="29" builtinId="40" hidden="1"/>
    <cellStyle name="60% - Accent3 2" xfId="113"/>
    <cellStyle name="60% - Accent4" xfId="33" builtinId="44" hidden="1"/>
    <cellStyle name="60% - Accent4 2" xfId="114"/>
    <cellStyle name="60% - Accent5" xfId="37" builtinId="48" hidden="1"/>
    <cellStyle name="60% - Accent5 2" xfId="115"/>
    <cellStyle name="60% - Accent6" xfId="41" builtinId="52" hidden="1"/>
    <cellStyle name="60% - Accent6 2" xfId="116"/>
    <cellStyle name="Accent1" xfId="18" builtinId="29" hidden="1"/>
    <cellStyle name="Accent1 - 20%" xfId="117"/>
    <cellStyle name="Accent1 - 40%" xfId="118"/>
    <cellStyle name="Accent1 - 60%" xfId="119"/>
    <cellStyle name="Accent1 2" xfId="120"/>
    <cellStyle name="Accent2" xfId="22" builtinId="33" hidden="1"/>
    <cellStyle name="Accent2 - 20%" xfId="121"/>
    <cellStyle name="Accent2 - 40%" xfId="122"/>
    <cellStyle name="Accent2 - 60%" xfId="123"/>
    <cellStyle name="Accent2 2" xfId="124"/>
    <cellStyle name="Accent3" xfId="26" builtinId="37" hidden="1"/>
    <cellStyle name="Accent3 - 20%" xfId="125"/>
    <cellStyle name="Accent3 - 40%" xfId="126"/>
    <cellStyle name="Accent3 - 60%" xfId="127"/>
    <cellStyle name="Accent3 2" xfId="128"/>
    <cellStyle name="Accent4" xfId="30" builtinId="41" hidden="1"/>
    <cellStyle name="Accent4 - 20%" xfId="129"/>
    <cellStyle name="Accent4 - 40%" xfId="130"/>
    <cellStyle name="Accent4 - 60%" xfId="131"/>
    <cellStyle name="Accent4 2" xfId="132"/>
    <cellStyle name="Accent5" xfId="34" builtinId="45" hidden="1"/>
    <cellStyle name="Accent5 - 20%" xfId="133"/>
    <cellStyle name="Accent5 - 40%" xfId="134"/>
    <cellStyle name="Accent5 - 60%" xfId="135"/>
    <cellStyle name="Accent5 2" xfId="136"/>
    <cellStyle name="Accent6" xfId="38" builtinId="49" hidden="1"/>
    <cellStyle name="Accent6 - 20%" xfId="137"/>
    <cellStyle name="Accent6 - 40%" xfId="138"/>
    <cellStyle name="Accent6 - 60%" xfId="139"/>
    <cellStyle name="Accent6 2" xfId="140"/>
    <cellStyle name="AER" xfId="52"/>
    <cellStyle name="Agara" xfId="141"/>
    <cellStyle name="B79812_.wvu.PrintTitlest" xfId="142"/>
    <cellStyle name="Bad" xfId="11" builtinId="27" hidden="1"/>
    <cellStyle name="Bad 2" xfId="143"/>
    <cellStyle name="Black" xfId="144"/>
    <cellStyle name="Blockout" xfId="145"/>
    <cellStyle name="Blockout 2" xfId="146"/>
    <cellStyle name="Blue" xfId="147"/>
    <cellStyle name="Calculation" xfId="15" builtinId="22" customBuiltin="1"/>
    <cellStyle name="Calculation 2" xfId="148"/>
    <cellStyle name="Check Cell" xfId="16" builtinId="23" hidden="1"/>
    <cellStyle name="Check Cell 2" xfId="149"/>
    <cellStyle name="colour-01" xfId="300"/>
    <cellStyle name="Comma" xfId="1" builtinId="3" hidden="1"/>
    <cellStyle name="Comma [0]" xfId="5" builtinId="6" hidden="1"/>
    <cellStyle name="Comma [0]7Z_87C" xfId="150"/>
    <cellStyle name="Comma 0" xfId="151"/>
    <cellStyle name="Comma 1" xfId="152"/>
    <cellStyle name="Comma 1 2" xfId="153"/>
    <cellStyle name="Comma 2" xfId="63"/>
    <cellStyle name="Comma 2 2" xfId="154"/>
    <cellStyle name="Comma 2 3" xfId="155"/>
    <cellStyle name="Comma 2 3 2" xfId="156"/>
    <cellStyle name="Comma 2 4" xfId="157"/>
    <cellStyle name="Comma 2 5" xfId="158"/>
    <cellStyle name="Comma 3" xfId="159"/>
    <cellStyle name="Comma 3 2" xfId="160"/>
    <cellStyle name="Comma 3 3" xfId="161"/>
    <cellStyle name="Comma 4" xfId="162"/>
    <cellStyle name="Comma 5" xfId="163"/>
    <cellStyle name="Comma 6" xfId="164"/>
    <cellStyle name="Comma 7" xfId="165"/>
    <cellStyle name="Comma 8" xfId="166"/>
    <cellStyle name="Comma0" xfId="167"/>
    <cellStyle name="Currency" xfId="2" builtinId="4" hidden="1"/>
    <cellStyle name="Currency" xfId="51"/>
    <cellStyle name="Currency [0]" xfId="6" builtinId="7" hidden="1"/>
    <cellStyle name="Currency 11" xfId="168"/>
    <cellStyle name="Currency 11 2" xfId="169"/>
    <cellStyle name="Currency 2" xfId="170"/>
    <cellStyle name="Currency 2 2" xfId="55"/>
    <cellStyle name="Currency 2 3" xfId="56"/>
    <cellStyle name="Currency 3" xfId="171"/>
    <cellStyle name="Currency 3 2" xfId="172"/>
    <cellStyle name="Currency 4" xfId="173"/>
    <cellStyle name="Currency 4 2" xfId="174"/>
    <cellStyle name="Currency 5" xfId="54"/>
    <cellStyle name="D4_B8B1_005004B79812_.wvu.PrintTitlest" xfId="175"/>
    <cellStyle name="Date" xfId="176"/>
    <cellStyle name="Date 2" xfId="177"/>
    <cellStyle name="Emphasis 1" xfId="178"/>
    <cellStyle name="Emphasis 2" xfId="179"/>
    <cellStyle name="Emphasis 3" xfId="180"/>
    <cellStyle name="Euro" xfId="181"/>
    <cellStyle name="Explanatory Text" xfId="17" builtinId="53" hidden="1"/>
    <cellStyle name="Explanatory Text 2" xfId="182"/>
    <cellStyle name="Fixed" xfId="183"/>
    <cellStyle name="Fixed 2" xfId="184"/>
    <cellStyle name="Gilsans" xfId="185"/>
    <cellStyle name="Gilsansl" xfId="186"/>
    <cellStyle name="Good" xfId="10" builtinId="26" hidden="1"/>
    <cellStyle name="Good 2" xfId="187"/>
    <cellStyle name="Heading 1" xfId="8" builtinId="16" customBuiltin="1"/>
    <cellStyle name="Heading 1 2" xfId="188"/>
    <cellStyle name="Heading 1 2 2" xfId="189"/>
    <cellStyle name="Heading 1 3" xfId="190"/>
    <cellStyle name="Heading 2" xfId="9" builtinId="17" customBuiltin="1"/>
    <cellStyle name="Heading 2 2" xfId="191"/>
    <cellStyle name="Heading 2 2 2" xfId="192"/>
    <cellStyle name="Heading 2 3" xfId="193"/>
    <cellStyle name="Heading 3" xfId="49" builtinId="18" customBuiltin="1"/>
    <cellStyle name="Heading 3 2" xfId="194"/>
    <cellStyle name="Heading 3 2 2" xfId="195"/>
    <cellStyle name="Heading 3 2 3" xfId="196"/>
    <cellStyle name="Heading 3 3" xfId="197"/>
    <cellStyle name="Heading 4 2" xfId="198"/>
    <cellStyle name="Heading 4 2 2" xfId="199"/>
    <cellStyle name="Heading 4 3" xfId="200"/>
    <cellStyle name="Heading(4)" xfId="201"/>
    <cellStyle name="Hyperlink 2" xfId="202"/>
    <cellStyle name="Hyperlink Arrow" xfId="203"/>
    <cellStyle name="Hyperlink Text" xfId="204"/>
    <cellStyle name="import_ICRC Electricity model 1-1  (1 Feb 2003) " xfId="205"/>
    <cellStyle name="Input" xfId="13" builtinId="20" customBuiltin="1"/>
    <cellStyle name="Input 2" xfId="206"/>
    <cellStyle name="Input1" xfId="65"/>
    <cellStyle name="Input1 2" xfId="207"/>
    <cellStyle name="Input1_ICRC Electricity model 1-1  (1 Feb 2003) " xfId="208"/>
    <cellStyle name="Input2" xfId="209"/>
    <cellStyle name="Input2 2" xfId="210"/>
    <cellStyle name="Input3" xfId="66"/>
    <cellStyle name="Input3 2" xfId="211"/>
    <cellStyle name="Lines" xfId="212"/>
    <cellStyle name="Linked Cell" xfId="44" builtinId="24" hidden="1"/>
    <cellStyle name="Linked Cell 2" xfId="213"/>
    <cellStyle name="Mine" xfId="214"/>
    <cellStyle name="Model Name" xfId="215"/>
    <cellStyle name="Neutral" xfId="12" builtinId="28" hidden="1"/>
    <cellStyle name="Neutral 2" xfId="216"/>
    <cellStyle name="Normal" xfId="0" builtinId="0" customBuiltin="1"/>
    <cellStyle name="Normal - Style1" xfId="217"/>
    <cellStyle name="Normal 10" xfId="53"/>
    <cellStyle name="Normal 114" xfId="68"/>
    <cellStyle name="Normal 13" xfId="218"/>
    <cellStyle name="Normal 13 2" xfId="219"/>
    <cellStyle name="Normal 13_29(d) - Gas extensions -tariffs" xfId="220"/>
    <cellStyle name="Normal 15" xfId="221"/>
    <cellStyle name="Normal 16" xfId="222"/>
    <cellStyle name="Normal 2" xfId="57"/>
    <cellStyle name="Normal 2 2" xfId="64"/>
    <cellStyle name="Normal 2 2 2" xfId="223"/>
    <cellStyle name="Normal 2 3" xfId="224"/>
    <cellStyle name="Normal 2 3 2" xfId="225"/>
    <cellStyle name="Normal 2 3_29(d) - Gas extensions -tariffs" xfId="226"/>
    <cellStyle name="Normal 2 4" xfId="227"/>
    <cellStyle name="Normal 2 5" xfId="228"/>
    <cellStyle name="Normal 2_29(d) - Gas extensions -tariffs" xfId="229"/>
    <cellStyle name="Normal 3" xfId="60"/>
    <cellStyle name="Normal 3 2" xfId="230"/>
    <cellStyle name="Normal 3_29(d) - Gas extensions -tariffs" xfId="231"/>
    <cellStyle name="Normal 38" xfId="232"/>
    <cellStyle name="Normal 38 2" xfId="233"/>
    <cellStyle name="Normal 38_29(d) - Gas extensions -tariffs" xfId="234"/>
    <cellStyle name="Normal 4" xfId="62"/>
    <cellStyle name="Normal 4 2" xfId="67"/>
    <cellStyle name="Normal 4 3" xfId="235"/>
    <cellStyle name="Normal 4_29(d) - Gas extensions -tariffs" xfId="236"/>
    <cellStyle name="Normal 40" xfId="237"/>
    <cellStyle name="Normal 40 2" xfId="238"/>
    <cellStyle name="Normal 40_29(d) - Gas extensions -tariffs" xfId="239"/>
    <cellStyle name="Normal 5" xfId="240"/>
    <cellStyle name="Normal 6 2" xfId="241"/>
    <cellStyle name="Normal 7" xfId="242"/>
    <cellStyle name="Normal 7 2" xfId="243"/>
    <cellStyle name="Normal 8" xfId="244"/>
    <cellStyle name="Normal 9" xfId="245"/>
    <cellStyle name="Note" xfId="4" builtinId="10" customBuiltin="1"/>
    <cellStyle name="Note 2" xfId="246"/>
    <cellStyle name="Output" xfId="14" builtinId="21" hidden="1" customBuiltin="1"/>
    <cellStyle name="Output" xfId="50"/>
    <cellStyle name="Output 2" xfId="247"/>
    <cellStyle name="Percent" xfId="3" builtinId="5" hidden="1"/>
    <cellStyle name="Percent" xfId="48"/>
    <cellStyle name="Percent [2]" xfId="248"/>
    <cellStyle name="Percent [2] 2" xfId="249"/>
    <cellStyle name="Percent [2]_29(d) - Gas extensions -tariffs" xfId="250"/>
    <cellStyle name="Percent 2" xfId="61"/>
    <cellStyle name="Percent 2 2" xfId="251"/>
    <cellStyle name="Percent 3" xfId="252"/>
    <cellStyle name="Percent 3 2" xfId="253"/>
    <cellStyle name="Percent 4" xfId="254"/>
    <cellStyle name="Percent 5" xfId="58"/>
    <cellStyle name="Percent 7" xfId="255"/>
    <cellStyle name="Percentage" xfId="256"/>
    <cellStyle name="Period Title" xfId="257"/>
    <cellStyle name="PSChar" xfId="258"/>
    <cellStyle name="PSDate" xfId="259"/>
    <cellStyle name="PSDec" xfId="260"/>
    <cellStyle name="PSDetail" xfId="261"/>
    <cellStyle name="PSHeading" xfId="262"/>
    <cellStyle name="PSInt" xfId="263"/>
    <cellStyle name="PSSpacer" xfId="264"/>
    <cellStyle name="Ratio" xfId="265"/>
    <cellStyle name="Ratio 2" xfId="266"/>
    <cellStyle name="Ratio_29(d) - Gas extensions -tariffs" xfId="267"/>
    <cellStyle name="Right Date" xfId="268"/>
    <cellStyle name="Right Number" xfId="269"/>
    <cellStyle name="Right Year" xfId="270"/>
    <cellStyle name="SAPError" xfId="271"/>
    <cellStyle name="SAPError 2" xfId="272"/>
    <cellStyle name="SAPKey" xfId="273"/>
    <cellStyle name="SAPKey 2" xfId="274"/>
    <cellStyle name="SAPLocked" xfId="275"/>
    <cellStyle name="SAPLocked 2" xfId="276"/>
    <cellStyle name="SAPOutput" xfId="277"/>
    <cellStyle name="SAPOutput 2" xfId="278"/>
    <cellStyle name="SAPSpace" xfId="279"/>
    <cellStyle name="SAPSpace 2" xfId="280"/>
    <cellStyle name="SAPText" xfId="281"/>
    <cellStyle name="SAPText 2" xfId="282"/>
    <cellStyle name="SAPUnLocked" xfId="283"/>
    <cellStyle name="SAPUnLocked 2" xfId="284"/>
    <cellStyle name="Sheet Title" xfId="285"/>
    <cellStyle name="SheetHeader1" xfId="59"/>
    <cellStyle name="Style 1" xfId="286"/>
    <cellStyle name="Style 1 2" xfId="287"/>
    <cellStyle name="Style 1_29(d) - Gas extensions -tariffs" xfId="288"/>
    <cellStyle name="Style2" xfId="289"/>
    <cellStyle name="Style3" xfId="290"/>
    <cellStyle name="Style4" xfId="291"/>
    <cellStyle name="Style4 2" xfId="292"/>
    <cellStyle name="Style4_29(d) - Gas extensions -tariffs" xfId="293"/>
    <cellStyle name="Style5" xfId="294"/>
    <cellStyle name="Style5 2" xfId="295"/>
    <cellStyle name="Style5_29(d) - Gas extensions -tariffs" xfId="296"/>
    <cellStyle name="Table body number" xfId="47"/>
    <cellStyle name="Table body Text" xfId="46"/>
    <cellStyle name="Table Head Green" xfId="297"/>
    <cellStyle name="Table Head_pldt" xfId="298"/>
    <cellStyle name="Table Heading 1" xfId="45"/>
    <cellStyle name="Table Units" xfId="299"/>
    <cellStyle name="TableLvl2" xfId="69"/>
    <cellStyle name="TableLvl3" xfId="70"/>
    <cellStyle name="Title" xfId="7" builtinId="15" customBuiltin="1"/>
    <cellStyle name="Total" xfId="43" builtinId="25" hidden="1"/>
    <cellStyle name="Warning Text" xfId="42" builtinId="11" hidden="1"/>
  </cellStyles>
  <dxfs count="0"/>
  <tableStyles count="0" defaultTableStyle="TableStyleMedium2" defaultPivotStyle="PivotStyleLight16"/>
  <colors>
    <mruColors>
      <color rgb="FFC8102E"/>
      <color rgb="FF92C82A"/>
      <color rgb="FF25282A"/>
      <color rgb="FFFFD100"/>
      <color rgb="FFABB1B5"/>
      <color rgb="FFD3F1E2"/>
      <color rgb="FFF9B5C0"/>
      <color rgb="FFBEAFA8"/>
      <color rgb="FF5FC8D7"/>
      <color rgb="FF00A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Outputs│Tables!$E$12</c:f>
              <c:strCache>
                <c:ptCount val="1"/>
                <c:pt idx="0">
                  <c:v>Historic Operating Expenditure less debt raising costs ($m Real 2017)</c:v>
                </c:pt>
              </c:strCache>
            </c:strRef>
          </c:tx>
          <c:spPr>
            <a:ln w="38100">
              <a:solidFill>
                <a:srgbClr val="25282A"/>
              </a:solidFill>
            </a:ln>
          </c:spPr>
          <c:marker>
            <c:symbol val="none"/>
          </c:marker>
          <c:cat>
            <c:strRef>
              <c:f>Outputs│Tables!$H$14:$K$14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</c:strCache>
            </c:strRef>
          </c:cat>
          <c:val>
            <c:numRef>
              <c:f>Outputs│Tables!$H$19:$K$19</c:f>
              <c:numCache>
                <c:formatCode>_-* #,##0.0_-;\-* #,##0.0_-;_-* "-"??_-;_-@_-</c:formatCode>
                <c:ptCount val="4"/>
                <c:pt idx="0">
                  <c:v>25.377187569229001</c:v>
                </c:pt>
                <c:pt idx="1">
                  <c:v>25.746400073617259</c:v>
                </c:pt>
                <c:pt idx="2">
                  <c:v>25.975097726958587</c:v>
                </c:pt>
                <c:pt idx="3">
                  <c:v>25.214929004912609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4720"/>
        <c:axId val="54257152"/>
      </c:lineChart>
      <c:catAx>
        <c:axId val="344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4257152"/>
        <c:crosses val="autoZero"/>
        <c:auto val="1"/>
        <c:lblAlgn val="ctr"/>
        <c:lblOffset val="100"/>
        <c:noMultiLvlLbl val="0"/>
      </c:catAx>
      <c:valAx>
        <c:axId val="54257152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800" b="1" i="0" baseline="0">
                    <a:effectLst/>
                  </a:rPr>
                  <a:t>real 2017 $ million</a:t>
                </a:r>
                <a:endParaRPr lang="en-AU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164750957854405E-2"/>
              <c:y val="0.317132612074888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4494720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Outputs│Graphs!$I$15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rgbClr val="25282A"/>
            </a:solidFill>
            <a:ln>
              <a:solidFill>
                <a:srgbClr val="ABB1B5"/>
              </a:solidFill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C8102E"/>
              </a:solidFill>
              <a:ln>
                <a:solidFill>
                  <a:srgbClr val="ABB1B5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8102E"/>
              </a:solidFill>
              <a:ln>
                <a:solidFill>
                  <a:srgbClr val="ABB1B5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C8102E"/>
              </a:solidFill>
              <a:ln>
                <a:solidFill>
                  <a:srgbClr val="ABB1B5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C8102E"/>
              </a:solidFill>
              <a:ln>
                <a:solidFill>
                  <a:srgbClr val="ABB1B5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C8102E"/>
              </a:solidFill>
              <a:ln>
                <a:solidFill>
                  <a:srgbClr val="ABB1B5"/>
                </a:solidFill>
              </a:ln>
            </c:spPr>
          </c:dPt>
          <c:cat>
            <c:strRef>
              <c:f>Outputs│Graphs!$J$14:$S$14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  <c:pt idx="5">
                  <c:v>2018(f)</c:v>
                </c:pt>
                <c:pt idx="6">
                  <c:v>2019(f)</c:v>
                </c:pt>
                <c:pt idx="7">
                  <c:v>2020(f)</c:v>
                </c:pt>
                <c:pt idx="8">
                  <c:v>2021(f)</c:v>
                </c:pt>
                <c:pt idx="9">
                  <c:v>2022(f)</c:v>
                </c:pt>
              </c:strCache>
            </c:strRef>
          </c:cat>
          <c:val>
            <c:numRef>
              <c:f>Outputs│Graphs!$J$15:$S$15</c:f>
              <c:numCache>
                <c:formatCode>_-* #,##0.0_-;\-* #,##0.0_-;_-* "-"??_-;_-@_-</c:formatCode>
                <c:ptCount val="10"/>
                <c:pt idx="0">
                  <c:v>25.377187569229001</c:v>
                </c:pt>
                <c:pt idx="1">
                  <c:v>25.746400073617259</c:v>
                </c:pt>
                <c:pt idx="2">
                  <c:v>25.975097726958587</c:v>
                </c:pt>
                <c:pt idx="3">
                  <c:v>25.214929004912609</c:v>
                </c:pt>
                <c:pt idx="4">
                  <c:v>26.345962214330115</c:v>
                </c:pt>
                <c:pt idx="5">
                  <c:v>25.894298967035375</c:v>
                </c:pt>
                <c:pt idx="6">
                  <c:v>25.993235425302466</c:v>
                </c:pt>
                <c:pt idx="7">
                  <c:v>25.998281390529215</c:v>
                </c:pt>
                <c:pt idx="8">
                  <c:v>27.005005872975868</c:v>
                </c:pt>
                <c:pt idx="9">
                  <c:v>27.19808086250298</c:v>
                </c:pt>
              </c:numCache>
            </c:numRef>
          </c:val>
        </c:ser>
        <c:ser>
          <c:idx val="0"/>
          <c:order val="2"/>
          <c:tx>
            <c:strRef>
              <c:f>Outputs│Graphs!$I$17</c:f>
              <c:strCache>
                <c:ptCount val="1"/>
                <c:pt idx="0">
                  <c:v>Operating Expenditure (forecast)</c:v>
                </c:pt>
              </c:strCache>
            </c:strRef>
          </c:tx>
          <c:spPr>
            <a:solidFill>
              <a:srgbClr val="C8102E"/>
            </a:solidFill>
            <a:ln>
              <a:solidFill>
                <a:srgbClr val="C8102E"/>
              </a:solidFill>
            </a:ln>
          </c:spPr>
          <c:invertIfNegative val="0"/>
          <c:cat>
            <c:strRef>
              <c:f>Outputs│Graphs!$J$14:$S$14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  <c:pt idx="5">
                  <c:v>2018(f)</c:v>
                </c:pt>
                <c:pt idx="6">
                  <c:v>2019(f)</c:v>
                </c:pt>
                <c:pt idx="7">
                  <c:v>2020(f)</c:v>
                </c:pt>
                <c:pt idx="8">
                  <c:v>2021(f)</c:v>
                </c:pt>
                <c:pt idx="9">
                  <c:v>2022(f)</c:v>
                </c:pt>
              </c:strCache>
            </c:strRef>
          </c:cat>
          <c:val>
            <c:numRef>
              <c:f>Outputs│Graphs!$T$17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75"/>
        <c:axId val="169812736"/>
        <c:axId val="169814272"/>
      </c:barChart>
      <c:lineChart>
        <c:grouping val="standard"/>
        <c:varyColors val="0"/>
        <c:ser>
          <c:idx val="2"/>
          <c:order val="1"/>
          <c:tx>
            <c:strRef>
              <c:f>Outputs│Graphs!$I$16</c:f>
              <c:strCache>
                <c:ptCount val="1"/>
                <c:pt idx="0">
                  <c:v>AER Forecast</c:v>
                </c:pt>
              </c:strCache>
            </c:strRef>
          </c:tx>
          <c:spPr>
            <a:ln>
              <a:solidFill>
                <a:srgbClr val="92C82A"/>
              </a:solidFill>
            </a:ln>
          </c:spPr>
          <c:marker>
            <c:symbol val="none"/>
          </c:marker>
          <c:cat>
            <c:strRef>
              <c:f>Outputs│Graphs!$J$14:$S$14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  <c:pt idx="5">
                  <c:v>2018(f)</c:v>
                </c:pt>
                <c:pt idx="6">
                  <c:v>2019(f)</c:v>
                </c:pt>
                <c:pt idx="7">
                  <c:v>2020(f)</c:v>
                </c:pt>
                <c:pt idx="8">
                  <c:v>2021(f)</c:v>
                </c:pt>
                <c:pt idx="9">
                  <c:v>2022(f)</c:v>
                </c:pt>
              </c:strCache>
            </c:strRef>
          </c:cat>
          <c:val>
            <c:numRef>
              <c:f>Outputs│Graphs!$J$16:$S$16</c:f>
              <c:numCache>
                <c:formatCode>_-* #,##0.0_-;\-* #,##0.0_-;_-* "-"??_-;_-@_-</c:formatCode>
                <c:ptCount val="10"/>
                <c:pt idx="0">
                  <c:v>32.839024390243907</c:v>
                </c:pt>
                <c:pt idx="1">
                  <c:v>32.142772159428908</c:v>
                </c:pt>
                <c:pt idx="2">
                  <c:v>33.095283005179837</c:v>
                </c:pt>
                <c:pt idx="3">
                  <c:v>34.181517828294751</c:v>
                </c:pt>
                <c:pt idx="4">
                  <c:v>34.125614044603452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2736"/>
        <c:axId val="169814272"/>
      </c:lineChart>
      <c:catAx>
        <c:axId val="1698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814272"/>
        <c:crosses val="autoZero"/>
        <c:auto val="1"/>
        <c:lblAlgn val="ctr"/>
        <c:lblOffset val="100"/>
        <c:noMultiLvlLbl val="0"/>
      </c:catAx>
      <c:valAx>
        <c:axId val="169814272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9812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3678160919541"/>
          <c:y val="2.6833336045449997E-2"/>
          <c:w val="0.79314865900383147"/>
          <c:h val="0.735132032186708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Outputs│Tables!$E$39</c:f>
              <c:strCache>
                <c:ptCount val="1"/>
                <c:pt idx="0">
                  <c:v>APA VTS actual expenditure</c:v>
                </c:pt>
              </c:strCache>
            </c:strRef>
          </c:tx>
          <c:spPr>
            <a:solidFill>
              <a:srgbClr val="25282A"/>
            </a:solidFill>
            <a:ln w="38100">
              <a:noFill/>
            </a:ln>
          </c:spPr>
          <c:invertIfNegative val="0"/>
          <c:cat>
            <c:strRef>
              <c:f>Outputs│Tables!$G$30:$K$30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</c:strCache>
            </c:strRef>
          </c:cat>
          <c:val>
            <c:numRef>
              <c:f>Outputs│Tables!$G$39:$K$39</c:f>
              <c:numCache>
                <c:formatCode>_-* #,##0.0_-;\-* #,##0.0_-;_-* "-"??_-;_-@_-</c:formatCode>
                <c:ptCount val="5"/>
                <c:pt idx="0">
                  <c:v>26.464297598161242</c:v>
                </c:pt>
                <c:pt idx="1">
                  <c:v>13.621720090396627</c:v>
                </c:pt>
                <c:pt idx="2">
                  <c:v>13.960668926788918</c:v>
                </c:pt>
                <c:pt idx="3">
                  <c:v>13.790402439461097</c:v>
                </c:pt>
                <c:pt idx="4">
                  <c:v>29.220269471998066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47200"/>
        <c:axId val="178948736"/>
      </c:barChart>
      <c:lineChart>
        <c:grouping val="standard"/>
        <c:varyColors val="0"/>
        <c:ser>
          <c:idx val="2"/>
          <c:order val="1"/>
          <c:tx>
            <c:strRef>
              <c:f>Outputs│Tables!$E$38</c:f>
              <c:strCache>
                <c:ptCount val="1"/>
                <c:pt idx="0">
                  <c:v>AER forecast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Outputs│Tables!$G$30:$K$30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</c:strCache>
            </c:strRef>
          </c:cat>
          <c:val>
            <c:numRef>
              <c:f>Outputs│Tables!$G$38:$K$38</c:f>
              <c:numCache>
                <c:formatCode>_-* #,##0.0_-;\-* #,##0.0_-;_-* "-"??_-;_-@_-</c:formatCode>
                <c:ptCount val="5"/>
                <c:pt idx="0">
                  <c:v>30.673170731707319</c:v>
                </c:pt>
                <c:pt idx="1">
                  <c:v>30.538498326159726</c:v>
                </c:pt>
                <c:pt idx="2">
                  <c:v>31.97440889270494</c:v>
                </c:pt>
                <c:pt idx="3">
                  <c:v>33.511291988524263</c:v>
                </c:pt>
                <c:pt idx="4">
                  <c:v>34.125614044603452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47200"/>
        <c:axId val="178948736"/>
      </c:lineChart>
      <c:catAx>
        <c:axId val="17894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78948736"/>
        <c:crossesAt val="0"/>
        <c:auto val="1"/>
        <c:lblAlgn val="ctr"/>
        <c:lblOffset val="100"/>
        <c:noMultiLvlLbl val="0"/>
      </c:catAx>
      <c:valAx>
        <c:axId val="178948736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aseline="0"/>
                  <a:t>$ million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2988505747126438E-3"/>
              <c:y val="0.323419219720573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78947200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'Input│ Historic Opex'!$A$188:$A$195</c:f>
              <c:strCache>
                <c:ptCount val="1"/>
                <c:pt idx="0">
                  <c:v>Networks Transmission Generation Allgas Wallumbilla Gas Pipelines Australian Gas Network Commercial Development Residual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82A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FFD1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5FC8D7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25282A"/>
              </a:solidFill>
              <a:ln>
                <a:noFill/>
              </a:ln>
            </c:spPr>
          </c:dPt>
          <c:dPt>
            <c:idx val="6"/>
            <c:bubble3D val="0"/>
            <c:spPr>
              <a:solidFill>
                <a:srgbClr val="ABB1B5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C8102E"/>
              </a:solidFill>
              <a:ln>
                <a:noFill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1.03291305610236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'Input│ Historic Opex'!$A$188:$A$195</c:f>
              <c:strCache>
                <c:ptCount val="8"/>
                <c:pt idx="0">
                  <c:v>Networks</c:v>
                </c:pt>
                <c:pt idx="1">
                  <c:v>Transmission</c:v>
                </c:pt>
                <c:pt idx="2">
                  <c:v>Generation</c:v>
                </c:pt>
                <c:pt idx="3">
                  <c:v>Allgas</c:v>
                </c:pt>
                <c:pt idx="4">
                  <c:v>Wallumbilla Gas Pipelines</c:v>
                </c:pt>
                <c:pt idx="5">
                  <c:v>Australian Gas Network</c:v>
                </c:pt>
                <c:pt idx="6">
                  <c:v>Commercial Development</c:v>
                </c:pt>
                <c:pt idx="7">
                  <c:v>Residual</c:v>
                </c:pt>
              </c:strCache>
            </c:strRef>
          </c:cat>
          <c:val>
            <c:numRef>
              <c:f>'Input│ Historic Opex'!$H$188:$H$195</c:f>
              <c:numCache>
                <c:formatCode>_(* #,##0_);_(* \(#,##0\);_(* "-"_);_(@_)</c:formatCode>
                <c:ptCount val="8"/>
                <c:pt idx="0" formatCode="_-* #,##0.0_-;\-* #,##0.0_-;_-* &quot;-&quot;_-;_-@_-">
                  <c:v>0</c:v>
                </c:pt>
                <c:pt idx="1">
                  <c:v>0</c:v>
                </c:pt>
                <c:pt idx="2" formatCode="_-* #,##0.0_-;\-* #,##0.0_-;_-* &quot;-&quot;_-;_-@_-">
                  <c:v>0.82481599999999999</c:v>
                </c:pt>
                <c:pt idx="3" formatCode="_-* #,##0.0_-;\-* #,##0.0_-;_-* &quot;-&quot;_-;_-@_-">
                  <c:v>7.1044538800000003</c:v>
                </c:pt>
                <c:pt idx="4" formatCode="_-* #,##0.0_-;\-* #,##0.0_-;_-* &quot;-&quot;_-;_-@_-">
                  <c:v>1</c:v>
                </c:pt>
                <c:pt idx="5" formatCode="_-* #,##0.0_-;\-* #,##0.0_-;_-* &quot;-&quot;_-;_-@_-">
                  <c:v>14.616011</c:v>
                </c:pt>
                <c:pt idx="6" formatCode="_-* #,##0.0_-;\-* #,##0.0_-;_-* &quot;-&quot;_-;_-@_-">
                  <c:v>7.1571899999999999</c:v>
                </c:pt>
                <c:pt idx="7" formatCode="_-* #,##0.0_-;\-* #,##0.0_-;_-* &quot;-&quot;_-;_-@_-">
                  <c:v>58.875068120000002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191666666666669"/>
          <c:y val="0.15491214639836687"/>
          <c:w val="0.34141666666666665"/>
          <c:h val="0.7040642315543890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Outputs│Tables!$E$51</c:f>
              <c:strCache>
                <c:ptCount val="1"/>
                <c:pt idx="0">
                  <c:v>Corporate overheads</c:v>
                </c:pt>
              </c:strCache>
            </c:strRef>
          </c:tx>
          <c:spPr>
            <a:solidFill>
              <a:srgbClr val="25282A"/>
            </a:solidFill>
            <a:ln>
              <a:noFill/>
            </a:ln>
          </c:spPr>
          <c:invertIfNegative val="0"/>
          <c:cat>
            <c:strRef>
              <c:f>Outputs│Tables!$F$50:$J$50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2016(e)</c:v>
                </c:pt>
              </c:strCache>
            </c:strRef>
          </c:cat>
          <c:val>
            <c:numRef>
              <c:f>Outputs│Tables!$F$51:$J$51</c:f>
              <c:numCache>
                <c:formatCode>_-* #,##0.0_-;\-* #,##0.0_-;_-* "-"??_-;_-@_-</c:formatCode>
                <c:ptCount val="5"/>
                <c:pt idx="0">
                  <c:v>12.111128000000001</c:v>
                </c:pt>
                <c:pt idx="1">
                  <c:v>8.0634879999999995</c:v>
                </c:pt>
                <c:pt idx="2">
                  <c:v>8.9208572499999992</c:v>
                </c:pt>
                <c:pt idx="3">
                  <c:v>7.5282640184680085</c:v>
                </c:pt>
                <c:pt idx="4">
                  <c:v>6.3723294382672684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5744"/>
        <c:axId val="31383936"/>
      </c:barChart>
      <c:catAx>
        <c:axId val="313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383936"/>
        <c:crosses val="autoZero"/>
        <c:auto val="1"/>
        <c:lblAlgn val="ctr"/>
        <c:lblOffset val="100"/>
        <c:noMultiLvlLbl val="0"/>
      </c:catAx>
      <c:valAx>
        <c:axId val="31383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$ million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375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7547892720306"/>
          <c:y val="4.8818792406396486E-2"/>
          <c:w val="0.79314865900383147"/>
          <c:h val="0.735132032186708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Outputs│Tables!$E$32</c:f>
              <c:strCache>
                <c:ptCount val="1"/>
                <c:pt idx="0">
                  <c:v>APA VTS actual expenditure</c:v>
                </c:pt>
              </c:strCache>
            </c:strRef>
          </c:tx>
          <c:spPr>
            <a:solidFill>
              <a:schemeClr val="accent3"/>
            </a:solidFill>
            <a:ln w="38100">
              <a:noFill/>
            </a:ln>
          </c:spPr>
          <c:invertIfNegative val="0"/>
          <c:cat>
            <c:strRef>
              <c:f>Outputs│Tables!$G$30:$K$30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</c:strCache>
            </c:strRef>
          </c:cat>
          <c:val>
            <c:numRef>
              <c:f>Outputs│Tables!$G$32:$K$32</c:f>
              <c:numCache>
                <c:formatCode>_-* #,##0.0_-;\-* #,##0.0_-;_-* "-"??_-;_-@_-</c:formatCode>
                <c:ptCount val="5"/>
                <c:pt idx="0">
                  <c:v>13.232148799080621</c:v>
                </c:pt>
                <c:pt idx="1">
                  <c:v>13.621720090396627</c:v>
                </c:pt>
                <c:pt idx="2">
                  <c:v>13.960668926788918</c:v>
                </c:pt>
                <c:pt idx="3">
                  <c:v>13.790402439461097</c:v>
                </c:pt>
                <c:pt idx="4">
                  <c:v>29.220269471998066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4156544"/>
        <c:axId val="34158080"/>
      </c:barChart>
      <c:lineChart>
        <c:grouping val="standard"/>
        <c:varyColors val="0"/>
        <c:ser>
          <c:idx val="2"/>
          <c:order val="1"/>
          <c:tx>
            <c:strRef>
              <c:f>Outputs│Tables!$E$31</c:f>
              <c:strCache>
                <c:ptCount val="1"/>
                <c:pt idx="0">
                  <c:v>AER forecast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Outputs│Tables!$G$30:$K$30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2016(e)</c:v>
                </c:pt>
                <c:pt idx="4">
                  <c:v>2017(f)</c:v>
                </c:pt>
              </c:strCache>
            </c:strRef>
          </c:cat>
          <c:val>
            <c:numRef>
              <c:f>Outputs│Tables!$G$31:$K$31</c:f>
              <c:numCache>
                <c:formatCode>_-* #,##0.0_-;\-* #,##0.0_-;_-* "-"??_-;_-@_-</c:formatCode>
                <c:ptCount val="5"/>
                <c:pt idx="0">
                  <c:v>15.33658536585366</c:v>
                </c:pt>
                <c:pt idx="1">
                  <c:v>30.538498326159726</c:v>
                </c:pt>
                <c:pt idx="2">
                  <c:v>31.97440889270494</c:v>
                </c:pt>
                <c:pt idx="3">
                  <c:v>33.511291988524263</c:v>
                </c:pt>
                <c:pt idx="4">
                  <c:v>34.125614044603452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6544"/>
        <c:axId val="34158080"/>
      </c:lineChart>
      <c:catAx>
        <c:axId val="341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4158080"/>
        <c:crossesAt val="0"/>
        <c:auto val="1"/>
        <c:lblAlgn val="ctr"/>
        <c:lblOffset val="100"/>
        <c:noMultiLvlLbl val="0"/>
      </c:catAx>
      <c:valAx>
        <c:axId val="34158080"/>
        <c:scaling>
          <c:orientation val="minMax"/>
          <c:max val="4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aseline="0"/>
                  <a:t> $ million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2988505747126438E-3"/>
              <c:y val="0.323419219720573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4156544"/>
        <c:crosses val="autoZero"/>
        <c:crossBetween val="between"/>
        <c:majorUnit val="5"/>
        <c:minorUnit val="1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0</xdr:col>
      <xdr:colOff>2407306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0</xdr:col>
      <xdr:colOff>2407306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1521481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1521481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1521481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33</xdr:row>
      <xdr:rowOff>47625</xdr:rowOff>
    </xdr:from>
    <xdr:to>
      <xdr:col>4</xdr:col>
      <xdr:colOff>5220000</xdr:colOff>
      <xdr:row>50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400049</xdr:colOff>
      <xdr:row>97</xdr:row>
      <xdr:rowOff>155330</xdr:rowOff>
    </xdr:from>
    <xdr:to>
      <xdr:col>5</xdr:col>
      <xdr:colOff>375439</xdr:colOff>
      <xdr:row>121</xdr:row>
      <xdr:rowOff>126755</xdr:rowOff>
    </xdr:to>
    <xdr:graphicFrame macro="">
      <xdr:nvGraphicFramePr>
        <xdr:cNvPr id="7" name="Historic and Forecast Opex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4</xdr:col>
      <xdr:colOff>5220000</xdr:colOff>
      <xdr:row>29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4</xdr:col>
      <xdr:colOff>5220000</xdr:colOff>
      <xdr:row>74</xdr:row>
      <xdr:rowOff>88147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77</xdr:row>
      <xdr:rowOff>0</xdr:rowOff>
    </xdr:from>
    <xdr:to>
      <xdr:col>4</xdr:col>
      <xdr:colOff>5220000</xdr:colOff>
      <xdr:row>95</xdr:row>
      <xdr:rowOff>19050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1340826</xdr:colOff>
      <xdr:row>20</xdr:row>
      <xdr:rowOff>36634</xdr:rowOff>
    </xdr:from>
    <xdr:to>
      <xdr:col>11</xdr:col>
      <xdr:colOff>923192</xdr:colOff>
      <xdr:row>35</xdr:row>
      <xdr:rowOff>117231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BEAFA8"/>
  </sheetPr>
  <dimension ref="A1:J280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K108" sqref="K108"/>
    </sheetView>
  </sheetViews>
  <sheetFormatPr defaultColWidth="9" defaultRowHeight="13.5"/>
  <cols>
    <col min="1" max="1" width="46.7265625" style="2" customWidth="1"/>
    <col min="2" max="2" width="11.36328125" style="2" customWidth="1"/>
    <col min="3" max="3" width="13.36328125" style="2" bestFit="1" customWidth="1"/>
    <col min="4" max="4" width="14.54296875" style="2" bestFit="1" customWidth="1"/>
    <col min="5" max="7" width="13.54296875" style="2" bestFit="1" customWidth="1"/>
    <col min="8" max="8" width="13.36328125" style="2" bestFit="1" customWidth="1"/>
    <col min="9" max="9" width="11.81640625" style="2" bestFit="1" customWidth="1"/>
    <col min="10" max="10" width="12.26953125" style="2" bestFit="1" customWidth="1"/>
    <col min="11" max="11" width="10.54296875" style="2" customWidth="1"/>
    <col min="12" max="13" width="9" style="2"/>
    <col min="14" max="14" width="9.90625" style="2" customWidth="1"/>
    <col min="15" max="16384" width="9" style="2"/>
  </cols>
  <sheetData>
    <row r="1" spans="1:10" s="3" customFormat="1"/>
    <row r="2" spans="1:10" s="3" customFormat="1"/>
    <row r="3" spans="1:10" s="3" customFormat="1"/>
    <row r="4" spans="1:10" s="3" customFormat="1"/>
    <row r="5" spans="1:10" s="3" customFormat="1"/>
    <row r="6" spans="1:10" s="3" customFormat="1"/>
    <row r="7" spans="1:10" s="3" customFormat="1"/>
    <row r="8" spans="1:10" s="3" customFormat="1"/>
    <row r="9" spans="1:10" s="3" customFormat="1"/>
    <row r="10" spans="1:10" s="4" customFormat="1" ht="22.5">
      <c r="A10" s="5" t="str">
        <f ca="1">RIGHT(CELL("filename",A1),LEN(CELL("filename",A1))-FIND("]",CELL("filename",A1)))</f>
        <v>Input│ Historic Opex</v>
      </c>
      <c r="B10" s="9" t="s">
        <v>0</v>
      </c>
    </row>
    <row r="11" spans="1:10" ht="18">
      <c r="C11" s="9">
        <v>2011</v>
      </c>
      <c r="D11" s="9">
        <v>2012</v>
      </c>
      <c r="E11" s="9">
        <v>2013</v>
      </c>
      <c r="F11" s="9">
        <v>2014</v>
      </c>
      <c r="G11" s="9">
        <v>2015</v>
      </c>
      <c r="H11" s="9">
        <v>2016</v>
      </c>
      <c r="I11" s="9">
        <v>2017</v>
      </c>
    </row>
    <row r="12" spans="1:10" ht="18">
      <c r="A12" s="9" t="s">
        <v>59</v>
      </c>
    </row>
    <row r="13" spans="1:10" ht="18.75">
      <c r="A13" s="7" t="s">
        <v>209</v>
      </c>
      <c r="B13" s="7" t="s">
        <v>1</v>
      </c>
      <c r="C13" s="6"/>
      <c r="D13" s="25">
        <v>13213054.074000001</v>
      </c>
      <c r="E13" s="25">
        <v>14095423.273999996</v>
      </c>
      <c r="F13" s="25">
        <v>14250207.996999998</v>
      </c>
      <c r="G13" s="25">
        <v>16404595.215999998</v>
      </c>
      <c r="H13" s="25">
        <v>17402816.396999992</v>
      </c>
      <c r="J13" s="78" t="s">
        <v>173</v>
      </c>
    </row>
    <row r="14" spans="1:10" ht="18.75">
      <c r="A14" s="7" t="s">
        <v>210</v>
      </c>
      <c r="B14" s="7" t="s">
        <v>1</v>
      </c>
      <c r="C14" s="6"/>
      <c r="D14" s="10">
        <v>392747</v>
      </c>
      <c r="E14" s="10">
        <v>330916</v>
      </c>
      <c r="F14" s="10">
        <v>444045.5</v>
      </c>
      <c r="G14" s="10">
        <v>307652</v>
      </c>
      <c r="H14" s="10">
        <v>296993</v>
      </c>
      <c r="J14" s="78" t="s">
        <v>172</v>
      </c>
    </row>
    <row r="15" spans="1:10" ht="18">
      <c r="A15" s="7" t="s">
        <v>211</v>
      </c>
      <c r="B15" s="7" t="s">
        <v>1</v>
      </c>
      <c r="C15" s="6"/>
      <c r="D15" s="10">
        <v>991169.07799999998</v>
      </c>
      <c r="E15" s="10">
        <v>1213642.0419999999</v>
      </c>
      <c r="F15" s="10">
        <v>846264.01100000006</v>
      </c>
      <c r="G15" s="10">
        <v>854859.47499999998</v>
      </c>
      <c r="H15" s="10">
        <v>648379.79700000002</v>
      </c>
    </row>
    <row r="16" spans="1:10" ht="18">
      <c r="A16" s="7" t="s">
        <v>212</v>
      </c>
      <c r="B16" s="7" t="s">
        <v>1</v>
      </c>
      <c r="C16" s="6"/>
      <c r="D16" s="10">
        <v>12111128</v>
      </c>
      <c r="E16" s="10">
        <v>8063488</v>
      </c>
      <c r="F16" s="10">
        <v>8920857.25</v>
      </c>
      <c r="G16" s="10">
        <v>7528264.0184680084</v>
      </c>
      <c r="H16" s="11">
        <f>H152</f>
        <v>6372329.4382672682</v>
      </c>
    </row>
    <row r="17" spans="1:9" ht="18">
      <c r="A17" s="6" t="s">
        <v>2</v>
      </c>
      <c r="B17" s="6" t="s">
        <v>1</v>
      </c>
      <c r="C17" s="6"/>
      <c r="D17" s="11">
        <f>SUM(D13:D16)</f>
        <v>26708098.152000003</v>
      </c>
      <c r="E17" s="11">
        <f>SUM(E13:E16)</f>
        <v>23703469.315999996</v>
      </c>
      <c r="F17" s="11">
        <f>SUM(F13:F16)</f>
        <v>24461374.757999998</v>
      </c>
      <c r="G17" s="11">
        <f>SUM(G13:G16)</f>
        <v>25095370.709468007</v>
      </c>
      <c r="H17" s="11">
        <f>SUM(H13:H16)</f>
        <v>24720518.632267259</v>
      </c>
    </row>
    <row r="18" spans="1:9" ht="14.25">
      <c r="A18" s="1" t="s">
        <v>6</v>
      </c>
    </row>
    <row r="19" spans="1:9" ht="18">
      <c r="A19" s="9" t="s">
        <v>3</v>
      </c>
      <c r="C19" s="95">
        <v>40878</v>
      </c>
      <c r="D19" s="95">
        <v>41244</v>
      </c>
      <c r="E19" s="95">
        <v>41609</v>
      </c>
      <c r="F19" s="95">
        <v>41974</v>
      </c>
      <c r="G19" s="95">
        <v>42339</v>
      </c>
      <c r="H19" s="95">
        <v>42705</v>
      </c>
      <c r="I19" s="95">
        <v>43070</v>
      </c>
    </row>
    <row r="20" spans="1:9" ht="18">
      <c r="A20" s="7" t="s">
        <v>171</v>
      </c>
      <c r="B20" s="7"/>
      <c r="C20" s="7">
        <v>99.8</v>
      </c>
      <c r="D20" s="7">
        <v>102</v>
      </c>
      <c r="E20" s="7">
        <v>104.8</v>
      </c>
      <c r="F20" s="7">
        <v>106.6</v>
      </c>
      <c r="G20" s="7">
        <v>108.4</v>
      </c>
      <c r="H20" s="7">
        <v>110</v>
      </c>
      <c r="I20" s="63">
        <f>H20*(1.02)</f>
        <v>112.2</v>
      </c>
    </row>
    <row r="21" spans="1:9" ht="18">
      <c r="A21" s="7" t="s">
        <v>5</v>
      </c>
      <c r="B21" s="7" t="s">
        <v>4</v>
      </c>
      <c r="C21" s="96">
        <f>(C20/96.9)-1</f>
        <v>2.9927760577915352E-2</v>
      </c>
      <c r="D21" s="74">
        <f>(D20/C20)-1</f>
        <v>2.2044088176352838E-2</v>
      </c>
      <c r="E21" s="74">
        <f t="shared" ref="E21:I21" si="0">(E20/D20)-1</f>
        <v>2.7450980392156765E-2</v>
      </c>
      <c r="F21" s="74">
        <f t="shared" si="0"/>
        <v>1.7175572519083859E-2</v>
      </c>
      <c r="G21" s="74">
        <f t="shared" si="0"/>
        <v>1.6885553470919357E-2</v>
      </c>
      <c r="H21" s="74">
        <f t="shared" si="0"/>
        <v>1.4760147601476037E-2</v>
      </c>
      <c r="I21" s="74">
        <f t="shared" si="0"/>
        <v>2.0000000000000018E-2</v>
      </c>
    </row>
    <row r="22" spans="1:9" ht="18">
      <c r="A22" s="6" t="s">
        <v>24</v>
      </c>
      <c r="B22" s="6" t="s">
        <v>4</v>
      </c>
      <c r="C22" s="23">
        <f t="shared" ref="C22:H22" si="1">D22/(1+D21)</f>
        <v>0.88948306595365412</v>
      </c>
      <c r="D22" s="23">
        <f t="shared" si="1"/>
        <v>0.90909090909090917</v>
      </c>
      <c r="E22" s="23">
        <f t="shared" si="1"/>
        <v>0.93404634581105173</v>
      </c>
      <c r="F22" s="23">
        <f t="shared" si="1"/>
        <v>0.95008912655971467</v>
      </c>
      <c r="G22" s="23">
        <f t="shared" si="1"/>
        <v>0.96613190730837784</v>
      </c>
      <c r="H22" s="23">
        <f t="shared" si="1"/>
        <v>0.98039215686274506</v>
      </c>
      <c r="I22" s="7">
        <v>1</v>
      </c>
    </row>
    <row r="23" spans="1:9" ht="18">
      <c r="A23" s="6" t="s">
        <v>84</v>
      </c>
      <c r="B23" s="6"/>
      <c r="C23" s="6">
        <f>D23*(1+D21)</f>
        <v>1.0220440881763528</v>
      </c>
      <c r="D23" s="63">
        <v>1</v>
      </c>
      <c r="E23" s="23">
        <f>D23/(1+E21)</f>
        <v>0.97328244274809173</v>
      </c>
      <c r="F23" s="23">
        <f>E23/(1+F21)</f>
        <v>0.95684803001876195</v>
      </c>
      <c r="G23" s="23">
        <f>F23/(1+G21)</f>
        <v>0.94095940959409619</v>
      </c>
      <c r="H23" s="23">
        <f>G23/(1+H21)</f>
        <v>0.92727272727272747</v>
      </c>
      <c r="I23" s="23">
        <f>H23/(1+I21)</f>
        <v>0.90909090909090928</v>
      </c>
    </row>
    <row r="24" spans="1:9" ht="18">
      <c r="A24" s="7" t="s">
        <v>108</v>
      </c>
      <c r="B24" s="7"/>
      <c r="C24" s="7"/>
      <c r="D24" s="63"/>
      <c r="E24" s="75">
        <v>2.5000000000000001E-2</v>
      </c>
      <c r="F24" s="75">
        <v>2.5000000000000001E-2</v>
      </c>
      <c r="G24" s="75">
        <v>2.5000000000000001E-2</v>
      </c>
      <c r="H24" s="75">
        <v>2.5000000000000001E-2</v>
      </c>
      <c r="I24" s="75">
        <v>2.5000000000000001E-2</v>
      </c>
    </row>
    <row r="25" spans="1:9" ht="18">
      <c r="A25" s="6" t="s">
        <v>109</v>
      </c>
      <c r="B25" s="6"/>
      <c r="C25" s="6"/>
      <c r="D25" s="63">
        <v>1</v>
      </c>
      <c r="E25" s="23">
        <f>D25*(1+E24)</f>
        <v>1.0249999999999999</v>
      </c>
      <c r="F25" s="23">
        <f t="shared" ref="F25:I25" si="2">E25*(1+F24)</f>
        <v>1.0506249999999999</v>
      </c>
      <c r="G25" s="23">
        <f t="shared" si="2"/>
        <v>1.0768906249999999</v>
      </c>
      <c r="H25" s="23">
        <f t="shared" si="2"/>
        <v>1.1038128906249998</v>
      </c>
      <c r="I25" s="23">
        <f t="shared" si="2"/>
        <v>1.1314082128906247</v>
      </c>
    </row>
    <row r="28" spans="1:9" ht="18">
      <c r="A28" s="9" t="s">
        <v>7</v>
      </c>
    </row>
    <row r="29" spans="1:9" ht="18">
      <c r="A29" s="6" t="str">
        <f>A13</f>
        <v xml:space="preserve">Asset operations and management </v>
      </c>
      <c r="B29" s="12" t="s">
        <v>10</v>
      </c>
      <c r="C29" s="13"/>
      <c r="D29" s="24">
        <f t="shared" ref="D29:H32" si="3">D13/D$22</f>
        <v>14534359.4814</v>
      </c>
      <c r="E29" s="24">
        <f t="shared" si="3"/>
        <v>15090710.795255721</v>
      </c>
      <c r="F29" s="24">
        <f t="shared" si="3"/>
        <v>14998811.794215759</v>
      </c>
      <c r="G29" s="24">
        <f t="shared" si="3"/>
        <v>16979664.051985238</v>
      </c>
      <c r="H29" s="24">
        <f t="shared" si="3"/>
        <v>17750872.724939995</v>
      </c>
    </row>
    <row r="30" spans="1:9" ht="18">
      <c r="A30" s="6" t="str">
        <f>A14</f>
        <v>Regulatory (Asset Licences)</v>
      </c>
      <c r="B30" s="12" t="s">
        <v>10</v>
      </c>
      <c r="C30" s="13"/>
      <c r="D30" s="24">
        <f t="shared" si="3"/>
        <v>432021.69999999995</v>
      </c>
      <c r="E30" s="24">
        <f t="shared" si="3"/>
        <v>354282.2061068702</v>
      </c>
      <c r="F30" s="24">
        <f t="shared" si="3"/>
        <v>467372.46810506575</v>
      </c>
      <c r="G30" s="24">
        <f t="shared" si="3"/>
        <v>318436.84870848712</v>
      </c>
      <c r="H30" s="24">
        <f t="shared" si="3"/>
        <v>302932.86</v>
      </c>
    </row>
    <row r="31" spans="1:9" ht="18">
      <c r="A31" s="6" t="str">
        <f>A15</f>
        <v xml:space="preserve">Insurance </v>
      </c>
      <c r="B31" s="12" t="s">
        <v>10</v>
      </c>
      <c r="C31" s="13"/>
      <c r="D31" s="24">
        <f t="shared" si="3"/>
        <v>1090285.9857999999</v>
      </c>
      <c r="E31" s="24">
        <f t="shared" si="3"/>
        <v>1299338.140385496</v>
      </c>
      <c r="F31" s="24">
        <f t="shared" si="3"/>
        <v>890720.6569812384</v>
      </c>
      <c r="G31" s="24">
        <f t="shared" si="3"/>
        <v>884826.87357011077</v>
      </c>
      <c r="H31" s="24">
        <f t="shared" si="3"/>
        <v>661347.39294000005</v>
      </c>
    </row>
    <row r="32" spans="1:9" ht="18">
      <c r="A32" s="6" t="str">
        <f>A16</f>
        <v xml:space="preserve">Corporate overheads costs </v>
      </c>
      <c r="B32" s="12" t="s">
        <v>10</v>
      </c>
      <c r="C32" s="13"/>
      <c r="D32" s="24">
        <f t="shared" si="3"/>
        <v>13322240.799999999</v>
      </c>
      <c r="E32" s="24">
        <f t="shared" si="3"/>
        <v>8632856.4274809156</v>
      </c>
      <c r="F32" s="24">
        <f t="shared" si="3"/>
        <v>9389495.1543151978</v>
      </c>
      <c r="G32" s="24">
        <f t="shared" si="3"/>
        <v>7792169.9526947476</v>
      </c>
      <c r="H32" s="24">
        <f t="shared" si="3"/>
        <v>6499776.0270326138</v>
      </c>
    </row>
    <row r="33" spans="1:9" ht="18">
      <c r="A33" s="6" t="str">
        <f>A17</f>
        <v>Total</v>
      </c>
      <c r="B33" s="12" t="s">
        <v>10</v>
      </c>
      <c r="C33" s="13"/>
      <c r="D33" s="24">
        <f>SUM(D29:D32)</f>
        <v>29378907.967199996</v>
      </c>
      <c r="E33" s="24">
        <f t="shared" ref="E33:G33" si="4">SUM(E29:E32)</f>
        <v>25377187.569228999</v>
      </c>
      <c r="F33" s="24">
        <f t="shared" si="4"/>
        <v>25746400.073617265</v>
      </c>
      <c r="G33" s="24">
        <f t="shared" si="4"/>
        <v>25975097.726958584</v>
      </c>
      <c r="H33" s="11">
        <f>SUM(H29:H32)</f>
        <v>25214929.004912607</v>
      </c>
    </row>
    <row r="35" spans="1:9" ht="18">
      <c r="A35" s="9" t="s">
        <v>28</v>
      </c>
      <c r="F35" s="77"/>
      <c r="G35" s="77"/>
      <c r="H35" s="77"/>
      <c r="I35" s="77"/>
    </row>
    <row r="36" spans="1:9" ht="18">
      <c r="A36" s="83" t="s">
        <v>174</v>
      </c>
      <c r="F36" s="77"/>
      <c r="G36" s="77"/>
      <c r="H36" s="77"/>
      <c r="I36" s="77"/>
    </row>
    <row r="37" spans="1:9" ht="18">
      <c r="A37" s="7" t="s">
        <v>33</v>
      </c>
      <c r="B37" s="7" t="s">
        <v>1</v>
      </c>
      <c r="C37" s="7"/>
      <c r="D37" s="7"/>
      <c r="E37" s="10">
        <v>2010383.9692963853</v>
      </c>
      <c r="F37" s="10">
        <v>2060643.5685287951</v>
      </c>
      <c r="G37" s="10">
        <v>2133126.3244086811</v>
      </c>
      <c r="H37" s="10">
        <v>2192143.2325188969</v>
      </c>
      <c r="I37" s="10">
        <v>2246946.8133318699</v>
      </c>
    </row>
    <row r="38" spans="1:9" ht="18">
      <c r="A38" s="7" t="s">
        <v>34</v>
      </c>
      <c r="B38" s="7" t="s">
        <v>1</v>
      </c>
      <c r="C38" s="7"/>
      <c r="D38" s="7"/>
      <c r="E38" s="25">
        <v>568357.5990681313</v>
      </c>
      <c r="F38" s="25">
        <v>582566.53904483456</v>
      </c>
      <c r="G38" s="25">
        <v>597130.70252095547</v>
      </c>
      <c r="H38" s="25">
        <v>612058.97008397931</v>
      </c>
      <c r="I38" s="25">
        <v>627360.44433607883</v>
      </c>
    </row>
    <row r="40" spans="1:9" ht="18">
      <c r="A40" s="6" t="s">
        <v>33</v>
      </c>
      <c r="B40" s="6" t="s">
        <v>10</v>
      </c>
      <c r="C40" s="24">
        <f>C37/C$22</f>
        <v>0</v>
      </c>
      <c r="D40" s="24">
        <f t="shared" ref="D40:I40" si="5">D37/D22</f>
        <v>0</v>
      </c>
      <c r="E40" s="24">
        <f t="shared" si="5"/>
        <v>2152338.562548229</v>
      </c>
      <c r="F40" s="24">
        <f t="shared" si="5"/>
        <v>2168895.01302937</v>
      </c>
      <c r="G40" s="24">
        <f t="shared" si="5"/>
        <v>2207903.8154857382</v>
      </c>
      <c r="H40" s="24">
        <f t="shared" si="5"/>
        <v>2235986.0971692749</v>
      </c>
      <c r="I40" s="24">
        <f t="shared" si="5"/>
        <v>2246946.8133318699</v>
      </c>
    </row>
    <row r="41" spans="1:9" ht="18">
      <c r="A41" s="6" t="str">
        <f>A38</f>
        <v>Spares</v>
      </c>
      <c r="B41" s="6" t="s">
        <v>10</v>
      </c>
      <c r="C41" s="24">
        <f>C38/C$22</f>
        <v>0</v>
      </c>
      <c r="D41" s="24">
        <f t="shared" ref="D41:I41" si="6">D38/D$22</f>
        <v>0</v>
      </c>
      <c r="E41" s="24">
        <f t="shared" si="6"/>
        <v>608489.71961301845</v>
      </c>
      <c r="F41" s="24">
        <f t="shared" si="6"/>
        <v>613170.40976388787</v>
      </c>
      <c r="G41" s="24">
        <f t="shared" si="6"/>
        <v>618063.32862408867</v>
      </c>
      <c r="H41" s="24">
        <f t="shared" si="6"/>
        <v>624300.14948565897</v>
      </c>
      <c r="I41" s="24">
        <f t="shared" si="6"/>
        <v>627360.44433607883</v>
      </c>
    </row>
    <row r="42" spans="1:9" ht="18">
      <c r="A42" s="6" t="s">
        <v>154</v>
      </c>
      <c r="B42" s="6" t="str">
        <f>B41</f>
        <v>real $2017</v>
      </c>
      <c r="C42" s="6"/>
      <c r="D42" s="6"/>
      <c r="E42" s="24">
        <f>SUM(E40:E41)</f>
        <v>2760828.2821612475</v>
      </c>
      <c r="F42" s="24">
        <f>SUM(F40:F41)</f>
        <v>2782065.422793258</v>
      </c>
      <c r="G42" s="24">
        <f>SUM(G40:G41)</f>
        <v>2825967.144109827</v>
      </c>
      <c r="H42" s="24">
        <f>SUM(H40:H41)</f>
        <v>2860286.2466549338</v>
      </c>
      <c r="I42" s="24">
        <f>SUM(I40:I41)</f>
        <v>2874307.2576679485</v>
      </c>
    </row>
    <row r="43" spans="1:9" ht="14.25">
      <c r="A43" s="51" t="s">
        <v>6</v>
      </c>
    </row>
    <row r="44" spans="1:9" ht="22.5">
      <c r="A44" s="18" t="s">
        <v>25</v>
      </c>
      <c r="C44" s="9">
        <v>2017</v>
      </c>
      <c r="D44" s="9">
        <v>2018</v>
      </c>
      <c r="E44" s="9">
        <v>2019</v>
      </c>
      <c r="F44" s="9">
        <v>2020</v>
      </c>
      <c r="G44" s="9">
        <v>2021</v>
      </c>
      <c r="H44" s="9">
        <v>2022</v>
      </c>
    </row>
    <row r="45" spans="1:9" ht="18">
      <c r="A45" s="9" t="s">
        <v>49</v>
      </c>
    </row>
    <row r="46" spans="1:9" ht="18">
      <c r="A46" s="9"/>
    </row>
    <row r="47" spans="1:9" ht="18">
      <c r="A47" s="29" t="s">
        <v>53</v>
      </c>
    </row>
    <row r="48" spans="1:9" ht="18">
      <c r="A48" s="7" t="s">
        <v>50</v>
      </c>
      <c r="B48" s="12" t="s">
        <v>56</v>
      </c>
      <c r="C48" s="10">
        <v>1500000</v>
      </c>
      <c r="D48" s="10">
        <v>1500000</v>
      </c>
      <c r="E48" s="10">
        <v>1500000</v>
      </c>
      <c r="F48" s="10">
        <v>1500000</v>
      </c>
      <c r="G48" s="10">
        <v>1500000</v>
      </c>
      <c r="H48" s="10">
        <v>1500000</v>
      </c>
    </row>
    <row r="49" spans="1:8" ht="18">
      <c r="A49" s="29" t="s">
        <v>54</v>
      </c>
    </row>
    <row r="50" spans="1:8" ht="18">
      <c r="A50" s="6" t="s">
        <v>55</v>
      </c>
      <c r="B50" s="6" t="s">
        <v>44</v>
      </c>
      <c r="C50" s="26">
        <v>0.10448889478216249</v>
      </c>
      <c r="D50" s="26">
        <v>0.10448889478216249</v>
      </c>
      <c r="E50" s="26">
        <v>0.10448889478216249</v>
      </c>
      <c r="F50" s="26">
        <v>0.10448889478216249</v>
      </c>
      <c r="G50" s="26">
        <v>0.10448889478216249</v>
      </c>
      <c r="H50" s="26">
        <v>0.10448889478216249</v>
      </c>
    </row>
    <row r="52" spans="1:8" ht="18">
      <c r="A52" s="7" t="s">
        <v>50</v>
      </c>
      <c r="B52" s="32" t="str">
        <f>B48</f>
        <v xml:space="preserve"> $ 2016</v>
      </c>
      <c r="C52" s="25">
        <f t="shared" ref="C52:H52" si="7">C48*C50</f>
        <v>156733.34217324373</v>
      </c>
      <c r="D52" s="25">
        <f t="shared" si="7"/>
        <v>156733.34217324373</v>
      </c>
      <c r="E52" s="25">
        <f t="shared" si="7"/>
        <v>156733.34217324373</v>
      </c>
      <c r="F52" s="25">
        <f t="shared" si="7"/>
        <v>156733.34217324373</v>
      </c>
      <c r="G52" s="25">
        <f t="shared" si="7"/>
        <v>156733.34217324373</v>
      </c>
      <c r="H52" s="25">
        <f t="shared" si="7"/>
        <v>156733.34217324373</v>
      </c>
    </row>
    <row r="53" spans="1:8" ht="18">
      <c r="A53" s="6" t="str">
        <f>A52</f>
        <v>Docklands Rental</v>
      </c>
      <c r="B53" s="6" t="s">
        <v>10</v>
      </c>
      <c r="C53" s="11">
        <f>C52/$H$22</f>
        <v>159868.00901670862</v>
      </c>
      <c r="D53" s="11">
        <f t="shared" ref="D53:H53" si="8">D52/$H$22</f>
        <v>159868.00901670862</v>
      </c>
      <c r="E53" s="11">
        <f t="shared" si="8"/>
        <v>159868.00901670862</v>
      </c>
      <c r="F53" s="11">
        <f t="shared" si="8"/>
        <v>159868.00901670862</v>
      </c>
      <c r="G53" s="11">
        <f t="shared" si="8"/>
        <v>159868.00901670862</v>
      </c>
      <c r="H53" s="11">
        <f t="shared" si="8"/>
        <v>159868.00901670862</v>
      </c>
    </row>
    <row r="55" spans="1:8" ht="18">
      <c r="A55" s="29" t="s">
        <v>186</v>
      </c>
      <c r="C55" s="42">
        <f t="shared" ref="C55:H55" si="9">C44</f>
        <v>2017</v>
      </c>
      <c r="D55" s="42">
        <f t="shared" si="9"/>
        <v>2018</v>
      </c>
      <c r="E55" s="42">
        <f t="shared" si="9"/>
        <v>2019</v>
      </c>
      <c r="F55" s="42">
        <f t="shared" si="9"/>
        <v>2020</v>
      </c>
      <c r="G55" s="42">
        <f t="shared" si="9"/>
        <v>2021</v>
      </c>
      <c r="H55" s="42">
        <f t="shared" si="9"/>
        <v>2022</v>
      </c>
    </row>
    <row r="56" spans="1:8" ht="18">
      <c r="A56" s="7" t="s">
        <v>214</v>
      </c>
      <c r="B56" s="32" t="str">
        <f>B48</f>
        <v xml:space="preserve"> $ 2016</v>
      </c>
      <c r="C56" s="25">
        <v>0</v>
      </c>
      <c r="D56" s="25">
        <v>0</v>
      </c>
      <c r="E56" s="25">
        <v>0</v>
      </c>
      <c r="F56" s="25">
        <v>0</v>
      </c>
      <c r="G56" s="25">
        <v>20420</v>
      </c>
      <c r="H56" s="25">
        <v>20420</v>
      </c>
    </row>
    <row r="57" spans="1:8" ht="18">
      <c r="A57" s="7" t="s">
        <v>215</v>
      </c>
      <c r="B57" s="32" t="str">
        <f>B56</f>
        <v xml:space="preserve"> $ 2016</v>
      </c>
      <c r="C57" s="25">
        <v>0</v>
      </c>
      <c r="D57" s="25">
        <v>0</v>
      </c>
      <c r="E57" s="25">
        <v>88713.57142857142</v>
      </c>
      <c r="F57" s="25">
        <v>88713.57142857142</v>
      </c>
      <c r="G57" s="25">
        <v>88713.57142857142</v>
      </c>
      <c r="H57" s="25">
        <v>88713.57142857142</v>
      </c>
    </row>
    <row r="58" spans="1:8" ht="18">
      <c r="A58" s="7" t="s">
        <v>216</v>
      </c>
      <c r="B58" s="32" t="str">
        <f t="shared" ref="B58:B59" si="10">B57</f>
        <v xml:space="preserve"> $ 2016</v>
      </c>
      <c r="C58" s="25">
        <v>0</v>
      </c>
      <c r="D58" s="25">
        <v>273367.5</v>
      </c>
      <c r="E58" s="25">
        <v>273367.5</v>
      </c>
      <c r="F58" s="25">
        <v>273367.5</v>
      </c>
      <c r="G58" s="25">
        <v>273367.5</v>
      </c>
      <c r="H58" s="25">
        <v>273367.5</v>
      </c>
    </row>
    <row r="59" spans="1:8" ht="18">
      <c r="A59" s="86" t="s">
        <v>185</v>
      </c>
      <c r="B59" s="87" t="str">
        <f t="shared" si="10"/>
        <v xml:space="preserve"> $ 2016</v>
      </c>
      <c r="C59" s="88">
        <v>0</v>
      </c>
      <c r="D59" s="88">
        <v>0</v>
      </c>
      <c r="E59" s="88">
        <v>0</v>
      </c>
      <c r="F59" s="88">
        <v>0</v>
      </c>
      <c r="G59" s="88">
        <v>196000</v>
      </c>
      <c r="H59" s="88">
        <v>196000</v>
      </c>
    </row>
    <row r="60" spans="1:8" ht="18">
      <c r="A60" s="6" t="s">
        <v>2</v>
      </c>
      <c r="B60" s="6" t="s">
        <v>32</v>
      </c>
      <c r="C60" s="11">
        <f>SUM(C56:C59)</f>
        <v>0</v>
      </c>
      <c r="D60" s="11">
        <f t="shared" ref="D60:H60" si="11">SUM(D56:D59)</f>
        <v>273367.5</v>
      </c>
      <c r="E60" s="11">
        <f t="shared" si="11"/>
        <v>362081.07142857142</v>
      </c>
      <c r="F60" s="11">
        <f t="shared" si="11"/>
        <v>362081.07142857142</v>
      </c>
      <c r="G60" s="11">
        <f t="shared" si="11"/>
        <v>578501.07142857136</v>
      </c>
      <c r="H60" s="11">
        <f t="shared" si="11"/>
        <v>578501.07142857136</v>
      </c>
    </row>
    <row r="61" spans="1:8" ht="18">
      <c r="A61" s="6" t="str">
        <f>A56</f>
        <v>Warragul</v>
      </c>
      <c r="B61" s="6"/>
      <c r="C61" s="11"/>
      <c r="D61" s="11">
        <f t="shared" ref="D61:H64" si="12">D56/$H$22</f>
        <v>0</v>
      </c>
      <c r="E61" s="11">
        <f t="shared" si="12"/>
        <v>0</v>
      </c>
      <c r="F61" s="11">
        <f t="shared" si="12"/>
        <v>0</v>
      </c>
      <c r="G61" s="11">
        <f t="shared" si="12"/>
        <v>20828.400000000001</v>
      </c>
      <c r="H61" s="11">
        <f t="shared" si="12"/>
        <v>20828.400000000001</v>
      </c>
    </row>
    <row r="62" spans="1:8" ht="18">
      <c r="A62" s="6" t="str">
        <f t="shared" ref="A62:A64" si="13">A57</f>
        <v>Anglesea</v>
      </c>
      <c r="B62" s="6"/>
      <c r="C62" s="11"/>
      <c r="D62" s="11">
        <f t="shared" si="12"/>
        <v>0</v>
      </c>
      <c r="E62" s="11">
        <f t="shared" si="12"/>
        <v>90487.842857142852</v>
      </c>
      <c r="F62" s="11">
        <f t="shared" si="12"/>
        <v>90487.842857142852</v>
      </c>
      <c r="G62" s="11">
        <f t="shared" si="12"/>
        <v>90487.842857142852</v>
      </c>
      <c r="H62" s="11">
        <f t="shared" si="12"/>
        <v>90487.842857142852</v>
      </c>
    </row>
    <row r="63" spans="1:8" ht="18">
      <c r="A63" s="6" t="str">
        <f t="shared" si="13"/>
        <v>VNIE</v>
      </c>
      <c r="B63" s="6"/>
      <c r="C63" s="11"/>
      <c r="D63" s="11">
        <f t="shared" si="12"/>
        <v>278834.85000000003</v>
      </c>
      <c r="E63" s="11">
        <f t="shared" si="12"/>
        <v>278834.85000000003</v>
      </c>
      <c r="F63" s="11">
        <f t="shared" si="12"/>
        <v>278834.85000000003</v>
      </c>
      <c r="G63" s="11">
        <f t="shared" si="12"/>
        <v>278834.85000000003</v>
      </c>
      <c r="H63" s="11">
        <f t="shared" si="12"/>
        <v>278834.85000000003</v>
      </c>
    </row>
    <row r="64" spans="1:8" ht="18">
      <c r="A64" s="6" t="str">
        <f t="shared" si="13"/>
        <v>WORM</v>
      </c>
      <c r="B64" s="6"/>
      <c r="C64" s="11"/>
      <c r="D64" s="11">
        <f t="shared" si="12"/>
        <v>0</v>
      </c>
      <c r="E64" s="11">
        <f t="shared" si="12"/>
        <v>0</v>
      </c>
      <c r="F64" s="11">
        <f t="shared" si="12"/>
        <v>0</v>
      </c>
      <c r="G64" s="11">
        <f t="shared" si="12"/>
        <v>199920</v>
      </c>
      <c r="H64" s="11">
        <f t="shared" si="12"/>
        <v>199920</v>
      </c>
    </row>
    <row r="65" spans="1:8" ht="18">
      <c r="A65" s="6" t="s">
        <v>2</v>
      </c>
      <c r="B65" s="6" t="s">
        <v>10</v>
      </c>
      <c r="C65" s="11">
        <f>C60/$H$22</f>
        <v>0</v>
      </c>
      <c r="D65" s="11">
        <f>SUM(D61:D64)</f>
        <v>278834.85000000003</v>
      </c>
      <c r="E65" s="11">
        <f t="shared" ref="E65:H65" si="14">SUM(E61:E64)</f>
        <v>369322.69285714289</v>
      </c>
      <c r="F65" s="11">
        <f t="shared" si="14"/>
        <v>369322.69285714289</v>
      </c>
      <c r="G65" s="11">
        <f t="shared" si="14"/>
        <v>590071.09285714291</v>
      </c>
      <c r="H65" s="11">
        <f t="shared" si="14"/>
        <v>590071.09285714291</v>
      </c>
    </row>
    <row r="67" spans="1:8" ht="18">
      <c r="A67" s="9" t="s">
        <v>28</v>
      </c>
      <c r="C67" s="33">
        <f t="shared" ref="C67:H67" si="15">C44</f>
        <v>2017</v>
      </c>
      <c r="D67" s="33">
        <f t="shared" si="15"/>
        <v>2018</v>
      </c>
      <c r="E67" s="33">
        <f t="shared" si="15"/>
        <v>2019</v>
      </c>
      <c r="F67" s="33">
        <f t="shared" si="15"/>
        <v>2020</v>
      </c>
      <c r="G67" s="33">
        <f t="shared" si="15"/>
        <v>2021</v>
      </c>
      <c r="H67" s="33">
        <f t="shared" si="15"/>
        <v>2022</v>
      </c>
    </row>
    <row r="68" spans="1:8" ht="18">
      <c r="A68" s="76" t="s">
        <v>169</v>
      </c>
      <c r="C68" s="76"/>
      <c r="D68" s="76"/>
      <c r="E68" s="76"/>
      <c r="F68" s="76"/>
      <c r="G68" s="76"/>
      <c r="H68" s="76"/>
    </row>
    <row r="69" spans="1:8" ht="18">
      <c r="A69" s="7" t="s">
        <v>5</v>
      </c>
      <c r="B69" s="7"/>
      <c r="C69" s="75">
        <v>1.0232558139534831E-2</v>
      </c>
      <c r="D69" s="75">
        <v>0.01</v>
      </c>
      <c r="E69" s="75">
        <v>0.01</v>
      </c>
      <c r="F69" s="75">
        <v>0.01</v>
      </c>
      <c r="G69" s="75">
        <v>0.01</v>
      </c>
      <c r="H69" s="75">
        <v>0.01</v>
      </c>
    </row>
    <row r="70" spans="1:8" ht="18">
      <c r="A70" s="7" t="s">
        <v>181</v>
      </c>
      <c r="B70" s="7"/>
      <c r="C70" s="84">
        <v>1</v>
      </c>
      <c r="D70" s="81">
        <f>C70*(1+D69)</f>
        <v>1.01</v>
      </c>
      <c r="E70" s="81">
        <f t="shared" ref="E70:H70" si="16">D70*(1+E69)</f>
        <v>1.0201</v>
      </c>
      <c r="F70" s="81">
        <f t="shared" si="16"/>
        <v>1.0303009999999999</v>
      </c>
      <c r="G70" s="81">
        <f t="shared" si="16"/>
        <v>1.04060401</v>
      </c>
      <c r="H70" s="81">
        <f t="shared" si="16"/>
        <v>1.0510100500999999</v>
      </c>
    </row>
    <row r="71" spans="1:8" ht="18">
      <c r="A71" s="6" t="s">
        <v>170</v>
      </c>
      <c r="B71" s="6"/>
      <c r="C71" s="82"/>
      <c r="D71" s="74">
        <v>7.8820000000000001E-2</v>
      </c>
      <c r="E71" s="74">
        <v>7.8820000000000001E-2</v>
      </c>
      <c r="F71" s="74">
        <v>7.8820000000000001E-2</v>
      </c>
      <c r="G71" s="74">
        <v>7.8820000000000001E-2</v>
      </c>
      <c r="H71" s="74">
        <v>7.8820000000000001E-2</v>
      </c>
    </row>
    <row r="72" spans="1:8">
      <c r="C72" s="79"/>
      <c r="D72" s="80"/>
      <c r="E72" s="80"/>
      <c r="F72" s="80"/>
      <c r="G72" s="80"/>
      <c r="H72" s="80"/>
    </row>
    <row r="73" spans="1:8">
      <c r="C73" s="79"/>
      <c r="D73" s="80"/>
      <c r="E73" s="80"/>
      <c r="F73" s="80"/>
      <c r="G73" s="80"/>
      <c r="H73" s="80"/>
    </row>
    <row r="74" spans="1:8" ht="15">
      <c r="A74" s="72" t="s">
        <v>33</v>
      </c>
    </row>
    <row r="75" spans="1:8" ht="18">
      <c r="A75" s="6" t="s">
        <v>166</v>
      </c>
      <c r="B75" s="6" t="s">
        <v>1</v>
      </c>
      <c r="C75" s="24"/>
      <c r="D75" s="24">
        <f>C78</f>
        <v>2246946.8133318699</v>
      </c>
      <c r="E75" s="24">
        <f t="shared" ref="E75:H75" si="17">D78</f>
        <v>2410800.5101877041</v>
      </c>
      <c r="F75" s="24">
        <f t="shared" si="17"/>
        <v>2520385.9458921556</v>
      </c>
      <c r="G75" s="24">
        <f t="shared" si="17"/>
        <v>2597152.0179481003</v>
      </c>
      <c r="H75" s="24">
        <f t="shared" si="17"/>
        <v>2668264.1017288114</v>
      </c>
    </row>
    <row r="76" spans="1:8" ht="18">
      <c r="A76" s="6" t="s">
        <v>184</v>
      </c>
      <c r="B76" s="6" t="s">
        <v>1</v>
      </c>
      <c r="C76" s="24"/>
      <c r="D76" s="24">
        <f>D99</f>
        <v>141384.22872251569</v>
      </c>
      <c r="E76" s="24">
        <f t="shared" ref="E76:H76" si="18">E99</f>
        <v>85477.430602574139</v>
      </c>
      <c r="F76" s="24">
        <f t="shared" si="18"/>
        <v>51562.21259702315</v>
      </c>
      <c r="G76" s="24">
        <f t="shared" si="18"/>
        <v>45140.563601230097</v>
      </c>
      <c r="H76" s="24">
        <f t="shared" si="18"/>
        <v>36609.530168316705</v>
      </c>
    </row>
    <row r="77" spans="1:8" ht="18">
      <c r="A77" s="6" t="s">
        <v>168</v>
      </c>
      <c r="B77" s="6" t="s">
        <v>1</v>
      </c>
      <c r="C77" s="24"/>
      <c r="D77" s="24">
        <f>D75*D69</f>
        <v>22469.4681333187</v>
      </c>
      <c r="E77" s="24">
        <f>E75*E69</f>
        <v>24108.005101877043</v>
      </c>
      <c r="F77" s="24">
        <f>F75*F69</f>
        <v>25203.859458921557</v>
      </c>
      <c r="G77" s="24">
        <f>G75*G69</f>
        <v>25971.520179481005</v>
      </c>
      <c r="H77" s="24">
        <f>H75*H69</f>
        <v>26682.641017288115</v>
      </c>
    </row>
    <row r="78" spans="1:8" ht="18">
      <c r="A78" s="6" t="s">
        <v>167</v>
      </c>
      <c r="B78" s="6" t="s">
        <v>1</v>
      </c>
      <c r="C78" s="24">
        <f>I40</f>
        <v>2246946.8133318699</v>
      </c>
      <c r="D78" s="24">
        <f>SUM(D75:D77)</f>
        <v>2410800.5101877041</v>
      </c>
      <c r="E78" s="24">
        <f>SUM(E75:E77)</f>
        <v>2520385.9458921556</v>
      </c>
      <c r="F78" s="24">
        <f>SUM(F75:F77)</f>
        <v>2597152.0179481003</v>
      </c>
      <c r="G78" s="24">
        <f>SUM(G75:G77)</f>
        <v>2668264.1017288114</v>
      </c>
      <c r="H78" s="24">
        <f>SUM(H75:H77)</f>
        <v>2731556.2729144162</v>
      </c>
    </row>
    <row r="79" spans="1:8" ht="15">
      <c r="A79" s="72"/>
    </row>
    <row r="80" spans="1:8" ht="18">
      <c r="A80" s="6" t="s">
        <v>157</v>
      </c>
      <c r="B80" s="6" t="str">
        <f>B78</f>
        <v>$ nominal</v>
      </c>
      <c r="C80" s="6"/>
      <c r="D80" s="24">
        <f>D78*D71</f>
        <v>190019.29621299484</v>
      </c>
      <c r="E80" s="24">
        <f>E78*E71</f>
        <v>198656.8202552197</v>
      </c>
      <c r="F80" s="24">
        <f>F78*F71</f>
        <v>204707.52205466927</v>
      </c>
      <c r="G80" s="24">
        <f>G78*G71</f>
        <v>210312.57649826491</v>
      </c>
      <c r="H80" s="24">
        <f>H78*H71</f>
        <v>215301.2654311143</v>
      </c>
    </row>
    <row r="81" spans="1:9" ht="18">
      <c r="A81" s="6" t="s">
        <v>157</v>
      </c>
      <c r="B81" s="6" t="s">
        <v>10</v>
      </c>
      <c r="C81" s="6"/>
      <c r="D81" s="24">
        <f>D80/D70</f>
        <v>188137.91704256914</v>
      </c>
      <c r="E81" s="24">
        <f>E80/E70</f>
        <v>194742.49608393267</v>
      </c>
      <c r="F81" s="24">
        <f>F80/F70</f>
        <v>198687.10411294299</v>
      </c>
      <c r="G81" s="24">
        <f>G80/G70</f>
        <v>202106.25221237127</v>
      </c>
      <c r="H81" s="24">
        <f>H80/H70</f>
        <v>204851.76655601832</v>
      </c>
    </row>
    <row r="82" spans="1:9" ht="15">
      <c r="A82" s="72"/>
    </row>
    <row r="83" spans="1:9" ht="15">
      <c r="A83" s="72" t="s">
        <v>34</v>
      </c>
    </row>
    <row r="84" spans="1:9" ht="18">
      <c r="A84" s="6" t="s">
        <v>166</v>
      </c>
      <c r="B84" s="6" t="s">
        <v>1</v>
      </c>
      <c r="C84" s="24"/>
      <c r="D84" s="24">
        <f>C87</f>
        <v>627360.44433607883</v>
      </c>
      <c r="E84" s="24">
        <f t="shared" ref="E84:H84" si="19">D87</f>
        <v>673109.33676898701</v>
      </c>
      <c r="F84" s="24">
        <f t="shared" si="19"/>
        <v>703706.21927123121</v>
      </c>
      <c r="G84" s="24">
        <f t="shared" si="19"/>
        <v>725139.74710963131</v>
      </c>
      <c r="H84" s="24">
        <f t="shared" si="19"/>
        <v>744994.64897630143</v>
      </c>
    </row>
    <row r="85" spans="1:9" ht="18">
      <c r="A85" s="6" t="s">
        <v>182</v>
      </c>
      <c r="B85" s="6" t="s">
        <v>1</v>
      </c>
      <c r="C85" s="24"/>
      <c r="D85" s="24">
        <f>D100</f>
        <v>39475.287989547345</v>
      </c>
      <c r="E85" s="24">
        <f t="shared" ref="E85:H85" si="20">E100</f>
        <v>23865.78913455435</v>
      </c>
      <c r="F85" s="24">
        <f t="shared" si="20"/>
        <v>14396.465645687738</v>
      </c>
      <c r="G85" s="24">
        <f t="shared" si="20"/>
        <v>12603.504395573791</v>
      </c>
      <c r="H85" s="24">
        <f t="shared" si="20"/>
        <v>10221.590905960627</v>
      </c>
    </row>
    <row r="86" spans="1:9" ht="18">
      <c r="A86" s="6" t="s">
        <v>168</v>
      </c>
      <c r="B86" s="6" t="s">
        <v>1</v>
      </c>
      <c r="C86" s="24"/>
      <c r="D86" s="24">
        <f>D84*D69</f>
        <v>6273.6044433607885</v>
      </c>
      <c r="E86" s="24">
        <f>E84*E69</f>
        <v>6731.0933676898703</v>
      </c>
      <c r="F86" s="24">
        <f>F84*F69</f>
        <v>7037.062192712312</v>
      </c>
      <c r="G86" s="24">
        <f>G84*G69</f>
        <v>7251.397471096313</v>
      </c>
      <c r="H86" s="24">
        <f>H84*H69</f>
        <v>7449.9464897630141</v>
      </c>
    </row>
    <row r="87" spans="1:9" ht="18">
      <c r="A87" s="6" t="s">
        <v>167</v>
      </c>
      <c r="B87" s="6" t="s">
        <v>1</v>
      </c>
      <c r="C87" s="24">
        <f>I41</f>
        <v>627360.44433607883</v>
      </c>
      <c r="D87" s="24">
        <f>SUM(D84:D86)</f>
        <v>673109.33676898701</v>
      </c>
      <c r="E87" s="24">
        <f>SUM(E84:E86)</f>
        <v>703706.21927123121</v>
      </c>
      <c r="F87" s="24">
        <f>SUM(F84:F86)</f>
        <v>725139.74710963131</v>
      </c>
      <c r="G87" s="24">
        <f>SUM(G84:G86)</f>
        <v>744994.64897630143</v>
      </c>
      <c r="H87" s="24">
        <f>SUM(H84:H86)</f>
        <v>762666.18637202505</v>
      </c>
    </row>
    <row r="88" spans="1:9" ht="15">
      <c r="A88" s="72"/>
    </row>
    <row r="89" spans="1:9" ht="18">
      <c r="A89" s="6" t="s">
        <v>175</v>
      </c>
      <c r="B89" s="6" t="str">
        <f>B87</f>
        <v>$ nominal</v>
      </c>
      <c r="C89" s="24"/>
      <c r="D89" s="24">
        <f>D87*D71</f>
        <v>53054.477924131555</v>
      </c>
      <c r="E89" s="24">
        <f>E87*E71</f>
        <v>55466.124202958446</v>
      </c>
      <c r="F89" s="24">
        <f>F87*F71</f>
        <v>57155.51486718114</v>
      </c>
      <c r="G89" s="24">
        <f>G87*G71</f>
        <v>58720.478232312082</v>
      </c>
      <c r="H89" s="24">
        <f>H87*H71</f>
        <v>60113.348809843017</v>
      </c>
    </row>
    <row r="90" spans="1:9" ht="18">
      <c r="A90" s="6" t="s">
        <v>175</v>
      </c>
      <c r="B90" s="6" t="s">
        <v>10</v>
      </c>
      <c r="C90" s="24"/>
      <c r="D90" s="24">
        <f>D89/D70</f>
        <v>52529.186063496592</v>
      </c>
      <c r="E90" s="24">
        <f>E89/E70</f>
        <v>54373.222432073766</v>
      </c>
      <c r="F90" s="24">
        <f>F89/F70</f>
        <v>55474.579629818028</v>
      </c>
      <c r="G90" s="24">
        <f>G89/G70</f>
        <v>56429.225399882976</v>
      </c>
      <c r="H90" s="24">
        <f>H89/H70</f>
        <v>57195.788759701623</v>
      </c>
    </row>
    <row r="91" spans="1:9" ht="15">
      <c r="A91" s="72"/>
    </row>
    <row r="92" spans="1:9" ht="15">
      <c r="A92" s="72" t="s">
        <v>155</v>
      </c>
    </row>
    <row r="93" spans="1:9" ht="18.75">
      <c r="A93" s="6" t="s">
        <v>156</v>
      </c>
      <c r="B93" s="6" t="s">
        <v>10</v>
      </c>
      <c r="C93" s="24">
        <v>1008510479.8464903</v>
      </c>
      <c r="D93" s="71" t="s">
        <v>162</v>
      </c>
    </row>
    <row r="94" spans="1:9" ht="18">
      <c r="A94" s="6" t="s">
        <v>158</v>
      </c>
      <c r="B94" s="6" t="s">
        <v>44</v>
      </c>
      <c r="C94" s="73">
        <f>C78/C$93</f>
        <v>2.227985586896318E-3</v>
      </c>
      <c r="D94" s="73">
        <f>C94</f>
        <v>2.227985586896318E-3</v>
      </c>
      <c r="E94" s="73">
        <f t="shared" ref="E94:H95" si="21">D94</f>
        <v>2.227985586896318E-3</v>
      </c>
      <c r="F94" s="73">
        <f t="shared" si="21"/>
        <v>2.227985586896318E-3</v>
      </c>
      <c r="G94" s="73">
        <f t="shared" si="21"/>
        <v>2.227985586896318E-3</v>
      </c>
      <c r="H94" s="73">
        <f t="shared" si="21"/>
        <v>2.227985586896318E-3</v>
      </c>
    </row>
    <row r="95" spans="1:9" ht="18">
      <c r="A95" s="6" t="s">
        <v>159</v>
      </c>
      <c r="B95" s="6" t="s">
        <v>44</v>
      </c>
      <c r="C95" s="73">
        <f>I41/C$93</f>
        <v>6.2206636110670075E-4</v>
      </c>
      <c r="D95" s="73">
        <f>C95</f>
        <v>6.2206636110670075E-4</v>
      </c>
      <c r="E95" s="73">
        <f t="shared" si="21"/>
        <v>6.2206636110670075E-4</v>
      </c>
      <c r="F95" s="73">
        <f t="shared" si="21"/>
        <v>6.2206636110670075E-4</v>
      </c>
      <c r="G95" s="73">
        <f t="shared" si="21"/>
        <v>6.2206636110670075E-4</v>
      </c>
      <c r="H95" s="73">
        <f t="shared" si="21"/>
        <v>6.2206636110670075E-4</v>
      </c>
    </row>
    <row r="96" spans="1:9" ht="18.75">
      <c r="A96" s="6" t="s">
        <v>161</v>
      </c>
      <c r="B96" s="6" t="s">
        <v>10</v>
      </c>
      <c r="C96" s="6"/>
      <c r="D96" s="24">
        <v>62830022.643361136</v>
      </c>
      <c r="E96" s="24">
        <v>37609393.89643237</v>
      </c>
      <c r="F96" s="24">
        <v>22462342.596092518</v>
      </c>
      <c r="G96" s="24">
        <v>19470141.375594672</v>
      </c>
      <c r="H96" s="24">
        <v>15634172.859745011</v>
      </c>
      <c r="I96" s="71" t="s">
        <v>163</v>
      </c>
    </row>
    <row r="97" spans="1:9" ht="18">
      <c r="A97" s="6" t="s">
        <v>164</v>
      </c>
      <c r="B97" s="6" t="s">
        <v>10</v>
      </c>
      <c r="C97" s="24">
        <f>C94*C$96</f>
        <v>0</v>
      </c>
      <c r="D97" s="24">
        <f>D94*D$96</f>
        <v>139984.38487377792</v>
      </c>
      <c r="E97" s="24">
        <f t="shared" ref="E97:H98" si="22">E94*E$96</f>
        <v>83793.187533157674</v>
      </c>
      <c r="F97" s="24">
        <f t="shared" si="22"/>
        <v>50045.775552021354</v>
      </c>
      <c r="G97" s="24">
        <f t="shared" si="22"/>
        <v>43379.194359658577</v>
      </c>
      <c r="H97" s="24">
        <f t="shared" si="22"/>
        <v>34832.711794557472</v>
      </c>
    </row>
    <row r="98" spans="1:9" ht="18">
      <c r="A98" s="6" t="s">
        <v>165</v>
      </c>
      <c r="B98" s="6" t="s">
        <v>10</v>
      </c>
      <c r="C98" s="24">
        <f>C95*C$96</f>
        <v>0</v>
      </c>
      <c r="D98" s="24">
        <f>D95*D$96</f>
        <v>39084.443554007274</v>
      </c>
      <c r="E98" s="24">
        <f t="shared" si="22"/>
        <v>23395.538804582247</v>
      </c>
      <c r="F98" s="24">
        <f t="shared" si="22"/>
        <v>13973.067720683315</v>
      </c>
      <c r="G98" s="24">
        <f t="shared" si="22"/>
        <v>12111.71999574919</v>
      </c>
      <c r="H98" s="24">
        <f t="shared" si="22"/>
        <v>9725.4930197747199</v>
      </c>
      <c r="I98" s="85"/>
    </row>
    <row r="99" spans="1:9" ht="18">
      <c r="A99" s="6" t="str">
        <f>A97</f>
        <v>Change in linepack</v>
      </c>
      <c r="B99" s="6" t="s">
        <v>1</v>
      </c>
      <c r="C99" s="24">
        <f>C97*C$70</f>
        <v>0</v>
      </c>
      <c r="D99" s="24">
        <f t="shared" ref="D99:H100" si="23">D97*D$70</f>
        <v>141384.22872251569</v>
      </c>
      <c r="E99" s="24">
        <f t="shared" si="23"/>
        <v>85477.430602574139</v>
      </c>
      <c r="F99" s="24">
        <f t="shared" si="23"/>
        <v>51562.21259702315</v>
      </c>
      <c r="G99" s="24">
        <f t="shared" si="23"/>
        <v>45140.563601230097</v>
      </c>
      <c r="H99" s="24">
        <f t="shared" si="23"/>
        <v>36609.530168316705</v>
      </c>
    </row>
    <row r="100" spans="1:9" ht="18">
      <c r="A100" s="6" t="str">
        <f>A98</f>
        <v>Change in spares</v>
      </c>
      <c r="B100" s="6" t="s">
        <v>1</v>
      </c>
      <c r="C100" s="24">
        <f>C98*C$70</f>
        <v>0</v>
      </c>
      <c r="D100" s="24">
        <f t="shared" si="23"/>
        <v>39475.287989547345</v>
      </c>
      <c r="E100" s="24">
        <f t="shared" si="23"/>
        <v>23865.78913455435</v>
      </c>
      <c r="F100" s="24">
        <f t="shared" si="23"/>
        <v>14396.465645687738</v>
      </c>
      <c r="G100" s="24">
        <f t="shared" si="23"/>
        <v>12603.504395573791</v>
      </c>
      <c r="H100" s="24">
        <f t="shared" si="23"/>
        <v>10221.590905960627</v>
      </c>
    </row>
    <row r="102" spans="1:9" ht="18">
      <c r="A102" s="6" t="s">
        <v>160</v>
      </c>
      <c r="B102" s="6" t="s">
        <v>10</v>
      </c>
      <c r="C102" s="11"/>
      <c r="D102" s="11">
        <f>D81+D90</f>
        <v>240667.10310606574</v>
      </c>
      <c r="E102" s="11">
        <f>E81+E90</f>
        <v>249115.71851600643</v>
      </c>
      <c r="F102" s="11">
        <f>F81+F90</f>
        <v>254161.68374276103</v>
      </c>
      <c r="G102" s="11">
        <f>G81+G90</f>
        <v>258535.47761225424</v>
      </c>
      <c r="H102" s="11">
        <f>H81+H90</f>
        <v>262047.55531571995</v>
      </c>
    </row>
    <row r="105" spans="1:9" ht="18">
      <c r="A105" s="7" t="s">
        <v>127</v>
      </c>
      <c r="B105" s="7" t="s">
        <v>136</v>
      </c>
      <c r="C105" s="28">
        <v>695222</v>
      </c>
      <c r="D105" s="28">
        <v>863835</v>
      </c>
      <c r="E105" s="28">
        <v>0</v>
      </c>
      <c r="F105" s="28">
        <v>0</v>
      </c>
      <c r="G105" s="28">
        <v>0</v>
      </c>
      <c r="H105" s="28">
        <v>0</v>
      </c>
      <c r="I105" s="28">
        <f>D105</f>
        <v>863835</v>
      </c>
    </row>
    <row r="106" spans="1:9" ht="18">
      <c r="A106" s="6" t="str">
        <f>A105</f>
        <v>Access Arrangement Costs</v>
      </c>
      <c r="B106" s="6" t="s">
        <v>10</v>
      </c>
      <c r="C106" s="11">
        <f>C105/$C$22</f>
        <v>781602.2885771544</v>
      </c>
      <c r="D106" s="11">
        <f t="shared" ref="D106:I106" si="24">D105/$C$22</f>
        <v>971165.20040080172</v>
      </c>
      <c r="E106" s="11">
        <f t="shared" si="24"/>
        <v>0</v>
      </c>
      <c r="F106" s="11">
        <f t="shared" si="24"/>
        <v>0</v>
      </c>
      <c r="G106" s="11">
        <f t="shared" si="24"/>
        <v>0</v>
      </c>
      <c r="H106" s="11">
        <f t="shared" si="24"/>
        <v>0</v>
      </c>
      <c r="I106" s="11">
        <f t="shared" si="24"/>
        <v>971165.20040080172</v>
      </c>
    </row>
    <row r="107" spans="1:9" ht="18">
      <c r="A107"/>
      <c r="B107"/>
      <c r="C107"/>
      <c r="D107"/>
      <c r="E107"/>
      <c r="F107"/>
      <c r="G107"/>
      <c r="H107"/>
      <c r="I107"/>
    </row>
    <row r="108" spans="1:9" ht="18">
      <c r="A108" s="9" t="s">
        <v>27</v>
      </c>
      <c r="B108"/>
      <c r="C108"/>
      <c r="D108"/>
      <c r="E108"/>
      <c r="F108"/>
      <c r="G108"/>
      <c r="H108"/>
      <c r="I108"/>
    </row>
    <row r="109" spans="1:9" ht="18">
      <c r="A109" s="64" t="s">
        <v>144</v>
      </c>
      <c r="B109" s="64"/>
      <c r="C109" s="64"/>
      <c r="D109" s="64">
        <f>D67</f>
        <v>2018</v>
      </c>
      <c r="E109" s="64">
        <f>E67</f>
        <v>2019</v>
      </c>
      <c r="F109" s="64">
        <f>F67</f>
        <v>2020</v>
      </c>
      <c r="G109" s="64">
        <f>G67</f>
        <v>2021</v>
      </c>
      <c r="H109" s="64">
        <f>H67</f>
        <v>2022</v>
      </c>
    </row>
    <row r="110" spans="1:9" ht="18">
      <c r="A110" s="7" t="s">
        <v>130</v>
      </c>
      <c r="B110" s="7" t="s">
        <v>10</v>
      </c>
      <c r="C110" s="7"/>
      <c r="D110" s="37">
        <v>59856.454946827442</v>
      </c>
      <c r="E110" s="37">
        <v>61742.208103952908</v>
      </c>
      <c r="F110" s="37">
        <v>63943.899697918641</v>
      </c>
      <c r="G110" s="37">
        <v>65892.851325316471</v>
      </c>
      <c r="H110" s="37">
        <v>64212.743936782928</v>
      </c>
    </row>
    <row r="112" spans="1:9" ht="18">
      <c r="A112" s="9" t="s">
        <v>57</v>
      </c>
      <c r="E112" s="9">
        <f>E11</f>
        <v>2013</v>
      </c>
      <c r="F112" s="9">
        <f>F11</f>
        <v>2014</v>
      </c>
      <c r="G112" s="9">
        <f>G11</f>
        <v>2015</v>
      </c>
      <c r="H112" s="9">
        <f>H11</f>
        <v>2016</v>
      </c>
      <c r="I112" s="9">
        <f>I11</f>
        <v>2017</v>
      </c>
    </row>
    <row r="113" spans="1:9" ht="18">
      <c r="A113" s="37" t="s">
        <v>104</v>
      </c>
      <c r="B113" s="38" t="s">
        <v>61</v>
      </c>
      <c r="E113" s="37">
        <v>28.189977282137562</v>
      </c>
      <c r="F113" s="37">
        <v>28.683893522134614</v>
      </c>
      <c r="G113" s="37">
        <v>29.533568950804479</v>
      </c>
      <c r="H113" s="37">
        <v>30.48877450154615</v>
      </c>
      <c r="I113" s="37">
        <v>30.460313470201807</v>
      </c>
    </row>
    <row r="114" spans="1:9" ht="18">
      <c r="A114" s="37" t="s">
        <v>217</v>
      </c>
      <c r="B114" s="38" t="s">
        <v>61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</row>
    <row r="115" spans="1:9" ht="18">
      <c r="A115" s="37" t="s">
        <v>105</v>
      </c>
      <c r="B115" s="38" t="s">
        <v>61</v>
      </c>
      <c r="E115" s="37">
        <v>1.1000000000000001</v>
      </c>
      <c r="F115" s="37">
        <v>0</v>
      </c>
      <c r="G115" s="37">
        <v>0</v>
      </c>
      <c r="H115" s="37">
        <v>0</v>
      </c>
      <c r="I115" s="37">
        <v>0</v>
      </c>
    </row>
    <row r="116" spans="1:9" ht="18">
      <c r="A116" s="37" t="s">
        <v>106</v>
      </c>
      <c r="B116" s="38" t="s">
        <v>61</v>
      </c>
      <c r="E116" s="37">
        <v>0.180585</v>
      </c>
      <c r="F116" s="37">
        <v>0.180585</v>
      </c>
      <c r="G116" s="37">
        <v>0.18199000000000001</v>
      </c>
      <c r="H116" s="37">
        <v>0.182362</v>
      </c>
      <c r="I116" s="37">
        <v>0.182362</v>
      </c>
    </row>
    <row r="117" spans="1:9" ht="18">
      <c r="A117" s="37" t="s">
        <v>218</v>
      </c>
      <c r="B117" s="38" t="s">
        <v>61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</row>
    <row r="118" spans="1:9" ht="18">
      <c r="A118" s="37" t="s">
        <v>23</v>
      </c>
      <c r="B118" s="38" t="s">
        <v>61</v>
      </c>
      <c r="E118" s="37">
        <v>0.35064996719308417</v>
      </c>
      <c r="F118" s="37">
        <v>0.35468486226850932</v>
      </c>
      <c r="G118" s="37">
        <v>0.39617893019380412</v>
      </c>
      <c r="H118" s="37">
        <v>0.39395329051854</v>
      </c>
      <c r="I118" s="37">
        <v>0.38512714291400052</v>
      </c>
    </row>
    <row r="119" spans="1:9" ht="18">
      <c r="A119" s="39" t="s">
        <v>2</v>
      </c>
      <c r="B119" s="6"/>
      <c r="C119" s="6"/>
      <c r="D119" s="6"/>
      <c r="E119" s="39">
        <f>SUM(E113:E118)</f>
        <v>29.82121224933065</v>
      </c>
      <c r="F119" s="39">
        <f t="shared" ref="F119:I119" si="25">SUM(F113:F118)</f>
        <v>29.219163384403124</v>
      </c>
      <c r="G119" s="39">
        <f t="shared" si="25"/>
        <v>30.111737880998284</v>
      </c>
      <c r="H119" s="39">
        <f t="shared" si="25"/>
        <v>31.06508979206469</v>
      </c>
      <c r="I119" s="39">
        <f t="shared" si="25"/>
        <v>31.02780261311581</v>
      </c>
    </row>
    <row r="121" spans="1:9" ht="18">
      <c r="A121" s="6" t="s">
        <v>62</v>
      </c>
      <c r="B121" s="6"/>
      <c r="C121" s="6"/>
      <c r="D121" s="6"/>
      <c r="E121" s="39">
        <f>SUM(E113:E116)/E$23</f>
        <v>30.279558109490356</v>
      </c>
      <c r="F121" s="39">
        <f t="shared" ref="F121:I121" si="26">SUM(F113:F116)/F$23</f>
        <v>30.166209906466168</v>
      </c>
      <c r="G121" s="39">
        <f t="shared" si="26"/>
        <v>31.580064610462792</v>
      </c>
      <c r="H121" s="39">
        <f t="shared" si="26"/>
        <v>33.076715835000741</v>
      </c>
      <c r="I121" s="39">
        <f t="shared" si="26"/>
        <v>33.706943017221981</v>
      </c>
    </row>
    <row r="123" spans="1:9" ht="18">
      <c r="A123" s="33" t="s">
        <v>82</v>
      </c>
      <c r="E123" s="30"/>
    </row>
    <row r="124" spans="1:9" ht="18">
      <c r="A124" s="7" t="s">
        <v>26</v>
      </c>
    </row>
    <row r="125" spans="1:9" ht="18">
      <c r="A125" s="7" t="s">
        <v>83</v>
      </c>
    </row>
    <row r="127" spans="1:9" ht="18">
      <c r="A127" s="9" t="s">
        <v>101</v>
      </c>
    </row>
    <row r="129" spans="1:9" ht="18">
      <c r="A129" s="52" t="s">
        <v>102</v>
      </c>
      <c r="B129" s="49"/>
      <c r="C129" s="49"/>
      <c r="D129" s="49"/>
      <c r="E129" s="53" t="s">
        <v>103</v>
      </c>
      <c r="F129" s="53">
        <v>2014</v>
      </c>
      <c r="G129" s="53">
        <v>2015</v>
      </c>
      <c r="H129" s="53">
        <v>2016</v>
      </c>
      <c r="I129" s="53">
        <v>2017</v>
      </c>
    </row>
    <row r="130" spans="1:9" ht="18">
      <c r="A130" s="54" t="s">
        <v>104</v>
      </c>
      <c r="B130" s="7" t="s">
        <v>100</v>
      </c>
      <c r="C130" s="7"/>
      <c r="D130" s="7"/>
      <c r="E130" s="55">
        <v>14.5</v>
      </c>
      <c r="F130" s="55">
        <v>30.1</v>
      </c>
      <c r="G130" s="55">
        <v>31.8</v>
      </c>
      <c r="H130" s="55">
        <v>33.700000000000003</v>
      </c>
      <c r="I130" s="55">
        <v>34.5</v>
      </c>
    </row>
    <row r="131" spans="1:9" ht="18">
      <c r="A131" s="54" t="s">
        <v>105</v>
      </c>
      <c r="B131" s="7" t="s">
        <v>100</v>
      </c>
      <c r="C131" s="7"/>
      <c r="D131" s="7"/>
      <c r="E131" s="55">
        <v>0.6</v>
      </c>
      <c r="F131" s="55">
        <v>0</v>
      </c>
      <c r="G131" s="55">
        <v>0</v>
      </c>
      <c r="H131" s="55">
        <v>0</v>
      </c>
      <c r="I131" s="55">
        <v>0</v>
      </c>
    </row>
    <row r="132" spans="1:9" ht="18">
      <c r="A132" s="54" t="s">
        <v>106</v>
      </c>
      <c r="B132" s="7" t="s">
        <v>100</v>
      </c>
      <c r="C132" s="7"/>
      <c r="D132" s="7"/>
      <c r="E132" s="55">
        <v>0.1</v>
      </c>
      <c r="F132" s="55">
        <v>0.2</v>
      </c>
      <c r="G132" s="55">
        <v>0.2</v>
      </c>
      <c r="H132" s="55">
        <v>0.2</v>
      </c>
      <c r="I132" s="55">
        <v>0.2</v>
      </c>
    </row>
    <row r="133" spans="1:9" ht="18">
      <c r="A133" s="54" t="s">
        <v>23</v>
      </c>
      <c r="B133" s="7" t="s">
        <v>100</v>
      </c>
      <c r="C133" s="7"/>
      <c r="D133" s="7"/>
      <c r="E133" s="55">
        <v>0.2</v>
      </c>
      <c r="F133" s="55">
        <v>0.4</v>
      </c>
      <c r="G133" s="55">
        <v>0.4</v>
      </c>
      <c r="H133" s="55">
        <v>0.4</v>
      </c>
      <c r="I133" s="55">
        <v>0.4</v>
      </c>
    </row>
    <row r="134" spans="1:9" ht="18">
      <c r="A134" s="56" t="s">
        <v>9</v>
      </c>
      <c r="B134" s="6" t="s">
        <v>100</v>
      </c>
      <c r="C134" s="6"/>
      <c r="D134" s="6"/>
      <c r="E134" s="57">
        <v>15.3</v>
      </c>
      <c r="F134" s="57">
        <v>30.7</v>
      </c>
      <c r="G134" s="57">
        <v>32.4</v>
      </c>
      <c r="H134" s="57">
        <v>34.299999999999997</v>
      </c>
      <c r="I134" s="57">
        <v>35.1</v>
      </c>
    </row>
    <row r="136" spans="1:9" ht="18">
      <c r="A136" s="6" t="s">
        <v>139</v>
      </c>
      <c r="B136" s="6" t="s">
        <v>100</v>
      </c>
      <c r="C136" s="6"/>
      <c r="D136" s="6"/>
      <c r="E136" s="6">
        <f>E134</f>
        <v>15.3</v>
      </c>
      <c r="F136" s="6">
        <f t="shared" ref="F136:I136" si="27">F134</f>
        <v>30.7</v>
      </c>
      <c r="G136" s="6">
        <f t="shared" si="27"/>
        <v>32.4</v>
      </c>
      <c r="H136" s="6">
        <f t="shared" si="27"/>
        <v>34.299999999999997</v>
      </c>
      <c r="I136" s="6">
        <f t="shared" si="27"/>
        <v>35.1</v>
      </c>
    </row>
    <row r="137" spans="1:9" ht="18">
      <c r="A137" s="6" t="str">
        <f>A136</f>
        <v>AER Total Operating Expenditure</v>
      </c>
      <c r="B137" s="16" t="s">
        <v>107</v>
      </c>
      <c r="C137" s="6"/>
      <c r="D137" s="6"/>
      <c r="E137" s="50">
        <f>E136/E25</f>
        <v>14.926829268292686</v>
      </c>
      <c r="F137" s="50">
        <f>F136/F25</f>
        <v>29.220701963117193</v>
      </c>
      <c r="G137" s="50">
        <f>G136/G25</f>
        <v>30.086620913799859</v>
      </c>
      <c r="H137" s="50">
        <f>H136/H25</f>
        <v>31.074107116631595</v>
      </c>
      <c r="I137" s="50">
        <f>I136/I25</f>
        <v>31.023285495094054</v>
      </c>
    </row>
    <row r="138" spans="1:9" ht="18">
      <c r="A138" s="6" t="str">
        <f>A137</f>
        <v>AER Total Operating Expenditure</v>
      </c>
      <c r="B138" s="6" t="s">
        <v>86</v>
      </c>
      <c r="C138" s="6"/>
      <c r="D138" s="6"/>
      <c r="E138" s="50">
        <f>E137/E23</f>
        <v>15.33658536585366</v>
      </c>
      <c r="F138" s="50">
        <f>F137/F23</f>
        <v>30.538498326159726</v>
      </c>
      <c r="G138" s="50">
        <f>G137/G23</f>
        <v>31.97440889270494</v>
      </c>
      <c r="H138" s="50">
        <f>H137/H23</f>
        <v>33.511291988524263</v>
      </c>
      <c r="I138" s="50">
        <f>I137/I23</f>
        <v>34.125614044603452</v>
      </c>
    </row>
    <row r="139" spans="1:9" ht="18">
      <c r="A139" s="6" t="str">
        <f>A138</f>
        <v>AER Total Operating Expenditure</v>
      </c>
      <c r="B139" s="6" t="s">
        <v>140</v>
      </c>
      <c r="C139" s="6"/>
      <c r="D139" s="6"/>
      <c r="E139" s="62">
        <f>E138/E22</f>
        <v>16.419512195121953</v>
      </c>
      <c r="F139" s="62">
        <f>F138/F22</f>
        <v>32.142772159428908</v>
      </c>
      <c r="G139" s="62">
        <f>G138/G22</f>
        <v>33.095283005179837</v>
      </c>
      <c r="H139" s="62">
        <f>H138/H22</f>
        <v>34.181517828294751</v>
      </c>
      <c r="I139" s="62">
        <f>I138/I22</f>
        <v>34.125614044603452</v>
      </c>
    </row>
    <row r="141" spans="1:9" ht="22.5">
      <c r="A141" s="34" t="s">
        <v>38</v>
      </c>
    </row>
    <row r="142" spans="1:9" ht="18">
      <c r="A142" s="9" t="s">
        <v>41</v>
      </c>
      <c r="G142" s="9" t="s">
        <v>111</v>
      </c>
      <c r="H142" s="9" t="s">
        <v>110</v>
      </c>
    </row>
    <row r="143" spans="1:9" ht="18">
      <c r="A143" s="7" t="s">
        <v>42</v>
      </c>
      <c r="B143" s="7" t="s">
        <v>1</v>
      </c>
      <c r="G143" s="7"/>
      <c r="H143" s="10">
        <v>2879030.4426871873</v>
      </c>
    </row>
    <row r="144" spans="1:9" ht="18">
      <c r="A144" s="9" t="s">
        <v>48</v>
      </c>
    </row>
    <row r="145" spans="1:8" ht="18">
      <c r="A145" s="7" t="s">
        <v>46</v>
      </c>
      <c r="B145" s="7" t="s">
        <v>1</v>
      </c>
      <c r="G145" s="7"/>
      <c r="H145" s="10">
        <v>8904552.4441312719</v>
      </c>
    </row>
    <row r="146" spans="1:8" ht="18">
      <c r="A146" s="7" t="s">
        <v>47</v>
      </c>
      <c r="B146" s="7" t="s">
        <v>1</v>
      </c>
      <c r="G146" s="7"/>
      <c r="H146" s="10">
        <v>4904537.2420835644</v>
      </c>
    </row>
    <row r="147" spans="1:8" ht="18">
      <c r="A147" s="7" t="s">
        <v>43</v>
      </c>
      <c r="B147" s="7" t="s">
        <v>44</v>
      </c>
      <c r="G147" s="7"/>
      <c r="H147" s="27">
        <v>0.92633917077502481</v>
      </c>
    </row>
    <row r="148" spans="1:8" ht="18">
      <c r="A148"/>
    </row>
    <row r="149" spans="1:8" ht="18">
      <c r="A149"/>
    </row>
    <row r="150" spans="1:8" ht="18">
      <c r="A150" s="7" t="s">
        <v>39</v>
      </c>
      <c r="B150" s="7" t="s">
        <v>1</v>
      </c>
      <c r="G150" s="7"/>
      <c r="H150" s="10">
        <f>(H145-H146)*H147</f>
        <v>3705370.7653523665</v>
      </c>
    </row>
    <row r="151" spans="1:8" ht="18">
      <c r="A151" s="7" t="s">
        <v>40</v>
      </c>
      <c r="B151" s="7" t="s">
        <v>1</v>
      </c>
      <c r="G151" s="7"/>
      <c r="H151" s="28">
        <f>H143*H147</f>
        <v>2666958.6729149017</v>
      </c>
    </row>
    <row r="152" spans="1:8" ht="18">
      <c r="A152" s="6" t="s">
        <v>45</v>
      </c>
      <c r="B152" s="6" t="str">
        <f>B151</f>
        <v>$ nominal</v>
      </c>
      <c r="G152" s="6"/>
      <c r="H152" s="11">
        <f>SUM(H150:H151)</f>
        <v>6372329.4382672682</v>
      </c>
    </row>
    <row r="155" spans="1:8" ht="18">
      <c r="A155" s="9" t="s">
        <v>65</v>
      </c>
    </row>
    <row r="156" spans="1:8" ht="18">
      <c r="A156" s="49" t="s">
        <v>74</v>
      </c>
      <c r="B156" s="31"/>
      <c r="G156" s="31"/>
      <c r="H156" s="31"/>
    </row>
    <row r="157" spans="1:8" ht="18">
      <c r="A157" s="7" t="s">
        <v>66</v>
      </c>
      <c r="B157" s="7"/>
      <c r="G157" s="7"/>
      <c r="H157" s="25">
        <v>0</v>
      </c>
    </row>
    <row r="158" spans="1:8" ht="18">
      <c r="A158" s="7" t="s">
        <v>67</v>
      </c>
      <c r="B158" s="7"/>
      <c r="G158" s="7"/>
      <c r="H158" s="25">
        <v>1502686</v>
      </c>
    </row>
    <row r="159" spans="1:8" ht="18">
      <c r="A159" s="7" t="s">
        <v>68</v>
      </c>
      <c r="B159" s="7"/>
      <c r="G159" s="7"/>
      <c r="H159" s="25">
        <v>999264</v>
      </c>
    </row>
    <row r="160" spans="1:8" ht="18">
      <c r="A160" s="7" t="s">
        <v>69</v>
      </c>
      <c r="B160" s="7"/>
      <c r="G160" s="7"/>
      <c r="H160" s="25">
        <v>3506764.12</v>
      </c>
    </row>
    <row r="161" spans="1:8" ht="18">
      <c r="A161" s="7" t="s">
        <v>70</v>
      </c>
      <c r="B161" s="7"/>
      <c r="G161" s="7"/>
      <c r="H161" s="25">
        <v>500000</v>
      </c>
    </row>
    <row r="162" spans="1:8" ht="18">
      <c r="A162" s="7" t="s">
        <v>71</v>
      </c>
      <c r="B162" s="7"/>
      <c r="G162" s="7"/>
      <c r="H162" s="25">
        <v>5301779</v>
      </c>
    </row>
    <row r="163" spans="1:8" ht="18">
      <c r="A163" s="7" t="s">
        <v>72</v>
      </c>
      <c r="B163" s="7"/>
      <c r="G163" s="7"/>
      <c r="H163" s="25">
        <v>7780159</v>
      </c>
    </row>
    <row r="164" spans="1:8" ht="18">
      <c r="A164" s="7" t="s">
        <v>73</v>
      </c>
      <c r="B164" s="7"/>
      <c r="G164" s="7"/>
      <c r="H164" s="25">
        <v>30577371.879999999</v>
      </c>
    </row>
    <row r="165" spans="1:8" ht="18">
      <c r="A165" s="6"/>
      <c r="B165" s="6"/>
      <c r="G165" s="6"/>
      <c r="H165" s="6"/>
    </row>
    <row r="167" spans="1:8" ht="18">
      <c r="A167" s="49" t="s">
        <v>75</v>
      </c>
      <c r="B167" s="31"/>
      <c r="G167" s="31"/>
      <c r="H167" s="31"/>
    </row>
    <row r="168" spans="1:8" ht="18">
      <c r="A168" s="7" t="str">
        <f>A157</f>
        <v>Networks</v>
      </c>
      <c r="H168" s="25">
        <v>0</v>
      </c>
    </row>
    <row r="169" spans="1:8" ht="18">
      <c r="A169" s="7" t="str">
        <f t="shared" ref="A169:A175" si="28">A158</f>
        <v>Transmission</v>
      </c>
      <c r="H169" s="25">
        <v>1475779</v>
      </c>
    </row>
    <row r="170" spans="1:8" ht="18">
      <c r="A170" s="7" t="str">
        <f t="shared" si="28"/>
        <v>Generation</v>
      </c>
      <c r="H170" s="25">
        <v>1804001</v>
      </c>
    </row>
    <row r="171" spans="1:8" ht="18">
      <c r="A171" s="7" t="str">
        <f t="shared" si="28"/>
        <v>Allgas</v>
      </c>
      <c r="H171" s="25">
        <v>7036870</v>
      </c>
    </row>
    <row r="172" spans="1:8" ht="18">
      <c r="A172" s="7" t="str">
        <f t="shared" si="28"/>
        <v>Wallumbilla Gas Pipelines</v>
      </c>
      <c r="H172" s="25">
        <v>1000000</v>
      </c>
    </row>
    <row r="173" spans="1:8" ht="18">
      <c r="A173" s="7" t="str">
        <f t="shared" si="28"/>
        <v>Australian Gas Network</v>
      </c>
      <c r="H173" s="25">
        <v>13599654</v>
      </c>
    </row>
    <row r="174" spans="1:8" ht="18">
      <c r="A174" s="7" t="str">
        <f t="shared" si="28"/>
        <v>Commercial Development</v>
      </c>
      <c r="H174" s="25">
        <v>11790127</v>
      </c>
    </row>
    <row r="175" spans="1:8" ht="18">
      <c r="A175" s="7" t="str">
        <f t="shared" si="28"/>
        <v>Residual</v>
      </c>
      <c r="H175" s="25">
        <v>63405545</v>
      </c>
    </row>
    <row r="177" spans="1:8" ht="18">
      <c r="A177" s="49" t="s">
        <v>76</v>
      </c>
      <c r="B177" s="31"/>
      <c r="G177" s="31"/>
      <c r="H177" s="31"/>
    </row>
    <row r="178" spans="1:8" ht="18">
      <c r="A178" s="7" t="str">
        <f>A168</f>
        <v>Networks</v>
      </c>
      <c r="H178" s="25">
        <v>0</v>
      </c>
    </row>
    <row r="179" spans="1:8" ht="18">
      <c r="A179" s="7" t="str">
        <f t="shared" ref="A179:A185" si="29">A169</f>
        <v>Transmission</v>
      </c>
      <c r="H179" s="25">
        <v>0</v>
      </c>
    </row>
    <row r="180" spans="1:8" ht="18">
      <c r="A180" s="7" t="str">
        <f t="shared" si="29"/>
        <v>Generation</v>
      </c>
      <c r="H180" s="25">
        <v>20079</v>
      </c>
    </row>
    <row r="181" spans="1:8" ht="18">
      <c r="A181" s="7" t="str">
        <f t="shared" si="29"/>
        <v>Allgas</v>
      </c>
      <c r="H181" s="25">
        <v>3574348</v>
      </c>
    </row>
    <row r="182" spans="1:8" ht="18">
      <c r="A182" s="7" t="str">
        <f t="shared" si="29"/>
        <v>Wallumbilla Gas Pipelines</v>
      </c>
      <c r="H182" s="25">
        <v>500000</v>
      </c>
    </row>
    <row r="183" spans="1:8" ht="18">
      <c r="A183" s="7" t="str">
        <f t="shared" si="29"/>
        <v>Australian Gas Network</v>
      </c>
      <c r="H183" s="25">
        <v>6318136</v>
      </c>
    </row>
    <row r="184" spans="1:8" ht="18">
      <c r="A184" s="7" t="str">
        <f t="shared" si="29"/>
        <v>Commercial Development</v>
      </c>
      <c r="H184" s="25">
        <v>3147222</v>
      </c>
    </row>
    <row r="185" spans="1:8" ht="18">
      <c r="A185" s="7" t="str">
        <f t="shared" si="29"/>
        <v>Residual</v>
      </c>
      <c r="H185" s="25">
        <v>26046895</v>
      </c>
    </row>
    <row r="187" spans="1:8" ht="18">
      <c r="A187" s="49" t="s">
        <v>77</v>
      </c>
    </row>
    <row r="188" spans="1:8" ht="18">
      <c r="A188" s="6" t="str">
        <f>A178</f>
        <v>Networks</v>
      </c>
      <c r="H188" s="40">
        <f>(H168-H157+H178)/1000000</f>
        <v>0</v>
      </c>
    </row>
    <row r="189" spans="1:8" ht="18">
      <c r="A189" s="6" t="str">
        <f t="shared" ref="A189:A195" si="30">A179</f>
        <v>Transmission</v>
      </c>
      <c r="H189" s="25">
        <v>0</v>
      </c>
    </row>
    <row r="190" spans="1:8" ht="18">
      <c r="A190" s="6" t="str">
        <f t="shared" si="30"/>
        <v>Generation</v>
      </c>
      <c r="H190" s="40">
        <f t="shared" ref="H190:H195" si="31">(H170-H159+H180)/1000000</f>
        <v>0.82481599999999999</v>
      </c>
    </row>
    <row r="191" spans="1:8" ht="18">
      <c r="A191" s="6" t="str">
        <f t="shared" si="30"/>
        <v>Allgas</v>
      </c>
      <c r="H191" s="40">
        <f t="shared" si="31"/>
        <v>7.1044538800000003</v>
      </c>
    </row>
    <row r="192" spans="1:8" ht="18">
      <c r="A192" s="6" t="str">
        <f t="shared" si="30"/>
        <v>Wallumbilla Gas Pipelines</v>
      </c>
      <c r="H192" s="40">
        <f t="shared" si="31"/>
        <v>1</v>
      </c>
    </row>
    <row r="193" spans="1:8" ht="18">
      <c r="A193" s="6" t="str">
        <f t="shared" si="30"/>
        <v>Australian Gas Network</v>
      </c>
      <c r="H193" s="40">
        <f t="shared" si="31"/>
        <v>14.616011</v>
      </c>
    </row>
    <row r="194" spans="1:8" ht="18">
      <c r="A194" s="6" t="str">
        <f t="shared" si="30"/>
        <v>Commercial Development</v>
      </c>
      <c r="H194" s="40">
        <f t="shared" si="31"/>
        <v>7.1571899999999999</v>
      </c>
    </row>
    <row r="195" spans="1:8" ht="18">
      <c r="A195" s="6" t="str">
        <f t="shared" si="30"/>
        <v>Residual</v>
      </c>
      <c r="H195" s="40">
        <f t="shared" si="31"/>
        <v>58.875068120000002</v>
      </c>
    </row>
    <row r="198" spans="1:8" ht="18">
      <c r="A198" s="9" t="s">
        <v>111</v>
      </c>
    </row>
    <row r="199" spans="1:8" ht="18">
      <c r="A199" s="49" t="s">
        <v>112</v>
      </c>
    </row>
    <row r="200" spans="1:8" ht="18">
      <c r="A200" s="7" t="str">
        <f>A143</f>
        <v>Budgeted Corporate overheads Victoria (1 Jul - 31 Dec)</v>
      </c>
      <c r="B200" s="7" t="s">
        <v>78</v>
      </c>
      <c r="C200" s="7"/>
      <c r="D200" s="7"/>
      <c r="E200" s="7"/>
      <c r="F200" s="7"/>
      <c r="G200" s="7"/>
      <c r="H200" s="25">
        <v>80471164</v>
      </c>
    </row>
    <row r="201" spans="1:8" ht="18">
      <c r="A201" s="7" t="str">
        <f>A145</f>
        <v>Actuals FY16</v>
      </c>
      <c r="B201" s="7" t="s">
        <v>78</v>
      </c>
      <c r="C201" s="7"/>
      <c r="D201" s="7"/>
      <c r="E201" s="7"/>
      <c r="F201" s="7"/>
      <c r="G201" s="7"/>
      <c r="H201" s="59">
        <v>152991320</v>
      </c>
    </row>
    <row r="202" spans="1:8" ht="18">
      <c r="A202" s="7" t="str">
        <f t="shared" ref="A202" si="32">A146</f>
        <v>Actual (1 Jan to 30 June)</v>
      </c>
      <c r="B202" s="7" t="s">
        <v>78</v>
      </c>
      <c r="C202" s="7"/>
      <c r="D202" s="7"/>
      <c r="E202" s="7"/>
      <c r="F202" s="7"/>
      <c r="G202" s="7"/>
      <c r="H202" s="25">
        <v>83389562</v>
      </c>
    </row>
    <row r="203" spans="1:8" ht="18">
      <c r="A203" s="6" t="str">
        <f>A147</f>
        <v>Opex allocator to VTS</v>
      </c>
      <c r="B203" s="6" t="s">
        <v>44</v>
      </c>
      <c r="C203" s="6"/>
      <c r="D203" s="6"/>
      <c r="E203" s="6"/>
      <c r="F203" s="6"/>
      <c r="G203" s="6"/>
      <c r="H203" s="26">
        <f>H147</f>
        <v>0.92633917077502481</v>
      </c>
    </row>
    <row r="205" spans="1:8" ht="18">
      <c r="A205" s="49" t="s">
        <v>113</v>
      </c>
    </row>
    <row r="206" spans="1:8" ht="18">
      <c r="A206" s="7" t="str">
        <f>A200</f>
        <v>Budgeted Corporate overheads Victoria (1 Jul - 31 Dec)</v>
      </c>
      <c r="B206" s="7" t="s">
        <v>78</v>
      </c>
      <c r="C206" s="7"/>
      <c r="D206" s="7"/>
      <c r="E206" s="7"/>
      <c r="F206" s="7"/>
      <c r="G206" s="7"/>
      <c r="H206" s="25">
        <v>728031190</v>
      </c>
    </row>
    <row r="207" spans="1:8" ht="18">
      <c r="A207" s="7" t="str">
        <f t="shared" ref="A207:A208" si="33">A201</f>
        <v>Actuals FY16</v>
      </c>
      <c r="B207" s="7" t="s">
        <v>78</v>
      </c>
      <c r="C207" s="7"/>
      <c r="D207" s="7"/>
      <c r="E207" s="7"/>
      <c r="F207" s="7"/>
      <c r="G207" s="7"/>
      <c r="H207" s="59">
        <v>1116127453</v>
      </c>
    </row>
    <row r="208" spans="1:8" ht="18">
      <c r="A208" s="7" t="str">
        <f t="shared" si="33"/>
        <v>Actual (1 Jan to 30 June)</v>
      </c>
      <c r="B208" s="7" t="s">
        <v>78</v>
      </c>
      <c r="C208" s="7"/>
      <c r="D208" s="7"/>
      <c r="E208" s="7"/>
      <c r="F208" s="7"/>
      <c r="G208" s="7"/>
      <c r="H208" s="59">
        <v>545624972</v>
      </c>
    </row>
    <row r="210" spans="1:8" ht="18">
      <c r="A210" s="49" t="s">
        <v>114</v>
      </c>
    </row>
    <row r="211" spans="1:8" ht="18">
      <c r="A211" s="7" t="str">
        <f>A206</f>
        <v>Budgeted Corporate overheads Victoria (1 Jul - 31 Dec)</v>
      </c>
      <c r="B211" s="7" t="s">
        <v>78</v>
      </c>
      <c r="C211" s="7"/>
      <c r="D211" s="7"/>
      <c r="E211" s="7"/>
      <c r="F211" s="7"/>
      <c r="G211" s="7"/>
      <c r="H211" s="25">
        <v>589372548</v>
      </c>
    </row>
    <row r="212" spans="1:8" ht="18">
      <c r="A212" s="7" t="str">
        <f t="shared" ref="A212:A213" si="34">A207</f>
        <v>Actuals FY16</v>
      </c>
      <c r="B212" s="7" t="s">
        <v>78</v>
      </c>
      <c r="C212" s="7"/>
      <c r="D212" s="7"/>
      <c r="E212" s="7"/>
      <c r="F212" s="7"/>
      <c r="G212" s="7"/>
      <c r="H212" s="59">
        <v>1008402265</v>
      </c>
    </row>
    <row r="213" spans="1:8" ht="18">
      <c r="A213" s="7" t="str">
        <f t="shared" si="34"/>
        <v>Actual (1 Jan to 30 June)</v>
      </c>
      <c r="B213" s="7" t="s">
        <v>78</v>
      </c>
      <c r="C213" s="7"/>
      <c r="D213" s="7"/>
      <c r="E213" s="7"/>
      <c r="F213" s="7"/>
      <c r="G213" s="7"/>
      <c r="H213" s="59">
        <v>519766292</v>
      </c>
    </row>
    <row r="215" spans="1:8" ht="18">
      <c r="A215" s="49" t="s">
        <v>112</v>
      </c>
    </row>
    <row r="216" spans="1:8" ht="18">
      <c r="A216" s="6" t="s">
        <v>115</v>
      </c>
      <c r="B216" s="6" t="str">
        <f>B213</f>
        <v>nominal $</v>
      </c>
      <c r="C216" s="6"/>
      <c r="D216" s="6"/>
      <c r="E216" s="6"/>
      <c r="F216" s="6"/>
      <c r="G216" s="6"/>
      <c r="H216" s="11">
        <f>H200+H201-H202</f>
        <v>150072922</v>
      </c>
    </row>
    <row r="217" spans="1:8" ht="18">
      <c r="A217" s="6" t="s">
        <v>119</v>
      </c>
      <c r="B217" s="6" t="str">
        <f>B216</f>
        <v>nominal $</v>
      </c>
      <c r="C217" s="6"/>
      <c r="D217" s="6"/>
      <c r="E217" s="6"/>
      <c r="F217" s="6"/>
      <c r="G217" s="6"/>
      <c r="H217" s="11">
        <f>H216*H203</f>
        <v>139018426.12126496</v>
      </c>
    </row>
    <row r="219" spans="1:8" ht="18">
      <c r="A219" s="49" t="s">
        <v>117</v>
      </c>
    </row>
    <row r="220" spans="1:8" ht="18">
      <c r="A220" s="6" t="s">
        <v>118</v>
      </c>
      <c r="B220" s="6" t="str">
        <f>B217</f>
        <v>nominal $</v>
      </c>
      <c r="C220" s="6"/>
      <c r="D220" s="6"/>
      <c r="E220" s="6"/>
      <c r="F220" s="6"/>
      <c r="G220" s="6"/>
      <c r="H220" s="11">
        <f>H206+H207-H208</f>
        <v>1298533671</v>
      </c>
    </row>
    <row r="222" spans="1:8" ht="18">
      <c r="A222" s="49" t="s">
        <v>116</v>
      </c>
    </row>
    <row r="223" spans="1:8" ht="18">
      <c r="A223" s="6" t="s">
        <v>118</v>
      </c>
      <c r="B223" s="6" t="str">
        <f>B220</f>
        <v>nominal $</v>
      </c>
      <c r="C223" s="6"/>
      <c r="D223" s="6"/>
      <c r="E223" s="6"/>
      <c r="F223" s="6"/>
      <c r="G223" s="6"/>
      <c r="H223" s="11">
        <f>H211+H212-H213</f>
        <v>1078008521</v>
      </c>
    </row>
    <row r="225" spans="1:8" ht="18">
      <c r="A225" s="49" t="s">
        <v>120</v>
      </c>
    </row>
    <row r="226" spans="1:8" ht="18">
      <c r="A226" s="8" t="s">
        <v>73</v>
      </c>
      <c r="B226" s="8" t="s">
        <v>4</v>
      </c>
      <c r="C226" s="8"/>
      <c r="D226" s="8"/>
      <c r="E226" s="8"/>
      <c r="F226" s="8"/>
      <c r="G226" s="8"/>
      <c r="H226" s="60">
        <f>H217/H220</f>
        <v>0.10705800644676927</v>
      </c>
    </row>
    <row r="227" spans="1:8" ht="18">
      <c r="A227" s="8" t="s">
        <v>67</v>
      </c>
      <c r="B227" s="8" t="str">
        <f>B226</f>
        <v>Percent</v>
      </c>
      <c r="C227" s="8"/>
      <c r="D227" s="8"/>
      <c r="E227" s="8"/>
      <c r="F227" s="8"/>
      <c r="G227" s="8"/>
      <c r="H227" s="60">
        <f>H217/H223</f>
        <v>0.12895855961537891</v>
      </c>
    </row>
    <row r="229" spans="1:8" ht="18">
      <c r="A229" s="9" t="s">
        <v>123</v>
      </c>
    </row>
    <row r="230" spans="1:8" ht="18">
      <c r="A230" s="49" t="s">
        <v>124</v>
      </c>
    </row>
    <row r="231" spans="1:8" ht="18">
      <c r="A231" s="7" t="s">
        <v>92</v>
      </c>
      <c r="H231" s="59">
        <v>11051500.27</v>
      </c>
    </row>
    <row r="232" spans="1:8" ht="18">
      <c r="A232" s="7" t="s">
        <v>93</v>
      </c>
      <c r="H232" s="59">
        <v>1191316.6310000001</v>
      </c>
    </row>
    <row r="233" spans="1:8" ht="18">
      <c r="A233" s="7" t="s">
        <v>94</v>
      </c>
      <c r="H233" s="59">
        <v>1912332.6690000002</v>
      </c>
    </row>
    <row r="234" spans="1:8" ht="18">
      <c r="A234" s="7" t="s">
        <v>95</v>
      </c>
      <c r="H234" s="59">
        <v>3247666.827</v>
      </c>
    </row>
    <row r="235" spans="1:8" ht="18">
      <c r="A235" s="7" t="s">
        <v>96</v>
      </c>
      <c r="H235" s="59">
        <f>H16</f>
        <v>6372329.4382672682</v>
      </c>
    </row>
    <row r="236" spans="1:8" ht="18">
      <c r="A236" s="7" t="s">
        <v>97</v>
      </c>
      <c r="H236" s="59">
        <v>0</v>
      </c>
    </row>
    <row r="237" spans="1:8" ht="18">
      <c r="A237" s="7" t="s">
        <v>23</v>
      </c>
      <c r="H237" s="59">
        <v>0</v>
      </c>
    </row>
    <row r="238" spans="1:8" ht="18">
      <c r="A238" s="7" t="s">
        <v>98</v>
      </c>
      <c r="H238" s="59">
        <f>H15</f>
        <v>648379.79700000002</v>
      </c>
    </row>
    <row r="239" spans="1:8" ht="18">
      <c r="A239" s="7" t="s">
        <v>99</v>
      </c>
      <c r="H239" s="59">
        <f>H14</f>
        <v>296993</v>
      </c>
    </row>
    <row r="240" spans="1:8" ht="18">
      <c r="A240" s="6" t="s">
        <v>2</v>
      </c>
      <c r="B240" s="6"/>
      <c r="C240" s="6"/>
      <c r="D240" s="6"/>
      <c r="E240" s="6"/>
      <c r="F240" s="6"/>
      <c r="G240" s="6"/>
      <c r="H240" s="61">
        <f>SUM(H231:H239)</f>
        <v>24720518.632267267</v>
      </c>
    </row>
    <row r="242" spans="1:8" ht="18">
      <c r="A242" s="49" t="s">
        <v>125</v>
      </c>
    </row>
    <row r="243" spans="1:8" ht="18">
      <c r="A243" s="6" t="str">
        <f>A231</f>
        <v>Labour</v>
      </c>
      <c r="H243" s="58">
        <f>H231/$H$240</f>
        <v>0.44705778363301274</v>
      </c>
    </row>
    <row r="244" spans="1:8" ht="18">
      <c r="A244" s="6" t="str">
        <f t="shared" ref="A244:A252" si="35">A232</f>
        <v>Materials</v>
      </c>
      <c r="H244" s="58">
        <f t="shared" ref="H244:H251" si="36">H232/$H$240</f>
        <v>4.8191409279131993E-2</v>
      </c>
    </row>
    <row r="245" spans="1:8" ht="18">
      <c r="A245" s="6" t="str">
        <f t="shared" si="35"/>
        <v>Outside services</v>
      </c>
      <c r="H245" s="58">
        <f t="shared" si="36"/>
        <v>7.7358112806899831E-2</v>
      </c>
    </row>
    <row r="246" spans="1:8" ht="18">
      <c r="A246" s="6" t="str">
        <f t="shared" si="35"/>
        <v>Other operating costs</v>
      </c>
      <c r="H246" s="58">
        <f t="shared" si="36"/>
        <v>0.13137535159803956</v>
      </c>
    </row>
    <row r="247" spans="1:8" ht="18">
      <c r="A247" s="6" t="str">
        <f t="shared" si="35"/>
        <v>Overheads/corporate costs</v>
      </c>
      <c r="H247" s="58">
        <f t="shared" si="36"/>
        <v>0.25777490889489579</v>
      </c>
    </row>
    <row r="248" spans="1:8" ht="18">
      <c r="A248" s="6" t="str">
        <f t="shared" si="35"/>
        <v>Equity raising costs</v>
      </c>
      <c r="H248" s="58">
        <f t="shared" si="36"/>
        <v>0</v>
      </c>
    </row>
    <row r="249" spans="1:8" ht="18">
      <c r="A249" s="6" t="str">
        <f t="shared" si="35"/>
        <v>Debt raising costs</v>
      </c>
      <c r="H249" s="58">
        <f t="shared" si="36"/>
        <v>0</v>
      </c>
    </row>
    <row r="250" spans="1:8" ht="18">
      <c r="A250" s="6" t="str">
        <f t="shared" si="35"/>
        <v>Insurance costs</v>
      </c>
      <c r="H250" s="58">
        <f t="shared" si="36"/>
        <v>2.6228405910290291E-2</v>
      </c>
    </row>
    <row r="251" spans="1:8" ht="18">
      <c r="A251" s="6" t="str">
        <f t="shared" si="35"/>
        <v>Other overheads</v>
      </c>
      <c r="H251" s="58">
        <f t="shared" si="36"/>
        <v>1.2014027877729885E-2</v>
      </c>
    </row>
    <row r="252" spans="1:8" ht="18">
      <c r="A252" s="6" t="str">
        <f t="shared" si="35"/>
        <v>Total</v>
      </c>
      <c r="H252" s="58">
        <f>SUM(H243:H251)</f>
        <v>1.0000000000000002</v>
      </c>
    </row>
    <row r="254" spans="1:8" ht="18">
      <c r="A254" s="9" t="s">
        <v>177</v>
      </c>
      <c r="C254" s="9">
        <v>2012</v>
      </c>
      <c r="D254" s="9">
        <v>2013</v>
      </c>
      <c r="E254" s="9">
        <v>2014</v>
      </c>
      <c r="F254" s="9">
        <v>2015</v>
      </c>
      <c r="G254" s="9">
        <v>2016</v>
      </c>
      <c r="H254" s="9">
        <v>2017</v>
      </c>
    </row>
    <row r="256" spans="1:8" ht="18">
      <c r="A256" s="7" t="s">
        <v>33</v>
      </c>
      <c r="B256" s="7" t="s">
        <v>1</v>
      </c>
      <c r="C256" s="59">
        <v>0</v>
      </c>
      <c r="D256" s="59">
        <v>1063696</v>
      </c>
      <c r="E256" s="59">
        <v>1078495</v>
      </c>
      <c r="F256" s="59">
        <v>1154627</v>
      </c>
      <c r="G256" s="59">
        <v>1205401</v>
      </c>
      <c r="H256" s="59">
        <v>1241765</v>
      </c>
    </row>
    <row r="257" spans="1:8" ht="18">
      <c r="A257" s="7" t="s">
        <v>34</v>
      </c>
      <c r="B257" s="7" t="s">
        <v>1</v>
      </c>
      <c r="C257" s="59">
        <v>0</v>
      </c>
      <c r="D257" s="59">
        <v>918321</v>
      </c>
      <c r="E257" s="59">
        <v>1079108</v>
      </c>
      <c r="F257" s="59">
        <v>974166</v>
      </c>
      <c r="G257" s="59">
        <v>878125</v>
      </c>
      <c r="H257" s="59">
        <v>962430</v>
      </c>
    </row>
    <row r="259" spans="1:8" ht="18">
      <c r="A259" s="6" t="str">
        <f>A256</f>
        <v>Linepack</v>
      </c>
      <c r="B259" s="6" t="s">
        <v>140</v>
      </c>
      <c r="C259" s="6"/>
      <c r="D259" s="6"/>
      <c r="E259" s="6"/>
      <c r="F259" s="6"/>
      <c r="G259" s="6"/>
      <c r="H259" s="6">
        <f>H256</f>
        <v>1241765</v>
      </c>
    </row>
    <row r="260" spans="1:8" ht="18">
      <c r="A260" s="6" t="str">
        <f>A257</f>
        <v>Spares</v>
      </c>
      <c r="B260" s="6" t="s">
        <v>140</v>
      </c>
      <c r="C260" s="6"/>
      <c r="D260" s="6"/>
      <c r="E260" s="6"/>
      <c r="F260" s="6"/>
      <c r="G260" s="6"/>
      <c r="H260" s="6">
        <f>H257</f>
        <v>962430</v>
      </c>
    </row>
    <row r="262" spans="1:8" ht="18">
      <c r="A262" s="7" t="s">
        <v>156</v>
      </c>
      <c r="B262" s="7" t="s">
        <v>140</v>
      </c>
      <c r="C262" s="7"/>
      <c r="D262" s="7"/>
      <c r="E262" s="7"/>
      <c r="F262" s="7"/>
      <c r="G262" s="7"/>
      <c r="H262" s="59">
        <v>988092648.5739733</v>
      </c>
    </row>
    <row r="263" spans="1:8" ht="18">
      <c r="A263" s="9" t="s">
        <v>178</v>
      </c>
    </row>
    <row r="264" spans="1:8" ht="18">
      <c r="A264" s="6" t="s">
        <v>33</v>
      </c>
      <c r="B264" s="6"/>
      <c r="C264" s="6"/>
      <c r="D264" s="6"/>
      <c r="E264" s="6"/>
      <c r="F264" s="6"/>
      <c r="G264" s="6"/>
      <c r="H264" s="74">
        <f>H259/H262</f>
        <v>1.2567293176324401E-3</v>
      </c>
    </row>
    <row r="265" spans="1:8" ht="18">
      <c r="A265" s="6" t="s">
        <v>34</v>
      </c>
      <c r="B265" s="6"/>
      <c r="C265" s="6"/>
      <c r="D265" s="6"/>
      <c r="E265" s="6"/>
      <c r="F265" s="6"/>
      <c r="G265" s="6"/>
      <c r="H265" s="74">
        <f>H260/H262</f>
        <v>9.740280948238913E-4</v>
      </c>
    </row>
    <row r="266" spans="1:8">
      <c r="C266" s="2">
        <v>2017</v>
      </c>
      <c r="D266" s="2">
        <v>2018</v>
      </c>
      <c r="E266" s="2">
        <v>2019</v>
      </c>
      <c r="F266" s="2">
        <v>2020</v>
      </c>
      <c r="G266" s="2">
        <v>2021</v>
      </c>
      <c r="H266" s="2">
        <v>2022</v>
      </c>
    </row>
    <row r="267" spans="1:8" ht="18">
      <c r="A267" s="7" t="s">
        <v>179</v>
      </c>
      <c r="B267" s="7" t="s">
        <v>140</v>
      </c>
      <c r="C267" s="7"/>
      <c r="D267" s="59">
        <v>67416668.492768511</v>
      </c>
      <c r="E267" s="59">
        <v>109338921.33108939</v>
      </c>
      <c r="F267" s="59">
        <v>136519868.81232813</v>
      </c>
      <c r="G267" s="59">
        <v>157410591.33304945</v>
      </c>
      <c r="H267" s="59">
        <v>174004953.96335095</v>
      </c>
    </row>
    <row r="268" spans="1:8" ht="18">
      <c r="A268" s="7" t="s">
        <v>180</v>
      </c>
      <c r="B268" s="7" t="s">
        <v>140</v>
      </c>
      <c r="C268" s="59">
        <f>H262</f>
        <v>988092648.5739733</v>
      </c>
      <c r="D268" s="59">
        <f>$C$268+D267</f>
        <v>1055509317.0667418</v>
      </c>
      <c r="E268" s="59">
        <f t="shared" ref="E268:H268" si="37">$C$268+E267</f>
        <v>1097431569.9050627</v>
      </c>
      <c r="F268" s="59">
        <f t="shared" si="37"/>
        <v>1124612517.3863015</v>
      </c>
      <c r="G268" s="59">
        <f t="shared" si="37"/>
        <v>1145503239.9070227</v>
      </c>
      <c r="H268" s="59">
        <f t="shared" si="37"/>
        <v>1162097602.5373242</v>
      </c>
    </row>
    <row r="270" spans="1:8" ht="18">
      <c r="A270" s="9" t="s">
        <v>154</v>
      </c>
    </row>
    <row r="271" spans="1:8" ht="18">
      <c r="A271" s="6" t="str">
        <f>A264</f>
        <v>Linepack</v>
      </c>
      <c r="B271" s="6"/>
      <c r="C271" s="6"/>
      <c r="D271" s="11">
        <f>$H$264*D268</f>
        <v>1326489.5037919693</v>
      </c>
      <c r="E271" s="11">
        <f t="shared" ref="E271:H271" si="38">$H$264*E268</f>
        <v>1379174.4279950869</v>
      </c>
      <c r="F271" s="11">
        <f t="shared" si="38"/>
        <v>1413333.5215757873</v>
      </c>
      <c r="G271" s="11">
        <f t="shared" si="38"/>
        <v>1439587.5050341021</v>
      </c>
      <c r="H271" s="11">
        <f t="shared" si="38"/>
        <v>1460442.1270590262</v>
      </c>
    </row>
    <row r="272" spans="1:8" ht="18">
      <c r="A272" s="6" t="str">
        <f>A265</f>
        <v>Spares</v>
      </c>
      <c r="B272" s="6"/>
      <c r="C272" s="6"/>
      <c r="D272" s="11">
        <f>D268*$H$265</f>
        <v>1028095.7291713852</v>
      </c>
      <c r="E272" s="11">
        <f t="shared" ref="E272:H272" si="39">E268*$H$265</f>
        <v>1068929.1812342203</v>
      </c>
      <c r="F272" s="11">
        <f t="shared" si="39"/>
        <v>1095404.1877248797</v>
      </c>
      <c r="G272" s="11">
        <f t="shared" si="39"/>
        <v>1115752.3383812322</v>
      </c>
      <c r="H272" s="11">
        <f t="shared" si="39"/>
        <v>1131915.7137988415</v>
      </c>
    </row>
    <row r="273" spans="1:8" ht="18">
      <c r="A273" s="6" t="s">
        <v>2</v>
      </c>
      <c r="B273" s="6"/>
      <c r="C273" s="6"/>
      <c r="D273" s="11">
        <f>SUM(D271:D272)</f>
        <v>2354585.2329633543</v>
      </c>
      <c r="E273" s="11">
        <f t="shared" ref="E273:H273" si="40">SUM(E271:E272)</f>
        <v>2448103.6092293072</v>
      </c>
      <c r="F273" s="11">
        <f t="shared" si="40"/>
        <v>2508737.709300667</v>
      </c>
      <c r="G273" s="11">
        <f t="shared" si="40"/>
        <v>2555339.8434153344</v>
      </c>
      <c r="H273" s="11">
        <f t="shared" si="40"/>
        <v>2592357.8408578676</v>
      </c>
    </row>
    <row r="274" spans="1:8">
      <c r="D274" s="30">
        <v>0</v>
      </c>
      <c r="E274" s="30">
        <v>0</v>
      </c>
      <c r="F274" s="30">
        <v>0</v>
      </c>
      <c r="G274" s="30">
        <v>0</v>
      </c>
      <c r="H274" s="30">
        <v>0</v>
      </c>
    </row>
    <row r="275" spans="1:8" ht="18">
      <c r="A275" s="9" t="s">
        <v>197</v>
      </c>
    </row>
    <row r="276" spans="1:8" ht="18">
      <c r="A276" s="9"/>
    </row>
    <row r="277" spans="1:8" ht="18">
      <c r="A277" s="7" t="s">
        <v>194</v>
      </c>
      <c r="B277" s="32" t="str">
        <f>B56</f>
        <v xml:space="preserve"> $ 2016</v>
      </c>
      <c r="G277" s="59">
        <v>32863.668820243198</v>
      </c>
      <c r="H277" s="59">
        <v>32863.668820243198</v>
      </c>
    </row>
    <row r="278" spans="1:8" ht="18">
      <c r="A278" s="7" t="s">
        <v>195</v>
      </c>
      <c r="B278" s="32" t="str">
        <f>B277</f>
        <v xml:space="preserve"> $ 2016</v>
      </c>
      <c r="G278" s="59">
        <v>158612.846042146</v>
      </c>
      <c r="H278" s="59">
        <v>158612.846042146</v>
      </c>
    </row>
    <row r="279" spans="1:8" ht="18">
      <c r="A279" s="7" t="s">
        <v>196</v>
      </c>
      <c r="B279" s="32" t="str">
        <f>B278</f>
        <v xml:space="preserve"> $ 2016</v>
      </c>
      <c r="G279" s="59">
        <v>4564.3984472560096</v>
      </c>
      <c r="H279" s="59">
        <v>4564.3984472560096</v>
      </c>
    </row>
    <row r="280" spans="1:8" ht="14.25">
      <c r="A280" s="90" t="s">
        <v>199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EAFA8"/>
  </sheetPr>
  <dimension ref="A1:AE65"/>
  <sheetViews>
    <sheetView zoomScale="70" zoomScaleNormal="70" workbookViewId="0">
      <selection activeCell="C59" sqref="C59"/>
    </sheetView>
  </sheetViews>
  <sheetFormatPr defaultColWidth="9" defaultRowHeight="13.5"/>
  <cols>
    <col min="1" max="1" width="38.6328125" style="2" customWidth="1"/>
    <col min="2" max="2" width="11.36328125" style="2" customWidth="1"/>
    <col min="3" max="3" width="13.36328125" style="2" bestFit="1" customWidth="1"/>
    <col min="4" max="9" width="10.81640625" style="2" bestFit="1" customWidth="1"/>
    <col min="10" max="10" width="10.54296875" style="2" customWidth="1"/>
    <col min="11" max="12" width="9" style="2"/>
    <col min="13" max="13" width="9.90625" style="2" customWidth="1"/>
    <col min="14" max="16384" width="9" style="2"/>
  </cols>
  <sheetData>
    <row r="1" spans="1:31" s="3" customFormat="1"/>
    <row r="2" spans="1:31" s="3" customFormat="1"/>
    <row r="3" spans="1:31" s="3" customFormat="1"/>
    <row r="4" spans="1:31" s="3" customFormat="1"/>
    <row r="5" spans="1:31" s="3" customFormat="1"/>
    <row r="6" spans="1:31" s="3" customFormat="1"/>
    <row r="7" spans="1:31" s="3" customFormat="1"/>
    <row r="8" spans="1:31" s="3" customFormat="1"/>
    <row r="9" spans="1:31" s="3" customFormat="1"/>
    <row r="10" spans="1:31" s="4" customFormat="1" ht="22.5">
      <c r="A10" s="5" t="str">
        <f ca="1">RIGHT(CELL("filename",A1),LEN(CELL("filename",A1))-FIND("]",CELL("filename",A1)))</f>
        <v>Calc│Forecast</v>
      </c>
      <c r="B10" s="9" t="s">
        <v>0</v>
      </c>
      <c r="C10" s="9">
        <v>2016</v>
      </c>
      <c r="D10" s="9">
        <v>2017</v>
      </c>
      <c r="E10" s="9">
        <v>2018</v>
      </c>
      <c r="F10" s="9">
        <v>2019</v>
      </c>
      <c r="G10" s="9">
        <v>2020</v>
      </c>
      <c r="H10" s="9">
        <v>2021</v>
      </c>
      <c r="I10" s="9">
        <v>2022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8">
      <c r="A12" s="14" t="s">
        <v>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8">
      <c r="A13" s="6" t="s">
        <v>9</v>
      </c>
      <c r="B13" s="13" t="s">
        <v>10</v>
      </c>
      <c r="C13" s="11">
        <f>'Input│ Historic Opex'!H33</f>
        <v>25214929.004912607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8">
      <c r="A15" s="15" t="s">
        <v>11</v>
      </c>
    </row>
    <row r="16" spans="1:31" ht="18">
      <c r="A16" s="6" t="s">
        <v>13</v>
      </c>
      <c r="B16" s="16" t="str">
        <f>B13</f>
        <v>real $2017</v>
      </c>
      <c r="C16" s="11">
        <v>0</v>
      </c>
    </row>
    <row r="18" spans="1:9" ht="18">
      <c r="A18" s="14" t="s">
        <v>12</v>
      </c>
    </row>
    <row r="19" spans="1:9" ht="18">
      <c r="A19" s="6" t="s">
        <v>9</v>
      </c>
      <c r="B19" s="16" t="str">
        <f>B16</f>
        <v>real $2017</v>
      </c>
      <c r="C19" s="11">
        <f>C13-C16</f>
        <v>25214929.004912607</v>
      </c>
    </row>
    <row r="21" spans="1:9" ht="18">
      <c r="A21" s="14" t="s">
        <v>128</v>
      </c>
    </row>
    <row r="22" spans="1:9" ht="18">
      <c r="A22" s="6" t="s">
        <v>14</v>
      </c>
      <c r="B22" s="16" t="str">
        <f>B19</f>
        <v>real $2017</v>
      </c>
      <c r="C22" s="11">
        <v>0</v>
      </c>
    </row>
    <row r="23" spans="1:9">
      <c r="C23" s="2" t="s">
        <v>183</v>
      </c>
    </row>
    <row r="24" spans="1:9" ht="18">
      <c r="A24" s="14" t="s">
        <v>15</v>
      </c>
    </row>
    <row r="25" spans="1:9" ht="18">
      <c r="A25" s="6" t="s">
        <v>9</v>
      </c>
      <c r="B25" s="16" t="str">
        <f>B22</f>
        <v>real $2017</v>
      </c>
      <c r="C25" s="11">
        <f>C19-C22</f>
        <v>25214929.004912607</v>
      </c>
      <c r="D25" s="11">
        <f>C25</f>
        <v>25214929.004912607</v>
      </c>
      <c r="E25" s="11">
        <f t="shared" ref="E25:I25" si="0">D25</f>
        <v>25214929.004912607</v>
      </c>
      <c r="F25" s="11">
        <f t="shared" si="0"/>
        <v>25214929.004912607</v>
      </c>
      <c r="G25" s="11">
        <f t="shared" si="0"/>
        <v>25214929.004912607</v>
      </c>
      <c r="H25" s="11">
        <f t="shared" si="0"/>
        <v>25214929.004912607</v>
      </c>
      <c r="I25" s="11">
        <f t="shared" si="0"/>
        <v>25214929.004912607</v>
      </c>
    </row>
    <row r="28" spans="1:9" ht="18">
      <c r="A28" s="14" t="s">
        <v>16</v>
      </c>
    </row>
    <row r="29" spans="1:9" ht="18">
      <c r="A29" s="6" t="s">
        <v>126</v>
      </c>
      <c r="B29" s="16" t="str">
        <f>B25</f>
        <v>real $2017</v>
      </c>
      <c r="C29" s="6"/>
      <c r="D29" s="11">
        <f>'Input│ Historic Opex'!C65</f>
        <v>0</v>
      </c>
      <c r="E29" s="11">
        <f>'Input│ Historic Opex'!D65</f>
        <v>278834.85000000003</v>
      </c>
      <c r="F29" s="11">
        <f>'Input│ Historic Opex'!E65</f>
        <v>369322.69285714289</v>
      </c>
      <c r="G29" s="11">
        <f>'Input│ Historic Opex'!F65</f>
        <v>369322.69285714289</v>
      </c>
      <c r="H29" s="11">
        <f>'Input│ Historic Opex'!G65</f>
        <v>590071.09285714291</v>
      </c>
      <c r="I29" s="11">
        <f>'Input│ Historic Opex'!H65</f>
        <v>590071.09285714291</v>
      </c>
    </row>
    <row r="30" spans="1:9" ht="18">
      <c r="A30" s="6" t="s">
        <v>28</v>
      </c>
      <c r="B30" s="16" t="str">
        <f>B29</f>
        <v>real $2017</v>
      </c>
      <c r="C30" s="11"/>
      <c r="D30" s="11">
        <f>'Input│ Historic Opex'!C102</f>
        <v>0</v>
      </c>
      <c r="E30" s="11">
        <f>'Input│ Historic Opex'!D102</f>
        <v>240667.10310606574</v>
      </c>
      <c r="F30" s="11">
        <f>'Input│ Historic Opex'!E102</f>
        <v>249115.71851600643</v>
      </c>
      <c r="G30" s="11">
        <f>'Input│ Historic Opex'!F102</f>
        <v>254161.68374276103</v>
      </c>
      <c r="H30" s="11">
        <f>'Input│ Historic Opex'!G102</f>
        <v>258535.47761225424</v>
      </c>
      <c r="I30" s="11">
        <f>'Input│ Historic Opex'!H102</f>
        <v>262047.55531571995</v>
      </c>
    </row>
    <row r="31" spans="1:9" ht="18">
      <c r="A31" s="6" t="s">
        <v>129</v>
      </c>
      <c r="B31" s="16" t="str">
        <f>B30</f>
        <v>real $2017</v>
      </c>
      <c r="C31" s="11"/>
      <c r="D31" s="11">
        <f>'Input│ Historic Opex'!I106</f>
        <v>971165.20040080172</v>
      </c>
      <c r="E31" s="11"/>
      <c r="F31" s="11">
        <f>'Input│ Historic Opex'!E105</f>
        <v>0</v>
      </c>
      <c r="G31" s="11">
        <f>'Input│ Historic Opex'!F105</f>
        <v>0</v>
      </c>
      <c r="H31" s="11">
        <f>'Input│ Historic Opex'!C106</f>
        <v>781602.2885771544</v>
      </c>
      <c r="I31" s="11">
        <f>'Input│ Historic Opex'!D106</f>
        <v>971165.20040080172</v>
      </c>
    </row>
    <row r="32" spans="1:9" ht="18">
      <c r="A32" s="6" t="s">
        <v>17</v>
      </c>
      <c r="B32" s="16" t="str">
        <f t="shared" ref="B32" si="1">B30</f>
        <v>real $2017</v>
      </c>
      <c r="C32" s="11">
        <f>SUM(C29:C31)</f>
        <v>0</v>
      </c>
      <c r="D32" s="11">
        <f>SUM(D29:D31)</f>
        <v>971165.20040080172</v>
      </c>
      <c r="E32" s="11">
        <f t="shared" ref="E32:I32" si="2">SUM(E29:E31)</f>
        <v>519501.95310606575</v>
      </c>
      <c r="F32" s="11">
        <f t="shared" si="2"/>
        <v>618438.41137314937</v>
      </c>
      <c r="G32" s="11">
        <f t="shared" si="2"/>
        <v>623484.37659990392</v>
      </c>
      <c r="H32" s="11">
        <f t="shared" si="2"/>
        <v>1630208.8590465514</v>
      </c>
      <c r="I32" s="11">
        <f t="shared" si="2"/>
        <v>1823283.8485736647</v>
      </c>
    </row>
    <row r="34" spans="1:9" ht="18">
      <c r="A34" s="14" t="s">
        <v>18</v>
      </c>
    </row>
    <row r="35" spans="1:9" ht="18">
      <c r="A35" s="6" t="s">
        <v>9</v>
      </c>
      <c r="B35" s="16" t="str">
        <f>B32</f>
        <v>real $2017</v>
      </c>
      <c r="C35" s="11">
        <f t="shared" ref="C35:I35" si="3">C25+C32</f>
        <v>25214929.004912607</v>
      </c>
      <c r="D35" s="11">
        <f t="shared" si="3"/>
        <v>26186094.205313411</v>
      </c>
      <c r="E35" s="11">
        <f t="shared" si="3"/>
        <v>25734430.958018672</v>
      </c>
      <c r="F35" s="11">
        <f t="shared" si="3"/>
        <v>25833367.416285757</v>
      </c>
      <c r="G35" s="11">
        <f t="shared" si="3"/>
        <v>25838413.381512512</v>
      </c>
      <c r="H35" s="11">
        <f t="shared" si="3"/>
        <v>26845137.86395916</v>
      </c>
      <c r="I35" s="11">
        <f t="shared" si="3"/>
        <v>27038212.853486273</v>
      </c>
    </row>
    <row r="37" spans="1:9" ht="18">
      <c r="A37" s="14" t="s">
        <v>19</v>
      </c>
    </row>
    <row r="38" spans="1:9" ht="18">
      <c r="A38" s="6" t="s">
        <v>51</v>
      </c>
      <c r="B38" s="16" t="str">
        <f>B35</f>
        <v>real $2017</v>
      </c>
      <c r="C38" s="11"/>
      <c r="D38" s="11">
        <f>'Input│ Historic Opex'!C53</f>
        <v>159868.00901670862</v>
      </c>
      <c r="E38" s="11">
        <f>'Input│ Historic Opex'!D53</f>
        <v>159868.00901670862</v>
      </c>
      <c r="F38" s="11">
        <f>'Input│ Historic Opex'!E53</f>
        <v>159868.00901670862</v>
      </c>
      <c r="G38" s="11">
        <f>'Input│ Historic Opex'!F53</f>
        <v>159868.00901670862</v>
      </c>
      <c r="H38" s="11">
        <f>'Input│ Historic Opex'!G53</f>
        <v>159868.00901670862</v>
      </c>
      <c r="I38" s="11">
        <f>'Input│ Historic Opex'!H53</f>
        <v>159868.00901670862</v>
      </c>
    </row>
    <row r="39" spans="1:9" ht="18">
      <c r="A39" s="6" t="s">
        <v>20</v>
      </c>
      <c r="B39" s="16" t="str">
        <f>B35</f>
        <v>real $2017</v>
      </c>
      <c r="C39" s="11">
        <f>SUM(C38:C38)</f>
        <v>0</v>
      </c>
      <c r="D39" s="11">
        <f t="shared" ref="D39:I39" si="4">SUM(D38:D38)</f>
        <v>159868.00901670862</v>
      </c>
      <c r="E39" s="11">
        <f t="shared" si="4"/>
        <v>159868.00901670862</v>
      </c>
      <c r="F39" s="11">
        <f t="shared" si="4"/>
        <v>159868.00901670862</v>
      </c>
      <c r="G39" s="11">
        <f t="shared" si="4"/>
        <v>159868.00901670862</v>
      </c>
      <c r="H39" s="11">
        <f t="shared" si="4"/>
        <v>159868.00901670862</v>
      </c>
      <c r="I39" s="11">
        <f t="shared" si="4"/>
        <v>159868.00901670862</v>
      </c>
    </row>
    <row r="41" spans="1:9" ht="18">
      <c r="A41" s="8" t="s">
        <v>21</v>
      </c>
      <c r="B41" s="8" t="str">
        <f>B39</f>
        <v>real $2017</v>
      </c>
      <c r="C41" s="17">
        <f>C35+C39</f>
        <v>25214929.004912607</v>
      </c>
      <c r="D41" s="17">
        <f t="shared" ref="D41:I41" si="5">D35+D39</f>
        <v>26345962.214330118</v>
      </c>
      <c r="E41" s="17">
        <f t="shared" si="5"/>
        <v>25894298.967035379</v>
      </c>
      <c r="F41" s="17">
        <f t="shared" si="5"/>
        <v>25993235.425302465</v>
      </c>
      <c r="G41" s="17">
        <f t="shared" si="5"/>
        <v>25998281.390529219</v>
      </c>
      <c r="H41" s="17">
        <f t="shared" si="5"/>
        <v>27005005.872975867</v>
      </c>
      <c r="I41" s="17">
        <f t="shared" si="5"/>
        <v>27198080.862502981</v>
      </c>
    </row>
    <row r="43" spans="1:9" ht="18">
      <c r="A43" s="14" t="s">
        <v>30</v>
      </c>
    </row>
    <row r="44" spans="1:9" ht="18">
      <c r="A44" s="6" t="str">
        <f>'Input│ Historic Opex'!A13</f>
        <v xml:space="preserve">Asset operations and management </v>
      </c>
      <c r="B44" s="6" t="s">
        <v>4</v>
      </c>
      <c r="C44" s="26">
        <f>'Input│ Historic Opex'!H13/'Input│ Historic Opex'!$H$17</f>
        <v>0.70398265731708398</v>
      </c>
      <c r="D44" s="26">
        <f>C44</f>
        <v>0.70398265731708398</v>
      </c>
      <c r="E44" s="26">
        <f t="shared" ref="E44:I44" si="6">D44</f>
        <v>0.70398265731708398</v>
      </c>
      <c r="F44" s="26">
        <f t="shared" si="6"/>
        <v>0.70398265731708398</v>
      </c>
      <c r="G44" s="26">
        <f t="shared" si="6"/>
        <v>0.70398265731708398</v>
      </c>
      <c r="H44" s="26">
        <f t="shared" si="6"/>
        <v>0.70398265731708398</v>
      </c>
      <c r="I44" s="26">
        <f t="shared" si="6"/>
        <v>0.70398265731708398</v>
      </c>
    </row>
    <row r="45" spans="1:9" ht="18">
      <c r="A45" s="6" t="str">
        <f>'Input│ Historic Opex'!A14</f>
        <v>Regulatory (Asset Licences)</v>
      </c>
      <c r="B45" s="6" t="s">
        <v>4</v>
      </c>
      <c r="C45" s="26">
        <f>'Input│ Historic Opex'!H14/'Input│ Historic Opex'!$H$17</f>
        <v>1.2014027877729889E-2</v>
      </c>
      <c r="D45" s="26">
        <f t="shared" ref="D45:I48" si="7">C45</f>
        <v>1.2014027877729889E-2</v>
      </c>
      <c r="E45" s="26">
        <f t="shared" si="7"/>
        <v>1.2014027877729889E-2</v>
      </c>
      <c r="F45" s="26">
        <f t="shared" si="7"/>
        <v>1.2014027877729889E-2</v>
      </c>
      <c r="G45" s="26">
        <f t="shared" si="7"/>
        <v>1.2014027877729889E-2</v>
      </c>
      <c r="H45" s="26">
        <f t="shared" si="7"/>
        <v>1.2014027877729889E-2</v>
      </c>
      <c r="I45" s="26">
        <f t="shared" si="7"/>
        <v>1.2014027877729889E-2</v>
      </c>
    </row>
    <row r="46" spans="1:9" ht="18">
      <c r="A46" s="6" t="str">
        <f>'Input│ Historic Opex'!A15</f>
        <v xml:space="preserve">Insurance </v>
      </c>
      <c r="B46" s="6" t="s">
        <v>4</v>
      </c>
      <c r="C46" s="26">
        <f>'Input│ Historic Opex'!H15/'Input│ Historic Opex'!$H$17</f>
        <v>2.6228405910290298E-2</v>
      </c>
      <c r="D46" s="26">
        <f t="shared" si="7"/>
        <v>2.6228405910290298E-2</v>
      </c>
      <c r="E46" s="26">
        <f t="shared" si="7"/>
        <v>2.6228405910290298E-2</v>
      </c>
      <c r="F46" s="26">
        <f t="shared" si="7"/>
        <v>2.6228405910290298E-2</v>
      </c>
      <c r="G46" s="26">
        <f t="shared" si="7"/>
        <v>2.6228405910290298E-2</v>
      </c>
      <c r="H46" s="26">
        <f t="shared" si="7"/>
        <v>2.6228405910290298E-2</v>
      </c>
      <c r="I46" s="26">
        <f t="shared" si="7"/>
        <v>2.6228405910290298E-2</v>
      </c>
    </row>
    <row r="47" spans="1:9" ht="18">
      <c r="A47" s="6" t="str">
        <f>'Input│ Historic Opex'!A16</f>
        <v xml:space="preserve">Corporate overheads costs </v>
      </c>
      <c r="B47" s="6" t="s">
        <v>4</v>
      </c>
      <c r="C47" s="26">
        <f>'Input│ Historic Opex'!H16/'Input│ Historic Opex'!$H$17</f>
        <v>0.25777490889489585</v>
      </c>
      <c r="D47" s="26">
        <f t="shared" si="7"/>
        <v>0.25777490889489585</v>
      </c>
      <c r="E47" s="26">
        <f t="shared" si="7"/>
        <v>0.25777490889489585</v>
      </c>
      <c r="F47" s="26">
        <f t="shared" si="7"/>
        <v>0.25777490889489585</v>
      </c>
      <c r="G47" s="26">
        <f t="shared" si="7"/>
        <v>0.25777490889489585</v>
      </c>
      <c r="H47" s="26">
        <f t="shared" si="7"/>
        <v>0.25777490889489585</v>
      </c>
      <c r="I47" s="26">
        <f t="shared" si="7"/>
        <v>0.25777490889489585</v>
      </c>
    </row>
    <row r="48" spans="1:9" ht="18">
      <c r="A48" s="6" t="str">
        <f>'Input│ Historic Opex'!A17</f>
        <v>Total</v>
      </c>
      <c r="B48" s="6" t="s">
        <v>4</v>
      </c>
      <c r="C48" s="26">
        <f>SUM(C44:C47)</f>
        <v>1</v>
      </c>
      <c r="D48" s="26">
        <f t="shared" si="7"/>
        <v>1</v>
      </c>
      <c r="E48" s="26">
        <f t="shared" si="7"/>
        <v>1</v>
      </c>
      <c r="F48" s="26">
        <f t="shared" si="7"/>
        <v>1</v>
      </c>
      <c r="G48" s="26">
        <f t="shared" si="7"/>
        <v>1</v>
      </c>
      <c r="H48" s="26">
        <f t="shared" si="7"/>
        <v>1</v>
      </c>
      <c r="I48" s="26">
        <f t="shared" si="7"/>
        <v>1</v>
      </c>
    </row>
    <row r="50" spans="1:9" ht="18">
      <c r="A50" s="14" t="s">
        <v>31</v>
      </c>
    </row>
    <row r="51" spans="1:9" ht="18">
      <c r="A51" s="8" t="str">
        <f>A44</f>
        <v xml:space="preserve">Asset operations and management </v>
      </c>
      <c r="B51" s="8" t="s">
        <v>10</v>
      </c>
      <c r="C51" s="17">
        <f t="shared" ref="C51:I54" si="8">C44*C$41</f>
        <v>17750872.724939995</v>
      </c>
      <c r="D51" s="17">
        <f t="shared" si="8"/>
        <v>18547100.489219602</v>
      </c>
      <c r="E51" s="17">
        <f t="shared" si="8"/>
        <v>18229137.396176588</v>
      </c>
      <c r="F51" s="17">
        <f t="shared" si="8"/>
        <v>18298786.946972992</v>
      </c>
      <c r="G51" s="17">
        <f t="shared" si="8"/>
        <v>18302339.218982052</v>
      </c>
      <c r="H51" s="17">
        <f t="shared" si="8"/>
        <v>19011055.79532101</v>
      </c>
      <c r="I51" s="17">
        <f t="shared" si="8"/>
        <v>19146977.239509776</v>
      </c>
    </row>
    <row r="52" spans="1:9" ht="18">
      <c r="A52" s="8" t="str">
        <f>A45</f>
        <v>Regulatory (Asset Licences)</v>
      </c>
      <c r="B52" s="8" t="s">
        <v>10</v>
      </c>
      <c r="C52" s="17">
        <f t="shared" si="8"/>
        <v>302932.86000000004</v>
      </c>
      <c r="D52" s="17">
        <f t="shared" si="8"/>
        <v>316521.12450858031</v>
      </c>
      <c r="E52" s="17">
        <f t="shared" si="8"/>
        <v>311094.82966423529</v>
      </c>
      <c r="F52" s="17">
        <f t="shared" si="8"/>
        <v>312283.45503197995</v>
      </c>
      <c r="G52" s="17">
        <f t="shared" si="8"/>
        <v>312344.07739888423</v>
      </c>
      <c r="H52" s="17">
        <f t="shared" si="8"/>
        <v>324438.89339619142</v>
      </c>
      <c r="I52" s="17">
        <f t="shared" si="8"/>
        <v>326758.50170286262</v>
      </c>
    </row>
    <row r="53" spans="1:9" ht="18">
      <c r="A53" s="8" t="str">
        <f>A46</f>
        <v xml:space="preserve">Insurance </v>
      </c>
      <c r="B53" s="8" t="s">
        <v>10</v>
      </c>
      <c r="C53" s="17">
        <f t="shared" si="8"/>
        <v>661347.39294000005</v>
      </c>
      <c r="D53" s="17">
        <f t="shared" si="8"/>
        <v>691012.59105462092</v>
      </c>
      <c r="E53" s="17">
        <f t="shared" si="8"/>
        <v>679166.18406981474</v>
      </c>
      <c r="F53" s="17">
        <f t="shared" si="8"/>
        <v>681761.12965657027</v>
      </c>
      <c r="G53" s="17">
        <f t="shared" si="8"/>
        <v>681893.4772807468</v>
      </c>
      <c r="H53" s="17">
        <f t="shared" si="8"/>
        <v>708298.25564618444</v>
      </c>
      <c r="I53" s="17">
        <f t="shared" si="8"/>
        <v>713362.30484262668</v>
      </c>
    </row>
    <row r="54" spans="1:9" ht="18">
      <c r="A54" s="8" t="str">
        <f>A47</f>
        <v xml:space="preserve">Corporate overheads costs </v>
      </c>
      <c r="B54" s="8" t="s">
        <v>10</v>
      </c>
      <c r="C54" s="17">
        <f t="shared" si="8"/>
        <v>6499776.0270326138</v>
      </c>
      <c r="D54" s="17">
        <f t="shared" si="8"/>
        <v>6791328.0095473146</v>
      </c>
      <c r="E54" s="17">
        <f t="shared" si="8"/>
        <v>6674900.5571247404</v>
      </c>
      <c r="F54" s="17">
        <f t="shared" si="8"/>
        <v>6700403.8936409224</v>
      </c>
      <c r="G54" s="17">
        <f t="shared" si="8"/>
        <v>6701704.6168675357</v>
      </c>
      <c r="H54" s="17">
        <f t="shared" si="8"/>
        <v>6961212.9286124818</v>
      </c>
      <c r="I54" s="17">
        <f t="shared" si="8"/>
        <v>7010982.8164477162</v>
      </c>
    </row>
    <row r="55" spans="1:9" ht="18">
      <c r="A55" s="8" t="str">
        <f>A48</f>
        <v>Total</v>
      </c>
      <c r="B55" s="8" t="s">
        <v>10</v>
      </c>
      <c r="C55" s="17">
        <f>SUM(C51:C54)</f>
        <v>25214929.004912607</v>
      </c>
      <c r="D55" s="17">
        <f t="shared" ref="D55:I55" si="9">SUM(D51:D54)</f>
        <v>26345962.214330122</v>
      </c>
      <c r="E55" s="17">
        <f t="shared" si="9"/>
        <v>25894298.967035379</v>
      </c>
      <c r="F55" s="17">
        <f t="shared" si="9"/>
        <v>25993235.425302468</v>
      </c>
      <c r="G55" s="17">
        <f t="shared" si="9"/>
        <v>25998281.390529219</v>
      </c>
      <c r="H55" s="17">
        <f t="shared" si="9"/>
        <v>27005005.872975867</v>
      </c>
      <c r="I55" s="17">
        <f t="shared" si="9"/>
        <v>27198080.862502981</v>
      </c>
    </row>
    <row r="57" spans="1:9" ht="18">
      <c r="A57" s="83" t="s">
        <v>31</v>
      </c>
    </row>
    <row r="59" spans="1:9" ht="18">
      <c r="A59" s="6" t="s">
        <v>92</v>
      </c>
      <c r="B59" s="100">
        <f>'Input│ Historic Opex'!H243</f>
        <v>0.44705778363301274</v>
      </c>
      <c r="C59" s="39">
        <f>(C$55*$B59)-C64</f>
        <v>11272530.275399998</v>
      </c>
      <c r="D59" s="39">
        <f t="shared" ref="D59:I59" si="10">(D$55*$B59)-D64</f>
        <v>11778167.475217525</v>
      </c>
      <c r="E59" s="39">
        <f t="shared" si="10"/>
        <v>11516391.44998662</v>
      </c>
      <c r="F59" s="39">
        <f t="shared" si="10"/>
        <v>11558736.010582879</v>
      </c>
      <c r="G59" s="39">
        <f t="shared" si="10"/>
        <v>11558790.157019475</v>
      </c>
      <c r="H59" s="39">
        <f t="shared" si="10"/>
        <v>12006905.221243767</v>
      </c>
      <c r="I59" s="39">
        <f t="shared" si="10"/>
        <v>12094901.005525259</v>
      </c>
    </row>
    <row r="60" spans="1:9" ht="18">
      <c r="A60" s="6" t="s">
        <v>150</v>
      </c>
      <c r="B60" s="100">
        <f>'Input│ Historic Opex'!H245</f>
        <v>7.7358112806899831E-2</v>
      </c>
      <c r="C60" s="39">
        <f t="shared" ref="C60:I63" si="11">C$55*$B60</f>
        <v>1950579.32238</v>
      </c>
      <c r="D60" s="39">
        <f t="shared" si="11"/>
        <v>2038073.9169824701</v>
      </c>
      <c r="E60" s="39">
        <f t="shared" si="11"/>
        <v>2003134.1005475128</v>
      </c>
      <c r="F60" s="39">
        <f t="shared" si="11"/>
        <v>2010787.6382468534</v>
      </c>
      <c r="G60" s="39">
        <f t="shared" si="11"/>
        <v>2011177.9845940839</v>
      </c>
      <c r="H60" s="39">
        <f t="shared" si="11"/>
        <v>2089056.2906726596</v>
      </c>
      <c r="I60" s="39">
        <f t="shared" si="11"/>
        <v>2103992.2074926891</v>
      </c>
    </row>
    <row r="61" spans="1:9" ht="18">
      <c r="A61" s="6" t="s">
        <v>151</v>
      </c>
      <c r="B61" s="100">
        <f>'Input│ Historic Opex'!H250</f>
        <v>2.6228405910290291E-2</v>
      </c>
      <c r="C61" s="39">
        <f t="shared" si="11"/>
        <v>661347.39293999993</v>
      </c>
      <c r="D61" s="39">
        <f t="shared" si="11"/>
        <v>691012.5910546208</v>
      </c>
      <c r="E61" s="39">
        <f t="shared" si="11"/>
        <v>679166.18406981451</v>
      </c>
      <c r="F61" s="39">
        <f t="shared" si="11"/>
        <v>681761.12965657027</v>
      </c>
      <c r="G61" s="39">
        <f t="shared" si="11"/>
        <v>681893.47728074668</v>
      </c>
      <c r="H61" s="39">
        <f t="shared" si="11"/>
        <v>708298.2556461842</v>
      </c>
      <c r="I61" s="39">
        <f t="shared" si="11"/>
        <v>713362.30484262644</v>
      </c>
    </row>
    <row r="62" spans="1:9" ht="18">
      <c r="A62" s="6" t="s">
        <v>95</v>
      </c>
      <c r="B62" s="100">
        <f>'Input│ Historic Opex'!H246+'Input│ Historic Opex'!H244+'Input│ Historic Opex'!H248</f>
        <v>0.17956676087717155</v>
      </c>
      <c r="C62" s="39">
        <f t="shared" si="11"/>
        <v>4527763.1271599997</v>
      </c>
      <c r="D62" s="39">
        <f t="shared" si="11"/>
        <v>4730859.0970196137</v>
      </c>
      <c r="E62" s="39">
        <f t="shared" si="11"/>
        <v>4649755.3906956324</v>
      </c>
      <c r="F62" s="39">
        <f t="shared" si="11"/>
        <v>4667521.0900393128</v>
      </c>
      <c r="G62" s="39">
        <f t="shared" si="11"/>
        <v>4668427.1776705794</v>
      </c>
      <c r="H62" s="39">
        <f t="shared" si="11"/>
        <v>4849201.4320792705</v>
      </c>
      <c r="I62" s="39">
        <f t="shared" si="11"/>
        <v>4883871.2825550484</v>
      </c>
    </row>
    <row r="63" spans="1:9" ht="18">
      <c r="A63" s="6" t="s">
        <v>152</v>
      </c>
      <c r="B63" s="100">
        <f>'Input│ Historic Opex'!H247+'Input│ Historic Opex'!H251</f>
        <v>0.26978893677262566</v>
      </c>
      <c r="C63" s="39">
        <f t="shared" si="11"/>
        <v>6802708.8870326122</v>
      </c>
      <c r="D63" s="39">
        <f t="shared" si="11"/>
        <v>7107849.1340558939</v>
      </c>
      <c r="E63" s="39">
        <f t="shared" si="11"/>
        <v>6985995.3867889736</v>
      </c>
      <c r="F63" s="39">
        <f t="shared" si="11"/>
        <v>7012687.3486729013</v>
      </c>
      <c r="G63" s="39">
        <f t="shared" si="11"/>
        <v>7014048.694266418</v>
      </c>
      <c r="H63" s="39">
        <f t="shared" si="11"/>
        <v>7285651.8220086712</v>
      </c>
      <c r="I63" s="39">
        <f t="shared" si="11"/>
        <v>7337741.3181505771</v>
      </c>
    </row>
    <row r="64" spans="1:9" ht="18">
      <c r="A64" s="6" t="s">
        <v>23</v>
      </c>
      <c r="B64" s="100">
        <f>'Input│ Historic Opex'!H249</f>
        <v>0</v>
      </c>
      <c r="C64" s="39">
        <v>0</v>
      </c>
      <c r="D64" s="39">
        <f>'Input│ Historic Opex'!C110</f>
        <v>0</v>
      </c>
      <c r="E64" s="39">
        <f>'Input│ Historic Opex'!D110</f>
        <v>59856.454946827442</v>
      </c>
      <c r="F64" s="39">
        <f>'Input│ Historic Opex'!E110</f>
        <v>61742.208103952908</v>
      </c>
      <c r="G64" s="39">
        <f>'Input│ Historic Opex'!F110</f>
        <v>63943.899697918641</v>
      </c>
      <c r="H64" s="39">
        <f>'Input│ Historic Opex'!G110</f>
        <v>65892.851325316471</v>
      </c>
      <c r="I64" s="39">
        <f>'Input│ Historic Opex'!H110</f>
        <v>64212.743936782928</v>
      </c>
    </row>
    <row r="65" spans="1:9" ht="18">
      <c r="A65" s="6" t="str">
        <f>'Input│ Historic Opex'!A252</f>
        <v>Total</v>
      </c>
      <c r="B65" s="100">
        <f t="shared" ref="B65:I65" si="12">SUM(B59:B64)</f>
        <v>1</v>
      </c>
      <c r="C65" s="11">
        <f t="shared" si="12"/>
        <v>25214929.004912611</v>
      </c>
      <c r="D65" s="11">
        <f t="shared" si="12"/>
        <v>26345962.214330122</v>
      </c>
      <c r="E65" s="11">
        <f t="shared" si="12"/>
        <v>25894298.967035379</v>
      </c>
      <c r="F65" s="11">
        <f t="shared" si="12"/>
        <v>25993235.425302468</v>
      </c>
      <c r="G65" s="11">
        <f t="shared" si="12"/>
        <v>25998281.390529219</v>
      </c>
      <c r="H65" s="11">
        <f t="shared" si="12"/>
        <v>27005005.872975871</v>
      </c>
      <c r="I65" s="11">
        <f t="shared" si="12"/>
        <v>27198080.862502985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102E"/>
  </sheetPr>
  <dimension ref="A1:P25"/>
  <sheetViews>
    <sheetView tabSelected="1" zoomScaleNormal="100" workbookViewId="0">
      <selection activeCell="I32" sqref="I32"/>
    </sheetView>
  </sheetViews>
  <sheetFormatPr defaultColWidth="9" defaultRowHeight="13.5"/>
  <cols>
    <col min="1" max="1" width="1.453125" style="2" customWidth="1"/>
    <col min="2" max="2" width="1.08984375" style="2" customWidth="1"/>
    <col min="3" max="4" width="1.1796875" style="2" customWidth="1"/>
    <col min="5" max="5" width="17" style="2" customWidth="1"/>
    <col min="6" max="6" width="9" style="2"/>
    <col min="7" max="7" width="13.1796875" style="2" bestFit="1" customWidth="1"/>
    <col min="8" max="9" width="9" style="2"/>
    <col min="10" max="10" width="10.54296875" style="2" customWidth="1"/>
    <col min="11" max="12" width="9" style="2"/>
    <col min="13" max="13" width="9.90625" style="2" customWidth="1"/>
    <col min="14" max="16384" width="9" style="2"/>
  </cols>
  <sheetData>
    <row r="1" spans="1:16" s="3" customFormat="1"/>
    <row r="2" spans="1:16" s="3" customFormat="1"/>
    <row r="3" spans="1:16" s="3" customFormat="1"/>
    <row r="4" spans="1:16" s="3" customFormat="1"/>
    <row r="5" spans="1:16" s="3" customFormat="1"/>
    <row r="6" spans="1:16" s="3" customFormat="1"/>
    <row r="7" spans="1:16" s="3" customFormat="1"/>
    <row r="8" spans="1:16" s="3" customFormat="1"/>
    <row r="9" spans="1:16" s="3" customFormat="1"/>
    <row r="10" spans="1:16" s="4" customFormat="1" ht="22.5">
      <c r="A10" s="5" t="str">
        <f ca="1">RIGHT(CELL("filename",A1),LEN(CELL("filename",A1))-FIND("]",CELL("filename",A1)))</f>
        <v>Outputs│PTRM</v>
      </c>
    </row>
    <row r="12" spans="1:16" ht="22.5">
      <c r="E12" s="18" t="str">
        <f>"Forecast Operating Expenditure ($m Real 2017)"</f>
        <v>Forecast Operating Expenditure ($m Real 2017)</v>
      </c>
    </row>
    <row r="13" spans="1:16" ht="14.25" thickBot="1"/>
    <row r="14" spans="1:16" ht="18.75" thickBot="1">
      <c r="E14" s="19" t="s">
        <v>22</v>
      </c>
      <c r="F14" s="19"/>
      <c r="G14" s="22">
        <f>Calc│Forecast!E10</f>
        <v>2018</v>
      </c>
      <c r="H14" s="22">
        <f>Calc│Forecast!F10</f>
        <v>2019</v>
      </c>
      <c r="I14" s="22">
        <f>Calc│Forecast!G10</f>
        <v>2020</v>
      </c>
      <c r="J14" s="22">
        <f>Calc│Forecast!H10</f>
        <v>2021</v>
      </c>
      <c r="K14" s="22">
        <f>Calc│Forecast!I10</f>
        <v>2022</v>
      </c>
      <c r="L14" s="22">
        <f>Calc│Forecast!J10</f>
        <v>0</v>
      </c>
      <c r="M14" s="22">
        <f>Calc│Forecast!K10</f>
        <v>0</v>
      </c>
      <c r="N14" s="22">
        <f>Calc│Forecast!L10</f>
        <v>0</v>
      </c>
      <c r="O14" s="22">
        <f>Calc│Forecast!M10</f>
        <v>0</v>
      </c>
      <c r="P14" s="22">
        <f>Calc│Forecast!N10</f>
        <v>0</v>
      </c>
    </row>
    <row r="15" spans="1:16" ht="18.75" thickBot="1">
      <c r="E15" s="20" t="s">
        <v>148</v>
      </c>
      <c r="F15" s="21"/>
      <c r="G15" s="21">
        <f>(Calc│Forecast!E41-Calc│Forecast!E30)/1000000</f>
        <v>25.653631863929313</v>
      </c>
      <c r="H15" s="21">
        <f>(Calc│Forecast!F41-Calc│Forecast!F30)/1000000</f>
        <v>25.744119706786456</v>
      </c>
      <c r="I15" s="21">
        <f>(Calc│Forecast!G41-Calc│Forecast!G30)/1000000</f>
        <v>25.744119706786456</v>
      </c>
      <c r="J15" s="21">
        <f>(Calc│Forecast!H41-Calc│Forecast!H30)/1000000</f>
        <v>26.746470395363612</v>
      </c>
      <c r="K15" s="21">
        <f>(Calc│Forecast!I41-Calc│Forecast!I30)/1000000</f>
        <v>26.936033307187259</v>
      </c>
      <c r="L15" s="21"/>
      <c r="M15" s="21"/>
      <c r="N15" s="21"/>
      <c r="O15" s="21"/>
      <c r="P15" s="21"/>
    </row>
    <row r="16" spans="1:16" ht="18.75" thickBot="1">
      <c r="E16" s="20" t="s">
        <v>28</v>
      </c>
      <c r="F16" s="21"/>
      <c r="G16" s="21">
        <f>Calc│Forecast!E30/1000000</f>
        <v>0.24066710310606573</v>
      </c>
      <c r="H16" s="21">
        <f>Calc│Forecast!F30/1000000</f>
        <v>0.24911571851600642</v>
      </c>
      <c r="I16" s="21">
        <f>Calc│Forecast!G30/1000000</f>
        <v>0.25416168374276105</v>
      </c>
      <c r="J16" s="21">
        <f>Calc│Forecast!H30/1000000</f>
        <v>0.25853547761225426</v>
      </c>
      <c r="K16" s="21">
        <f>Calc│Forecast!I30/1000000</f>
        <v>0.26204755531571994</v>
      </c>
      <c r="L16" s="21"/>
      <c r="M16" s="21"/>
      <c r="N16" s="21"/>
      <c r="O16" s="21"/>
      <c r="P16" s="21"/>
    </row>
    <row r="17" spans="5:16" ht="18.75" thickBot="1"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5:16" ht="18.75" thickBot="1"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5:16" ht="18.75" thickBot="1"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5:16" ht="18.75" thickBot="1"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5:16" ht="18.75" thickBot="1"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5:16" ht="18.75" thickBot="1"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5:16" ht="18.75" thickBot="1"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5:16" ht="18.75" thickBot="1">
      <c r="E24" s="65" t="s">
        <v>23</v>
      </c>
      <c r="F24" s="66"/>
      <c r="G24" s="21">
        <f>'Input│ Historic Opex'!D110/1000000</f>
        <v>5.9856454946827439E-2</v>
      </c>
      <c r="H24" s="21">
        <f>'Input│ Historic Opex'!E110/1000000</f>
        <v>6.1742208103952909E-2</v>
      </c>
      <c r="I24" s="21">
        <f>'Input│ Historic Opex'!F110/1000000</f>
        <v>6.3943899697918638E-2</v>
      </c>
      <c r="J24" s="21">
        <f>'Input│ Historic Opex'!G110/1000000</f>
        <v>6.589285132531647E-2</v>
      </c>
      <c r="K24" s="21">
        <f>'Input│ Historic Opex'!H110/1000000</f>
        <v>6.4212743936782932E-2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5:16" ht="18.75" thickBot="1">
      <c r="E25" s="20" t="s">
        <v>2</v>
      </c>
      <c r="F25" s="21"/>
      <c r="G25" s="21">
        <f t="shared" ref="G25:P25" si="0">SUM(G15:G24)</f>
        <v>25.954155421982207</v>
      </c>
      <c r="H25" s="21">
        <f t="shared" si="0"/>
        <v>26.054977633406416</v>
      </c>
      <c r="I25" s="21">
        <f t="shared" si="0"/>
        <v>26.062225290227136</v>
      </c>
      <c r="J25" s="21">
        <f t="shared" si="0"/>
        <v>27.070898724301184</v>
      </c>
      <c r="K25" s="21">
        <f t="shared" si="0"/>
        <v>27.262293606439762</v>
      </c>
      <c r="L25" s="21">
        <f t="shared" si="0"/>
        <v>0</v>
      </c>
      <c r="M25" s="21">
        <f t="shared" si="0"/>
        <v>0</v>
      </c>
      <c r="N25" s="21">
        <f t="shared" si="0"/>
        <v>0</v>
      </c>
      <c r="O25" s="21">
        <f t="shared" si="0"/>
        <v>0</v>
      </c>
      <c r="P25" s="21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102E"/>
  </sheetPr>
  <dimension ref="A1:S139"/>
  <sheetViews>
    <sheetView topLeftCell="B107" zoomScale="85" zoomScaleNormal="85" workbookViewId="0">
      <selection activeCell="L135" sqref="L135"/>
    </sheetView>
  </sheetViews>
  <sheetFormatPr defaultColWidth="9" defaultRowHeight="13.5"/>
  <cols>
    <col min="1" max="1" width="1.453125" style="3" customWidth="1"/>
    <col min="2" max="2" width="1.08984375" style="3" customWidth="1"/>
    <col min="3" max="4" width="1.1796875" style="3" customWidth="1"/>
    <col min="5" max="5" width="51.1796875" style="3" customWidth="1"/>
    <col min="6" max="6" width="13.26953125" style="3" bestFit="1" customWidth="1"/>
    <col min="7" max="10" width="12.08984375" style="3" bestFit="1" customWidth="1"/>
    <col min="11" max="12" width="11.26953125" style="3" bestFit="1" customWidth="1"/>
    <col min="13" max="13" width="9.90625" style="3" customWidth="1"/>
    <col min="14" max="14" width="9" style="3"/>
    <col min="15" max="16384" width="9" style="2"/>
  </cols>
  <sheetData>
    <row r="1" spans="1:17" s="3" customFormat="1"/>
    <row r="2" spans="1:17" s="3" customFormat="1"/>
    <row r="3" spans="1:17" s="3" customFormat="1"/>
    <row r="4" spans="1:17" s="3" customFormat="1"/>
    <row r="5" spans="1:17" s="3" customFormat="1"/>
    <row r="6" spans="1:17" s="3" customFormat="1"/>
    <row r="7" spans="1:17" s="3" customFormat="1"/>
    <row r="8" spans="1:17" s="3" customFormat="1"/>
    <row r="9" spans="1:17" s="3" customFormat="1"/>
    <row r="10" spans="1:17" s="4" customFormat="1" ht="22.5">
      <c r="A10" s="34" t="str">
        <f ca="1">RIGHT(CELL("filename",A1),LEN(CELL("filename",A1))-FIND("]",CELL("filename",A1)))</f>
        <v>Outputs│Tables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2" spans="1:17" ht="18">
      <c r="E12" s="35" t="str">
        <f>"Historic Operating Expenditure less debt raising costs ($m Real 2017)"</f>
        <v>Historic Operating Expenditure less debt raising costs ($m Real 2017)</v>
      </c>
    </row>
    <row r="13" spans="1:17" ht="14.25" thickBot="1"/>
    <row r="14" spans="1:17" ht="18.75" thickBot="1">
      <c r="E14" s="19"/>
      <c r="F14" s="19"/>
      <c r="G14" s="22">
        <f>'Input│ Historic Opex'!D11</f>
        <v>2012</v>
      </c>
      <c r="H14" s="22">
        <f>'Input│ Historic Opex'!E11</f>
        <v>2013</v>
      </c>
      <c r="I14" s="22">
        <f>'Input│ Historic Opex'!F11</f>
        <v>2014</v>
      </c>
      <c r="J14" s="22">
        <f>'Input│ Historic Opex'!G11</f>
        <v>2015</v>
      </c>
      <c r="K14" s="22" t="str">
        <f>'Input│ Historic Opex'!H11 &amp; "(e)"</f>
        <v>2016(e)</v>
      </c>
      <c r="L14" s="22" t="str">
        <f>'Input│ Historic Opex'!I11 &amp; "(f)"</f>
        <v>2017(f)</v>
      </c>
      <c r="M14" s="22">
        <f>'Input│ Historic Opex'!D44</f>
        <v>2018</v>
      </c>
      <c r="N14" s="22">
        <f>'Input│ Historic Opex'!E44</f>
        <v>2019</v>
      </c>
      <c r="O14" s="22">
        <f>'Input│ Historic Opex'!F44</f>
        <v>2020</v>
      </c>
      <c r="P14" s="22">
        <f>'Input│ Historic Opex'!G44</f>
        <v>2021</v>
      </c>
      <c r="Q14" s="22">
        <f>'Input│ Historic Opex'!H44</f>
        <v>2022</v>
      </c>
    </row>
    <row r="15" spans="1:17" ht="18.75" thickBot="1">
      <c r="E15" s="36" t="str">
        <f>'Input│ Historic Opex'!A29</f>
        <v xml:space="preserve">Asset operations and management </v>
      </c>
      <c r="F15" s="36" t="s">
        <v>35</v>
      </c>
      <c r="G15" s="44">
        <f>'Input│ Historic Opex'!D29/1000000</f>
        <v>14.534359481399999</v>
      </c>
      <c r="H15" s="44">
        <f>'Input│ Historic Opex'!E29/1000000</f>
        <v>15.09071079525572</v>
      </c>
      <c r="I15" s="44">
        <f>'Input│ Historic Opex'!F29/1000000</f>
        <v>14.99881179421576</v>
      </c>
      <c r="J15" s="44">
        <f>'Input│ Historic Opex'!G29/1000000</f>
        <v>16.979664051985239</v>
      </c>
      <c r="K15" s="44">
        <f>'Input│ Historic Opex'!H29/1000000</f>
        <v>17.750872724939995</v>
      </c>
      <c r="L15" s="44">
        <f>Calc│Forecast!D51/1000000</f>
        <v>18.547100489219602</v>
      </c>
      <c r="M15" s="44">
        <f>Calc│Forecast!E51/1000000</f>
        <v>18.229137396176586</v>
      </c>
      <c r="N15" s="44">
        <f>Calc│Forecast!F51/1000000</f>
        <v>18.298786946972992</v>
      </c>
      <c r="O15" s="45">
        <f>Calc│Forecast!G51/1000000</f>
        <v>18.302339218982052</v>
      </c>
      <c r="P15" s="45">
        <f>Calc│Forecast!H51/1000000</f>
        <v>19.01105579532101</v>
      </c>
      <c r="Q15" s="45">
        <f>Calc│Forecast!I51/1000000</f>
        <v>19.146977239509777</v>
      </c>
    </row>
    <row r="16" spans="1:17" ht="18.75" thickBot="1">
      <c r="E16" s="36" t="str">
        <f>'Input│ Historic Opex'!A30</f>
        <v>Regulatory (Asset Licences)</v>
      </c>
      <c r="F16" s="36" t="s">
        <v>35</v>
      </c>
      <c r="G16" s="44">
        <f>'Input│ Historic Opex'!D30/1000000</f>
        <v>0.43202169999999995</v>
      </c>
      <c r="H16" s="44">
        <f>'Input│ Historic Opex'!E30/1000000</f>
        <v>0.35428220610687022</v>
      </c>
      <c r="I16" s="44">
        <f>'Input│ Historic Opex'!F30/1000000</f>
        <v>0.46737246810506577</v>
      </c>
      <c r="J16" s="44">
        <f>'Input│ Historic Opex'!G30/1000000</f>
        <v>0.3184368487084871</v>
      </c>
      <c r="K16" s="44">
        <f>'Input│ Historic Opex'!H30/1000000</f>
        <v>0.30293285999999997</v>
      </c>
      <c r="L16" s="44">
        <f>Calc│Forecast!D52/1000000</f>
        <v>0.31652112450858033</v>
      </c>
      <c r="M16" s="44">
        <f>Calc│Forecast!E52/1000000</f>
        <v>0.3110948296642353</v>
      </c>
      <c r="N16" s="44">
        <f>Calc│Forecast!F52/1000000</f>
        <v>0.31228345503197996</v>
      </c>
      <c r="O16" s="45">
        <f>Calc│Forecast!G52/1000000</f>
        <v>0.3123440773988842</v>
      </c>
      <c r="P16" s="45">
        <f>Calc│Forecast!H52/1000000</f>
        <v>0.32443889339619142</v>
      </c>
      <c r="Q16" s="45">
        <f>Calc│Forecast!I52/1000000</f>
        <v>0.32675850170286264</v>
      </c>
    </row>
    <row r="17" spans="5:17" ht="18.75" thickBot="1">
      <c r="E17" s="36" t="str">
        <f>'Input│ Historic Opex'!A31</f>
        <v xml:space="preserve">Insurance </v>
      </c>
      <c r="F17" s="36" t="s">
        <v>35</v>
      </c>
      <c r="G17" s="44">
        <f>'Input│ Historic Opex'!D31/1000000</f>
        <v>1.0902859857999998</v>
      </c>
      <c r="H17" s="44">
        <f>'Input│ Historic Opex'!E31/1000000</f>
        <v>1.299338140385496</v>
      </c>
      <c r="I17" s="44">
        <f>'Input│ Historic Opex'!F31/1000000</f>
        <v>0.89072065698123837</v>
      </c>
      <c r="J17" s="44">
        <f>'Input│ Historic Opex'!G31/1000000</f>
        <v>0.88482687357011081</v>
      </c>
      <c r="K17" s="44">
        <f>'Input│ Historic Opex'!H31/1000000</f>
        <v>0.66134739294</v>
      </c>
      <c r="L17" s="44">
        <f>Calc│Forecast!D53/1000000</f>
        <v>0.69101259105462087</v>
      </c>
      <c r="M17" s="44">
        <f>Calc│Forecast!E53/1000000</f>
        <v>0.67916618406981477</v>
      </c>
      <c r="N17" s="44">
        <f>Calc│Forecast!F53/1000000</f>
        <v>0.68176112965657032</v>
      </c>
      <c r="O17" s="45">
        <f>Calc│Forecast!G53/1000000</f>
        <v>0.68189347728074678</v>
      </c>
      <c r="P17" s="45">
        <f>Calc│Forecast!H53/1000000</f>
        <v>0.70829825564618443</v>
      </c>
      <c r="Q17" s="45">
        <f>Calc│Forecast!I53/1000000</f>
        <v>0.71336230484262664</v>
      </c>
    </row>
    <row r="18" spans="5:17" ht="18.75" thickBot="1">
      <c r="E18" s="36" t="str">
        <f>'Input│ Historic Opex'!A32</f>
        <v xml:space="preserve">Corporate overheads costs </v>
      </c>
      <c r="F18" s="36" t="s">
        <v>35</v>
      </c>
      <c r="G18" s="44">
        <f>'Input│ Historic Opex'!D32/1000000</f>
        <v>13.322240799999999</v>
      </c>
      <c r="H18" s="44">
        <f>'Input│ Historic Opex'!E32/1000000</f>
        <v>8.632856427480915</v>
      </c>
      <c r="I18" s="44">
        <f>'Input│ Historic Opex'!F32/1000000</f>
        <v>9.3894951543151972</v>
      </c>
      <c r="J18" s="44">
        <f>'Input│ Historic Opex'!G32/1000000</f>
        <v>7.7921699526947474</v>
      </c>
      <c r="K18" s="44">
        <f>'Input│ Historic Opex'!H32/1000000</f>
        <v>6.4997760270326141</v>
      </c>
      <c r="L18" s="44">
        <f>Calc│Forecast!D54/1000000</f>
        <v>6.791328009547315</v>
      </c>
      <c r="M18" s="44">
        <f>Calc│Forecast!E54/1000000</f>
        <v>6.6749005571247402</v>
      </c>
      <c r="N18" s="44">
        <f>Calc│Forecast!F54/1000000</f>
        <v>6.7004038936409227</v>
      </c>
      <c r="O18" s="45">
        <f>Calc│Forecast!G54/1000000</f>
        <v>6.701704616867536</v>
      </c>
      <c r="P18" s="45">
        <f>Calc│Forecast!H54/1000000</f>
        <v>6.9612129286124818</v>
      </c>
      <c r="Q18" s="45">
        <f>Calc│Forecast!I54/1000000</f>
        <v>7.0109828164477159</v>
      </c>
    </row>
    <row r="19" spans="5:17" ht="18.75" thickBot="1">
      <c r="E19" s="36" t="s">
        <v>37</v>
      </c>
      <c r="F19" s="36" t="s">
        <v>35</v>
      </c>
      <c r="G19" s="44">
        <f t="shared" ref="G19:Q19" si="0">SUM(G15:G18)</f>
        <v>29.3789079672</v>
      </c>
      <c r="H19" s="44">
        <f t="shared" si="0"/>
        <v>25.377187569229001</v>
      </c>
      <c r="I19" s="44">
        <f t="shared" si="0"/>
        <v>25.746400073617259</v>
      </c>
      <c r="J19" s="44">
        <f t="shared" si="0"/>
        <v>25.975097726958587</v>
      </c>
      <c r="K19" s="44">
        <f t="shared" si="0"/>
        <v>25.214929004912609</v>
      </c>
      <c r="L19" s="44">
        <f t="shared" si="0"/>
        <v>26.345962214330115</v>
      </c>
      <c r="M19" s="44">
        <f t="shared" si="0"/>
        <v>25.894298967035375</v>
      </c>
      <c r="N19" s="44">
        <f t="shared" si="0"/>
        <v>25.993235425302466</v>
      </c>
      <c r="O19" s="44">
        <f t="shared" si="0"/>
        <v>25.998281390529215</v>
      </c>
      <c r="P19" s="44">
        <f t="shared" si="0"/>
        <v>27.005005872975868</v>
      </c>
      <c r="Q19" s="44">
        <f t="shared" si="0"/>
        <v>27.19808086250298</v>
      </c>
    </row>
    <row r="21" spans="5:17" ht="18">
      <c r="E21" s="35" t="s">
        <v>85</v>
      </c>
    </row>
    <row r="22" spans="5:17" ht="14.25" thickBot="1"/>
    <row r="23" spans="5:17" ht="18.75" thickBot="1">
      <c r="E23" s="19"/>
      <c r="F23" s="19"/>
      <c r="G23" s="19">
        <f t="shared" ref="G23:L23" si="1">G14</f>
        <v>2012</v>
      </c>
      <c r="H23" s="19">
        <f t="shared" si="1"/>
        <v>2013</v>
      </c>
      <c r="I23" s="19">
        <f t="shared" si="1"/>
        <v>2014</v>
      </c>
      <c r="J23" s="19">
        <f t="shared" si="1"/>
        <v>2015</v>
      </c>
      <c r="K23" s="19" t="str">
        <f t="shared" si="1"/>
        <v>2016(e)</v>
      </c>
      <c r="L23" s="19" t="str">
        <f t="shared" si="1"/>
        <v>2017(f)</v>
      </c>
    </row>
    <row r="24" spans="5:17" ht="18.75" thickBot="1">
      <c r="E24" s="36" t="str">
        <f>E19</f>
        <v>Total operating expenditure</v>
      </c>
      <c r="F24" s="36" t="str">
        <f>F15</f>
        <v>real 2017 m</v>
      </c>
      <c r="G24" s="44">
        <f>G19</f>
        <v>29.3789079672</v>
      </c>
      <c r="H24" s="44">
        <f t="shared" ref="H24:K24" si="2">H19</f>
        <v>25.377187569229001</v>
      </c>
      <c r="I24" s="44">
        <f t="shared" si="2"/>
        <v>25.746400073617259</v>
      </c>
      <c r="J24" s="44">
        <f t="shared" si="2"/>
        <v>25.975097726958587</v>
      </c>
      <c r="K24" s="44">
        <f t="shared" si="2"/>
        <v>25.214929004912609</v>
      </c>
      <c r="L24" s="44">
        <f t="shared" ref="L24" si="3">L19</f>
        <v>26.345962214330115</v>
      </c>
      <c r="N24" s="89" t="s">
        <v>189</v>
      </c>
      <c r="O24" s="92">
        <f>SUM(H19:L19)-SUM(H24:L24)</f>
        <v>0</v>
      </c>
    </row>
    <row r="25" spans="5:17" ht="18.75" thickBot="1">
      <c r="E25" s="36" t="str">
        <f>E18</f>
        <v xml:space="preserve">Corporate overheads costs </v>
      </c>
      <c r="F25" s="36" t="str">
        <f>F24</f>
        <v>real 2017 m</v>
      </c>
      <c r="G25" s="44">
        <f t="shared" ref="G25:L25" si="4">G18</f>
        <v>13.322240799999999</v>
      </c>
      <c r="H25" s="44">
        <f t="shared" si="4"/>
        <v>8.632856427480915</v>
      </c>
      <c r="I25" s="44">
        <f t="shared" si="4"/>
        <v>9.3894951543151972</v>
      </c>
      <c r="J25" s="44">
        <f t="shared" si="4"/>
        <v>7.7921699526947474</v>
      </c>
      <c r="K25" s="44">
        <f t="shared" si="4"/>
        <v>6.4997760270326141</v>
      </c>
      <c r="L25" s="44">
        <f t="shared" si="4"/>
        <v>6.791328009547315</v>
      </c>
      <c r="N25" s="89" t="s">
        <v>189</v>
      </c>
      <c r="O25" s="92">
        <f>SUM(H18:L18)-SUM(H25:L25)</f>
        <v>0</v>
      </c>
    </row>
    <row r="26" spans="5:17" ht="18.75" thickBot="1">
      <c r="E26" s="36" t="s">
        <v>36</v>
      </c>
      <c r="F26" s="36" t="str">
        <f>F25</f>
        <v>real 2017 m</v>
      </c>
      <c r="G26" s="44">
        <f>G24-G25</f>
        <v>16.056667167200001</v>
      </c>
      <c r="H26" s="44">
        <f t="shared" ref="H26:K26" si="5">H24-H25</f>
        <v>16.744331141748084</v>
      </c>
      <c r="I26" s="44">
        <f t="shared" si="5"/>
        <v>16.35690491930206</v>
      </c>
      <c r="J26" s="44">
        <f t="shared" si="5"/>
        <v>18.182927774263838</v>
      </c>
      <c r="K26" s="44">
        <f t="shared" si="5"/>
        <v>18.715152977879995</v>
      </c>
      <c r="L26" s="44">
        <f t="shared" ref="L26" si="6">L24-L25</f>
        <v>19.554634204782801</v>
      </c>
    </row>
    <row r="28" spans="5:17" ht="18">
      <c r="E28" s="35" t="s">
        <v>190</v>
      </c>
    </row>
    <row r="29" spans="5:17" ht="14.25" thickBot="1"/>
    <row r="30" spans="5:17" ht="18.75" thickBot="1">
      <c r="E30" s="19"/>
      <c r="F30" s="19"/>
      <c r="G30" s="22">
        <f>H$14</f>
        <v>2013</v>
      </c>
      <c r="H30" s="22">
        <f>I$14</f>
        <v>2014</v>
      </c>
      <c r="I30" s="22">
        <f>J$14</f>
        <v>2015</v>
      </c>
      <c r="J30" s="22" t="str">
        <f>K$14</f>
        <v>2016(e)</v>
      </c>
      <c r="K30" s="22" t="str">
        <f>L$14</f>
        <v>2017(f)</v>
      </c>
      <c r="L30" s="22" t="s">
        <v>2</v>
      </c>
      <c r="N30" s="2"/>
    </row>
    <row r="31" spans="5:17" ht="18.75" thickBot="1">
      <c r="E31" s="20" t="s">
        <v>91</v>
      </c>
      <c r="F31" s="20" t="s">
        <v>86</v>
      </c>
      <c r="G31" s="45">
        <f>'Input│ Historic Opex'!E138</f>
        <v>15.33658536585366</v>
      </c>
      <c r="H31" s="45">
        <f>'Input│ Historic Opex'!F138</f>
        <v>30.538498326159726</v>
      </c>
      <c r="I31" s="45">
        <f>'Input│ Historic Opex'!G138</f>
        <v>31.97440889270494</v>
      </c>
      <c r="J31" s="45">
        <f>'Input│ Historic Opex'!H138</f>
        <v>33.511291988524263</v>
      </c>
      <c r="K31" s="45">
        <f>'Input│ Historic Opex'!I138</f>
        <v>34.125614044603452</v>
      </c>
      <c r="L31" s="45">
        <f>SUM(G31:K31)</f>
        <v>145.48639861784602</v>
      </c>
      <c r="N31" s="2"/>
    </row>
    <row r="32" spans="5:17" ht="18.75" thickBot="1">
      <c r="E32" s="20" t="s">
        <v>90</v>
      </c>
      <c r="F32" s="20" t="s">
        <v>86</v>
      </c>
      <c r="G32" s="45">
        <f>('Input│ Historic Opex'!E17+'Input│ Historic Opex'!E42)/2000000</f>
        <v>13.232148799080621</v>
      </c>
      <c r="H32" s="45">
        <f>('Input│ Historic Opex'!F17+'Input│ Historic Opex'!F42)/2000000</f>
        <v>13.621720090396627</v>
      </c>
      <c r="I32" s="45">
        <f>('Input│ Historic Opex'!G17+'Input│ Historic Opex'!G42)/2000000</f>
        <v>13.960668926788918</v>
      </c>
      <c r="J32" s="45">
        <f>('Input│ Historic Opex'!H17+'Input│ Historic Opex'!H42)/2000000</f>
        <v>13.790402439461097</v>
      </c>
      <c r="K32" s="45">
        <f>('Input│ Historic Opex'!I42+Calc│Forecast!D41)/1000000</f>
        <v>29.220269471998066</v>
      </c>
      <c r="L32" s="45">
        <f>SUM(G32:K32)</f>
        <v>83.825209727725337</v>
      </c>
      <c r="N32" s="2"/>
    </row>
    <row r="33" spans="5:14" ht="18.75" thickBot="1">
      <c r="E33" s="20" t="s">
        <v>58</v>
      </c>
      <c r="F33" s="20" t="s">
        <v>86</v>
      </c>
      <c r="G33" s="45">
        <f t="shared" ref="G33:L33" si="7">G31-G32</f>
        <v>2.1044365667730389</v>
      </c>
      <c r="H33" s="45">
        <f t="shared" si="7"/>
        <v>16.916778235763097</v>
      </c>
      <c r="I33" s="45">
        <f t="shared" si="7"/>
        <v>18.013739965916024</v>
      </c>
      <c r="J33" s="45">
        <f t="shared" si="7"/>
        <v>19.720889549063166</v>
      </c>
      <c r="K33" s="45">
        <f t="shared" si="7"/>
        <v>4.9053445726053866</v>
      </c>
      <c r="L33" s="45">
        <f t="shared" si="7"/>
        <v>61.661188890120684</v>
      </c>
      <c r="N33" s="2"/>
    </row>
    <row r="35" spans="5:14" ht="18">
      <c r="E35" s="9" t="s">
        <v>191</v>
      </c>
    </row>
    <row r="36" spans="5:14" ht="14.25" thickBot="1"/>
    <row r="37" spans="5:14" ht="18.75" thickBot="1">
      <c r="E37" s="19"/>
      <c r="F37" s="19"/>
      <c r="G37" s="19">
        <f>H14</f>
        <v>2013</v>
      </c>
      <c r="H37" s="19">
        <f t="shared" ref="H37:L37" si="8">H30</f>
        <v>2014</v>
      </c>
      <c r="I37" s="19">
        <f t="shared" si="8"/>
        <v>2015</v>
      </c>
      <c r="J37" s="19" t="str">
        <f t="shared" si="8"/>
        <v>2016(e)</v>
      </c>
      <c r="K37" s="19" t="str">
        <f t="shared" si="8"/>
        <v>2017(f)</v>
      </c>
      <c r="L37" s="19" t="str">
        <f t="shared" si="8"/>
        <v>Total</v>
      </c>
    </row>
    <row r="38" spans="5:14" ht="18.75" thickBot="1">
      <c r="E38" s="20" t="str">
        <f>E31</f>
        <v>AER forecast</v>
      </c>
      <c r="F38" s="20" t="str">
        <f>F31</f>
        <v>nominal $m</v>
      </c>
      <c r="G38" s="45">
        <f>G31*2</f>
        <v>30.673170731707319</v>
      </c>
      <c r="H38" s="45">
        <f>H31</f>
        <v>30.538498326159726</v>
      </c>
      <c r="I38" s="45">
        <f t="shared" ref="I38:K38" si="9">I31</f>
        <v>31.97440889270494</v>
      </c>
      <c r="J38" s="45">
        <f t="shared" si="9"/>
        <v>33.511291988524263</v>
      </c>
      <c r="K38" s="45">
        <f t="shared" si="9"/>
        <v>34.125614044603452</v>
      </c>
      <c r="L38" s="45">
        <f>SUM(G38:K38)</f>
        <v>160.82298398369971</v>
      </c>
    </row>
    <row r="39" spans="5:14" ht="18.75" thickBot="1">
      <c r="E39" s="20" t="str">
        <f t="shared" ref="E39:F40" si="10">E32</f>
        <v>APA VTS actual expenditure</v>
      </c>
      <c r="F39" s="20" t="str">
        <f t="shared" si="10"/>
        <v>nominal $m</v>
      </c>
      <c r="G39" s="45">
        <f>G32*2</f>
        <v>26.464297598161242</v>
      </c>
      <c r="H39" s="45">
        <f t="shared" ref="H39:K39" si="11">H32</f>
        <v>13.621720090396627</v>
      </c>
      <c r="I39" s="45">
        <f t="shared" si="11"/>
        <v>13.960668926788918</v>
      </c>
      <c r="J39" s="45">
        <f t="shared" si="11"/>
        <v>13.790402439461097</v>
      </c>
      <c r="K39" s="45">
        <f t="shared" si="11"/>
        <v>29.220269471998066</v>
      </c>
      <c r="L39" s="45">
        <f t="shared" ref="L39:L40" si="12">SUM(G39:K39)</f>
        <v>97.057358526805942</v>
      </c>
    </row>
    <row r="40" spans="5:14" ht="18.75" thickBot="1">
      <c r="E40" s="20" t="str">
        <f t="shared" si="10"/>
        <v>Difference</v>
      </c>
      <c r="F40" s="20" t="str">
        <f t="shared" si="10"/>
        <v>nominal $m</v>
      </c>
      <c r="G40" s="45">
        <f>G38-G39</f>
        <v>4.2088731335460778</v>
      </c>
      <c r="H40" s="45">
        <f t="shared" ref="H40:K40" si="13">H38-H39</f>
        <v>16.916778235763097</v>
      </c>
      <c r="I40" s="45">
        <f t="shared" si="13"/>
        <v>18.013739965916024</v>
      </c>
      <c r="J40" s="45">
        <f t="shared" si="13"/>
        <v>19.720889549063166</v>
      </c>
      <c r="K40" s="45">
        <f t="shared" si="13"/>
        <v>4.9053445726053866</v>
      </c>
      <c r="L40" s="45">
        <f t="shared" si="12"/>
        <v>63.765625456893751</v>
      </c>
    </row>
    <row r="43" spans="5:14" ht="18">
      <c r="E43" s="9" t="s">
        <v>89</v>
      </c>
    </row>
    <row r="44" spans="5:14" ht="14.25" thickBot="1"/>
    <row r="45" spans="5:14" ht="18.75" thickBot="1">
      <c r="E45" s="19"/>
      <c r="F45" s="19"/>
      <c r="G45" s="22">
        <f>H$14</f>
        <v>2013</v>
      </c>
      <c r="H45" s="22">
        <f>I$14</f>
        <v>2014</v>
      </c>
      <c r="I45" s="22">
        <f>J$14</f>
        <v>2015</v>
      </c>
      <c r="J45" s="22" t="str">
        <f>K$14</f>
        <v>2016(e)</v>
      </c>
    </row>
    <row r="46" spans="5:14" ht="18.75" thickBot="1">
      <c r="E46" s="20" t="s">
        <v>87</v>
      </c>
      <c r="F46" s="20"/>
      <c r="G46" s="47">
        <f>'Input│ Historic Opex'!E31/1000</f>
        <v>1299.338140385496</v>
      </c>
      <c r="H46" s="47">
        <f>'Input│ Historic Opex'!F31/1000</f>
        <v>890.72065698123845</v>
      </c>
      <c r="I46" s="47">
        <f>'Input│ Historic Opex'!G31/1000</f>
        <v>884.82687357011082</v>
      </c>
      <c r="J46" s="47">
        <f>'Input│ Historic Opex'!H31/1000</f>
        <v>661.34739294000008</v>
      </c>
    </row>
    <row r="48" spans="5:14" ht="18">
      <c r="E48" s="35" t="s">
        <v>88</v>
      </c>
    </row>
    <row r="49" spans="5:11" ht="14.25" thickBot="1"/>
    <row r="50" spans="5:11" ht="18.75" thickBot="1">
      <c r="E50" s="19"/>
      <c r="F50" s="22">
        <f>G$14</f>
        <v>2012</v>
      </c>
      <c r="G50" s="22">
        <f>H$14</f>
        <v>2013</v>
      </c>
      <c r="H50" s="22">
        <f>I$14</f>
        <v>2014</v>
      </c>
      <c r="I50" s="22">
        <f>J$14</f>
        <v>2015</v>
      </c>
      <c r="J50" s="22" t="str">
        <f>K$14</f>
        <v>2016(e)</v>
      </c>
    </row>
    <row r="51" spans="5:11" ht="18.75" thickBot="1">
      <c r="E51" s="20" t="s">
        <v>63</v>
      </c>
      <c r="F51" s="45">
        <f>'Input│ Historic Opex'!D16/1000000</f>
        <v>12.111128000000001</v>
      </c>
      <c r="G51" s="45">
        <f>'Input│ Historic Opex'!E16/1000000</f>
        <v>8.0634879999999995</v>
      </c>
      <c r="H51" s="45">
        <f>'Input│ Historic Opex'!F16/1000000</f>
        <v>8.9208572499999992</v>
      </c>
      <c r="I51" s="45">
        <f>'Input│ Historic Opex'!G16/1000000</f>
        <v>7.5282640184680085</v>
      </c>
      <c r="J51" s="45">
        <f>'Input│ Historic Opex'!H16/1000000</f>
        <v>6.3723294382672684</v>
      </c>
    </row>
    <row r="53" spans="5:11" ht="18">
      <c r="E53" s="35" t="s">
        <v>134</v>
      </c>
    </row>
    <row r="54" spans="5:11" ht="14.25" thickBot="1"/>
    <row r="55" spans="5:11" ht="18.75" thickBot="1">
      <c r="E55" s="19"/>
      <c r="F55" s="22">
        <f>M$14</f>
        <v>2018</v>
      </c>
      <c r="G55" s="22">
        <f t="shared" ref="G55" si="14">N$14</f>
        <v>2019</v>
      </c>
      <c r="H55" s="22">
        <f t="shared" ref="H55" si="15">O$14</f>
        <v>2020</v>
      </c>
      <c r="I55" s="22">
        <f t="shared" ref="I55" si="16">P$14</f>
        <v>2021</v>
      </c>
      <c r="J55" s="22">
        <f t="shared" ref="J55" si="17">Q$14</f>
        <v>2022</v>
      </c>
      <c r="K55" s="22" t="s">
        <v>2</v>
      </c>
    </row>
    <row r="56" spans="5:11" ht="18.75" thickBot="1">
      <c r="E56" s="20" t="s">
        <v>51</v>
      </c>
      <c r="F56" s="47">
        <f>Calc│Forecast!E38/1000</f>
        <v>159.86800901670861</v>
      </c>
      <c r="G56" s="47">
        <f>Calc│Forecast!F38/1000</f>
        <v>159.86800901670861</v>
      </c>
      <c r="H56" s="47">
        <f>Calc│Forecast!G38/1000</f>
        <v>159.86800901670861</v>
      </c>
      <c r="I56" s="47">
        <f>Calc│Forecast!H38/1000</f>
        <v>159.86800901670861</v>
      </c>
      <c r="J56" s="47">
        <f>Calc│Forecast!I38/1000</f>
        <v>159.86800901670861</v>
      </c>
      <c r="K56" s="47">
        <f>SUM(F56:J56)</f>
        <v>799.34004508354303</v>
      </c>
    </row>
    <row r="58" spans="5:11" ht="18">
      <c r="E58" s="9" t="s">
        <v>80</v>
      </c>
    </row>
    <row r="59" spans="5:11" ht="14.25" thickBot="1"/>
    <row r="60" spans="5:11" ht="18.75" thickBot="1">
      <c r="E60" s="19"/>
      <c r="F60" s="22">
        <f>M$14</f>
        <v>2018</v>
      </c>
      <c r="G60" s="22">
        <f t="shared" ref="G60:J60" si="18">N$14</f>
        <v>2019</v>
      </c>
      <c r="H60" s="22">
        <f t="shared" si="18"/>
        <v>2020</v>
      </c>
      <c r="I60" s="22">
        <f t="shared" si="18"/>
        <v>2021</v>
      </c>
      <c r="J60" s="22">
        <f t="shared" si="18"/>
        <v>2022</v>
      </c>
      <c r="K60" s="22" t="s">
        <v>2</v>
      </c>
    </row>
    <row r="61" spans="5:11" ht="18.75" thickBot="1">
      <c r="E61" s="20" t="str">
        <f>'Input│ Historic Opex'!A61</f>
        <v>Warragul</v>
      </c>
      <c r="F61" s="47">
        <f>'Input│ Historic Opex'!D61/1000</f>
        <v>0</v>
      </c>
      <c r="G61" s="47">
        <f>'Input│ Historic Opex'!E61/1000</f>
        <v>0</v>
      </c>
      <c r="H61" s="47">
        <f>'Input│ Historic Opex'!F61/1000</f>
        <v>0</v>
      </c>
      <c r="I61" s="47">
        <f>'Input│ Historic Opex'!G61/1000</f>
        <v>20.828400000000002</v>
      </c>
      <c r="J61" s="47">
        <f>'Input│ Historic Opex'!H61/1000</f>
        <v>20.828400000000002</v>
      </c>
      <c r="K61" s="47">
        <f>SUM(F61:J61)</f>
        <v>41.656800000000004</v>
      </c>
    </row>
    <row r="62" spans="5:11" ht="18.75" thickBot="1">
      <c r="E62" s="20" t="str">
        <f>'Input│ Historic Opex'!A62</f>
        <v>Anglesea</v>
      </c>
      <c r="F62" s="47">
        <f>'Input│ Historic Opex'!D62/1000</f>
        <v>0</v>
      </c>
      <c r="G62" s="47">
        <f>'Input│ Historic Opex'!E62/1000</f>
        <v>90.487842857142851</v>
      </c>
      <c r="H62" s="47">
        <f>'Input│ Historic Opex'!F62/1000</f>
        <v>90.487842857142851</v>
      </c>
      <c r="I62" s="47">
        <f>'Input│ Historic Opex'!G62/1000</f>
        <v>90.487842857142851</v>
      </c>
      <c r="J62" s="47">
        <f>'Input│ Historic Opex'!H62/1000</f>
        <v>90.487842857142851</v>
      </c>
      <c r="K62" s="47">
        <f t="shared" ref="K62:K64" si="19">SUM(F62:J62)</f>
        <v>361.95137142857141</v>
      </c>
    </row>
    <row r="63" spans="5:11" ht="18.75" thickBot="1">
      <c r="E63" s="20" t="str">
        <f>'Input│ Historic Opex'!A63</f>
        <v>VNIE</v>
      </c>
      <c r="F63" s="47">
        <f>'Input│ Historic Opex'!D63/1000</f>
        <v>278.83485000000002</v>
      </c>
      <c r="G63" s="47">
        <f>'Input│ Historic Opex'!E63/1000</f>
        <v>278.83485000000002</v>
      </c>
      <c r="H63" s="47">
        <f>'Input│ Historic Opex'!F63/1000</f>
        <v>278.83485000000002</v>
      </c>
      <c r="I63" s="47">
        <f>'Input│ Historic Opex'!G63/1000</f>
        <v>278.83485000000002</v>
      </c>
      <c r="J63" s="47">
        <f>'Input│ Historic Opex'!H63/1000</f>
        <v>278.83485000000002</v>
      </c>
      <c r="K63" s="47">
        <f t="shared" si="19"/>
        <v>1394.17425</v>
      </c>
    </row>
    <row r="64" spans="5:11" ht="18.75" thickBot="1">
      <c r="E64" s="20" t="str">
        <f>'Input│ Historic Opex'!A64</f>
        <v>WORM</v>
      </c>
      <c r="F64" s="47">
        <f>'Input│ Historic Opex'!D64/1000</f>
        <v>0</v>
      </c>
      <c r="G64" s="47">
        <f>'Input│ Historic Opex'!E64/1000</f>
        <v>0</v>
      </c>
      <c r="H64" s="47">
        <f>'Input│ Historic Opex'!F64/1000</f>
        <v>0</v>
      </c>
      <c r="I64" s="47">
        <f>'Input│ Historic Opex'!G64/1000</f>
        <v>199.92</v>
      </c>
      <c r="J64" s="47">
        <f>'Input│ Historic Opex'!H64/1000</f>
        <v>199.92</v>
      </c>
      <c r="K64" s="47">
        <f t="shared" si="19"/>
        <v>399.84</v>
      </c>
    </row>
    <row r="65" spans="1:11" ht="18.75" thickBot="1">
      <c r="E65" s="46" t="str">
        <f>'Input│ Historic Opex'!A65</f>
        <v>Total</v>
      </c>
      <c r="F65" s="48">
        <f>SUM(F61:F64)</f>
        <v>278.83485000000002</v>
      </c>
      <c r="G65" s="48">
        <f t="shared" ref="G65:J65" si="20">SUM(G61:G64)</f>
        <v>369.3226928571429</v>
      </c>
      <c r="H65" s="48">
        <f t="shared" si="20"/>
        <v>369.3226928571429</v>
      </c>
      <c r="I65" s="48">
        <f t="shared" si="20"/>
        <v>590.07109285714284</v>
      </c>
      <c r="J65" s="48">
        <f t="shared" si="20"/>
        <v>590.07109285714284</v>
      </c>
      <c r="K65" s="48">
        <f>SUM(K61:K64)</f>
        <v>2197.6224214285717</v>
      </c>
    </row>
    <row r="67" spans="1:11" ht="18">
      <c r="E67" s="9" t="s">
        <v>132</v>
      </c>
    </row>
    <row r="68" spans="1:11" ht="14.25" thickBot="1"/>
    <row r="69" spans="1:11" ht="18.75" thickBot="1">
      <c r="E69" s="19"/>
      <c r="F69" s="22">
        <f>M$14</f>
        <v>2018</v>
      </c>
      <c r="G69" s="22">
        <f t="shared" ref="G69" si="21">N$14</f>
        <v>2019</v>
      </c>
      <c r="H69" s="22">
        <f t="shared" ref="H69" si="22">O$14</f>
        <v>2020</v>
      </c>
      <c r="I69" s="22">
        <f t="shared" ref="I69" si="23">P$14</f>
        <v>2021</v>
      </c>
      <c r="J69" s="22">
        <f t="shared" ref="J69" si="24">Q$14</f>
        <v>2022</v>
      </c>
      <c r="K69" s="22" t="s">
        <v>2</v>
      </c>
    </row>
    <row r="70" spans="1:11" ht="33.75" customHeight="1" thickBot="1">
      <c r="A70" s="3" t="s">
        <v>131</v>
      </c>
      <c r="E70" s="20" t="s">
        <v>133</v>
      </c>
      <c r="F70" s="47">
        <f>Calc│Forecast!E31/1000</f>
        <v>0</v>
      </c>
      <c r="G70" s="47">
        <f>Calc│Forecast!F31/1000</f>
        <v>0</v>
      </c>
      <c r="H70" s="47">
        <f>Calc│Forecast!G31/1000</f>
        <v>0</v>
      </c>
      <c r="I70" s="47">
        <f>Calc│Forecast!H31/1000</f>
        <v>781.60228857715435</v>
      </c>
      <c r="J70" s="47">
        <f>Calc│Forecast!I31/1000</f>
        <v>971.16520040080172</v>
      </c>
      <c r="K70" s="47">
        <f>SUM(F70:J70)</f>
        <v>1752.767488977956</v>
      </c>
    </row>
    <row r="71" spans="1:11" ht="33.75" customHeight="1" thickBot="1">
      <c r="E71" s="20"/>
      <c r="F71" s="47"/>
      <c r="G71" s="47"/>
      <c r="H71" s="47"/>
      <c r="I71" s="47"/>
      <c r="J71" s="47"/>
      <c r="K71" s="47"/>
    </row>
    <row r="72" spans="1:11" ht="18">
      <c r="E72" s="9" t="s">
        <v>81</v>
      </c>
    </row>
    <row r="73" spans="1:11" ht="14.25" thickBot="1"/>
    <row r="74" spans="1:11" ht="18.75" thickBot="1">
      <c r="E74" s="19"/>
      <c r="F74" s="22">
        <f>F60</f>
        <v>2018</v>
      </c>
      <c r="G74" s="22">
        <f t="shared" ref="G74:J74" si="25">G60</f>
        <v>2019</v>
      </c>
      <c r="H74" s="22">
        <f t="shared" si="25"/>
        <v>2020</v>
      </c>
      <c r="I74" s="22">
        <f t="shared" si="25"/>
        <v>2021</v>
      </c>
      <c r="J74" s="22">
        <f t="shared" si="25"/>
        <v>2022</v>
      </c>
      <c r="K74" s="22" t="s">
        <v>2</v>
      </c>
    </row>
    <row r="75" spans="1:11" ht="18.75" thickBot="1">
      <c r="E75" s="20" t="s">
        <v>79</v>
      </c>
      <c r="F75" s="45">
        <f>M19</f>
        <v>25.894298967035375</v>
      </c>
      <c r="G75" s="45">
        <f t="shared" ref="G75:J75" si="26">N19</f>
        <v>25.993235425302466</v>
      </c>
      <c r="H75" s="45">
        <f t="shared" si="26"/>
        <v>25.998281390529215</v>
      </c>
      <c r="I75" s="45">
        <f t="shared" si="26"/>
        <v>27.005005872975868</v>
      </c>
      <c r="J75" s="45">
        <f t="shared" si="26"/>
        <v>27.19808086250298</v>
      </c>
      <c r="K75" s="45">
        <f>SUM(F75:J75)</f>
        <v>132.08890251834592</v>
      </c>
    </row>
    <row r="77" spans="1:11" ht="18">
      <c r="E77" s="9" t="s">
        <v>188</v>
      </c>
    </row>
    <row r="78" spans="1:11" ht="14.25" thickBot="1"/>
    <row r="79" spans="1:11" ht="18.75" thickBot="1">
      <c r="E79" s="19"/>
      <c r="F79" s="22">
        <f>F74</f>
        <v>2018</v>
      </c>
      <c r="G79" s="22">
        <f t="shared" ref="G79:J79" si="27">G74</f>
        <v>2019</v>
      </c>
      <c r="H79" s="22">
        <f t="shared" si="27"/>
        <v>2020</v>
      </c>
      <c r="I79" s="22">
        <f t="shared" si="27"/>
        <v>2021</v>
      </c>
      <c r="J79" s="22">
        <f t="shared" si="27"/>
        <v>2022</v>
      </c>
      <c r="K79" s="22" t="s">
        <v>2</v>
      </c>
    </row>
    <row r="80" spans="1:11" ht="18.75" thickBot="1">
      <c r="E80" s="20" t="s">
        <v>121</v>
      </c>
      <c r="F80" s="45">
        <f>M19-F82</f>
        <v>25.653631863929309</v>
      </c>
      <c r="G80" s="45">
        <f t="shared" ref="G80:J80" si="28">N19-G82</f>
        <v>25.74411970678646</v>
      </c>
      <c r="H80" s="45">
        <f t="shared" si="28"/>
        <v>25.744119706786453</v>
      </c>
      <c r="I80" s="45">
        <f t="shared" si="28"/>
        <v>26.746470395363612</v>
      </c>
      <c r="J80" s="45">
        <f t="shared" si="28"/>
        <v>26.936033307187259</v>
      </c>
      <c r="K80" s="45">
        <f t="shared" ref="K80:K84" si="29">SUM(F80:J80)</f>
        <v>130.82437498005311</v>
      </c>
    </row>
    <row r="81" spans="5:19" ht="18.75" thickBot="1">
      <c r="E81" s="20" t="s">
        <v>23</v>
      </c>
      <c r="F81" s="45">
        <f>Outputs│PTRM!G24</f>
        <v>5.9856454946827439E-2</v>
      </c>
      <c r="G81" s="45">
        <f>Outputs│PTRM!H24</f>
        <v>6.1742208103952909E-2</v>
      </c>
      <c r="H81" s="45">
        <f>Outputs│PTRM!I24</f>
        <v>6.3943899697918638E-2</v>
      </c>
      <c r="I81" s="45">
        <f>Outputs│PTRM!J24</f>
        <v>6.589285132531647E-2</v>
      </c>
      <c r="J81" s="45">
        <f>Outputs│PTRM!K24</f>
        <v>6.4212743936782932E-2</v>
      </c>
      <c r="K81" s="45">
        <f t="shared" si="29"/>
        <v>0.31564815801079843</v>
      </c>
    </row>
    <row r="82" spans="5:19" ht="18.75" thickBot="1">
      <c r="E82" s="20" t="str">
        <f>Outputs│PTRM!E16</f>
        <v>Allowances</v>
      </c>
      <c r="F82" s="45">
        <f>Outputs│PTRM!G16</f>
        <v>0.24066710310606573</v>
      </c>
      <c r="G82" s="45">
        <f>Outputs│PTRM!H16</f>
        <v>0.24911571851600642</v>
      </c>
      <c r="H82" s="45">
        <f>Outputs│PTRM!I16</f>
        <v>0.25416168374276105</v>
      </c>
      <c r="I82" s="45">
        <f>Outputs│PTRM!J16</f>
        <v>0.25853547761225426</v>
      </c>
      <c r="J82" s="45">
        <f>Outputs│PTRM!K16</f>
        <v>0.26204755531571994</v>
      </c>
      <c r="K82" s="45">
        <f t="shared" si="29"/>
        <v>1.2645275382928074</v>
      </c>
    </row>
    <row r="83" spans="5:19" ht="18.75" thickBot="1">
      <c r="E83" s="20" t="s">
        <v>122</v>
      </c>
      <c r="F83" s="45">
        <v>6.78945696611272</v>
      </c>
      <c r="G83" s="45">
        <v>4.0042306355670902</v>
      </c>
      <c r="H83" s="45">
        <v>3.2726603260063571</v>
      </c>
      <c r="I83" s="45">
        <v>2.1416607643563168</v>
      </c>
      <c r="J83" s="45">
        <v>0</v>
      </c>
      <c r="K83" s="45">
        <f t="shared" si="29"/>
        <v>16.208008692042483</v>
      </c>
    </row>
    <row r="84" spans="5:19" ht="18.75" thickBot="1">
      <c r="E84" s="20" t="s">
        <v>2</v>
      </c>
      <c r="F84" s="45">
        <f>SUM(F80:F83)</f>
        <v>32.743612388094924</v>
      </c>
      <c r="G84" s="45">
        <f>SUM(G80:G83)</f>
        <v>30.05920826897351</v>
      </c>
      <c r="H84" s="45">
        <f>SUM(H80:H83)</f>
        <v>29.334885616233489</v>
      </c>
      <c r="I84" s="45">
        <f>SUM(I80:I83)</f>
        <v>29.212559488657501</v>
      </c>
      <c r="J84" s="45">
        <f>SUM(J80:J83)</f>
        <v>27.262293606439762</v>
      </c>
      <c r="K84" s="45">
        <f t="shared" si="29"/>
        <v>148.61255936839919</v>
      </c>
    </row>
    <row r="86" spans="5:19" ht="18">
      <c r="E86" s="9" t="s">
        <v>143</v>
      </c>
    </row>
    <row r="87" spans="5:19" ht="14.25" thickBot="1"/>
    <row r="88" spans="5:19" ht="18.75" thickBot="1">
      <c r="E88" s="19"/>
      <c r="F88" s="22">
        <f>F79</f>
        <v>2018</v>
      </c>
      <c r="G88" s="22">
        <f>G79</f>
        <v>2019</v>
      </c>
      <c r="H88" s="22">
        <f>H79</f>
        <v>2020</v>
      </c>
      <c r="I88" s="22">
        <f>I79</f>
        <v>2021</v>
      </c>
      <c r="J88" s="22">
        <f>J79</f>
        <v>2022</v>
      </c>
      <c r="K88" s="22" t="s">
        <v>2</v>
      </c>
    </row>
    <row r="89" spans="5:19" ht="18.75" thickBot="1">
      <c r="E89" s="68" t="s">
        <v>29</v>
      </c>
      <c r="F89" s="45">
        <f>F83</f>
        <v>6.78945696611272</v>
      </c>
      <c r="G89" s="45">
        <f>G83</f>
        <v>4.0042306355670902</v>
      </c>
      <c r="H89" s="45">
        <f>H83</f>
        <v>3.2726603260063571</v>
      </c>
      <c r="I89" s="45">
        <f>I83</f>
        <v>2.1416607643563168</v>
      </c>
      <c r="J89" s="45">
        <f>J83</f>
        <v>0</v>
      </c>
      <c r="K89" s="67">
        <f>SUM(F89:J89)</f>
        <v>16.208008692042483</v>
      </c>
    </row>
    <row r="92" spans="5:19" ht="23.25" thickBot="1">
      <c r="E92" s="34" t="s">
        <v>147</v>
      </c>
    </row>
    <row r="93" spans="5:19" ht="18.75" thickBot="1">
      <c r="E93" s="19"/>
      <c r="F93" s="22">
        <f>F88</f>
        <v>2018</v>
      </c>
      <c r="G93" s="22">
        <f t="shared" ref="G93:J93" si="30">G88</f>
        <v>2019</v>
      </c>
      <c r="H93" s="22">
        <f t="shared" si="30"/>
        <v>2020</v>
      </c>
      <c r="I93" s="22">
        <f t="shared" si="30"/>
        <v>2021</v>
      </c>
      <c r="J93" s="22">
        <f t="shared" si="30"/>
        <v>2022</v>
      </c>
      <c r="K93" s="22" t="s">
        <v>2</v>
      </c>
    </row>
    <row r="94" spans="5:19" ht="18.75" thickBot="1">
      <c r="E94" s="68" t="s">
        <v>145</v>
      </c>
      <c r="F94" s="67">
        <f>F89</f>
        <v>6.78945696611272</v>
      </c>
      <c r="G94" s="67">
        <f t="shared" ref="G94:J94" si="31">G89</f>
        <v>4.0042306355670902</v>
      </c>
      <c r="H94" s="67">
        <f t="shared" si="31"/>
        <v>3.2726603260063571</v>
      </c>
      <c r="I94" s="67">
        <f t="shared" si="31"/>
        <v>2.1416607643563168</v>
      </c>
      <c r="J94" s="67">
        <f t="shared" si="31"/>
        <v>0</v>
      </c>
      <c r="K94" s="67">
        <f>SUM(F94:J94)</f>
        <v>16.208008692042483</v>
      </c>
    </row>
    <row r="95" spans="5:19" ht="18.75" thickBot="1">
      <c r="E95" s="68" t="s">
        <v>146</v>
      </c>
      <c r="F95" s="67">
        <f>F94*1.02^(F93-2017)</f>
        <v>6.9252461054349741</v>
      </c>
      <c r="G95" s="67">
        <f t="shared" ref="G95:J95" si="32">G94*1.02^(G93-2017)</f>
        <v>4.1660015532440005</v>
      </c>
      <c r="H95" s="67">
        <f t="shared" si="32"/>
        <v>3.4729733192405541</v>
      </c>
      <c r="I95" s="67">
        <f t="shared" si="32"/>
        <v>2.3182024871494589</v>
      </c>
      <c r="J95" s="67">
        <f t="shared" si="32"/>
        <v>0</v>
      </c>
      <c r="K95" s="67">
        <f>SUM(F95:J95)</f>
        <v>16.882423465068985</v>
      </c>
    </row>
    <row r="96" spans="5:19" ht="18">
      <c r="E96" s="94"/>
      <c r="F96"/>
      <c r="G96"/>
      <c r="H96"/>
      <c r="I96"/>
      <c r="J96"/>
      <c r="K96"/>
      <c r="O96" s="2">
        <f>F99</f>
        <v>2018</v>
      </c>
      <c r="P96" s="2">
        <f t="shared" ref="P96:S96" si="33">G99</f>
        <v>2019</v>
      </c>
      <c r="Q96" s="2">
        <f t="shared" si="33"/>
        <v>2020</v>
      </c>
      <c r="R96" s="2">
        <f t="shared" si="33"/>
        <v>2021</v>
      </c>
      <c r="S96" s="2">
        <f t="shared" si="33"/>
        <v>2022</v>
      </c>
    </row>
    <row r="97" spans="5:19" ht="18">
      <c r="E97" s="9" t="s">
        <v>192</v>
      </c>
      <c r="F97"/>
      <c r="G97"/>
      <c r="H97"/>
      <c r="I97"/>
      <c r="J97"/>
      <c r="K97"/>
      <c r="N97" s="97" t="s">
        <v>202</v>
      </c>
      <c r="O97" s="30">
        <f>Calc│Forecast!E41/1000000</f>
        <v>25.894298967035379</v>
      </c>
      <c r="P97" s="30">
        <f>Calc│Forecast!F41/1000000</f>
        <v>25.993235425302466</v>
      </c>
      <c r="Q97" s="30">
        <f>Calc│Forecast!G41/1000000</f>
        <v>25.998281390529218</v>
      </c>
      <c r="R97" s="30">
        <f>Calc│Forecast!H41/1000000</f>
        <v>27.005005872975868</v>
      </c>
      <c r="S97" s="30">
        <f>Calc│Forecast!I41/1000000</f>
        <v>27.19808086250298</v>
      </c>
    </row>
    <row r="98" spans="5:19" ht="14.25" thickBot="1">
      <c r="N98" s="97" t="s">
        <v>28</v>
      </c>
      <c r="O98" s="30">
        <f>Calc│Forecast!E30/1000000</f>
        <v>0.24066710310606573</v>
      </c>
      <c r="P98" s="30">
        <f>Calc│Forecast!F30/1000000</f>
        <v>0.24911571851600642</v>
      </c>
      <c r="Q98" s="30">
        <f>Calc│Forecast!G30/1000000</f>
        <v>0.25416168374276105</v>
      </c>
      <c r="R98" s="30">
        <f>Calc│Forecast!H30/1000000</f>
        <v>0.25853547761225426</v>
      </c>
      <c r="S98" s="30">
        <f>Calc│Forecast!I30/1000000</f>
        <v>0.26204755531571994</v>
      </c>
    </row>
    <row r="99" spans="5:19" ht="18.75" thickBot="1">
      <c r="E99" s="19"/>
      <c r="F99" s="22">
        <f>F93</f>
        <v>2018</v>
      </c>
      <c r="G99" s="22">
        <f>G93</f>
        <v>2019</v>
      </c>
      <c r="H99" s="22">
        <f>H93</f>
        <v>2020</v>
      </c>
      <c r="I99" s="22">
        <f>I93</f>
        <v>2021</v>
      </c>
      <c r="J99" s="22">
        <f>J93</f>
        <v>2022</v>
      </c>
      <c r="K99" s="22" t="s">
        <v>2</v>
      </c>
      <c r="L99" s="2"/>
      <c r="N99" s="97" t="s">
        <v>203</v>
      </c>
      <c r="O99" s="30">
        <f>Calc│Forecast!E29/1000000</f>
        <v>0.27883485000000002</v>
      </c>
      <c r="P99" s="30">
        <f>Calc│Forecast!F29/1000000</f>
        <v>0.36932269285714286</v>
      </c>
      <c r="Q99" s="30">
        <f>Calc│Forecast!G29/1000000</f>
        <v>0.36932269285714286</v>
      </c>
      <c r="R99" s="30">
        <f>Calc│Forecast!H29/1000000</f>
        <v>0.59007109285714288</v>
      </c>
      <c r="S99" s="30">
        <f>Calc│Forecast!I29/1000000</f>
        <v>0.59007109285714288</v>
      </c>
    </row>
    <row r="100" spans="5:19" ht="18.75" thickBot="1">
      <c r="E100" s="68" t="s">
        <v>148</v>
      </c>
      <c r="F100" s="67">
        <f>O102</f>
        <v>25.314940558982485</v>
      </c>
      <c r="G100" s="67">
        <f t="shared" ref="G100:J100" si="34">P102</f>
        <v>25.313054805825363</v>
      </c>
      <c r="H100" s="67">
        <f t="shared" si="34"/>
        <v>25.310853114231396</v>
      </c>
      <c r="I100" s="67">
        <f t="shared" si="34"/>
        <v>25.308904162604001</v>
      </c>
      <c r="J100" s="67">
        <f t="shared" si="34"/>
        <v>25.310584269992532</v>
      </c>
      <c r="K100" s="67">
        <f>SUM(F100:J100)</f>
        <v>126.55833691163578</v>
      </c>
      <c r="L100" s="2"/>
      <c r="M100" s="2"/>
      <c r="N100" s="97" t="s">
        <v>204</v>
      </c>
      <c r="O100" s="30">
        <f>Outputs│PTRM!G24</f>
        <v>5.9856454946827439E-2</v>
      </c>
      <c r="P100" s="30">
        <f>Outputs│PTRM!H24</f>
        <v>6.1742208103952909E-2</v>
      </c>
      <c r="Q100" s="30">
        <f>Outputs│PTRM!I24</f>
        <v>6.3943899697918638E-2</v>
      </c>
      <c r="R100" s="30">
        <f>Outputs│PTRM!J24</f>
        <v>6.589285132531647E-2</v>
      </c>
      <c r="S100" s="30">
        <f>Outputs│PTRM!K24</f>
        <v>6.4212743936782932E-2</v>
      </c>
    </row>
    <row r="101" spans="5:19">
      <c r="K101" s="2"/>
      <c r="L101" s="2"/>
      <c r="M101" s="2"/>
      <c r="N101" s="2" t="s">
        <v>205</v>
      </c>
      <c r="O101" s="98">
        <f>Calc│Forecast!E31/1000000</f>
        <v>0</v>
      </c>
      <c r="P101" s="98">
        <f>Calc│Forecast!F31/1000000</f>
        <v>0</v>
      </c>
      <c r="Q101" s="98">
        <f>Calc│Forecast!G31/1000000</f>
        <v>0</v>
      </c>
      <c r="R101" s="98">
        <f>Calc│Forecast!H31/1000000</f>
        <v>0.78160228857715441</v>
      </c>
      <c r="S101" s="98">
        <f>Calc│Forecast!I31/1000000</f>
        <v>0.97116520040080168</v>
      </c>
    </row>
    <row r="102" spans="5:19" ht="18">
      <c r="E102" s="9" t="s">
        <v>193</v>
      </c>
      <c r="O102" s="30">
        <f>O97-SUM(O98:O101)</f>
        <v>25.314940558982485</v>
      </c>
      <c r="P102" s="30">
        <f t="shared" ref="P102:S102" si="35">P97-SUM(P98:P101)</f>
        <v>25.313054805825363</v>
      </c>
      <c r="Q102" s="30">
        <f t="shared" si="35"/>
        <v>25.310853114231396</v>
      </c>
      <c r="R102" s="30">
        <f t="shared" si="35"/>
        <v>25.308904162604001</v>
      </c>
      <c r="S102" s="30">
        <f t="shared" si="35"/>
        <v>25.310584269992532</v>
      </c>
    </row>
    <row r="103" spans="5:19" ht="14.25" thickBot="1"/>
    <row r="104" spans="5:19" ht="18.75" thickBot="1">
      <c r="E104" s="19" t="s">
        <v>149</v>
      </c>
      <c r="F104" s="22">
        <v>2018</v>
      </c>
      <c r="G104" s="22">
        <v>2019</v>
      </c>
      <c r="H104" s="22">
        <v>2020</v>
      </c>
      <c r="I104" s="22">
        <v>2021</v>
      </c>
      <c r="J104" s="22">
        <v>2022</v>
      </c>
    </row>
    <row r="105" spans="5:19" ht="18.75" thickBot="1">
      <c r="E105" s="68" t="s">
        <v>92</v>
      </c>
      <c r="F105" s="45">
        <f>Calc│Forecast!E59/1000000</f>
        <v>11.516391449986619</v>
      </c>
      <c r="G105" s="45">
        <f>Calc│Forecast!F59/1000000</f>
        <v>11.55873601058288</v>
      </c>
      <c r="H105" s="45">
        <f>Calc│Forecast!G59/1000000</f>
        <v>11.558790157019475</v>
      </c>
      <c r="I105" s="45">
        <f>Calc│Forecast!H59/1000000</f>
        <v>12.006905221243768</v>
      </c>
      <c r="J105" s="45">
        <f>Calc│Forecast!I59/1000000</f>
        <v>12.094901005525259</v>
      </c>
    </row>
    <row r="106" spans="5:19" ht="18.75" thickBot="1">
      <c r="E106" s="68" t="s">
        <v>150</v>
      </c>
      <c r="F106" s="45">
        <f>Calc│Forecast!E60/1000000</f>
        <v>2.0031341005475127</v>
      </c>
      <c r="G106" s="45">
        <f>Calc│Forecast!F60/1000000</f>
        <v>2.0107876382468532</v>
      </c>
      <c r="H106" s="45">
        <f>Calc│Forecast!G60/1000000</f>
        <v>2.011177984594084</v>
      </c>
      <c r="I106" s="45">
        <f>Calc│Forecast!H60/1000000</f>
        <v>2.0890562906726595</v>
      </c>
      <c r="J106" s="45">
        <f>Calc│Forecast!I60/1000000</f>
        <v>2.1039922074926891</v>
      </c>
    </row>
    <row r="107" spans="5:19" ht="18.75" thickBot="1">
      <c r="E107" s="68" t="s">
        <v>151</v>
      </c>
      <c r="F107" s="45">
        <f>Calc│Forecast!E61/1000000</f>
        <v>0.67916618406981455</v>
      </c>
      <c r="G107" s="45">
        <f>Calc│Forecast!F61/1000000</f>
        <v>0.68176112965657032</v>
      </c>
      <c r="H107" s="45">
        <f>Calc│Forecast!G61/1000000</f>
        <v>0.68189347728074667</v>
      </c>
      <c r="I107" s="45">
        <f>Calc│Forecast!H61/1000000</f>
        <v>0.7082982556461842</v>
      </c>
      <c r="J107" s="45">
        <f>Calc│Forecast!I61/1000000</f>
        <v>0.71336230484262642</v>
      </c>
    </row>
    <row r="108" spans="5:19" ht="18.75" thickBot="1">
      <c r="E108" s="68" t="s">
        <v>95</v>
      </c>
      <c r="F108" s="45">
        <f>Calc│Forecast!E62/1000000</f>
        <v>4.6497553906956322</v>
      </c>
      <c r="G108" s="45">
        <f>Calc│Forecast!F62/1000000</f>
        <v>4.6675210900393127</v>
      </c>
      <c r="H108" s="45">
        <f>Calc│Forecast!G62/1000000</f>
        <v>4.668427177670579</v>
      </c>
      <c r="I108" s="45">
        <f>Calc│Forecast!H62/1000000</f>
        <v>4.8492014320792709</v>
      </c>
      <c r="J108" s="45">
        <f>Calc│Forecast!I62/1000000</f>
        <v>4.8838712825550488</v>
      </c>
    </row>
    <row r="109" spans="5:19" ht="18.75" thickBot="1">
      <c r="E109" s="68" t="s">
        <v>152</v>
      </c>
      <c r="F109" s="45">
        <f>Calc│Forecast!E63/1000000</f>
        <v>6.9859953867889732</v>
      </c>
      <c r="G109" s="45">
        <f>Calc│Forecast!F63/1000000</f>
        <v>7.0126873486729009</v>
      </c>
      <c r="H109" s="45">
        <f>Calc│Forecast!G63/1000000</f>
        <v>7.0140486942664184</v>
      </c>
      <c r="I109" s="45">
        <f>Calc│Forecast!H63/1000000</f>
        <v>7.2856518220086715</v>
      </c>
      <c r="J109" s="45">
        <f>Calc│Forecast!I63/1000000</f>
        <v>7.3377413181505773</v>
      </c>
    </row>
    <row r="110" spans="5:19" ht="18.75" thickBot="1">
      <c r="E110" s="68" t="s">
        <v>23</v>
      </c>
      <c r="F110" s="45">
        <f>Calc│Forecast!E64/1000000</f>
        <v>5.9856454946827439E-2</v>
      </c>
      <c r="G110" s="45">
        <f>Calc│Forecast!F64/1000000</f>
        <v>6.1742208103952909E-2</v>
      </c>
      <c r="H110" s="45">
        <f>Calc│Forecast!G64/1000000</f>
        <v>6.3943899697918638E-2</v>
      </c>
      <c r="I110" s="45">
        <f>Calc│Forecast!H64/1000000</f>
        <v>6.589285132531647E-2</v>
      </c>
      <c r="J110" s="45">
        <f>Calc│Forecast!I64/1000000</f>
        <v>6.4212743936782932E-2</v>
      </c>
    </row>
    <row r="111" spans="5:19" ht="18.75" thickBot="1">
      <c r="E111" s="91" t="s">
        <v>153</v>
      </c>
      <c r="F111" s="101">
        <f>SUM(F105:F110)</f>
        <v>25.894298967035379</v>
      </c>
      <c r="G111" s="101">
        <f t="shared" ref="G111:J111" si="36">SUM(G105:G110)</f>
        <v>25.993235425302473</v>
      </c>
      <c r="H111" s="101">
        <f t="shared" si="36"/>
        <v>25.998281390529222</v>
      </c>
      <c r="I111" s="101">
        <f t="shared" si="36"/>
        <v>27.005005872975868</v>
      </c>
      <c r="J111" s="101">
        <f t="shared" si="36"/>
        <v>27.19808086250298</v>
      </c>
      <c r="L111" s="89" t="s">
        <v>189</v>
      </c>
      <c r="M111" s="93">
        <f>SUM(F111:J111)-K84</f>
        <v>-16.523656850053271</v>
      </c>
    </row>
    <row r="114" spans="5:10" ht="18.75" thickBot="1">
      <c r="E114" s="9" t="s">
        <v>176</v>
      </c>
    </row>
    <row r="115" spans="5:10" ht="14.25" thickBot="1">
      <c r="E115" s="69" t="s">
        <v>149</v>
      </c>
      <c r="F115" s="70">
        <f>F104</f>
        <v>2018</v>
      </c>
      <c r="G115" s="70">
        <f t="shared" ref="G115:J115" si="37">G104</f>
        <v>2019</v>
      </c>
      <c r="H115" s="70">
        <f t="shared" si="37"/>
        <v>2020</v>
      </c>
      <c r="I115" s="70">
        <f t="shared" si="37"/>
        <v>2021</v>
      </c>
      <c r="J115" s="70">
        <f t="shared" si="37"/>
        <v>2022</v>
      </c>
    </row>
    <row r="116" spans="5:10" ht="18.75" thickBot="1">
      <c r="E116" s="20" t="s">
        <v>200</v>
      </c>
      <c r="F116" s="47">
        <f>'Input│ Historic Opex'!D90</f>
        <v>52529.186063496592</v>
      </c>
      <c r="G116" s="47">
        <f>'Input│ Historic Opex'!E90</f>
        <v>54373.222432073766</v>
      </c>
      <c r="H116" s="47">
        <f>'Input│ Historic Opex'!F90</f>
        <v>55474.579629818028</v>
      </c>
      <c r="I116" s="47">
        <f>'Input│ Historic Opex'!G90</f>
        <v>56429.225399882976</v>
      </c>
      <c r="J116" s="47">
        <f>'Input│ Historic Opex'!H90</f>
        <v>57195.788759701623</v>
      </c>
    </row>
    <row r="118" spans="5:10" ht="18.75" thickBot="1">
      <c r="E118" s="9" t="s">
        <v>33</v>
      </c>
    </row>
    <row r="119" spans="5:10" ht="14.25" thickBot="1">
      <c r="E119" s="69" t="s">
        <v>149</v>
      </c>
      <c r="F119" s="70">
        <f>F115</f>
        <v>2018</v>
      </c>
      <c r="G119" s="70">
        <f>G115</f>
        <v>2019</v>
      </c>
      <c r="H119" s="70">
        <f>H115</f>
        <v>2020</v>
      </c>
      <c r="I119" s="70">
        <f>I115</f>
        <v>2021</v>
      </c>
      <c r="J119" s="70">
        <f>J115</f>
        <v>2022</v>
      </c>
    </row>
    <row r="120" spans="5:10" ht="18.75" thickBot="1">
      <c r="E120" s="20" t="s">
        <v>201</v>
      </c>
      <c r="F120" s="47">
        <f>'Input│ Historic Opex'!D81</f>
        <v>188137.91704256914</v>
      </c>
      <c r="G120" s="47">
        <f>'Input│ Historic Opex'!E81</f>
        <v>194742.49608393267</v>
      </c>
      <c r="H120" s="47">
        <f>'Input│ Historic Opex'!F81</f>
        <v>198687.10411294299</v>
      </c>
      <c r="I120" s="47">
        <f>'Input│ Historic Opex'!G81</f>
        <v>202106.25221237127</v>
      </c>
      <c r="J120" s="47">
        <f>'Input│ Historic Opex'!H81</f>
        <v>204851.76655601832</v>
      </c>
    </row>
    <row r="122" spans="5:10" ht="18">
      <c r="E122" s="9" t="s">
        <v>198</v>
      </c>
    </row>
    <row r="123" spans="5:10" ht="18.75" thickBot="1">
      <c r="E123" s="9"/>
    </row>
    <row r="124" spans="5:10" ht="14.25" thickBot="1">
      <c r="E124" s="69"/>
      <c r="F124" s="70"/>
      <c r="G124" s="70"/>
      <c r="H124" s="70"/>
      <c r="I124" s="70" t="e">
        <f>#REF!</f>
        <v>#REF!</v>
      </c>
      <c r="J124" s="70" t="e">
        <f>#REF!</f>
        <v>#REF!</v>
      </c>
    </row>
    <row r="125" spans="5:10" ht="18.75" thickBot="1">
      <c r="E125" s="20" t="s">
        <v>194</v>
      </c>
      <c r="F125" s="47"/>
      <c r="G125" s="47"/>
      <c r="H125" s="47"/>
      <c r="I125" s="47">
        <f>'Input│ Historic Opex'!G277/'Input│ Historic Opex'!$H$22</f>
        <v>33520.942196648066</v>
      </c>
      <c r="J125" s="47">
        <f>'Input│ Historic Opex'!H277/'Input│ Historic Opex'!$H$22</f>
        <v>33520.942196648066</v>
      </c>
    </row>
    <row r="126" spans="5:10" ht="18.75" thickBot="1">
      <c r="E126" s="20" t="s">
        <v>195</v>
      </c>
      <c r="F126" s="47"/>
      <c r="G126" s="47"/>
      <c r="H126" s="47"/>
      <c r="I126" s="47">
        <f>'Input│ Historic Opex'!G278/'Input│ Historic Opex'!$H$22</f>
        <v>161785.10296298892</v>
      </c>
      <c r="J126" s="47">
        <f>'Input│ Historic Opex'!H278/'Input│ Historic Opex'!$H$22</f>
        <v>161785.10296298892</v>
      </c>
    </row>
    <row r="127" spans="5:10" ht="18.75" thickBot="1">
      <c r="E127" s="20" t="s">
        <v>196</v>
      </c>
      <c r="F127" s="47"/>
      <c r="G127" s="47"/>
      <c r="H127" s="47"/>
      <c r="I127" s="47">
        <f>'Input│ Historic Opex'!G279/'Input│ Historic Opex'!$H$22</f>
        <v>4655.6864162011298</v>
      </c>
      <c r="J127" s="47">
        <f>'Input│ Historic Opex'!H279/'Input│ Historic Opex'!$H$22</f>
        <v>4655.6864162011298</v>
      </c>
    </row>
    <row r="128" spans="5:10" ht="18.75" thickBot="1">
      <c r="E128" s="46" t="s">
        <v>2</v>
      </c>
      <c r="F128" s="48"/>
      <c r="G128" s="48"/>
      <c r="H128" s="48"/>
      <c r="I128" s="48">
        <f>SUM(I125:I127)</f>
        <v>199961.73157583812</v>
      </c>
      <c r="J128" s="48">
        <f>SUM(J125:J127)</f>
        <v>199961.73157583812</v>
      </c>
    </row>
    <row r="131" spans="5:10">
      <c r="E131" s="3" t="s">
        <v>213</v>
      </c>
    </row>
    <row r="132" spans="5:10" ht="14.25" thickBot="1"/>
    <row r="133" spans="5:10" ht="14.25" thickBot="1">
      <c r="E133" s="69"/>
      <c r="F133" s="99" t="s">
        <v>206</v>
      </c>
      <c r="G133" s="99">
        <v>2014</v>
      </c>
      <c r="H133" s="99">
        <v>2015</v>
      </c>
      <c r="I133" s="99" t="s">
        <v>207</v>
      </c>
      <c r="J133" s="99" t="s">
        <v>208</v>
      </c>
    </row>
    <row r="134" spans="5:10" ht="18.75" thickBot="1">
      <c r="E134" s="20" t="s">
        <v>209</v>
      </c>
      <c r="F134" s="45">
        <f>'Input│ Historic Opex'!D29/1000000</f>
        <v>14.534359481399999</v>
      </c>
      <c r="G134" s="45">
        <f>'Input│ Historic Opex'!E29/1000000</f>
        <v>15.09071079525572</v>
      </c>
      <c r="H134" s="45">
        <f>'Input│ Historic Opex'!F29/1000000</f>
        <v>14.99881179421576</v>
      </c>
      <c r="I134" s="45">
        <f>'Input│ Historic Opex'!G29/1000000</f>
        <v>16.979664051985239</v>
      </c>
      <c r="J134" s="45">
        <f>'Input│ Historic Opex'!H29/1000000</f>
        <v>17.750872724939995</v>
      </c>
    </row>
    <row r="135" spans="5:10" ht="18.75" thickBot="1">
      <c r="E135" s="20" t="s">
        <v>210</v>
      </c>
      <c r="F135" s="45">
        <f>'Input│ Historic Opex'!D30/1000000</f>
        <v>0.43202169999999995</v>
      </c>
      <c r="G135" s="45">
        <f>'Input│ Historic Opex'!E30/1000000</f>
        <v>0.35428220610687022</v>
      </c>
      <c r="H135" s="45">
        <f>'Input│ Historic Opex'!F30/1000000</f>
        <v>0.46737246810506577</v>
      </c>
      <c r="I135" s="45">
        <f>'Input│ Historic Opex'!G30/1000000</f>
        <v>0.3184368487084871</v>
      </c>
      <c r="J135" s="45">
        <f>'Input│ Historic Opex'!H30/1000000</f>
        <v>0.30293285999999997</v>
      </c>
    </row>
    <row r="136" spans="5:10" ht="18.75" thickBot="1">
      <c r="E136" s="20" t="s">
        <v>211</v>
      </c>
      <c r="F136" s="45">
        <f>'Input│ Historic Opex'!D31/1000000</f>
        <v>1.0902859857999998</v>
      </c>
      <c r="G136" s="45">
        <f>'Input│ Historic Opex'!E31/1000000</f>
        <v>1.299338140385496</v>
      </c>
      <c r="H136" s="45">
        <f>'Input│ Historic Opex'!F31/1000000</f>
        <v>0.89072065698123837</v>
      </c>
      <c r="I136" s="45">
        <f>'Input│ Historic Opex'!G31/1000000</f>
        <v>0.88482687357011081</v>
      </c>
      <c r="J136" s="45">
        <f>'Input│ Historic Opex'!H31/1000000</f>
        <v>0.66134739294</v>
      </c>
    </row>
    <row r="137" spans="5:10" ht="18.75" thickBot="1">
      <c r="E137" s="20" t="s">
        <v>212</v>
      </c>
      <c r="F137" s="45">
        <f>'Input│ Historic Opex'!D32/1000000</f>
        <v>13.322240799999999</v>
      </c>
      <c r="G137" s="45">
        <f>'Input│ Historic Opex'!E32/1000000</f>
        <v>8.632856427480915</v>
      </c>
      <c r="H137" s="45">
        <f>'Input│ Historic Opex'!F32/1000000</f>
        <v>9.3894951543151972</v>
      </c>
      <c r="I137" s="45">
        <f>'Input│ Historic Opex'!G32/1000000</f>
        <v>7.7921699526947474</v>
      </c>
      <c r="J137" s="45">
        <f>'Input│ Historic Opex'!H32/1000000</f>
        <v>6.4997760270326141</v>
      </c>
    </row>
    <row r="138" spans="5:10" ht="18.75" thickBot="1">
      <c r="E138" s="20" t="s">
        <v>28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</row>
    <row r="139" spans="5:10" ht="18.75" thickBot="1">
      <c r="E139" s="20" t="s">
        <v>37</v>
      </c>
      <c r="F139" s="45">
        <f>SUM(F134:F138)</f>
        <v>29.3789079672</v>
      </c>
      <c r="G139" s="45">
        <f t="shared" ref="G139:J139" si="38">SUM(G134:G138)</f>
        <v>25.377187569229001</v>
      </c>
      <c r="H139" s="45">
        <f t="shared" si="38"/>
        <v>25.746400073617259</v>
      </c>
      <c r="I139" s="45">
        <f t="shared" si="38"/>
        <v>25.975097726958587</v>
      </c>
      <c r="J139" s="45">
        <f t="shared" si="38"/>
        <v>25.214929004912609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102E"/>
  </sheetPr>
  <dimension ref="A1:S97"/>
  <sheetViews>
    <sheetView zoomScaleNormal="100" workbookViewId="0">
      <selection activeCell="G20" sqref="G20"/>
    </sheetView>
  </sheetViews>
  <sheetFormatPr defaultColWidth="9" defaultRowHeight="13.5"/>
  <cols>
    <col min="1" max="1" width="1.453125" style="3" customWidth="1"/>
    <col min="2" max="2" width="1.08984375" style="3" customWidth="1"/>
    <col min="3" max="4" width="1.1796875" style="3" customWidth="1"/>
    <col min="5" max="5" width="50.08984375" style="3" bestFit="1" customWidth="1"/>
    <col min="6" max="6" width="10.36328125" style="3" bestFit="1" customWidth="1"/>
    <col min="7" max="7" width="13.1796875" style="3" bestFit="1" customWidth="1"/>
    <col min="8" max="8" width="9" style="3"/>
    <col min="9" max="9" width="9" style="2"/>
    <col min="10" max="10" width="10.54296875" style="2" customWidth="1"/>
    <col min="11" max="12" width="9" style="2"/>
    <col min="13" max="13" width="9.90625" style="2" customWidth="1"/>
    <col min="14" max="16384" width="9" style="2"/>
  </cols>
  <sheetData>
    <row r="1" spans="1:19" s="3" customFormat="1"/>
    <row r="2" spans="1:19" s="3" customFormat="1"/>
    <row r="3" spans="1:19" s="3" customFormat="1"/>
    <row r="4" spans="1:19" s="3" customFormat="1"/>
    <row r="5" spans="1:19" s="3" customFormat="1"/>
    <row r="6" spans="1:19" s="3" customFormat="1"/>
    <row r="7" spans="1:19" s="3" customFormat="1"/>
    <row r="8" spans="1:19" s="3" customFormat="1"/>
    <row r="9" spans="1:19" s="3" customFormat="1"/>
    <row r="10" spans="1:19" s="4" customFormat="1" ht="22.5">
      <c r="A10" s="34" t="str">
        <f ca="1">RIGHT(CELL("filename",A1),LEN(CELL("filename",A1))-FIND("]",CELL("filename",A1)))</f>
        <v>Outputs│Graphs</v>
      </c>
      <c r="B10" s="3"/>
      <c r="C10" s="3"/>
      <c r="D10" s="3"/>
      <c r="E10" s="3"/>
      <c r="F10" s="3"/>
      <c r="G10" s="3"/>
      <c r="H10" s="3"/>
    </row>
    <row r="12" spans="1:19" ht="18">
      <c r="E12" s="35" t="s">
        <v>60</v>
      </c>
    </row>
    <row r="14" spans="1:19" ht="18">
      <c r="I14" s="9" t="s">
        <v>52</v>
      </c>
      <c r="J14" s="29">
        <f>Outputs│Tables!H14</f>
        <v>2013</v>
      </c>
      <c r="K14" s="29">
        <f>Outputs│Tables!I14</f>
        <v>2014</v>
      </c>
      <c r="L14" s="29">
        <f>Outputs│Tables!J14</f>
        <v>2015</v>
      </c>
      <c r="M14" s="29" t="str">
        <f>Outputs│Tables!K14</f>
        <v>2016(e)</v>
      </c>
      <c r="N14" s="29" t="str">
        <f>Outputs│Tables!L14</f>
        <v>2017(f)</v>
      </c>
      <c r="O14" s="29" t="str">
        <f>Outputs│Tables!M14 &amp; "(f)"</f>
        <v>2018(f)</v>
      </c>
      <c r="P14" s="41" t="str">
        <f>Outputs│Tables!N14 &amp; "(f)"</f>
        <v>2019(f)</v>
      </c>
      <c r="Q14" s="41" t="str">
        <f>Outputs│Tables!O14 &amp; "(f)"</f>
        <v>2020(f)</v>
      </c>
      <c r="R14" s="41" t="str">
        <f>Outputs│Tables!P14 &amp; "(f)"</f>
        <v>2021(f)</v>
      </c>
      <c r="S14" s="41" t="str">
        <f>Outputs│Tables!Q14 &amp; "(f)"</f>
        <v>2022(f)</v>
      </c>
    </row>
    <row r="15" spans="1:19">
      <c r="I15" s="2" t="s">
        <v>141</v>
      </c>
      <c r="J15" s="43">
        <f>Outputs│Tables!H19</f>
        <v>25.377187569229001</v>
      </c>
      <c r="K15" s="43">
        <f>Outputs│Tables!I19</f>
        <v>25.746400073617259</v>
      </c>
      <c r="L15" s="43">
        <f>Outputs│Tables!J19</f>
        <v>25.975097726958587</v>
      </c>
      <c r="M15" s="43">
        <f>Outputs│Tables!K19</f>
        <v>25.214929004912609</v>
      </c>
      <c r="N15" s="43">
        <f>Outputs│Tables!L19</f>
        <v>26.345962214330115</v>
      </c>
      <c r="O15" s="43">
        <f>Outputs│Tables!M19</f>
        <v>25.894298967035375</v>
      </c>
      <c r="P15" s="43">
        <f>Outputs│Tables!N19</f>
        <v>25.993235425302466</v>
      </c>
      <c r="Q15" s="43">
        <f>Outputs│Tables!O19</f>
        <v>25.998281390529215</v>
      </c>
      <c r="R15" s="43">
        <f>Outputs│Tables!P19</f>
        <v>27.005005872975868</v>
      </c>
      <c r="S15" s="43">
        <f>Outputs│Tables!Q19</f>
        <v>27.19808086250298</v>
      </c>
    </row>
    <row r="16" spans="1:19">
      <c r="I16" s="2" t="s">
        <v>138</v>
      </c>
      <c r="J16" s="43">
        <f>'Input│ Historic Opex'!E139*2</f>
        <v>32.839024390243907</v>
      </c>
      <c r="K16" s="43">
        <f>'Input│ Historic Opex'!F139</f>
        <v>32.142772159428908</v>
      </c>
      <c r="L16" s="43">
        <f>'Input│ Historic Opex'!G139</f>
        <v>33.095283005179837</v>
      </c>
      <c r="M16" s="43">
        <f>'Input│ Historic Opex'!H139</f>
        <v>34.181517828294751</v>
      </c>
      <c r="N16" s="43">
        <f>'Input│ Historic Opex'!I139</f>
        <v>34.125614044603452</v>
      </c>
    </row>
    <row r="17" spans="5:9">
      <c r="I17" s="2" t="s">
        <v>142</v>
      </c>
    </row>
    <row r="32" spans="5:9" ht="18">
      <c r="E32" s="9" t="s">
        <v>64</v>
      </c>
    </row>
    <row r="52" spans="5:5" ht="18">
      <c r="E52" s="9" t="s">
        <v>187</v>
      </c>
    </row>
    <row r="76" spans="5:5" ht="18">
      <c r="E76" s="9" t="s">
        <v>135</v>
      </c>
    </row>
    <row r="97" spans="5:5" ht="18">
      <c r="E97" s="9" t="s">
        <v>137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53A9E8C712F14FB14B79E55B59987D" ma:contentTypeVersion="0" ma:contentTypeDescription="Create a new document." ma:contentTypeScope="" ma:versionID="5cf30fe18a70647e22ffacd436d864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D86D35-DD55-4B52-9373-2B5A8EEE22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9B0AF5-4F26-4AC9-B80C-DE2A1550B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205781-583F-403B-83B5-F4ED377F9D95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Input│ Historic Opex</vt:lpstr>
      <vt:lpstr>Calc│Forecast</vt:lpstr>
      <vt:lpstr>Outputs│PTRM</vt:lpstr>
      <vt:lpstr>Outputs│Tables</vt:lpstr>
      <vt:lpstr>Outputs│Graphs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Allen, Mark</cp:lastModifiedBy>
  <cp:lastPrinted>2016-07-20T00:01:39Z</cp:lastPrinted>
  <dcterms:created xsi:type="dcterms:W3CDTF">2016-06-01T05:04:09Z</dcterms:created>
  <dcterms:modified xsi:type="dcterms:W3CDTF">2017-08-14T03:08:24Z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0x0101007A53A9E8C712F14FB14B79E55B59987D</vt:lpwstr>
  </property>
</Properties>
</file>