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9765" yWindow="150" windowWidth="14430" windowHeight="11745" tabRatio="897" activeTab="3"/>
  </bookViews>
  <sheets>
    <sheet name="Readme" sheetId="51" r:id="rId1"/>
    <sheet name="Cost Drivers" sheetId="13" r:id="rId2"/>
    <sheet name="Opex Modelling Results" sheetId="50" r:id="rId3"/>
    <sheet name="Efficiency Target Option" sheetId="22" r:id="rId4"/>
    <sheet name="Opex Forecasts" sheetId="30" r:id="rId5"/>
    <sheet name="Base Year Adjustment" sheetId="46" r:id="rId6"/>
    <sheet name="Opex model inputs" sheetId="52" r:id="rId7"/>
  </sheets>
  <definedNames>
    <definedName name="adjustment" localSheetId="5">#REF!</definedName>
    <definedName name="adjustment" localSheetId="4">#REF!</definedName>
    <definedName name="adjustment" localSheetId="2">#REF!</definedName>
    <definedName name="adjustment">#REF!</definedName>
    <definedName name="Option" localSheetId="5">#REF!</definedName>
    <definedName name="Option" localSheetId="4">#REF!</definedName>
    <definedName name="Option" localSheetId="2">#REF!</definedName>
    <definedName name="Option">#REF!</definedName>
    <definedName name="_xlnm.Print_Area" localSheetId="5">'Base Year Adjustment'!$A$1:$H$24</definedName>
  </definedNames>
  <calcPr calcId="145621"/>
</workbook>
</file>

<file path=xl/calcChain.xml><?xml version="1.0" encoding="utf-8"?>
<calcChain xmlns="http://schemas.openxmlformats.org/spreadsheetml/2006/main">
  <c r="C1" i="52" l="1"/>
  <c r="D1" i="52"/>
  <c r="E1" i="52"/>
  <c r="B1" i="52"/>
  <c r="AE9" i="13" l="1"/>
  <c r="AJ9" i="13"/>
  <c r="AH9" i="13"/>
  <c r="AF9" i="13"/>
  <c r="R9" i="13"/>
  <c r="P9" i="13"/>
  <c r="N9" i="13"/>
  <c r="AA9" i="13"/>
  <c r="Y9" i="13"/>
  <c r="W9" i="13"/>
  <c r="AK9" i="13"/>
  <c r="AI9" i="13"/>
  <c r="AG9" i="13"/>
  <c r="S9" i="13"/>
  <c r="Q9" i="13"/>
  <c r="O9" i="13"/>
  <c r="M9" i="13"/>
  <c r="AB9" i="13"/>
  <c r="Z9" i="13"/>
  <c r="X9" i="13"/>
  <c r="V9" i="13"/>
  <c r="B16" i="22"/>
  <c r="D9" i="13" l="1"/>
  <c r="E9" i="13"/>
  <c r="F9" i="13"/>
  <c r="G9" i="13"/>
  <c r="H9" i="13"/>
  <c r="I9" i="13"/>
  <c r="J9" i="13"/>
  <c r="B7" i="30" l="1"/>
  <c r="B8" i="30"/>
  <c r="B4" i="30"/>
  <c r="B5" i="30"/>
  <c r="B6" i="30"/>
  <c r="B18" i="22"/>
  <c r="B17" i="22"/>
  <c r="B15" i="22"/>
  <c r="B14" i="22"/>
  <c r="B13" i="22"/>
  <c r="B12" i="22"/>
  <c r="B11" i="22"/>
  <c r="B10" i="22"/>
  <c r="B9" i="22"/>
  <c r="B8" i="22"/>
  <c r="B7" i="22"/>
  <c r="B6" i="22"/>
  <c r="F19" i="22" l="1"/>
  <c r="J6" i="22" s="1"/>
  <c r="J7" i="22" l="1"/>
  <c r="J8" i="22"/>
  <c r="J9" i="22"/>
  <c r="K9" i="22" l="1"/>
  <c r="K8" i="22"/>
  <c r="K7" i="22"/>
  <c r="K6" i="22"/>
  <c r="C6" i="30"/>
  <c r="C4" i="30"/>
  <c r="M11" i="13"/>
  <c r="T11" i="13"/>
  <c r="AC11" i="13" s="1"/>
  <c r="N11" i="13"/>
  <c r="N13" i="13" s="1"/>
  <c r="O11" i="13"/>
  <c r="X11" i="13" s="1"/>
  <c r="P11" i="13"/>
  <c r="Q11" i="13"/>
  <c r="S11" i="13"/>
  <c r="AE7" i="13"/>
  <c r="V7" i="13"/>
  <c r="O13" i="13"/>
  <c r="M7" i="13"/>
  <c r="K13" i="13"/>
  <c r="D13" i="13"/>
  <c r="E13" i="13"/>
  <c r="F13" i="13"/>
  <c r="H13" i="13"/>
  <c r="I13" i="13"/>
  <c r="J13" i="13"/>
  <c r="D7" i="13"/>
  <c r="AG19" i="13"/>
  <c r="I12" i="13"/>
  <c r="F12" i="13"/>
  <c r="J12" i="13"/>
  <c r="C5" i="30"/>
  <c r="H20" i="30"/>
  <c r="N20" i="30"/>
  <c r="AC9" i="13"/>
  <c r="F19" i="13"/>
  <c r="K9" i="13"/>
  <c r="F21" i="13" s="1"/>
  <c r="R11" i="13"/>
  <c r="AA11" i="13" s="1"/>
  <c r="E20" i="30"/>
  <c r="K20" i="30"/>
  <c r="E7" i="13" l="1"/>
  <c r="F7" i="13" s="1"/>
  <c r="G7" i="13" s="1"/>
  <c r="H7" i="13" s="1"/>
  <c r="I7" i="13" s="1"/>
  <c r="J7" i="13" s="1"/>
  <c r="K7" i="13" s="1"/>
  <c r="K20" i="13" s="1"/>
  <c r="N7" i="13"/>
  <c r="O7" i="13" s="1"/>
  <c r="P7" i="13" s="1"/>
  <c r="Q7" i="13" s="1"/>
  <c r="R7" i="13" s="1"/>
  <c r="S7" i="13" s="1"/>
  <c r="T7" i="13" s="1"/>
  <c r="T20" i="13" s="1"/>
  <c r="W7" i="13"/>
  <c r="X7" i="13" s="1"/>
  <c r="Y7" i="13" s="1"/>
  <c r="Z7" i="13" s="1"/>
  <c r="AA7" i="13" s="1"/>
  <c r="AB7" i="13" s="1"/>
  <c r="AC7" i="13" s="1"/>
  <c r="AC20" i="13" s="1"/>
  <c r="AF7" i="13"/>
  <c r="AG7" i="13" s="1"/>
  <c r="AH7" i="13" s="1"/>
  <c r="AI7" i="13" s="1"/>
  <c r="AJ7" i="13" s="1"/>
  <c r="AK7" i="13" s="1"/>
  <c r="AL7" i="13" s="1"/>
  <c r="AL20" i="13" s="1"/>
  <c r="H4" i="30"/>
  <c r="AA13" i="13"/>
  <c r="AG11" i="13"/>
  <c r="AG13" i="13" s="1"/>
  <c r="R13" i="13"/>
  <c r="H7" i="30"/>
  <c r="H6" i="30"/>
  <c r="H5" i="30"/>
  <c r="V11" i="13"/>
  <c r="M13" i="13"/>
  <c r="H13" i="46"/>
  <c r="H16" i="46" s="1"/>
  <c r="T9" i="13"/>
  <c r="T21" i="13" s="1"/>
  <c r="F13" i="46"/>
  <c r="F16" i="46" s="1"/>
  <c r="T13" i="13"/>
  <c r="T22" i="13" s="1"/>
  <c r="O19" i="13"/>
  <c r="X19" i="13"/>
  <c r="E13" i="46"/>
  <c r="E16" i="46" s="1"/>
  <c r="G13" i="46"/>
  <c r="G16" i="46" s="1"/>
  <c r="F18" i="13"/>
  <c r="AJ11" i="13"/>
  <c r="AJ13" i="13" s="1"/>
  <c r="X18" i="13"/>
  <c r="O18" i="13"/>
  <c r="X21" i="13"/>
  <c r="AG18" i="13"/>
  <c r="K12" i="13"/>
  <c r="W11" i="13"/>
  <c r="N12" i="13"/>
  <c r="O12" i="13"/>
  <c r="AC21" i="13"/>
  <c r="K16" i="30" s="1"/>
  <c r="K22" i="30" s="1"/>
  <c r="H12" i="13"/>
  <c r="G12" i="13"/>
  <c r="G13" i="13"/>
  <c r="F22" i="13" s="1"/>
  <c r="K19" i="13"/>
  <c r="E13" i="30" s="1"/>
  <c r="T19" i="13"/>
  <c r="H13" i="30" s="1"/>
  <c r="T18" i="13"/>
  <c r="H12" i="30" s="1"/>
  <c r="X13" i="13"/>
  <c r="K21" i="13"/>
  <c r="E12" i="13"/>
  <c r="K18" i="13"/>
  <c r="E12" i="30" s="1"/>
  <c r="AC18" i="13"/>
  <c r="K12" i="30" s="1"/>
  <c r="AC19" i="13"/>
  <c r="K13" i="30" s="1"/>
  <c r="AL9" i="13"/>
  <c r="AG21" i="13" s="1"/>
  <c r="AL18" i="13"/>
  <c r="N12" i="30" s="1"/>
  <c r="AL19" i="13"/>
  <c r="N13" i="30" s="1"/>
  <c r="AB11" i="13"/>
  <c r="T12" i="13"/>
  <c r="S13" i="13"/>
  <c r="S12" i="13"/>
  <c r="Z11" i="13"/>
  <c r="R12" i="13"/>
  <c r="Q13" i="13"/>
  <c r="Q12" i="13"/>
  <c r="K22" i="13"/>
  <c r="AL11" i="13"/>
  <c r="AC13" i="13"/>
  <c r="P13" i="13"/>
  <c r="Y11" i="13"/>
  <c r="P12" i="13"/>
  <c r="AC12" i="13" l="1"/>
  <c r="AG20" i="13"/>
  <c r="X20" i="13"/>
  <c r="O20" i="13"/>
  <c r="F20" i="13"/>
  <c r="AE11" i="13"/>
  <c r="AE13" i="13" s="1"/>
  <c r="V13" i="13"/>
  <c r="K23" i="13"/>
  <c r="O21" i="13"/>
  <c r="E14" i="30"/>
  <c r="E15" i="30" s="1"/>
  <c r="AL21" i="13"/>
  <c r="N16" i="30" s="1"/>
  <c r="N22" i="30" s="1"/>
  <c r="AF11" i="13"/>
  <c r="W13" i="13"/>
  <c r="W12" i="13"/>
  <c r="X12" i="13"/>
  <c r="N14" i="30"/>
  <c r="N15" i="30" s="1"/>
  <c r="N21" i="30" s="1"/>
  <c r="E16" i="30"/>
  <c r="E22" i="30" s="1"/>
  <c r="K14" i="30"/>
  <c r="K15" i="30" s="1"/>
  <c r="O22" i="13"/>
  <c r="Y12" i="13"/>
  <c r="AH11" i="13"/>
  <c r="Y13" i="13"/>
  <c r="AL13" i="13"/>
  <c r="H14" i="30"/>
  <c r="H15" i="30" s="1"/>
  <c r="Z13" i="13"/>
  <c r="Z12" i="13"/>
  <c r="AI11" i="13"/>
  <c r="AA12" i="13"/>
  <c r="AK11" i="13"/>
  <c r="AL12" i="13" s="1"/>
  <c r="AB13" i="13"/>
  <c r="AB12" i="13"/>
  <c r="H16" i="30"/>
  <c r="H22" i="30" s="1"/>
  <c r="AC22" i="13"/>
  <c r="N24" i="30" l="1"/>
  <c r="N28" i="30" s="1"/>
  <c r="AF13" i="13"/>
  <c r="AF12" i="13"/>
  <c r="AG12" i="13"/>
  <c r="E21" i="30"/>
  <c r="E24" i="30" s="1"/>
  <c r="E28" i="30" s="1"/>
  <c r="AI13" i="13"/>
  <c r="AI12" i="13"/>
  <c r="AJ12" i="13"/>
  <c r="J30" i="30"/>
  <c r="H21" i="30"/>
  <c r="H24" i="30" s="1"/>
  <c r="H28" i="30" s="1"/>
  <c r="AH13" i="13"/>
  <c r="AH12" i="13"/>
  <c r="K21" i="30"/>
  <c r="K24" i="30" s="1"/>
  <c r="K28" i="30" s="1"/>
  <c r="AK13" i="13"/>
  <c r="AK12" i="13"/>
  <c r="X22" i="13"/>
  <c r="AC23" i="13" s="1"/>
  <c r="AL22" i="13"/>
  <c r="T23" i="13"/>
  <c r="AL24" i="13" l="1"/>
  <c r="G30" i="30"/>
  <c r="D30" i="30"/>
  <c r="E30" i="30" s="1"/>
  <c r="AC24" i="13"/>
  <c r="AC25" i="13" s="1"/>
  <c r="K24" i="13"/>
  <c r="K25" i="13" s="1"/>
  <c r="AG22" i="13"/>
  <c r="AL23" i="13" s="1"/>
  <c r="M30" i="30"/>
  <c r="T24" i="13"/>
  <c r="T25" i="13" s="1"/>
  <c r="K30" i="30"/>
  <c r="G19" i="46" l="1"/>
  <c r="G20" i="46"/>
  <c r="E19" i="46"/>
  <c r="E20" i="46"/>
  <c r="AL25" i="13"/>
  <c r="H30" i="30"/>
  <c r="N30" i="30"/>
  <c r="E23" i="46" l="1"/>
  <c r="G23" i="46"/>
  <c r="F19" i="46"/>
  <c r="F20" i="46"/>
  <c r="H19" i="46"/>
  <c r="H20" i="46"/>
  <c r="H23" i="46" l="1"/>
  <c r="F23" i="46"/>
  <c r="E24" i="46"/>
  <c r="B2" i="52" s="1"/>
  <c r="G24" i="46"/>
  <c r="D2" i="52" s="1"/>
  <c r="F24" i="46" l="1"/>
  <c r="C2" i="52" s="1"/>
  <c r="H24" i="46"/>
  <c r="E2" i="52" s="1"/>
</calcChain>
</file>

<file path=xl/sharedStrings.xml><?xml version="1.0" encoding="utf-8"?>
<sst xmlns="http://schemas.openxmlformats.org/spreadsheetml/2006/main" count="308" uniqueCount="179">
  <si>
    <t>Technology</t>
  </si>
  <si>
    <t>Model's estimated cost elasticities</t>
  </si>
  <si>
    <t>Output Weights</t>
  </si>
  <si>
    <t>Technology (A)</t>
  </si>
  <si>
    <t>Returns to Scale (B)</t>
  </si>
  <si>
    <t>Business Conditions (C)</t>
  </si>
  <si>
    <t>PP Opex Growth Rates Forecast</t>
  </si>
  <si>
    <t>Coefficient</t>
  </si>
  <si>
    <t>Estimate</t>
  </si>
  <si>
    <t>Unit</t>
  </si>
  <si>
    <t>Customer numbers</t>
  </si>
  <si>
    <t>number</t>
  </si>
  <si>
    <t>kms</t>
  </si>
  <si>
    <t>Rates of Change</t>
  </si>
  <si>
    <t>RY13</t>
  </si>
  <si>
    <t>Circuit Length</t>
  </si>
  <si>
    <t>Ratcheted Maximum Demand</t>
  </si>
  <si>
    <t>MW</t>
  </si>
  <si>
    <t>Underground Circuit Length</t>
  </si>
  <si>
    <t>Share Underground</t>
  </si>
  <si>
    <t>Fraction</t>
  </si>
  <si>
    <t>DNSP's forecast driver growth rates (2014-2019)</t>
  </si>
  <si>
    <t>ly2</t>
  </si>
  <si>
    <t>ly3</t>
  </si>
  <si>
    <t>ly4</t>
  </si>
  <si>
    <t>lz1</t>
  </si>
  <si>
    <t>yr</t>
  </si>
  <si>
    <t>cd2</t>
  </si>
  <si>
    <t>cd3</t>
  </si>
  <si>
    <t>_cons</t>
  </si>
  <si>
    <t>z–statistic</t>
  </si>
  <si>
    <t>01ACT</t>
  </si>
  <si>
    <t>02AGD</t>
  </si>
  <si>
    <t>04END</t>
  </si>
  <si>
    <t>07ESS</t>
  </si>
  <si>
    <t>Coefficients</t>
  </si>
  <si>
    <t>RY6</t>
  </si>
  <si>
    <t>RY7</t>
  </si>
  <si>
    <t>RY8</t>
  </si>
  <si>
    <t>RY9</t>
  </si>
  <si>
    <t>RY10</t>
  </si>
  <si>
    <t>RY11</t>
  </si>
  <si>
    <t>RY12</t>
  </si>
  <si>
    <t xml:space="preserve">Notes: </t>
  </si>
  <si>
    <t>Efficiency score</t>
  </si>
  <si>
    <t>Efficiency target</t>
  </si>
  <si>
    <t>Opex</t>
  </si>
  <si>
    <t>Opex price deflator</t>
  </si>
  <si>
    <t xml:space="preserve"> - Opex price escalation (nominal)</t>
  </si>
  <si>
    <t>%</t>
  </si>
  <si>
    <t xml:space="preserve"> - Opex quantity</t>
  </si>
  <si>
    <t>Base Year: Average</t>
  </si>
  <si>
    <t>Mid-point of the period to 2013</t>
  </si>
  <si>
    <t>Weighted Average Output Growth (1)</t>
  </si>
  <si>
    <t>Real input cost escalation (3)</t>
  </si>
  <si>
    <t>PP Opex Growth Rates [2 = A+B-C]</t>
  </si>
  <si>
    <t>Opex rate of change [=(1 &amp; 3) / 2]</t>
  </si>
  <si>
    <t>ActewAGL</t>
  </si>
  <si>
    <t>Endeavour</t>
  </si>
  <si>
    <t>Essential</t>
  </si>
  <si>
    <t>SFA CD</t>
  </si>
  <si>
    <t>ACT</t>
  </si>
  <si>
    <t>AGD</t>
  </si>
  <si>
    <t>Vic/SA excl JEN</t>
  </si>
  <si>
    <t>CIT</t>
  </si>
  <si>
    <t>END</t>
  </si>
  <si>
    <t>ENX</t>
  </si>
  <si>
    <t>ERG</t>
  </si>
  <si>
    <t>ESS</t>
  </si>
  <si>
    <t>JEN</t>
  </si>
  <si>
    <t>PCR</t>
  </si>
  <si>
    <t>SAP</t>
  </si>
  <si>
    <t>SPD</t>
  </si>
  <si>
    <t>TND</t>
  </si>
  <si>
    <t>UED</t>
  </si>
  <si>
    <t>Reduction</t>
  </si>
  <si>
    <t>DNSP</t>
  </si>
  <si>
    <t>Total opex, nominal</t>
  </si>
  <si>
    <t>Adjusted total opex, nominal</t>
  </si>
  <si>
    <t>Adjusted total opex, real 2013–14 (end of year)</t>
  </si>
  <si>
    <t>Substitute base, real 2013–14 (end of year)</t>
  </si>
  <si>
    <t>Ausgrid</t>
  </si>
  <si>
    <t>2012-13</t>
  </si>
  <si>
    <t>2013-14</t>
  </si>
  <si>
    <t>Opex Cost Function Modelling -- Medium Database Regression Results</t>
  </si>
  <si>
    <t>Cobb-Douglas SFA model</t>
  </si>
  <si>
    <t>Regressione estimates</t>
  </si>
  <si>
    <t>Efficiency score results</t>
  </si>
  <si>
    <t>Efficiency target to set</t>
  </si>
  <si>
    <t>Comparator</t>
  </si>
  <si>
    <t>1= yes, 0 = no</t>
  </si>
  <si>
    <t>Margin allowance</t>
  </si>
  <si>
    <t>Margin on input use</t>
  </si>
  <si>
    <t>Efficiency Target Option</t>
  </si>
  <si>
    <t>Implied opex reduction to reach effciency target</t>
  </si>
  <si>
    <t>Substitute base opex, nominal 2012-13</t>
  </si>
  <si>
    <t>$m</t>
  </si>
  <si>
    <t>Label</t>
  </si>
  <si>
    <t>a</t>
  </si>
  <si>
    <t>d</t>
  </si>
  <si>
    <t>e</t>
  </si>
  <si>
    <t>Formula / source</t>
  </si>
  <si>
    <t>f</t>
  </si>
  <si>
    <t>g</t>
  </si>
  <si>
    <t>Difference in base opex</t>
  </si>
  <si>
    <t>from 'Opex Forecasts' worksheet</t>
  </si>
  <si>
    <t>- debt raising costs, nominal</t>
  </si>
  <si>
    <t>- Jurisdictional schemes, nominal</t>
  </si>
  <si>
    <t>- New CAM, nominal</t>
  </si>
  <si>
    <t>- New service classification, nominal</t>
  </si>
  <si>
    <t>b1</t>
  </si>
  <si>
    <t>c1</t>
  </si>
  <si>
    <t>c1 = b1* CPI adjustment</t>
  </si>
  <si>
    <t>Converting to real 2014 end of year value for PTRM purpose</t>
  </si>
  <si>
    <t>e = d * CPI adjustment</t>
  </si>
  <si>
    <t>Percentage opex reduction</t>
  </si>
  <si>
    <t>f = c1 - e</t>
  </si>
  <si>
    <t>Base opex adjustment Calculations for NSW/ACT DNSPs</t>
  </si>
  <si>
    <t>CPI index, nominal to real 2013–14 (end of year)</t>
  </si>
  <si>
    <t>Opex data from Reset RIN</t>
  </si>
  <si>
    <t>Substituting base opex figures from benchmarking analysis</t>
  </si>
  <si>
    <t>a1</t>
  </si>
  <si>
    <t>a3</t>
  </si>
  <si>
    <t>a4</t>
  </si>
  <si>
    <t>a5</t>
  </si>
  <si>
    <t>b1 = a+a1+a2+a3+a4+a5</t>
  </si>
  <si>
    <t>g= 1- e/c1</t>
  </si>
  <si>
    <t xml:space="preserve">Opex_average base year method </t>
  </si>
  <si>
    <t xml:space="preserve">Summary: </t>
  </si>
  <si>
    <t>Color-coding convention used for the data, analytical and application worksheets:</t>
  </si>
  <si>
    <t>– Raw data cell:</t>
  </si>
  <si>
    <t>– Calculation cell:</t>
  </si>
  <si>
    <t xml:space="preserve">– Input cell: </t>
  </si>
  <si>
    <t>light blue</t>
  </si>
  <si>
    <t>dark blue</t>
  </si>
  <si>
    <t>light yellow</t>
  </si>
  <si>
    <t>Data Worksheets:</t>
  </si>
  <si>
    <t>Analytical Worksheets:</t>
  </si>
  <si>
    <t>– Opex cost function modelling results, including parameter estimates and efficiency estimates</t>
  </si>
  <si>
    <t>– Calculating base year adjustment required for each of the NSW/ACT DNSPs</t>
  </si>
  <si>
    <t>– Setting out efficiency target for each DNSP</t>
  </si>
  <si>
    <t>A. Cost Drivers</t>
  </si>
  <si>
    <t>Worksheet links:</t>
  </si>
  <si>
    <t>Cost Drivers</t>
  </si>
  <si>
    <t>Opex Modelling Results</t>
  </si>
  <si>
    <t>Opex Forecasts</t>
  </si>
  <si>
    <t>Base Year Adjustment</t>
  </si>
  <si>
    <t>Adjustment Summary</t>
  </si>
  <si>
    <t>Source: Economic Insights Opex Cost Funciton files provided on 16 October 2014</t>
  </si>
  <si>
    <t xml:space="preserve">1. Historical data are sourced from relevant AER data compiled for economic benchmarking. </t>
  </si>
  <si>
    <t>Input Worksheets:</t>
  </si>
  <si>
    <t xml:space="preserve">Maximum Demand </t>
  </si>
  <si>
    <t>RY2006 =1</t>
  </si>
  <si>
    <t>Opex quantity</t>
  </si>
  <si>
    <t xml:space="preserve">  Forecast increase: average to base</t>
  </si>
  <si>
    <t xml:space="preserve">  Difference</t>
  </si>
  <si>
    <t xml:space="preserve">  Actual Increase: average to base</t>
  </si>
  <si>
    <t>Cust No - 2013</t>
  </si>
  <si>
    <t>– historical data on opex and cost driver for NSW/ACT DNSPs</t>
  </si>
  <si>
    <t>– Modelling efficient opex (base year) for each of the NSW/ACT DNSPs, based on the efficiency target chosen</t>
  </si>
  <si>
    <t xml:space="preserve">– The adjustments are calculated relative to alternative base year opex measures from Reset RIN and EB RIN </t>
  </si>
  <si>
    <t xml:space="preserve">– The modelling rolls forward the chosen efficient target on the basis of average-of-the-period (i.e., results from the opex cost function model) to the basis of 2013 base year.  </t>
  </si>
  <si>
    <t xml:space="preserve">– For rolling farward, the opex rate of change formula used for forecasting opex is adopted.     </t>
  </si>
  <si>
    <t>$'000</t>
  </si>
  <si>
    <t>$'0002013</t>
  </si>
  <si>
    <t>Opex Cost Driver Data – NSW/ACT</t>
  </si>
  <si>
    <t>EB Data</t>
  </si>
  <si>
    <t>NSW/ACT DNSP Opex – Using RIN Data and Estimated Opex Cost Function Model</t>
  </si>
  <si>
    <t>B. Opex Modelling Results</t>
  </si>
  <si>
    <t xml:space="preserve">C.  Efficiency Target Option </t>
  </si>
  <si>
    <t>D. Opex Forecasts</t>
  </si>
  <si>
    <t>E. Base Year Adjustment</t>
  </si>
  <si>
    <t>F. Adjustment Summary</t>
  </si>
  <si>
    <t xml:space="preserve">– This spreadsheet contains the modelling for base year opex adjustments for NSW/ACT DNSPs. </t>
  </si>
  <si>
    <t>– Summarising modelling results (including efficiency scores, efficiency targets, adjustment required) for each of the NSW/ACT DNSPs</t>
  </si>
  <si>
    <t>Opex Base Year Adjustment Model – NSW/ACT DNSPs</t>
  </si>
  <si>
    <t>Efficiency adjustment, per cent</t>
  </si>
  <si>
    <t>Base opex adjustement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</si>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</sst>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_-* #,##0_-;\-* #,##0_-;_-* &quot;-&quot;??_-;_-@_-"/>
    <numFmt numFmtId="166" formatCode="_(#,##0_);\(#,##0\);_(&quot;-&quot;_)"/>
    <numFmt numFmtId="167" formatCode="0.0"/>
    <numFmt numFmtId="168" formatCode="0.000"/>
    <numFmt numFmtId="169" formatCode="0.0%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6" fontId="2" fillId="0" borderId="1">
      <alignment horizontal="right" vertical="center"/>
      <protection locked="0"/>
    </xf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42">
    <xf numFmtId="0" fontId="0" fillId="0" borderId="0" xfId="0"/>
    <xf numFmtId="0" fontId="6" fillId="0" borderId="0" xfId="3"/>
    <xf numFmtId="0" fontId="3" fillId="0" borderId="0" xfId="3" applyFont="1"/>
    <xf numFmtId="0" fontId="9" fillId="0" borderId="0" xfId="3" applyFont="1"/>
    <xf numFmtId="0" fontId="9" fillId="0" borderId="0" xfId="3" applyNumberFormat="1" applyFont="1"/>
    <xf numFmtId="0" fontId="10" fillId="0" borderId="0" xfId="3" applyFont="1"/>
    <xf numFmtId="0" fontId="11" fillId="0" borderId="0" xfId="3" applyFont="1"/>
    <xf numFmtId="3" fontId="9" fillId="0" borderId="0" xfId="3" applyNumberFormat="1" applyFont="1"/>
    <xf numFmtId="0" fontId="10" fillId="0" borderId="0" xfId="3" applyFont="1" applyAlignment="1">
      <alignment wrapText="1"/>
    </xf>
    <xf numFmtId="9" fontId="9" fillId="0" borderId="0" xfId="3" applyNumberFormat="1" applyFont="1"/>
    <xf numFmtId="0" fontId="13" fillId="0" borderId="0" xfId="0" applyFont="1"/>
    <xf numFmtId="0" fontId="3" fillId="0" borderId="0" xfId="3" applyFont="1" applyAlignment="1">
      <alignment horizontal="left" vertical="top" wrapText="1"/>
    </xf>
    <xf numFmtId="0" fontId="9" fillId="0" borderId="0" xfId="3" applyFont="1" applyAlignment="1">
      <alignment horizontal="left" vertical="top" wrapText="1"/>
    </xf>
    <xf numFmtId="0" fontId="11" fillId="0" borderId="0" xfId="3" applyFont="1" applyAlignment="1">
      <alignment horizontal="left" vertical="top" wrapText="1"/>
    </xf>
    <xf numFmtId="0" fontId="6" fillId="0" borderId="0" xfId="3" applyAlignment="1">
      <alignment horizontal="left" vertical="top" wrapText="1"/>
    </xf>
    <xf numFmtId="0" fontId="11" fillId="0" borderId="0" xfId="3" applyFont="1" applyFill="1" applyAlignment="1">
      <alignment horizontal="left" vertical="top" wrapText="1"/>
    </xf>
    <xf numFmtId="0" fontId="14" fillId="0" borderId="0" xfId="3" applyFont="1" applyAlignment="1">
      <alignment horizontal="left" vertical="top" wrapText="1"/>
    </xf>
    <xf numFmtId="0" fontId="8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top"/>
    </xf>
    <xf numFmtId="0" fontId="16" fillId="0" borderId="0" xfId="0" applyFont="1"/>
    <xf numFmtId="0" fontId="10" fillId="0" borderId="0" xfId="0" applyFont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0" fontId="19" fillId="0" borderId="0" xfId="0" applyFont="1"/>
    <xf numFmtId="0" fontId="7" fillId="0" borderId="0" xfId="0" applyFont="1"/>
    <xf numFmtId="0" fontId="20" fillId="0" borderId="0" xfId="5" quotePrefix="1"/>
    <xf numFmtId="0" fontId="20" fillId="0" borderId="0" xfId="5"/>
    <xf numFmtId="9" fontId="7" fillId="4" borderId="0" xfId="4" applyFont="1" applyFill="1" applyAlignment="1">
      <alignment horizontal="center"/>
    </xf>
    <xf numFmtId="168" fontId="9" fillId="2" borderId="0" xfId="3" applyNumberFormat="1" applyFont="1" applyFill="1"/>
    <xf numFmtId="3" fontId="9" fillId="7" borderId="0" xfId="3" applyNumberFormat="1" applyFont="1" applyFill="1"/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4" xfId="0" applyFont="1" applyFill="1" applyBorder="1"/>
    <xf numFmtId="164" fontId="5" fillId="2" borderId="4" xfId="0" applyNumberFormat="1" applyFont="1" applyFill="1" applyBorder="1"/>
    <xf numFmtId="0" fontId="5" fillId="2" borderId="4" xfId="0" applyFont="1" applyFill="1" applyBorder="1"/>
    <xf numFmtId="0" fontId="13" fillId="2" borderId="0" xfId="0" applyFont="1" applyFill="1" applyBorder="1"/>
    <xf numFmtId="164" fontId="5" fillId="2" borderId="0" xfId="0" applyNumberFormat="1" applyFont="1" applyFill="1" applyBorder="1"/>
    <xf numFmtId="0" fontId="5" fillId="2" borderId="0" xfId="0" applyFont="1" applyFill="1" applyBorder="1"/>
    <xf numFmtId="0" fontId="13" fillId="2" borderId="3" xfId="0" applyFont="1" applyFill="1" applyBorder="1"/>
    <xf numFmtId="164" fontId="5" fillId="2" borderId="3" xfId="0" applyNumberFormat="1" applyFont="1" applyFill="1" applyBorder="1"/>
    <xf numFmtId="0" fontId="5" fillId="2" borderId="3" xfId="0" applyFont="1" applyFill="1" applyBorder="1"/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17" fillId="0" borderId="0" xfId="3" applyFont="1"/>
    <xf numFmtId="10" fontId="17" fillId="2" borderId="0" xfId="0" applyNumberFormat="1" applyFont="1" applyFill="1" applyBorder="1" applyAlignment="1">
      <alignment horizontal="right" vertical="center"/>
    </xf>
    <xf numFmtId="3" fontId="17" fillId="4" borderId="0" xfId="2" applyNumberFormat="1" applyFont="1" applyFill="1"/>
    <xf numFmtId="3" fontId="17" fillId="0" borderId="0" xfId="2" applyNumberFormat="1" applyFont="1" applyFill="1"/>
    <xf numFmtId="0" fontId="21" fillId="0" borderId="0" xfId="0" applyFont="1"/>
    <xf numFmtId="0" fontId="18" fillId="0" borderId="0" xfId="0" applyFont="1"/>
    <xf numFmtId="0" fontId="21" fillId="0" borderId="0" xfId="0" applyFont="1" applyAlignment="1">
      <alignment horizontal="center"/>
    </xf>
    <xf numFmtId="165" fontId="22" fillId="0" borderId="0" xfId="0" applyNumberFormat="1" applyFont="1" applyAlignment="1">
      <alignment horizontal="left" vertical="center"/>
    </xf>
    <xf numFmtId="164" fontId="18" fillId="2" borderId="0" xfId="0" applyNumberFormat="1" applyFont="1" applyFill="1"/>
    <xf numFmtId="164" fontId="18" fillId="4" borderId="0" xfId="0" applyNumberFormat="1" applyFont="1" applyFill="1"/>
    <xf numFmtId="164" fontId="18" fillId="0" borderId="0" xfId="0" applyNumberFormat="1" applyFont="1"/>
    <xf numFmtId="9" fontId="18" fillId="2" borderId="0" xfId="0" applyNumberFormat="1" applyFont="1" applyFill="1"/>
    <xf numFmtId="0" fontId="21" fillId="0" borderId="0" xfId="0" applyFont="1" applyAlignment="1">
      <alignment horizontal="right"/>
    </xf>
    <xf numFmtId="165" fontId="22" fillId="0" borderId="0" xfId="0" applyNumberFormat="1" applyFont="1" applyFill="1" applyAlignment="1">
      <alignment horizontal="left" vertical="center"/>
    </xf>
    <xf numFmtId="10" fontId="18" fillId="4" borderId="0" xfId="4" applyNumberFormat="1" applyFont="1" applyFill="1"/>
    <xf numFmtId="0" fontId="18" fillId="0" borderId="0" xfId="0" applyFont="1" applyFill="1"/>
    <xf numFmtId="0" fontId="21" fillId="0" borderId="0" xfId="0" applyFont="1" applyFill="1"/>
    <xf numFmtId="10" fontId="21" fillId="4" borderId="0" xfId="4" applyNumberFormat="1" applyFont="1" applyFill="1"/>
    <xf numFmtId="10" fontId="21" fillId="0" borderId="0" xfId="4" applyNumberFormat="1" applyFont="1" applyFill="1"/>
    <xf numFmtId="10" fontId="18" fillId="0" borderId="0" xfId="0" applyNumberFormat="1" applyFont="1" applyFill="1"/>
    <xf numFmtId="10" fontId="21" fillId="0" borderId="0" xfId="0" applyNumberFormat="1" applyFont="1" applyFill="1"/>
    <xf numFmtId="0" fontId="21" fillId="0" borderId="0" xfId="0" applyFont="1" applyFill="1" applyAlignment="1">
      <alignment horizontal="right"/>
    </xf>
    <xf numFmtId="10" fontId="18" fillId="4" borderId="0" xfId="0" applyNumberFormat="1" applyFont="1" applyFill="1"/>
    <xf numFmtId="10" fontId="21" fillId="4" borderId="0" xfId="0" applyNumberFormat="1" applyFont="1" applyFill="1"/>
    <xf numFmtId="0" fontId="21" fillId="0" borderId="0" xfId="0" applyFont="1" applyFill="1" applyAlignment="1">
      <alignment horizontal="center"/>
    </xf>
    <xf numFmtId="10" fontId="21" fillId="4" borderId="0" xfId="4" applyNumberFormat="1" applyFont="1" applyFill="1" applyAlignment="1">
      <alignment horizontal="right"/>
    </xf>
    <xf numFmtId="3" fontId="18" fillId="0" borderId="0" xfId="0" applyNumberFormat="1" applyFont="1" applyFill="1"/>
    <xf numFmtId="3" fontId="21" fillId="4" borderId="0" xfId="0" applyNumberFormat="1" applyFont="1" applyFill="1"/>
    <xf numFmtId="3" fontId="21" fillId="0" borderId="0" xfId="0" applyNumberFormat="1" applyFont="1" applyFill="1"/>
    <xf numFmtId="165" fontId="17" fillId="0" borderId="0" xfId="0" applyNumberFormat="1" applyFont="1" applyAlignment="1">
      <alignment horizontal="left" vertical="center"/>
    </xf>
    <xf numFmtId="0" fontId="18" fillId="0" borderId="0" xfId="0" applyFont="1" applyBorder="1"/>
    <xf numFmtId="0" fontId="21" fillId="0" borderId="0" xfId="0" applyFont="1" applyBorder="1" applyAlignment="1">
      <alignment horizontal="center"/>
    </xf>
    <xf numFmtId="165" fontId="17" fillId="0" borderId="0" xfId="0" applyNumberFormat="1" applyFont="1"/>
    <xf numFmtId="165" fontId="23" fillId="0" borderId="0" xfId="0" applyNumberFormat="1" applyFont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24" fillId="0" borderId="0" xfId="0" applyNumberFormat="1" applyFont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/>
    </xf>
    <xf numFmtId="166" fontId="18" fillId="6" borderId="0" xfId="1" applyNumberFormat="1" applyFont="1" applyFill="1" applyBorder="1" applyAlignment="1" applyProtection="1">
      <alignment horizontal="center" vertical="center"/>
    </xf>
    <xf numFmtId="0" fontId="18" fillId="6" borderId="0" xfId="0" applyFont="1" applyFill="1" applyBorder="1"/>
    <xf numFmtId="3" fontId="18" fillId="4" borderId="0" xfId="1" applyNumberFormat="1" applyFont="1" applyFill="1" applyBorder="1" applyAlignment="1" applyProtection="1">
      <alignment horizontal="center" vertical="center"/>
    </xf>
    <xf numFmtId="0" fontId="18" fillId="4" borderId="0" xfId="0" applyFont="1" applyFill="1" applyBorder="1"/>
    <xf numFmtId="166" fontId="18" fillId="4" borderId="0" xfId="1" applyNumberFormat="1" applyFont="1" applyFill="1" applyBorder="1" applyAlignment="1" applyProtection="1">
      <alignment horizontal="center" vertical="center"/>
    </xf>
    <xf numFmtId="164" fontId="18" fillId="4" borderId="0" xfId="0" applyNumberFormat="1" applyFont="1" applyFill="1" applyBorder="1" applyAlignment="1">
      <alignment horizontal="center"/>
    </xf>
    <xf numFmtId="164" fontId="18" fillId="4" borderId="0" xfId="0" applyNumberFormat="1" applyFont="1" applyFill="1" applyBorder="1" applyAlignment="1">
      <alignment horizontal="center" vertical="center"/>
    </xf>
    <xf numFmtId="3" fontId="18" fillId="6" borderId="0" xfId="0" applyNumberFormat="1" applyFont="1" applyFill="1" applyBorder="1" applyAlignment="1">
      <alignment horizontal="center" vertical="center"/>
    </xf>
    <xf numFmtId="164" fontId="18" fillId="6" borderId="0" xfId="0" applyNumberFormat="1" applyFont="1" applyFill="1" applyBorder="1" applyAlignment="1">
      <alignment horizontal="center"/>
    </xf>
    <xf numFmtId="3" fontId="18" fillId="6" borderId="0" xfId="0" applyNumberFormat="1" applyFont="1" applyFill="1" applyBorder="1"/>
    <xf numFmtId="164" fontId="18" fillId="6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0" fontId="18" fillId="4" borderId="0" xfId="4" applyNumberFormat="1" applyFont="1" applyFill="1" applyBorder="1" applyAlignment="1">
      <alignment horizontal="center" vertical="center"/>
    </xf>
    <xf numFmtId="10" fontId="18" fillId="4" borderId="0" xfId="4" applyNumberFormat="1" applyFont="1" applyFill="1" applyBorder="1" applyAlignment="1">
      <alignment horizontal="center"/>
    </xf>
    <xf numFmtId="3" fontId="18" fillId="4" borderId="0" xfId="0" applyNumberFormat="1" applyFont="1" applyFill="1" applyBorder="1" applyAlignment="1">
      <alignment horizontal="center" vertical="center"/>
    </xf>
    <xf numFmtId="3" fontId="18" fillId="4" borderId="0" xfId="0" applyNumberFormat="1" applyFont="1" applyFill="1" applyBorder="1" applyAlignment="1">
      <alignment horizontal="center"/>
    </xf>
    <xf numFmtId="165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21" fillId="0" borderId="0" xfId="0" applyFont="1" applyBorder="1"/>
    <xf numFmtId="166" fontId="21" fillId="4" borderId="0" xfId="0" applyNumberFormat="1" applyFont="1" applyFill="1" applyBorder="1"/>
    <xf numFmtId="10" fontId="18" fillId="4" borderId="0" xfId="0" applyNumberFormat="1" applyFont="1" applyFill="1" applyBorder="1"/>
    <xf numFmtId="10" fontId="18" fillId="4" borderId="0" xfId="4" applyNumberFormat="1" applyFont="1" applyFill="1" applyBorder="1"/>
    <xf numFmtId="164" fontId="21" fillId="4" borderId="0" xfId="0" applyNumberFormat="1" applyFont="1" applyFill="1" applyBorder="1"/>
    <xf numFmtId="3" fontId="21" fillId="4" borderId="0" xfId="0" applyNumberFormat="1" applyFont="1" applyFill="1" applyBorder="1"/>
    <xf numFmtId="165" fontId="24" fillId="0" borderId="0" xfId="0" applyNumberFormat="1" applyFont="1" applyFill="1" applyAlignment="1">
      <alignment horizontal="left" vertical="center"/>
    </xf>
    <xf numFmtId="10" fontId="18" fillId="0" borderId="0" xfId="0" applyNumberFormat="1" applyFont="1" applyBorder="1"/>
    <xf numFmtId="10" fontId="18" fillId="0" borderId="0" xfId="4" applyNumberFormat="1" applyFont="1" applyBorder="1"/>
    <xf numFmtId="167" fontId="18" fillId="0" borderId="0" xfId="0" applyNumberFormat="1" applyFont="1"/>
    <xf numFmtId="0" fontId="18" fillId="4" borderId="0" xfId="0" applyFont="1" applyFill="1"/>
    <xf numFmtId="0" fontId="21" fillId="4" borderId="0" xfId="0" applyFont="1" applyFill="1"/>
    <xf numFmtId="0" fontId="21" fillId="2" borderId="0" xfId="0" applyFont="1" applyFill="1" applyBorder="1"/>
    <xf numFmtId="3" fontId="7" fillId="4" borderId="0" xfId="0" applyNumberFormat="1" applyFont="1" applyFill="1"/>
    <xf numFmtId="3" fontId="18" fillId="4" borderId="0" xfId="0" applyNumberFormat="1" applyFont="1" applyFill="1"/>
    <xf numFmtId="165" fontId="22" fillId="2" borderId="0" xfId="0" applyNumberFormat="1" applyFont="1" applyFill="1" applyAlignment="1">
      <alignment horizontal="left" vertical="center"/>
    </xf>
    <xf numFmtId="10" fontId="18" fillId="2" borderId="0" xfId="4" applyNumberFormat="1" applyFont="1" applyFill="1"/>
    <xf numFmtId="0" fontId="18" fillId="2" borderId="0" xfId="0" applyFont="1" applyFill="1"/>
    <xf numFmtId="0" fontId="3" fillId="0" borderId="0" xfId="3" applyFont="1" applyFill="1"/>
    <xf numFmtId="0" fontId="13" fillId="0" borderId="0" xfId="0" applyFont="1" applyAlignment="1">
      <alignment horizontal="right"/>
    </xf>
    <xf numFmtId="168" fontId="13" fillId="2" borderId="0" xfId="0" applyNumberFormat="1" applyFont="1" applyFill="1"/>
    <xf numFmtId="0" fontId="19" fillId="0" borderId="0" xfId="0" applyFont="1" applyAlignment="1">
      <alignment horizontal="right"/>
    </xf>
    <xf numFmtId="49" fontId="25" fillId="0" borderId="0" xfId="0" applyNumberFormat="1" applyFont="1"/>
    <xf numFmtId="49" fontId="13" fillId="0" borderId="0" xfId="0" applyNumberFormat="1" applyFont="1"/>
    <xf numFmtId="2" fontId="13" fillId="7" borderId="0" xfId="0" applyNumberFormat="1" applyFont="1" applyFill="1"/>
    <xf numFmtId="0" fontId="13" fillId="7" borderId="0" xfId="0" applyFont="1" applyFill="1"/>
    <xf numFmtId="0" fontId="25" fillId="0" borderId="0" xfId="0" applyFont="1"/>
    <xf numFmtId="2" fontId="13" fillId="4" borderId="0" xfId="0" applyNumberFormat="1" applyFont="1" applyFill="1"/>
    <xf numFmtId="49" fontId="26" fillId="0" borderId="0" xfId="0" applyNumberFormat="1" applyFont="1"/>
    <xf numFmtId="2" fontId="27" fillId="0" borderId="0" xfId="0" applyNumberFormat="1" applyFont="1"/>
    <xf numFmtId="2" fontId="13" fillId="0" borderId="0" xfId="0" applyNumberFormat="1" applyFont="1"/>
    <xf numFmtId="49" fontId="16" fillId="0" borderId="0" xfId="0" applyNumberFormat="1" applyFont="1"/>
    <xf numFmtId="169" fontId="13" fillId="4" borderId="0" xfId="4" applyNumberFormat="1" applyFont="1" applyFill="1"/>
    <xf numFmtId="0" fontId="9" fillId="2" borderId="0" xfId="3" applyFont="1" applyFill="1" applyAlignment="1" applyProtection="1">
      <alignment horizontal="center"/>
      <protection locked="0"/>
    </xf>
    <xf numFmtId="10" fontId="10" fillId="4" borderId="0" xfId="3" applyNumberFormat="1" applyFont="1" applyFill="1" applyAlignment="1" applyProtection="1">
      <alignment horizontal="center" wrapText="1"/>
      <protection locked="0"/>
    </xf>
    <xf numFmtId="9" fontId="10" fillId="2" borderId="0" xfId="4" applyFont="1" applyFill="1" applyAlignment="1" applyProtection="1">
      <alignment horizontal="center"/>
      <protection locked="0"/>
    </xf>
    <xf numFmtId="9" fontId="10" fillId="4" borderId="0" xfId="4" applyFont="1" applyFill="1" applyAlignment="1" applyProtection="1">
      <alignment horizontal="center"/>
      <protection locked="0"/>
    </xf>
    <xf numFmtId="0" fontId="16" fillId="0" borderId="0" xfId="0" applyFont="1" applyAlignment="1">
      <alignment horizontal="right"/>
    </xf>
  </cellXfs>
  <cellStyles count="6">
    <cellStyle name="Assumptions Right Number" xfId="1"/>
    <cellStyle name="Hyperlink" xfId="5" builtinId="8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F30" sqref="F30"/>
    </sheetView>
  </sheetViews>
  <sheetFormatPr defaultRowHeight="15" x14ac:dyDescent="0.25"/>
  <cols>
    <col min="1" max="1" width="20.5703125" style="10" customWidth="1"/>
    <col min="2" max="9" width="9.140625" style="10"/>
  </cols>
  <sheetData>
    <row r="1" spans="1:14" x14ac:dyDescent="0.25">
      <c r="A1" s="20" t="s">
        <v>175</v>
      </c>
    </row>
    <row r="3" spans="1:14" x14ac:dyDescent="0.25">
      <c r="A3" s="21" t="s">
        <v>128</v>
      </c>
    </row>
    <row r="4" spans="1:14" x14ac:dyDescent="0.25">
      <c r="A4" s="10" t="s">
        <v>173</v>
      </c>
    </row>
    <row r="5" spans="1:14" x14ac:dyDescent="0.25">
      <c r="A5" s="10" t="s">
        <v>161</v>
      </c>
    </row>
    <row r="6" spans="1:14" x14ac:dyDescent="0.25">
      <c r="A6" s="10" t="s">
        <v>162</v>
      </c>
    </row>
    <row r="8" spans="1:14" x14ac:dyDescent="0.25">
      <c r="A8" s="21" t="s">
        <v>129</v>
      </c>
    </row>
    <row r="9" spans="1:14" x14ac:dyDescent="0.25">
      <c r="A9" s="10" t="s">
        <v>130</v>
      </c>
      <c r="B9" s="22" t="s">
        <v>133</v>
      </c>
    </row>
    <row r="10" spans="1:14" x14ac:dyDescent="0.25">
      <c r="A10" s="10" t="s">
        <v>131</v>
      </c>
      <c r="B10" s="23" t="s">
        <v>134</v>
      </c>
    </row>
    <row r="11" spans="1:14" x14ac:dyDescent="0.25">
      <c r="A11" s="10" t="s">
        <v>132</v>
      </c>
      <c r="B11" s="24" t="s">
        <v>135</v>
      </c>
    </row>
    <row r="13" spans="1:14" x14ac:dyDescent="0.25">
      <c r="A13" s="20" t="s">
        <v>136</v>
      </c>
      <c r="N13" s="26" t="s">
        <v>142</v>
      </c>
    </row>
    <row r="14" spans="1:14" x14ac:dyDescent="0.25">
      <c r="A14" s="10" t="s">
        <v>141</v>
      </c>
      <c r="N14" s="27" t="s">
        <v>143</v>
      </c>
    </row>
    <row r="15" spans="1:14" x14ac:dyDescent="0.25">
      <c r="A15" s="10" t="s">
        <v>158</v>
      </c>
    </row>
    <row r="17" spans="1:14" x14ac:dyDescent="0.25">
      <c r="A17" s="20" t="s">
        <v>150</v>
      </c>
    </row>
    <row r="18" spans="1:14" x14ac:dyDescent="0.25">
      <c r="A18" s="10" t="s">
        <v>168</v>
      </c>
      <c r="N18" s="27" t="s">
        <v>144</v>
      </c>
    </row>
    <row r="19" spans="1:14" x14ac:dyDescent="0.25">
      <c r="A19" s="10" t="s">
        <v>138</v>
      </c>
    </row>
    <row r="21" spans="1:14" x14ac:dyDescent="0.25">
      <c r="A21" s="20" t="s">
        <v>137</v>
      </c>
    </row>
    <row r="22" spans="1:14" x14ac:dyDescent="0.25">
      <c r="A22" s="10" t="s">
        <v>169</v>
      </c>
      <c r="N22" s="28" t="s">
        <v>93</v>
      </c>
    </row>
    <row r="23" spans="1:14" x14ac:dyDescent="0.25">
      <c r="A23" s="10" t="s">
        <v>140</v>
      </c>
    </row>
    <row r="25" spans="1:14" x14ac:dyDescent="0.25">
      <c r="A25" s="10" t="s">
        <v>170</v>
      </c>
      <c r="N25" s="28" t="s">
        <v>145</v>
      </c>
    </row>
    <row r="26" spans="1:14" x14ac:dyDescent="0.25">
      <c r="A26" s="10" t="s">
        <v>159</v>
      </c>
    </row>
    <row r="28" spans="1:14" x14ac:dyDescent="0.25">
      <c r="A28" s="10" t="s">
        <v>171</v>
      </c>
      <c r="N28" s="28" t="s">
        <v>146</v>
      </c>
    </row>
    <row r="29" spans="1:14" x14ac:dyDescent="0.25">
      <c r="A29" s="10" t="s">
        <v>139</v>
      </c>
    </row>
    <row r="30" spans="1:14" x14ac:dyDescent="0.25">
      <c r="A30" s="10" t="s">
        <v>160</v>
      </c>
    </row>
    <row r="32" spans="1:14" x14ac:dyDescent="0.25">
      <c r="A32" s="10" t="s">
        <v>172</v>
      </c>
      <c r="N32" s="28" t="s">
        <v>147</v>
      </c>
    </row>
    <row r="33" spans="1:1" x14ac:dyDescent="0.25">
      <c r="A33" s="10" t="s">
        <v>174</v>
      </c>
    </row>
  </sheetData>
  <hyperlinks>
    <hyperlink ref="N14" location="'Cost Drivers'!A1" display="Cost Drivers"/>
    <hyperlink ref="N18" location="'Opex Modelling Results'!A1" display="Opex Modelling Results"/>
    <hyperlink ref="N22" location="'Efficiency Target Option'!A1" display="Efficiency Target Option"/>
    <hyperlink ref="N25" location="'Opex Forecasts'!A1" display="Opex Forecasts"/>
    <hyperlink ref="N28" location="'Base Year Adjustment'!A1" display="Base Year Adjustment"/>
    <hyperlink ref="N32" location="'Adjustment Summary'!A1" display="Adjustment Summary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zoomScaleNormal="100" zoomScalePageLayoutView="150" workbookViewId="0">
      <pane xSplit="2" topLeftCell="C1" activePane="topRight" state="frozen"/>
      <selection activeCell="D41" sqref="D41"/>
      <selection pane="topRight" activeCell="K10" sqref="K10"/>
    </sheetView>
  </sheetViews>
  <sheetFormatPr defaultColWidth="8.7109375" defaultRowHeight="12.75" x14ac:dyDescent="0.2"/>
  <cols>
    <col min="1" max="1" width="28" customWidth="1"/>
    <col min="2" max="2" width="9.7109375" customWidth="1"/>
    <col min="4" max="10" width="9" bestFit="1" customWidth="1"/>
    <col min="11" max="11" width="16.5703125" customWidth="1"/>
    <col min="12" max="12" width="5.7109375" customWidth="1"/>
    <col min="13" max="13" width="17.85546875" customWidth="1"/>
    <col min="14" max="20" width="12.7109375" customWidth="1"/>
    <col min="21" max="21" width="5.5703125" customWidth="1"/>
    <col min="22" max="28" width="10.7109375" customWidth="1"/>
    <col min="29" max="29" width="9" bestFit="1" customWidth="1"/>
    <col min="30" max="30" width="5.28515625" customWidth="1"/>
    <col min="31" max="37" width="10.7109375" customWidth="1"/>
    <col min="38" max="38" width="11" customWidth="1"/>
  </cols>
  <sheetData>
    <row r="1" spans="1:49" s="50" customFormat="1" ht="15" x14ac:dyDescent="0.25">
      <c r="A1" s="49" t="s">
        <v>165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</row>
    <row r="2" spans="1:49" s="51" customFormat="1" ht="15" x14ac:dyDescent="0.25">
      <c r="C2" s="76"/>
      <c r="D2" s="76" t="s">
        <v>31</v>
      </c>
      <c r="E2" s="76" t="s">
        <v>31</v>
      </c>
      <c r="F2" s="76" t="s">
        <v>31</v>
      </c>
      <c r="G2" s="76" t="s">
        <v>31</v>
      </c>
      <c r="H2" s="76" t="s">
        <v>31</v>
      </c>
      <c r="I2" s="76" t="s">
        <v>31</v>
      </c>
      <c r="J2" s="76" t="s">
        <v>31</v>
      </c>
      <c r="K2" s="76" t="s">
        <v>31</v>
      </c>
      <c r="L2" s="76"/>
      <c r="M2" s="76" t="s">
        <v>32</v>
      </c>
      <c r="N2" s="76" t="s">
        <v>32</v>
      </c>
      <c r="O2" s="76" t="s">
        <v>32</v>
      </c>
      <c r="P2" s="76" t="s">
        <v>32</v>
      </c>
      <c r="Q2" s="76" t="s">
        <v>32</v>
      </c>
      <c r="R2" s="76" t="s">
        <v>32</v>
      </c>
      <c r="S2" s="76" t="s">
        <v>32</v>
      </c>
      <c r="T2" s="76" t="s">
        <v>32</v>
      </c>
      <c r="U2" s="76"/>
      <c r="V2" s="76" t="s">
        <v>33</v>
      </c>
      <c r="W2" s="76" t="s">
        <v>33</v>
      </c>
      <c r="X2" s="76" t="s">
        <v>33</v>
      </c>
      <c r="Y2" s="76" t="s">
        <v>33</v>
      </c>
      <c r="Z2" s="76" t="s">
        <v>33</v>
      </c>
      <c r="AA2" s="76" t="s">
        <v>33</v>
      </c>
      <c r="AB2" s="76" t="s">
        <v>33</v>
      </c>
      <c r="AC2" s="76" t="s">
        <v>33</v>
      </c>
      <c r="AD2" s="76"/>
      <c r="AE2" s="76" t="s">
        <v>34</v>
      </c>
      <c r="AF2" s="76" t="s">
        <v>34</v>
      </c>
      <c r="AG2" s="76" t="s">
        <v>34</v>
      </c>
      <c r="AH2" s="76" t="s">
        <v>34</v>
      </c>
      <c r="AI2" s="76" t="s">
        <v>34</v>
      </c>
      <c r="AJ2" s="76" t="s">
        <v>34</v>
      </c>
      <c r="AK2" s="76" t="s">
        <v>34</v>
      </c>
      <c r="AL2" s="76" t="s">
        <v>34</v>
      </c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spans="1:49" s="50" customFormat="1" ht="15" x14ac:dyDescent="0.25">
      <c r="A3" s="77" t="s">
        <v>166</v>
      </c>
      <c r="B3" s="78" t="s">
        <v>9</v>
      </c>
      <c r="C3" s="79"/>
      <c r="D3" s="80" t="s">
        <v>36</v>
      </c>
      <c r="E3" s="80" t="s">
        <v>37</v>
      </c>
      <c r="F3" s="80" t="s">
        <v>38</v>
      </c>
      <c r="G3" s="80" t="s">
        <v>39</v>
      </c>
      <c r="H3" s="80" t="s">
        <v>40</v>
      </c>
      <c r="I3" s="80" t="s">
        <v>41</v>
      </c>
      <c r="J3" s="80" t="s">
        <v>42</v>
      </c>
      <c r="K3" s="80" t="s">
        <v>14</v>
      </c>
      <c r="L3" s="80"/>
      <c r="M3" s="80" t="s">
        <v>36</v>
      </c>
      <c r="N3" s="80" t="s">
        <v>37</v>
      </c>
      <c r="O3" s="80" t="s">
        <v>38</v>
      </c>
      <c r="P3" s="80" t="s">
        <v>39</v>
      </c>
      <c r="Q3" s="80" t="s">
        <v>40</v>
      </c>
      <c r="R3" s="80" t="s">
        <v>41</v>
      </c>
      <c r="S3" s="80" t="s">
        <v>42</v>
      </c>
      <c r="T3" s="80" t="s">
        <v>14</v>
      </c>
      <c r="U3" s="75"/>
      <c r="V3" s="80" t="s">
        <v>36</v>
      </c>
      <c r="W3" s="80" t="s">
        <v>37</v>
      </c>
      <c r="X3" s="80" t="s">
        <v>38</v>
      </c>
      <c r="Y3" s="80" t="s">
        <v>39</v>
      </c>
      <c r="Z3" s="80" t="s">
        <v>40</v>
      </c>
      <c r="AA3" s="80" t="s">
        <v>41</v>
      </c>
      <c r="AB3" s="80" t="s">
        <v>42</v>
      </c>
      <c r="AC3" s="80" t="s">
        <v>14</v>
      </c>
      <c r="AD3" s="75"/>
      <c r="AE3" s="80" t="s">
        <v>36</v>
      </c>
      <c r="AF3" s="80" t="s">
        <v>37</v>
      </c>
      <c r="AG3" s="80" t="s">
        <v>38</v>
      </c>
      <c r="AH3" s="80" t="s">
        <v>39</v>
      </c>
      <c r="AI3" s="80" t="s">
        <v>40</v>
      </c>
      <c r="AJ3" s="80" t="s">
        <v>41</v>
      </c>
      <c r="AK3" s="80" t="s">
        <v>42</v>
      </c>
      <c r="AL3" s="80" t="s">
        <v>14</v>
      </c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</row>
    <row r="4" spans="1:49" s="50" customFormat="1" ht="15" x14ac:dyDescent="0.25">
      <c r="A4" s="52" t="s">
        <v>10</v>
      </c>
      <c r="B4" s="81" t="s">
        <v>11</v>
      </c>
      <c r="C4" s="82"/>
      <c r="D4" s="83">
        <v>154510</v>
      </c>
      <c r="E4" s="83">
        <v>156360</v>
      </c>
      <c r="F4" s="83">
        <v>158455</v>
      </c>
      <c r="G4" s="83">
        <v>161092</v>
      </c>
      <c r="H4" s="83">
        <v>164900</v>
      </c>
      <c r="I4" s="83">
        <v>168937</v>
      </c>
      <c r="J4" s="83">
        <v>173186</v>
      </c>
      <c r="K4" s="83">
        <v>177255</v>
      </c>
      <c r="L4" s="83"/>
      <c r="M4" s="83">
        <v>1546194.5</v>
      </c>
      <c r="N4" s="83">
        <v>1561614</v>
      </c>
      <c r="O4" s="83">
        <v>1574318</v>
      </c>
      <c r="P4" s="83">
        <v>1586138</v>
      </c>
      <c r="Q4" s="83">
        <v>1596897.5</v>
      </c>
      <c r="R4" s="83">
        <v>1608734.5</v>
      </c>
      <c r="S4" s="83">
        <v>1621658.5</v>
      </c>
      <c r="T4" s="83">
        <v>1635052.5</v>
      </c>
      <c r="U4" s="84"/>
      <c r="V4" s="83">
        <v>849548.29330195289</v>
      </c>
      <c r="W4" s="83">
        <v>859722.30529925239</v>
      </c>
      <c r="X4" s="83">
        <v>869654.53679641755</v>
      </c>
      <c r="Y4" s="83">
        <v>878612.20779662021</v>
      </c>
      <c r="Z4" s="83">
        <v>886064.29272155382</v>
      </c>
      <c r="AA4" s="83">
        <v>895088.26980019733</v>
      </c>
      <c r="AB4" s="83">
        <v>903746.68839345104</v>
      </c>
      <c r="AC4" s="83">
        <v>919384.82389900391</v>
      </c>
      <c r="AD4" s="84"/>
      <c r="AE4" s="83">
        <v>799028</v>
      </c>
      <c r="AF4" s="83">
        <v>805190</v>
      </c>
      <c r="AG4" s="83">
        <v>814865</v>
      </c>
      <c r="AH4" s="83">
        <v>821578</v>
      </c>
      <c r="AI4" s="83">
        <v>825215</v>
      </c>
      <c r="AJ4" s="83">
        <v>834416</v>
      </c>
      <c r="AK4" s="83">
        <v>838385</v>
      </c>
      <c r="AL4" s="83">
        <v>844244</v>
      </c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</row>
    <row r="5" spans="1:49" s="50" customFormat="1" ht="15" x14ac:dyDescent="0.25">
      <c r="A5" s="52" t="s">
        <v>15</v>
      </c>
      <c r="B5" s="81" t="s">
        <v>12</v>
      </c>
      <c r="C5" s="82"/>
      <c r="D5" s="83">
        <v>4670.8136666666696</v>
      </c>
      <c r="E5" s="83">
        <v>4695.3999999999996</v>
      </c>
      <c r="F5" s="83">
        <v>4685.3999999999996</v>
      </c>
      <c r="G5" s="83">
        <v>4764.3999999999996</v>
      </c>
      <c r="H5" s="83">
        <v>4845.3999999999996</v>
      </c>
      <c r="I5" s="83">
        <v>4937.3999999999996</v>
      </c>
      <c r="J5" s="83">
        <v>5017.2</v>
      </c>
      <c r="K5" s="83">
        <v>5088.2</v>
      </c>
      <c r="L5" s="83"/>
      <c r="M5" s="83">
        <v>38742.394999999997</v>
      </c>
      <c r="N5" s="83">
        <v>38874.940199999997</v>
      </c>
      <c r="O5" s="83">
        <v>39223.906199999998</v>
      </c>
      <c r="P5" s="83">
        <v>39462.306199999992</v>
      </c>
      <c r="Q5" s="83">
        <v>39745.275499999996</v>
      </c>
      <c r="R5" s="83">
        <v>40272.423000000003</v>
      </c>
      <c r="S5" s="83">
        <v>40626.292999999998</v>
      </c>
      <c r="T5" s="83">
        <v>40963.506000000001</v>
      </c>
      <c r="U5" s="84"/>
      <c r="V5" s="83">
        <v>32432</v>
      </c>
      <c r="W5" s="83">
        <v>32832</v>
      </c>
      <c r="X5" s="83">
        <v>33299</v>
      </c>
      <c r="Y5" s="83">
        <v>33579</v>
      </c>
      <c r="Z5" s="83">
        <v>33817</v>
      </c>
      <c r="AA5" s="83">
        <v>34172</v>
      </c>
      <c r="AB5" s="83">
        <v>34568</v>
      </c>
      <c r="AC5" s="83">
        <v>35029</v>
      </c>
      <c r="AD5" s="84"/>
      <c r="AE5" s="83">
        <v>199551</v>
      </c>
      <c r="AF5" s="83">
        <v>189452</v>
      </c>
      <c r="AG5" s="83">
        <v>185829</v>
      </c>
      <c r="AH5" s="83">
        <v>187750</v>
      </c>
      <c r="AI5" s="83">
        <v>188634</v>
      </c>
      <c r="AJ5" s="83">
        <v>190592</v>
      </c>
      <c r="AK5" s="83">
        <v>190819</v>
      </c>
      <c r="AL5" s="83">
        <v>191107</v>
      </c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</row>
    <row r="6" spans="1:49" s="50" customFormat="1" ht="15" x14ac:dyDescent="0.25">
      <c r="A6" s="52" t="s">
        <v>151</v>
      </c>
      <c r="B6" s="81" t="s">
        <v>17</v>
      </c>
      <c r="C6" s="82"/>
      <c r="D6" s="83">
        <v>630.12</v>
      </c>
      <c r="E6" s="83">
        <v>610.67999999999995</v>
      </c>
      <c r="F6" s="83">
        <v>625.12800000000004</v>
      </c>
      <c r="G6" s="83">
        <v>615.16800000000001</v>
      </c>
      <c r="H6" s="83">
        <v>617.76</v>
      </c>
      <c r="I6" s="83">
        <v>620.80999999999995</v>
      </c>
      <c r="J6" s="83">
        <v>701.69200000000001</v>
      </c>
      <c r="K6" s="83">
        <v>697.803</v>
      </c>
      <c r="L6" s="83"/>
      <c r="M6" s="83">
        <v>6109.7635599999994</v>
      </c>
      <c r="N6" s="83">
        <v>6019.4088400000019</v>
      </c>
      <c r="O6" s="83">
        <v>6280.2569099999992</v>
      </c>
      <c r="P6" s="83">
        <v>6372.643</v>
      </c>
      <c r="Q6" s="83">
        <v>6305.1046800000004</v>
      </c>
      <c r="R6" s="83">
        <v>6555.2656999999999</v>
      </c>
      <c r="S6" s="83">
        <v>5958.1553700000004</v>
      </c>
      <c r="T6" s="83">
        <v>6004.7919040678617</v>
      </c>
      <c r="U6" s="84"/>
      <c r="V6" s="83">
        <v>3779.0286552165171</v>
      </c>
      <c r="W6" s="83">
        <v>3704.4117377395846</v>
      </c>
      <c r="X6" s="83">
        <v>3690.1265355056503</v>
      </c>
      <c r="Y6" s="83">
        <v>4004.2594068622934</v>
      </c>
      <c r="Z6" s="83">
        <v>3928.5643727093911</v>
      </c>
      <c r="AA6" s="83">
        <v>4162.0593220702658</v>
      </c>
      <c r="AB6" s="83">
        <v>3377.3132282157821</v>
      </c>
      <c r="AC6" s="83">
        <v>3825.0089998997355</v>
      </c>
      <c r="AD6" s="84"/>
      <c r="AE6" s="83">
        <v>2473.7940716784001</v>
      </c>
      <c r="AF6" s="83">
        <v>2586.2495781620114</v>
      </c>
      <c r="AG6" s="83">
        <v>2558.2119877434948</v>
      </c>
      <c r="AH6" s="83">
        <v>2589.0927531859411</v>
      </c>
      <c r="AI6" s="83">
        <v>2589.9727824338265</v>
      </c>
      <c r="AJ6" s="83">
        <v>2541.7860612408399</v>
      </c>
      <c r="AK6" s="83">
        <v>2462.9661823770557</v>
      </c>
      <c r="AL6" s="83">
        <v>2562.8678676928703</v>
      </c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</row>
    <row r="7" spans="1:49" s="50" customFormat="1" ht="15" x14ac:dyDescent="0.25">
      <c r="A7" s="52" t="s">
        <v>16</v>
      </c>
      <c r="B7" s="81" t="s">
        <v>17</v>
      </c>
      <c r="C7" s="82"/>
      <c r="D7" s="85">
        <f>MAX(D6)</f>
        <v>630.12</v>
      </c>
      <c r="E7" s="85">
        <f>MAX(D7,E6)</f>
        <v>630.12</v>
      </c>
      <c r="F7" s="85">
        <f t="shared" ref="F7:K7" si="0">MAX(E7,F6)</f>
        <v>630.12</v>
      </c>
      <c r="G7" s="85">
        <f t="shared" si="0"/>
        <v>630.12</v>
      </c>
      <c r="H7" s="85">
        <f t="shared" si="0"/>
        <v>630.12</v>
      </c>
      <c r="I7" s="85">
        <f t="shared" si="0"/>
        <v>630.12</v>
      </c>
      <c r="J7" s="85">
        <f t="shared" si="0"/>
        <v>701.69200000000001</v>
      </c>
      <c r="K7" s="85">
        <f t="shared" si="0"/>
        <v>701.69200000000001</v>
      </c>
      <c r="L7" s="87"/>
      <c r="M7" s="85">
        <f>MAX(M6)</f>
        <v>6109.7635599999994</v>
      </c>
      <c r="N7" s="85">
        <f>MAX(M7,N6)</f>
        <v>6109.7635599999994</v>
      </c>
      <c r="O7" s="85">
        <f t="shared" ref="O7:T7" si="1">MAX(N7,O6)</f>
        <v>6280.2569099999992</v>
      </c>
      <c r="P7" s="85">
        <f t="shared" si="1"/>
        <v>6372.643</v>
      </c>
      <c r="Q7" s="85">
        <f t="shared" si="1"/>
        <v>6372.643</v>
      </c>
      <c r="R7" s="85">
        <f t="shared" si="1"/>
        <v>6555.2656999999999</v>
      </c>
      <c r="S7" s="85">
        <f t="shared" si="1"/>
        <v>6555.2656999999999</v>
      </c>
      <c r="T7" s="85">
        <f t="shared" si="1"/>
        <v>6555.2656999999999</v>
      </c>
      <c r="U7" s="86"/>
      <c r="V7" s="85">
        <f>MAX(V6)</f>
        <v>3779.0286552165171</v>
      </c>
      <c r="W7" s="85">
        <f>MAX(V7,W6)</f>
        <v>3779.0286552165171</v>
      </c>
      <c r="X7" s="85">
        <f t="shared" ref="X7:AC7" si="2">MAX(W7,X6)</f>
        <v>3779.0286552165171</v>
      </c>
      <c r="Y7" s="85">
        <f t="shared" si="2"/>
        <v>4004.2594068622934</v>
      </c>
      <c r="Z7" s="85">
        <f t="shared" si="2"/>
        <v>4004.2594068622934</v>
      </c>
      <c r="AA7" s="85">
        <f t="shared" si="2"/>
        <v>4162.0593220702658</v>
      </c>
      <c r="AB7" s="85">
        <f t="shared" si="2"/>
        <v>4162.0593220702658</v>
      </c>
      <c r="AC7" s="85">
        <f t="shared" si="2"/>
        <v>4162.0593220702658</v>
      </c>
      <c r="AD7" s="86"/>
      <c r="AE7" s="85">
        <f>MAX(AE6)</f>
        <v>2473.7940716784001</v>
      </c>
      <c r="AF7" s="85">
        <f>MAX(AE7,AF6)</f>
        <v>2586.2495781620114</v>
      </c>
      <c r="AG7" s="85">
        <f t="shared" ref="AG7:AL7" si="3">MAX(AF7,AG6)</f>
        <v>2586.2495781620114</v>
      </c>
      <c r="AH7" s="85">
        <f t="shared" si="3"/>
        <v>2589.0927531859411</v>
      </c>
      <c r="AI7" s="85">
        <f t="shared" si="3"/>
        <v>2589.9727824338265</v>
      </c>
      <c r="AJ7" s="85">
        <f t="shared" si="3"/>
        <v>2589.9727824338265</v>
      </c>
      <c r="AK7" s="85">
        <f t="shared" si="3"/>
        <v>2589.9727824338265</v>
      </c>
      <c r="AL7" s="85">
        <f t="shared" si="3"/>
        <v>2589.9727824338265</v>
      </c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</row>
    <row r="8" spans="1:49" s="50" customFormat="1" ht="15" x14ac:dyDescent="0.25">
      <c r="A8" s="52" t="s">
        <v>18</v>
      </c>
      <c r="B8" s="81" t="s">
        <v>12</v>
      </c>
      <c r="C8" s="82"/>
      <c r="D8" s="83">
        <v>2249.7470000000003</v>
      </c>
      <c r="E8" s="83">
        <v>2283</v>
      </c>
      <c r="F8" s="83">
        <v>2283</v>
      </c>
      <c r="G8" s="83">
        <v>2370</v>
      </c>
      <c r="H8" s="83">
        <v>2456</v>
      </c>
      <c r="I8" s="83">
        <v>2535</v>
      </c>
      <c r="J8" s="83">
        <v>2614</v>
      </c>
      <c r="K8" s="83">
        <v>2694</v>
      </c>
      <c r="L8" s="83"/>
      <c r="M8" s="83">
        <v>12633.594999999999</v>
      </c>
      <c r="N8" s="83">
        <v>12990.440200000001</v>
      </c>
      <c r="O8" s="83">
        <v>13237.806200000001</v>
      </c>
      <c r="P8" s="83">
        <v>13528.306199999999</v>
      </c>
      <c r="Q8" s="83">
        <v>13778.575500000001</v>
      </c>
      <c r="R8" s="83">
        <v>14133.723</v>
      </c>
      <c r="S8" s="83">
        <v>14541.592999999999</v>
      </c>
      <c r="T8" s="83">
        <v>14891.606000000002</v>
      </c>
      <c r="U8" s="84"/>
      <c r="V8" s="83">
        <v>9045</v>
      </c>
      <c r="W8" s="83">
        <v>9423</v>
      </c>
      <c r="X8" s="83">
        <v>9859</v>
      </c>
      <c r="Y8" s="83">
        <v>10136</v>
      </c>
      <c r="Z8" s="83">
        <v>10386</v>
      </c>
      <c r="AA8" s="83">
        <v>10761</v>
      </c>
      <c r="AB8" s="83">
        <v>11151</v>
      </c>
      <c r="AC8" s="83">
        <v>11617</v>
      </c>
      <c r="AD8" s="84"/>
      <c r="AE8" s="83">
        <v>5166</v>
      </c>
      <c r="AF8" s="83">
        <v>6039</v>
      </c>
      <c r="AG8" s="83">
        <v>5954</v>
      </c>
      <c r="AH8" s="83">
        <v>5989</v>
      </c>
      <c r="AI8" s="83">
        <v>6203</v>
      </c>
      <c r="AJ8" s="83">
        <v>7066</v>
      </c>
      <c r="AK8" s="83">
        <v>7365</v>
      </c>
      <c r="AL8" s="83">
        <v>7607</v>
      </c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</row>
    <row r="9" spans="1:49" s="50" customFormat="1" ht="15" x14ac:dyDescent="0.25">
      <c r="A9" s="52" t="s">
        <v>19</v>
      </c>
      <c r="B9" s="81" t="s">
        <v>20</v>
      </c>
      <c r="C9" s="82"/>
      <c r="D9" s="88">
        <f t="shared" ref="D9:K9" si="4">D8/D5</f>
        <v>0.48166061858886661</v>
      </c>
      <c r="E9" s="88">
        <f t="shared" si="4"/>
        <v>0.48622055628913408</v>
      </c>
      <c r="F9" s="88">
        <f t="shared" si="4"/>
        <v>0.48725829171468821</v>
      </c>
      <c r="G9" s="88">
        <f t="shared" si="4"/>
        <v>0.49743934178490473</v>
      </c>
      <c r="H9" s="88">
        <f t="shared" si="4"/>
        <v>0.50687249762661502</v>
      </c>
      <c r="I9" s="88">
        <f t="shared" si="4"/>
        <v>0.51342812006319116</v>
      </c>
      <c r="J9" s="88">
        <f t="shared" si="4"/>
        <v>0.52100773339711393</v>
      </c>
      <c r="K9" s="88">
        <f t="shared" si="4"/>
        <v>0.52946031995597664</v>
      </c>
      <c r="L9" s="88"/>
      <c r="M9" s="88">
        <f t="shared" ref="M9:T9" si="5">M8/M5</f>
        <v>0.32609225629959121</v>
      </c>
      <c r="N9" s="88">
        <f t="shared" si="5"/>
        <v>0.33415974746631255</v>
      </c>
      <c r="O9" s="88">
        <f t="shared" si="5"/>
        <v>0.33749331676710981</v>
      </c>
      <c r="P9" s="88">
        <f t="shared" si="5"/>
        <v>0.34281590466195311</v>
      </c>
      <c r="Q9" s="88">
        <f t="shared" si="5"/>
        <v>0.34667203401319996</v>
      </c>
      <c r="R9" s="88">
        <f t="shared" si="5"/>
        <v>0.35095288406163194</v>
      </c>
      <c r="S9" s="88">
        <f t="shared" si="5"/>
        <v>0.35793551235403143</v>
      </c>
      <c r="T9" s="88">
        <f t="shared" si="5"/>
        <v>0.36353348270531338</v>
      </c>
      <c r="U9" s="86"/>
      <c r="V9" s="88">
        <f t="shared" ref="V9:AC9" si="6">V8/V5</f>
        <v>0.27889121854958066</v>
      </c>
      <c r="W9" s="88">
        <f t="shared" si="6"/>
        <v>0.28700657894736842</v>
      </c>
      <c r="X9" s="88">
        <f t="shared" si="6"/>
        <v>0.29607495720592208</v>
      </c>
      <c r="Y9" s="88">
        <f t="shared" si="6"/>
        <v>0.30185532624557015</v>
      </c>
      <c r="Z9" s="88">
        <f t="shared" si="6"/>
        <v>0.30712363604104442</v>
      </c>
      <c r="AA9" s="88">
        <f t="shared" si="6"/>
        <v>0.31490694135549574</v>
      </c>
      <c r="AB9" s="88">
        <f t="shared" si="6"/>
        <v>0.32258157833834761</v>
      </c>
      <c r="AC9" s="88">
        <f t="shared" si="6"/>
        <v>0.33163949870107623</v>
      </c>
      <c r="AD9" s="86"/>
      <c r="AE9" s="89">
        <f t="shared" ref="AE9:AL9" si="7">AE8/AE5</f>
        <v>2.5888118826766091E-2</v>
      </c>
      <c r="AF9" s="89">
        <f t="shared" si="7"/>
        <v>3.1876148048054387E-2</v>
      </c>
      <c r="AG9" s="89">
        <f t="shared" si="7"/>
        <v>3.2040209009358063E-2</v>
      </c>
      <c r="AH9" s="89">
        <f t="shared" si="7"/>
        <v>3.1898801597869508E-2</v>
      </c>
      <c r="AI9" s="89">
        <f t="shared" si="7"/>
        <v>3.2883785531770515E-2</v>
      </c>
      <c r="AJ9" s="89">
        <f t="shared" si="7"/>
        <v>3.7073959032907992E-2</v>
      </c>
      <c r="AK9" s="89">
        <f t="shared" si="7"/>
        <v>3.8596785435412617E-2</v>
      </c>
      <c r="AL9" s="88">
        <f t="shared" si="7"/>
        <v>3.9804926036199617E-2</v>
      </c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</row>
    <row r="10" spans="1:49" s="50" customFormat="1" ht="15" x14ac:dyDescent="0.25">
      <c r="A10" s="52" t="s">
        <v>46</v>
      </c>
      <c r="B10" s="81" t="s">
        <v>163</v>
      </c>
      <c r="C10" s="82"/>
      <c r="D10" s="90">
        <v>38584.391609999999</v>
      </c>
      <c r="E10" s="90">
        <v>40476.730379999994</v>
      </c>
      <c r="F10" s="90">
        <v>44743.932989999987</v>
      </c>
      <c r="G10" s="90">
        <v>47098.053659999983</v>
      </c>
      <c r="H10" s="90">
        <v>54590.084506692961</v>
      </c>
      <c r="I10" s="90">
        <v>64027.675382596419</v>
      </c>
      <c r="J10" s="90">
        <v>68399.112348299692</v>
      </c>
      <c r="K10" s="90">
        <v>74420.596244815009</v>
      </c>
      <c r="L10" s="84"/>
      <c r="M10" s="90">
        <v>357834.49621930806</v>
      </c>
      <c r="N10" s="90">
        <v>316522.99188389262</v>
      </c>
      <c r="O10" s="90">
        <v>467809.122173907</v>
      </c>
      <c r="P10" s="90">
        <v>441027.33814656845</v>
      </c>
      <c r="Q10" s="90">
        <v>511184.26885726338</v>
      </c>
      <c r="R10" s="90">
        <v>506684.85404769256</v>
      </c>
      <c r="S10" s="90">
        <v>577601.09550643899</v>
      </c>
      <c r="T10" s="90">
        <v>471121.68333051458</v>
      </c>
      <c r="U10" s="84"/>
      <c r="V10" s="90">
        <v>156824.91789216295</v>
      </c>
      <c r="W10" s="90">
        <v>176841.3944329306</v>
      </c>
      <c r="X10" s="90">
        <v>224408.06001672792</v>
      </c>
      <c r="Y10" s="90">
        <v>214131.3002650959</v>
      </c>
      <c r="Z10" s="90">
        <v>210431.13798086444</v>
      </c>
      <c r="AA10" s="90">
        <v>229554.29065953355</v>
      </c>
      <c r="AB10" s="90">
        <v>240838.12724750844</v>
      </c>
      <c r="AC10" s="90">
        <v>222645.27398422692</v>
      </c>
      <c r="AD10" s="84"/>
      <c r="AE10" s="92">
        <v>198507.61938633333</v>
      </c>
      <c r="AF10" s="92">
        <v>249199.63407413961</v>
      </c>
      <c r="AG10" s="92">
        <v>304612.2862615065</v>
      </c>
      <c r="AH10" s="92">
        <v>296582.8497940221</v>
      </c>
      <c r="AI10" s="92">
        <v>324946.11771999992</v>
      </c>
      <c r="AJ10" s="92">
        <v>336208.00537622103</v>
      </c>
      <c r="AK10" s="92">
        <v>429455.71274000162</v>
      </c>
      <c r="AL10" s="92">
        <v>401260.42950844712</v>
      </c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</row>
    <row r="11" spans="1:49" s="50" customFormat="1" ht="15" x14ac:dyDescent="0.25">
      <c r="A11" s="52" t="s">
        <v>47</v>
      </c>
      <c r="B11" s="81" t="s">
        <v>152</v>
      </c>
      <c r="C11" s="82"/>
      <c r="D11" s="91">
        <v>1</v>
      </c>
      <c r="E11" s="91">
        <v>1.0454920667118421</v>
      </c>
      <c r="F11" s="91">
        <v>1.0872685754040716</v>
      </c>
      <c r="G11" s="91">
        <v>1.1321182044122251</v>
      </c>
      <c r="H11" s="91">
        <v>1.1595757908082607</v>
      </c>
      <c r="I11" s="91">
        <v>1.2029164834408892</v>
      </c>
      <c r="J11" s="91">
        <v>1.2422205593852655</v>
      </c>
      <c r="K11" s="91">
        <v>1.2833501132995373</v>
      </c>
      <c r="L11" s="84"/>
      <c r="M11" s="93">
        <f t="shared" ref="M11:T11" si="8">D11</f>
        <v>1</v>
      </c>
      <c r="N11" s="93">
        <f t="shared" si="8"/>
        <v>1.0454920667118421</v>
      </c>
      <c r="O11" s="93">
        <f t="shared" si="8"/>
        <v>1.0872685754040716</v>
      </c>
      <c r="P11" s="93">
        <f t="shared" si="8"/>
        <v>1.1321182044122251</v>
      </c>
      <c r="Q11" s="93">
        <f t="shared" si="8"/>
        <v>1.1595757908082607</v>
      </c>
      <c r="R11" s="93">
        <f t="shared" si="8"/>
        <v>1.2029164834408892</v>
      </c>
      <c r="S11" s="93">
        <f t="shared" si="8"/>
        <v>1.2422205593852655</v>
      </c>
      <c r="T11" s="91">
        <f t="shared" si="8"/>
        <v>1.2833501132995373</v>
      </c>
      <c r="U11" s="84"/>
      <c r="V11" s="93">
        <f t="shared" ref="V11:AC11" si="9">M11</f>
        <v>1</v>
      </c>
      <c r="W11" s="93">
        <f t="shared" si="9"/>
        <v>1.0454920667118421</v>
      </c>
      <c r="X11" s="93">
        <f t="shared" si="9"/>
        <v>1.0872685754040716</v>
      </c>
      <c r="Y11" s="93">
        <f t="shared" si="9"/>
        <v>1.1321182044122251</v>
      </c>
      <c r="Z11" s="93">
        <f t="shared" si="9"/>
        <v>1.1595757908082607</v>
      </c>
      <c r="AA11" s="93">
        <f t="shared" si="9"/>
        <v>1.2029164834408892</v>
      </c>
      <c r="AB11" s="93">
        <f t="shared" si="9"/>
        <v>1.2422205593852655</v>
      </c>
      <c r="AC11" s="91">
        <f t="shared" si="9"/>
        <v>1.2833501132995373</v>
      </c>
      <c r="AD11" s="84"/>
      <c r="AE11" s="93">
        <f t="shared" ref="AE11:AL11" si="10">V11</f>
        <v>1</v>
      </c>
      <c r="AF11" s="93">
        <f t="shared" si="10"/>
        <v>1.0454920667118421</v>
      </c>
      <c r="AG11" s="93">
        <f t="shared" si="10"/>
        <v>1.0872685754040716</v>
      </c>
      <c r="AH11" s="93">
        <f t="shared" si="10"/>
        <v>1.1321182044122251</v>
      </c>
      <c r="AI11" s="93">
        <f t="shared" si="10"/>
        <v>1.1595757908082607</v>
      </c>
      <c r="AJ11" s="93">
        <f t="shared" si="10"/>
        <v>1.2029164834408892</v>
      </c>
      <c r="AK11" s="93">
        <f t="shared" si="10"/>
        <v>1.2422205593852655</v>
      </c>
      <c r="AL11" s="91">
        <f t="shared" si="10"/>
        <v>1.2833501132995373</v>
      </c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</row>
    <row r="12" spans="1:49" s="50" customFormat="1" ht="15" x14ac:dyDescent="0.25">
      <c r="A12" s="52" t="s">
        <v>48</v>
      </c>
      <c r="B12" s="81" t="s">
        <v>49</v>
      </c>
      <c r="C12" s="82"/>
      <c r="D12" s="94"/>
      <c r="E12" s="95">
        <f>E11/D11-1</f>
        <v>4.5492066711842138E-2</v>
      </c>
      <c r="F12" s="95">
        <f t="shared" ref="F12:K12" si="11">F11/E11-1</f>
        <v>3.9958704635244091E-2</v>
      </c>
      <c r="G12" s="95">
        <f t="shared" si="11"/>
        <v>4.1249816303653875E-2</v>
      </c>
      <c r="H12" s="95">
        <f t="shared" si="11"/>
        <v>2.4253285822120496E-2</v>
      </c>
      <c r="I12" s="95">
        <f t="shared" si="11"/>
        <v>3.7376334497651653E-2</v>
      </c>
      <c r="J12" s="95">
        <f t="shared" si="11"/>
        <v>3.2673985671847205E-2</v>
      </c>
      <c r="K12" s="96">
        <f t="shared" si="11"/>
        <v>3.310970310668937E-2</v>
      </c>
      <c r="L12" s="86"/>
      <c r="M12" s="94"/>
      <c r="N12" s="95">
        <f t="shared" ref="N12:T12" si="12">N11/M11-1</f>
        <v>4.5492066711842138E-2</v>
      </c>
      <c r="O12" s="95">
        <f t="shared" si="12"/>
        <v>3.9958704635244091E-2</v>
      </c>
      <c r="P12" s="95">
        <f t="shared" si="12"/>
        <v>4.1249816303653875E-2</v>
      </c>
      <c r="Q12" s="95">
        <f t="shared" si="12"/>
        <v>2.4253285822120496E-2</v>
      </c>
      <c r="R12" s="95">
        <f t="shared" si="12"/>
        <v>3.7376334497651653E-2</v>
      </c>
      <c r="S12" s="95">
        <f t="shared" si="12"/>
        <v>3.2673985671847205E-2</v>
      </c>
      <c r="T12" s="96">
        <f t="shared" si="12"/>
        <v>3.310970310668937E-2</v>
      </c>
      <c r="U12" s="86"/>
      <c r="V12" s="94"/>
      <c r="W12" s="95">
        <f t="shared" ref="W12:AC12" si="13">W11/V11-1</f>
        <v>4.5492066711842138E-2</v>
      </c>
      <c r="X12" s="95">
        <f t="shared" si="13"/>
        <v>3.9958704635244091E-2</v>
      </c>
      <c r="Y12" s="95">
        <f t="shared" si="13"/>
        <v>4.1249816303653875E-2</v>
      </c>
      <c r="Z12" s="95">
        <f t="shared" si="13"/>
        <v>2.4253285822120496E-2</v>
      </c>
      <c r="AA12" s="95">
        <f t="shared" si="13"/>
        <v>3.7376334497651653E-2</v>
      </c>
      <c r="AB12" s="95">
        <f t="shared" si="13"/>
        <v>3.2673985671847205E-2</v>
      </c>
      <c r="AC12" s="96">
        <f t="shared" si="13"/>
        <v>3.310970310668937E-2</v>
      </c>
      <c r="AD12" s="86"/>
      <c r="AE12" s="94"/>
      <c r="AF12" s="95">
        <f t="shared" ref="AF12:AL12" si="14">AF11/AE11-1</f>
        <v>4.5492066711842138E-2</v>
      </c>
      <c r="AG12" s="95">
        <f t="shared" si="14"/>
        <v>3.9958704635244091E-2</v>
      </c>
      <c r="AH12" s="95">
        <f t="shared" si="14"/>
        <v>4.1249816303653875E-2</v>
      </c>
      <c r="AI12" s="95">
        <f t="shared" si="14"/>
        <v>2.4253285822120496E-2</v>
      </c>
      <c r="AJ12" s="95">
        <f t="shared" si="14"/>
        <v>3.7376334497651653E-2</v>
      </c>
      <c r="AK12" s="95">
        <f t="shared" si="14"/>
        <v>3.2673985671847205E-2</v>
      </c>
      <c r="AL12" s="96">
        <f t="shared" si="14"/>
        <v>3.310970310668937E-2</v>
      </c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</row>
    <row r="13" spans="1:49" s="50" customFormat="1" ht="15" x14ac:dyDescent="0.25">
      <c r="A13" s="52" t="s">
        <v>50</v>
      </c>
      <c r="B13" s="81" t="s">
        <v>164</v>
      </c>
      <c r="C13" s="82"/>
      <c r="D13" s="97">
        <f>D10/D11*$K11</f>
        <v>49517.283344287214</v>
      </c>
      <c r="E13" s="97">
        <f t="shared" ref="E13:K13" si="15">E10/E11*$K11</f>
        <v>49685.519549222066</v>
      </c>
      <c r="F13" s="97">
        <f t="shared" si="15"/>
        <v>52813.19884633203</v>
      </c>
      <c r="G13" s="97">
        <f t="shared" si="15"/>
        <v>53389.559734294446</v>
      </c>
      <c r="H13" s="97">
        <f t="shared" si="15"/>
        <v>60417.086741577259</v>
      </c>
      <c r="I13" s="97">
        <f t="shared" si="15"/>
        <v>68308.918854879841</v>
      </c>
      <c r="J13" s="97">
        <f t="shared" si="15"/>
        <v>70663.786650912982</v>
      </c>
      <c r="K13" s="98">
        <f t="shared" si="15"/>
        <v>74420.596244815009</v>
      </c>
      <c r="L13" s="86"/>
      <c r="M13" s="97">
        <f>M10/M11*$K11</f>
        <v>459226.94126553187</v>
      </c>
      <c r="N13" s="97">
        <f t="shared" ref="N13:T13" si="16">N10/N11*$K11</f>
        <v>388534.57661679358</v>
      </c>
      <c r="O13" s="97">
        <f t="shared" si="16"/>
        <v>552175.33507884399</v>
      </c>
      <c r="P13" s="97">
        <f t="shared" si="16"/>
        <v>499941.15647353703</v>
      </c>
      <c r="Q13" s="97">
        <f t="shared" si="16"/>
        <v>565748.60785739392</v>
      </c>
      <c r="R13" s="97">
        <f t="shared" si="16"/>
        <v>540564.59762629808</v>
      </c>
      <c r="S13" s="97">
        <f t="shared" si="16"/>
        <v>596725.29629275575</v>
      </c>
      <c r="T13" s="98">
        <f t="shared" si="16"/>
        <v>471121.68333051464</v>
      </c>
      <c r="U13" s="86"/>
      <c r="V13" s="97">
        <f>V10/V11*$K11</f>
        <v>201261.27614509795</v>
      </c>
      <c r="W13" s="97">
        <f t="shared" ref="W13:AC13" si="17">W10/W11*$K11</f>
        <v>217074.26656552652</v>
      </c>
      <c r="X13" s="97">
        <f t="shared" si="17"/>
        <v>264878.53669528454</v>
      </c>
      <c r="Y13" s="97">
        <f t="shared" si="17"/>
        <v>242735.63253835493</v>
      </c>
      <c r="Z13" s="97">
        <f t="shared" si="17"/>
        <v>232892.77588423513</v>
      </c>
      <c r="AA13" s="97">
        <f t="shared" si="17"/>
        <v>244903.55646604934</v>
      </c>
      <c r="AB13" s="97">
        <f t="shared" si="17"/>
        <v>248812.2061374445</v>
      </c>
      <c r="AC13" s="98">
        <f t="shared" si="17"/>
        <v>222645.27398422692</v>
      </c>
      <c r="AD13" s="86"/>
      <c r="AE13" s="97">
        <f>AE10/AE11*$K11</f>
        <v>254754.77583027229</v>
      </c>
      <c r="AF13" s="97">
        <f t="shared" ref="AF13:AL13" si="18">AF10/AF11*$K11</f>
        <v>305894.60102655779</v>
      </c>
      <c r="AG13" s="97">
        <f t="shared" si="18"/>
        <v>359547.05298169097</v>
      </c>
      <c r="AH13" s="97">
        <f t="shared" si="18"/>
        <v>336201.31926371471</v>
      </c>
      <c r="AI13" s="97">
        <f t="shared" si="18"/>
        <v>359631.20332266588</v>
      </c>
      <c r="AJ13" s="97">
        <f t="shared" si="18"/>
        <v>358688.72671656846</v>
      </c>
      <c r="AK13" s="97">
        <f t="shared" si="18"/>
        <v>443674.86388629471</v>
      </c>
      <c r="AL13" s="98">
        <f t="shared" si="18"/>
        <v>401260.42950844712</v>
      </c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</row>
    <row r="14" spans="1:49" s="50" customFormat="1" ht="15" x14ac:dyDescent="0.25">
      <c r="A14" s="58"/>
      <c r="B14" s="99"/>
      <c r="C14" s="100"/>
      <c r="D14" s="101"/>
      <c r="E14" s="101"/>
      <c r="F14" s="101"/>
      <c r="G14" s="101"/>
      <c r="H14" s="101"/>
      <c r="I14" s="101"/>
      <c r="J14" s="101"/>
      <c r="K14" s="101"/>
      <c r="L14" s="103"/>
      <c r="M14" s="101"/>
      <c r="N14" s="101"/>
      <c r="O14" s="101"/>
      <c r="P14" s="101"/>
      <c r="Q14" s="101"/>
      <c r="R14" s="101"/>
      <c r="S14" s="101"/>
      <c r="T14" s="101"/>
      <c r="U14" s="103"/>
      <c r="V14" s="103"/>
      <c r="W14" s="103"/>
      <c r="X14" s="103"/>
      <c r="Y14" s="103"/>
      <c r="Z14" s="103"/>
      <c r="AA14" s="103"/>
      <c r="AB14" s="103"/>
      <c r="AC14" s="102"/>
      <c r="AD14" s="103"/>
      <c r="AE14" s="103"/>
      <c r="AF14" s="103"/>
      <c r="AG14" s="103"/>
      <c r="AH14" s="103"/>
      <c r="AI14" s="103"/>
      <c r="AJ14" s="103"/>
      <c r="AK14" s="103"/>
      <c r="AL14" s="102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</row>
    <row r="15" spans="1:49" s="50" customFormat="1" ht="15" x14ac:dyDescent="0.25">
      <c r="A15" s="58"/>
      <c r="B15" s="99"/>
      <c r="C15" s="100"/>
      <c r="D15" s="101"/>
      <c r="E15" s="101"/>
      <c r="F15" s="101"/>
      <c r="G15" s="101"/>
      <c r="H15" s="101"/>
      <c r="I15" s="101"/>
      <c r="J15" s="101"/>
      <c r="K15" s="101"/>
      <c r="L15" s="103"/>
      <c r="M15" s="101"/>
      <c r="N15" s="101"/>
      <c r="O15" s="101"/>
      <c r="P15" s="101"/>
      <c r="Q15" s="101"/>
      <c r="R15" s="101"/>
      <c r="S15" s="101"/>
      <c r="T15" s="101"/>
      <c r="U15" s="103"/>
      <c r="V15" s="103"/>
      <c r="W15" s="103"/>
      <c r="X15" s="103"/>
      <c r="Y15" s="103"/>
      <c r="Z15" s="103"/>
      <c r="AA15" s="103"/>
      <c r="AB15" s="103"/>
      <c r="AC15" s="102"/>
      <c r="AD15" s="103"/>
      <c r="AE15" s="103"/>
      <c r="AF15" s="103"/>
      <c r="AG15" s="103"/>
      <c r="AH15" s="103"/>
      <c r="AI15" s="103"/>
      <c r="AJ15" s="103"/>
      <c r="AK15" s="103"/>
      <c r="AL15" s="102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</row>
    <row r="16" spans="1:49" s="50" customFormat="1" ht="15" x14ac:dyDescent="0.25"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</row>
    <row r="17" spans="1:49" s="50" customFormat="1" ht="15" x14ac:dyDescent="0.25">
      <c r="A17" s="77" t="s">
        <v>13</v>
      </c>
      <c r="C17" s="75"/>
      <c r="D17" s="75"/>
      <c r="E17" s="75"/>
      <c r="F17" s="104" t="s">
        <v>51</v>
      </c>
      <c r="G17" s="75"/>
      <c r="H17" s="75"/>
      <c r="I17" s="75"/>
      <c r="J17" s="104"/>
      <c r="K17" s="104" t="s">
        <v>52</v>
      </c>
      <c r="L17" s="75"/>
      <c r="M17" s="75"/>
      <c r="N17" s="75"/>
      <c r="O17" s="104" t="s">
        <v>51</v>
      </c>
      <c r="P17" s="75"/>
      <c r="Q17" s="75"/>
      <c r="R17" s="75"/>
      <c r="S17" s="104"/>
      <c r="T17" s="104" t="s">
        <v>52</v>
      </c>
      <c r="U17" s="75"/>
      <c r="V17" s="75"/>
      <c r="W17" s="75"/>
      <c r="X17" s="104" t="s">
        <v>51</v>
      </c>
      <c r="Y17" s="75"/>
      <c r="Z17" s="75"/>
      <c r="AA17" s="75"/>
      <c r="AB17" s="104"/>
      <c r="AC17" s="104" t="s">
        <v>52</v>
      </c>
      <c r="AD17" s="75"/>
      <c r="AE17" s="75"/>
      <c r="AF17" s="75"/>
      <c r="AG17" s="104" t="s">
        <v>51</v>
      </c>
      <c r="AH17" s="75"/>
      <c r="AI17" s="75"/>
      <c r="AJ17" s="75"/>
      <c r="AK17" s="104"/>
      <c r="AL17" s="104" t="s">
        <v>52</v>
      </c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</row>
    <row r="18" spans="1:49" s="50" customFormat="1" ht="15" x14ac:dyDescent="0.25">
      <c r="A18" s="52" t="s">
        <v>10</v>
      </c>
      <c r="C18" s="75"/>
      <c r="D18" s="86"/>
      <c r="E18" s="86"/>
      <c r="F18" s="105">
        <f>AVERAGE(D4:K4)</f>
        <v>164336.875</v>
      </c>
      <c r="G18" s="106"/>
      <c r="H18" s="106"/>
      <c r="I18" s="106"/>
      <c r="J18" s="106"/>
      <c r="K18" s="106">
        <f>LN(K4/AVERAGE($D4:K4))</f>
        <v>7.5670936892605345E-2</v>
      </c>
      <c r="L18" s="107"/>
      <c r="M18" s="86"/>
      <c r="N18" s="86"/>
      <c r="O18" s="105">
        <f>AVERAGE(M4:T4)</f>
        <v>1591325.9375</v>
      </c>
      <c r="P18" s="86"/>
      <c r="Q18" s="107"/>
      <c r="R18" s="107"/>
      <c r="S18" s="107"/>
      <c r="T18" s="107">
        <f>LN(T4/AVERAGE($M4:T4))</f>
        <v>2.7107322257885057E-2</v>
      </c>
      <c r="U18" s="86"/>
      <c r="V18" s="86"/>
      <c r="W18" s="86"/>
      <c r="X18" s="105">
        <f>AVERAGE(V4:AC4)</f>
        <v>882727.67725105619</v>
      </c>
      <c r="Y18" s="86"/>
      <c r="Z18" s="107"/>
      <c r="AA18" s="107"/>
      <c r="AB18" s="107"/>
      <c r="AC18" s="107">
        <f>LN(AC4/AVERAGE($V4:AC4))</f>
        <v>4.06880299560477E-2</v>
      </c>
      <c r="AD18" s="86"/>
      <c r="AE18" s="86"/>
      <c r="AF18" s="86"/>
      <c r="AG18" s="105">
        <f>AVERAGE(AE4:AL4)</f>
        <v>822865.125</v>
      </c>
      <c r="AH18" s="86"/>
      <c r="AI18" s="107"/>
      <c r="AJ18" s="107"/>
      <c r="AK18" s="107"/>
      <c r="AL18" s="107">
        <f>LN(AL4/AVERAGE($AE4:AL4))</f>
        <v>2.564924723240072E-2</v>
      </c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</row>
    <row r="19" spans="1:49" s="50" customFormat="1" ht="15" x14ac:dyDescent="0.25">
      <c r="A19" s="52" t="s">
        <v>15</v>
      </c>
      <c r="C19" s="75"/>
      <c r="D19" s="86"/>
      <c r="E19" s="86"/>
      <c r="F19" s="105">
        <f>AVERAGE(D5:K5)</f>
        <v>4838.0267083333329</v>
      </c>
      <c r="G19" s="106"/>
      <c r="H19" s="106"/>
      <c r="I19" s="106"/>
      <c r="J19" s="106"/>
      <c r="K19" s="106">
        <f>LN(K5/AVERAGE($D5:K5))</f>
        <v>5.0417200736878019E-2</v>
      </c>
      <c r="L19" s="107"/>
      <c r="M19" s="86"/>
      <c r="N19" s="86"/>
      <c r="O19" s="105">
        <f>AVERAGE(M5:T5)</f>
        <v>39738.880637499999</v>
      </c>
      <c r="P19" s="86"/>
      <c r="Q19" s="107"/>
      <c r="R19" s="107"/>
      <c r="S19" s="107"/>
      <c r="T19" s="107">
        <f>LN(T5/AVERAGE($M5:T5))</f>
        <v>3.0351503193273434E-2</v>
      </c>
      <c r="U19" s="86"/>
      <c r="V19" s="86"/>
      <c r="W19" s="86"/>
      <c r="X19" s="105">
        <f>AVERAGE(V5:AC5)</f>
        <v>33716</v>
      </c>
      <c r="Y19" s="86"/>
      <c r="Z19" s="107"/>
      <c r="AA19" s="107"/>
      <c r="AB19" s="107"/>
      <c r="AC19" s="107">
        <f>LN(AC5/AVERAGE($V5:AC5))</f>
        <v>3.8203787706938643E-2</v>
      </c>
      <c r="AD19" s="86"/>
      <c r="AE19" s="86"/>
      <c r="AF19" s="86"/>
      <c r="AG19" s="105">
        <f>AVERAGE(AE5:AL5)</f>
        <v>190466.75</v>
      </c>
      <c r="AH19" s="86"/>
      <c r="AI19" s="107"/>
      <c r="AJ19" s="107"/>
      <c r="AK19" s="107"/>
      <c r="AL19" s="107">
        <f>LN(AL5/AVERAGE($AE5:AL5))</f>
        <v>3.3558419616506207E-3</v>
      </c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</row>
    <row r="20" spans="1:49" s="50" customFormat="1" ht="15" x14ac:dyDescent="0.25">
      <c r="A20" s="52" t="s">
        <v>16</v>
      </c>
      <c r="C20" s="75"/>
      <c r="D20" s="86"/>
      <c r="E20" s="86"/>
      <c r="F20" s="105">
        <f>AVERAGE(D7:K7)</f>
        <v>648.01300000000003</v>
      </c>
      <c r="G20" s="106"/>
      <c r="H20" s="106"/>
      <c r="I20" s="106"/>
      <c r="J20" s="106"/>
      <c r="K20" s="106">
        <f>LN(K7/AVERAGE($D7:K7))</f>
        <v>7.9583803430247874E-2</v>
      </c>
      <c r="L20" s="107"/>
      <c r="M20" s="86"/>
      <c r="N20" s="86"/>
      <c r="O20" s="105">
        <f>AVERAGE(M7:T7)</f>
        <v>6363.8583912499998</v>
      </c>
      <c r="P20" s="86"/>
      <c r="Q20" s="107"/>
      <c r="R20" s="107"/>
      <c r="S20" s="107"/>
      <c r="T20" s="107">
        <f>LN(T7/AVERAGE($M7:T7))</f>
        <v>2.9633791641823511E-2</v>
      </c>
      <c r="U20" s="86"/>
      <c r="V20" s="86"/>
      <c r="W20" s="86"/>
      <c r="X20" s="105">
        <f>AVERAGE(V7:AC7)</f>
        <v>3978.9728431981166</v>
      </c>
      <c r="Y20" s="86"/>
      <c r="Z20" s="107"/>
      <c r="AA20" s="107"/>
      <c r="AB20" s="107"/>
      <c r="AC20" s="107">
        <f>LN(AC7/AVERAGE($V7:AC7))</f>
        <v>4.4986274740768807E-2</v>
      </c>
      <c r="AD20" s="86"/>
      <c r="AE20" s="86"/>
      <c r="AF20" s="86"/>
      <c r="AG20" s="105">
        <f>AVERAGE(AE7:AL7)</f>
        <v>2574.4096388654589</v>
      </c>
      <c r="AH20" s="86"/>
      <c r="AI20" s="107"/>
      <c r="AJ20" s="107"/>
      <c r="AK20" s="107"/>
      <c r="AL20" s="107">
        <f>LN(AL7/AVERAGE($AE7:AL7))</f>
        <v>6.0271255733101072E-3</v>
      </c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</row>
    <row r="21" spans="1:49" s="50" customFormat="1" ht="15" x14ac:dyDescent="0.25">
      <c r="A21" s="52" t="s">
        <v>19</v>
      </c>
      <c r="C21" s="75"/>
      <c r="D21" s="86"/>
      <c r="E21" s="86"/>
      <c r="F21" s="108">
        <f>AVERAGE(D9:K9)</f>
        <v>0.50291843492756128</v>
      </c>
      <c r="G21" s="106"/>
      <c r="H21" s="106"/>
      <c r="I21" s="106"/>
      <c r="J21" s="106"/>
      <c r="K21" s="106">
        <f>LN(K9/AVERAGE($D9:K9))</f>
        <v>5.143022377976264E-2</v>
      </c>
      <c r="L21" s="107"/>
      <c r="M21" s="86"/>
      <c r="N21" s="86"/>
      <c r="O21" s="108">
        <f>AVERAGE(M9:T9)</f>
        <v>0.34495689229114296</v>
      </c>
      <c r="P21" s="86"/>
      <c r="Q21" s="107"/>
      <c r="R21" s="107"/>
      <c r="S21" s="107"/>
      <c r="T21" s="107">
        <f>LN(T9/AVERAGE($M9:T9))</f>
        <v>5.2451945369402848E-2</v>
      </c>
      <c r="U21" s="86"/>
      <c r="V21" s="86"/>
      <c r="W21" s="86"/>
      <c r="X21" s="108">
        <f>AVERAGE(V9:AC9)</f>
        <v>0.3050099669230506</v>
      </c>
      <c r="Y21" s="86"/>
      <c r="Z21" s="107"/>
      <c r="AA21" s="107"/>
      <c r="AB21" s="107"/>
      <c r="AC21" s="107">
        <f>LN(AC9/AVERAGE($V9:AC9))</f>
        <v>8.3704077161585719E-2</v>
      </c>
      <c r="AD21" s="86"/>
      <c r="AE21" s="86"/>
      <c r="AF21" s="86"/>
      <c r="AG21" s="108">
        <f>AVERAGE(AE9:AL9)</f>
        <v>3.3757841689792345E-2</v>
      </c>
      <c r="AH21" s="86"/>
      <c r="AI21" s="107"/>
      <c r="AJ21" s="107"/>
      <c r="AK21" s="107"/>
      <c r="AL21" s="107">
        <f>LN(AL9/AVERAGE($AE9:AL9))</f>
        <v>0.16477793769078694</v>
      </c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</row>
    <row r="22" spans="1:49" s="50" customFormat="1" ht="15" x14ac:dyDescent="0.25">
      <c r="A22" s="52" t="s">
        <v>153</v>
      </c>
      <c r="B22" s="81"/>
      <c r="C22" s="75"/>
      <c r="D22" s="86"/>
      <c r="E22" s="86"/>
      <c r="F22" s="109">
        <f>AVERAGE(D13:K13)</f>
        <v>59901.993745790111</v>
      </c>
      <c r="G22" s="86"/>
      <c r="H22" s="86"/>
      <c r="I22" s="86"/>
      <c r="J22" s="86"/>
      <c r="K22" s="109">
        <f>K13</f>
        <v>74420.596244815009</v>
      </c>
      <c r="L22" s="107"/>
      <c r="M22" s="86"/>
      <c r="N22" s="86"/>
      <c r="O22" s="109">
        <f>AVERAGE(M13:T13)</f>
        <v>509254.77431770862</v>
      </c>
      <c r="P22" s="86"/>
      <c r="Q22" s="109"/>
      <c r="R22" s="109"/>
      <c r="S22" s="109"/>
      <c r="T22" s="109">
        <f>T13</f>
        <v>471121.68333051464</v>
      </c>
      <c r="U22" s="86"/>
      <c r="V22" s="86"/>
      <c r="W22" s="86"/>
      <c r="X22" s="109">
        <f>AVERAGE(V13:AC13)</f>
        <v>234400.44055202746</v>
      </c>
      <c r="Y22" s="86"/>
      <c r="Z22" s="86"/>
      <c r="AA22" s="86"/>
      <c r="AB22" s="86"/>
      <c r="AC22" s="109">
        <f>AC13</f>
        <v>222645.27398422692</v>
      </c>
      <c r="AD22" s="86"/>
      <c r="AE22" s="86"/>
      <c r="AF22" s="86"/>
      <c r="AG22" s="109">
        <f>AVERAGE(AE13:AL13)</f>
        <v>352456.62156702648</v>
      </c>
      <c r="AH22" s="86"/>
      <c r="AI22" s="86"/>
      <c r="AJ22" s="86"/>
      <c r="AK22" s="86"/>
      <c r="AL22" s="109">
        <f>AL13</f>
        <v>401260.42950844712</v>
      </c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</row>
    <row r="23" spans="1:49" s="50" customFormat="1" ht="15" x14ac:dyDescent="0.25">
      <c r="A23" s="110" t="s">
        <v>156</v>
      </c>
      <c r="C23" s="75"/>
      <c r="D23" s="86"/>
      <c r="E23" s="86"/>
      <c r="F23" s="86"/>
      <c r="G23" s="86"/>
      <c r="H23" s="86"/>
      <c r="I23" s="86"/>
      <c r="J23" s="86"/>
      <c r="K23" s="106">
        <f>K22/F22-1</f>
        <v>0.24237260884234368</v>
      </c>
      <c r="L23" s="107"/>
      <c r="M23" s="86"/>
      <c r="N23" s="86"/>
      <c r="O23" s="86"/>
      <c r="P23" s="86"/>
      <c r="Q23" s="106"/>
      <c r="R23" s="106"/>
      <c r="S23" s="106"/>
      <c r="T23" s="106">
        <f>T22/$O22-1</f>
        <v>-7.4880183574683401E-2</v>
      </c>
      <c r="U23" s="86"/>
      <c r="V23" s="86"/>
      <c r="W23" s="86"/>
      <c r="X23" s="86"/>
      <c r="Y23" s="86"/>
      <c r="Z23" s="86"/>
      <c r="AA23" s="86"/>
      <c r="AB23" s="86"/>
      <c r="AC23" s="106">
        <f>AC22/X22-1</f>
        <v>-5.0149933763419585E-2</v>
      </c>
      <c r="AD23" s="86"/>
      <c r="AE23" s="86"/>
      <c r="AF23" s="86"/>
      <c r="AG23" s="86"/>
      <c r="AH23" s="86"/>
      <c r="AI23" s="86"/>
      <c r="AJ23" s="86"/>
      <c r="AK23" s="86"/>
      <c r="AL23" s="106">
        <f>AL22/AG22-1</f>
        <v>0.13846755871527772</v>
      </c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</row>
    <row r="24" spans="1:49" s="50" customFormat="1" ht="15" x14ac:dyDescent="0.25">
      <c r="A24" s="110" t="s">
        <v>154</v>
      </c>
      <c r="C24" s="75"/>
      <c r="D24" s="86"/>
      <c r="E24" s="86"/>
      <c r="F24" s="86"/>
      <c r="G24" s="86"/>
      <c r="H24" s="86"/>
      <c r="I24" s="86"/>
      <c r="J24" s="86"/>
      <c r="K24" s="106">
        <f>'Opex Forecasts'!E28</f>
        <v>0.13260164999043456</v>
      </c>
      <c r="L24" s="107"/>
      <c r="M24" s="107"/>
      <c r="N24" s="107"/>
      <c r="O24" s="107"/>
      <c r="P24" s="107"/>
      <c r="Q24" s="107"/>
      <c r="R24" s="107"/>
      <c r="S24" s="86"/>
      <c r="T24" s="107">
        <f>'Opex Forecasts'!H28</f>
        <v>8.480003111128398E-2</v>
      </c>
      <c r="U24" s="86"/>
      <c r="V24" s="86"/>
      <c r="W24" s="86"/>
      <c r="X24" s="86"/>
      <c r="Y24" s="86"/>
      <c r="Z24" s="86"/>
      <c r="AA24" s="86"/>
      <c r="AB24" s="86"/>
      <c r="AC24" s="106">
        <f>'Opex Forecasts'!K28</f>
        <v>9.4420787718567656E-2</v>
      </c>
      <c r="AD24" s="86"/>
      <c r="AE24" s="86"/>
      <c r="AF24" s="86"/>
      <c r="AG24" s="86"/>
      <c r="AH24" s="86"/>
      <c r="AI24" s="86"/>
      <c r="AJ24" s="86"/>
      <c r="AK24" s="86"/>
      <c r="AL24" s="106">
        <f>'Opex Forecasts'!N28</f>
        <v>6.0402871679466674E-2</v>
      </c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</row>
    <row r="25" spans="1:49" s="50" customFormat="1" ht="15" x14ac:dyDescent="0.25">
      <c r="A25" s="110" t="s">
        <v>155</v>
      </c>
      <c r="C25" s="75"/>
      <c r="D25" s="86"/>
      <c r="E25" s="86"/>
      <c r="F25" s="86"/>
      <c r="G25" s="86"/>
      <c r="H25" s="86"/>
      <c r="I25" s="86"/>
      <c r="J25" s="86"/>
      <c r="K25" s="106">
        <f>K23-K24</f>
        <v>0.10977095885190913</v>
      </c>
      <c r="L25" s="107"/>
      <c r="M25" s="107"/>
      <c r="N25" s="107"/>
      <c r="O25" s="107"/>
      <c r="P25" s="107"/>
      <c r="Q25" s="107"/>
      <c r="R25" s="107"/>
      <c r="S25" s="86"/>
      <c r="T25" s="106">
        <f>T23-T24</f>
        <v>-0.15968021468596738</v>
      </c>
      <c r="U25" s="86"/>
      <c r="V25" s="86"/>
      <c r="W25" s="86"/>
      <c r="X25" s="86"/>
      <c r="Y25" s="86"/>
      <c r="Z25" s="86"/>
      <c r="AA25" s="86"/>
      <c r="AB25" s="86"/>
      <c r="AC25" s="106">
        <f>AC23-AC24</f>
        <v>-0.14457072148198724</v>
      </c>
      <c r="AD25" s="86"/>
      <c r="AE25" s="86"/>
      <c r="AF25" s="86"/>
      <c r="AG25" s="86"/>
      <c r="AH25" s="86"/>
      <c r="AI25" s="86"/>
      <c r="AJ25" s="86"/>
      <c r="AK25" s="86"/>
      <c r="AL25" s="106">
        <f>AL23-AL24</f>
        <v>7.8064687035811042E-2</v>
      </c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</row>
    <row r="26" spans="1:49" s="50" customFormat="1" ht="15" x14ac:dyDescent="0.25">
      <c r="A26" s="52"/>
      <c r="C26" s="75"/>
      <c r="D26" s="75"/>
      <c r="E26" s="75"/>
      <c r="F26" s="75"/>
      <c r="G26" s="75"/>
      <c r="H26" s="75"/>
      <c r="I26" s="75"/>
      <c r="J26" s="111"/>
      <c r="K26" s="75"/>
      <c r="L26" s="112"/>
      <c r="M26" s="112"/>
      <c r="N26" s="112"/>
      <c r="O26" s="112"/>
      <c r="P26" s="112"/>
      <c r="Q26" s="112"/>
      <c r="R26" s="112"/>
      <c r="S26" s="112"/>
      <c r="T26" s="112"/>
      <c r="U26" s="75"/>
      <c r="V26" s="75"/>
      <c r="W26" s="75"/>
      <c r="X26" s="75"/>
      <c r="Y26" s="75"/>
      <c r="Z26" s="75"/>
      <c r="AA26" s="75"/>
      <c r="AB26" s="111"/>
      <c r="AC26" s="75"/>
      <c r="AD26" s="75"/>
      <c r="AE26" s="75"/>
      <c r="AF26" s="75"/>
      <c r="AG26" s="75"/>
      <c r="AH26" s="75"/>
      <c r="AI26" s="75"/>
      <c r="AJ26" s="75"/>
      <c r="AK26" s="111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</row>
    <row r="27" spans="1:49" s="50" customFormat="1" ht="15" x14ac:dyDescent="0.25">
      <c r="A27" s="74" t="s">
        <v>43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</row>
    <row r="28" spans="1:49" s="50" customFormat="1" ht="15" x14ac:dyDescent="0.25">
      <c r="A28" s="52" t="s">
        <v>149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</row>
    <row r="29" spans="1:49" s="50" customFormat="1" ht="15" x14ac:dyDescent="0.25">
      <c r="A29" s="52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</row>
    <row r="30" spans="1:49" s="50" customFormat="1" ht="15" x14ac:dyDescent="0.25">
      <c r="A30" s="26"/>
    </row>
    <row r="31" spans="1:49" s="50" customFormat="1" ht="15" x14ac:dyDescent="0.25"/>
    <row r="33" spans="1:2" x14ac:dyDescent="0.2">
      <c r="A33" s="43"/>
      <c r="B33" s="44"/>
    </row>
  </sheetData>
  <phoneticPr fontId="2" type="noConversion"/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G30" sqref="G30"/>
    </sheetView>
  </sheetViews>
  <sheetFormatPr defaultColWidth="9.140625" defaultRowHeight="15" x14ac:dyDescent="0.25"/>
  <cols>
    <col min="1" max="1" width="11.42578125" style="3" customWidth="1"/>
    <col min="2" max="2" width="10.28515625" style="3" customWidth="1"/>
    <col min="3" max="3" width="11.140625" style="3" customWidth="1"/>
    <col min="4" max="6" width="9.140625" style="3"/>
    <col min="7" max="7" width="12.85546875" style="4" customWidth="1"/>
    <col min="8" max="8" width="9.140625" style="3"/>
    <col min="9" max="9" width="11.140625" style="3" customWidth="1"/>
    <col min="10" max="11" width="9.140625" style="3"/>
    <col min="12" max="12" width="23.7109375" style="3" customWidth="1"/>
    <col min="13" max="16" width="9.140625" style="3"/>
    <col min="17" max="19" width="9.140625" style="1"/>
    <col min="20" max="20" width="13" style="1" customWidth="1"/>
    <col min="21" max="16384" width="9.140625" style="1"/>
  </cols>
  <sheetData>
    <row r="1" spans="1:16" x14ac:dyDescent="0.25">
      <c r="A1" s="2" t="s">
        <v>84</v>
      </c>
    </row>
    <row r="2" spans="1:16" x14ac:dyDescent="0.25">
      <c r="A2" s="2" t="s">
        <v>85</v>
      </c>
    </row>
    <row r="3" spans="1:16" x14ac:dyDescent="0.25">
      <c r="A3" s="3" t="s">
        <v>148</v>
      </c>
      <c r="G3" s="3"/>
    </row>
    <row r="4" spans="1:16" x14ac:dyDescent="0.25">
      <c r="G4" s="3"/>
      <c r="I4" s="1"/>
      <c r="J4" s="1"/>
      <c r="K4" s="1"/>
      <c r="L4" s="1"/>
      <c r="M4" s="1"/>
      <c r="N4" s="1"/>
      <c r="O4" s="1"/>
      <c r="P4" s="1"/>
    </row>
    <row r="5" spans="1:16" x14ac:dyDescent="0.25">
      <c r="G5" s="3"/>
      <c r="I5" s="1"/>
      <c r="J5" s="1"/>
      <c r="K5" s="1"/>
      <c r="L5" s="1"/>
      <c r="M5" s="1"/>
      <c r="N5" s="1"/>
      <c r="O5" s="1"/>
      <c r="P5" s="1"/>
    </row>
    <row r="6" spans="1:16" x14ac:dyDescent="0.25">
      <c r="A6" s="5" t="s">
        <v>86</v>
      </c>
      <c r="E6" s="2" t="s">
        <v>87</v>
      </c>
      <c r="G6" s="3"/>
      <c r="I6" s="1"/>
      <c r="J6" s="1"/>
      <c r="K6" s="1"/>
      <c r="L6" s="1"/>
      <c r="M6" s="1"/>
      <c r="N6" s="1"/>
      <c r="O6" s="1"/>
      <c r="P6" s="1"/>
    </row>
    <row r="7" spans="1:16" x14ac:dyDescent="0.25">
      <c r="A7" s="5"/>
      <c r="E7" s="2"/>
      <c r="G7" s="3"/>
      <c r="I7" s="1"/>
      <c r="J7" s="1"/>
      <c r="K7" s="1"/>
      <c r="L7" s="1"/>
      <c r="M7" s="1"/>
      <c r="N7" s="1"/>
      <c r="O7" s="1"/>
      <c r="P7" s="1"/>
    </row>
    <row r="8" spans="1:16" ht="15.75" thickBot="1" x14ac:dyDescent="0.3">
      <c r="E8" s="6" t="s">
        <v>76</v>
      </c>
      <c r="F8" s="6" t="s">
        <v>60</v>
      </c>
      <c r="G8" s="3"/>
      <c r="I8" s="1"/>
      <c r="J8" s="1"/>
      <c r="K8" s="1"/>
      <c r="L8" s="1"/>
      <c r="M8" s="1"/>
      <c r="N8" s="1"/>
      <c r="O8" s="1"/>
      <c r="P8" s="1"/>
    </row>
    <row r="9" spans="1:16" ht="15.75" thickBot="1" x14ac:dyDescent="0.3">
      <c r="A9" s="32" t="s">
        <v>7</v>
      </c>
      <c r="B9" s="33" t="s">
        <v>8</v>
      </c>
      <c r="C9" s="33" t="s">
        <v>30</v>
      </c>
      <c r="E9" s="5" t="s">
        <v>61</v>
      </c>
      <c r="F9" s="30">
        <v>0.39852270000000001</v>
      </c>
      <c r="G9" s="7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34" t="s">
        <v>22</v>
      </c>
      <c r="B10" s="35">
        <v>0.6666282</v>
      </c>
      <c r="C10" s="36">
        <v>7.36</v>
      </c>
      <c r="E10" s="5" t="s">
        <v>62</v>
      </c>
      <c r="F10" s="30">
        <v>0.44665319999999997</v>
      </c>
      <c r="G10" s="7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37" t="s">
        <v>23</v>
      </c>
      <c r="B11" s="38">
        <v>0.1055306</v>
      </c>
      <c r="C11" s="39">
        <v>2.78</v>
      </c>
      <c r="E11" s="5" t="s">
        <v>64</v>
      </c>
      <c r="F11" s="30">
        <v>0.95049260000000002</v>
      </c>
      <c r="G11" s="7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37" t="s">
        <v>24</v>
      </c>
      <c r="B12" s="38">
        <v>0.21385660000000001</v>
      </c>
      <c r="C12" s="39">
        <v>2.66</v>
      </c>
      <c r="E12" s="5" t="s">
        <v>65</v>
      </c>
      <c r="F12" s="30">
        <v>0.59330159999999998</v>
      </c>
      <c r="G12" s="7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37" t="s">
        <v>25</v>
      </c>
      <c r="B13" s="38">
        <v>-0.1313396</v>
      </c>
      <c r="C13" s="39">
        <v>-3.85</v>
      </c>
      <c r="E13" s="5" t="s">
        <v>66</v>
      </c>
      <c r="F13" s="30">
        <v>0.61800180000000005</v>
      </c>
      <c r="G13" s="7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37" t="s">
        <v>26</v>
      </c>
      <c r="B14" s="38">
        <v>1.7866E-2</v>
      </c>
      <c r="C14" s="39">
        <v>9.1199999999999992</v>
      </c>
      <c r="E14" s="5" t="s">
        <v>67</v>
      </c>
      <c r="F14" s="30">
        <v>0.4816415</v>
      </c>
      <c r="G14" s="7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37" t="s">
        <v>27</v>
      </c>
      <c r="B15" s="38">
        <v>4.95279E-2</v>
      </c>
      <c r="C15" s="39">
        <v>0.49</v>
      </c>
      <c r="E15" s="5" t="s">
        <v>68</v>
      </c>
      <c r="F15" s="30">
        <v>0.54869849999999998</v>
      </c>
      <c r="G15" s="7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37" t="s">
        <v>28</v>
      </c>
      <c r="B16" s="38">
        <v>0.1571178</v>
      </c>
      <c r="C16" s="39">
        <v>2.11</v>
      </c>
      <c r="E16" s="5" t="s">
        <v>69</v>
      </c>
      <c r="F16" s="30">
        <v>0.71820779999999995</v>
      </c>
      <c r="G16" s="7"/>
      <c r="I16" s="1"/>
      <c r="J16" s="1"/>
      <c r="K16" s="1"/>
      <c r="L16" s="1"/>
      <c r="M16" s="1"/>
      <c r="N16" s="1"/>
      <c r="O16" s="1"/>
      <c r="P16" s="1"/>
    </row>
    <row r="17" spans="1:16" ht="15.75" thickBot="1" x14ac:dyDescent="0.3">
      <c r="A17" s="40" t="s">
        <v>29</v>
      </c>
      <c r="B17" s="41">
        <v>-26.52627</v>
      </c>
      <c r="C17" s="42">
        <v>-6.73</v>
      </c>
      <c r="E17" s="5" t="s">
        <v>70</v>
      </c>
      <c r="F17" s="30">
        <v>0.94602019999999998</v>
      </c>
      <c r="G17" s="7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E18" s="5" t="s">
        <v>71</v>
      </c>
      <c r="F18" s="30">
        <v>0.84367110000000001</v>
      </c>
      <c r="G18" s="7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E19" s="5" t="s">
        <v>72</v>
      </c>
      <c r="F19" s="30">
        <v>0.76780820000000005</v>
      </c>
      <c r="G19" s="7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E20" s="5" t="s">
        <v>73</v>
      </c>
      <c r="F20" s="30">
        <v>0.7334465</v>
      </c>
      <c r="G20" s="7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E21" s="5" t="s">
        <v>74</v>
      </c>
      <c r="F21" s="30">
        <v>0.84272919999999996</v>
      </c>
      <c r="G21" s="7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G22" s="3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G23" s="3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G24" s="3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G25" s="3"/>
      <c r="I25" s="1"/>
      <c r="J25" s="1"/>
      <c r="K25" s="1"/>
      <c r="L25" s="1"/>
      <c r="M25" s="1"/>
      <c r="N25" s="1"/>
      <c r="O25" s="1"/>
      <c r="P25" s="1"/>
    </row>
    <row r="27" spans="1:16" x14ac:dyDescent="0.25">
      <c r="E27" s="9"/>
    </row>
    <row r="28" spans="1:16" x14ac:dyDescent="0.25">
      <c r="E28" s="9"/>
    </row>
    <row r="29" spans="1:16" x14ac:dyDescent="0.25">
      <c r="E29" s="9"/>
    </row>
    <row r="30" spans="1:16" x14ac:dyDescent="0.25">
      <c r="E30" s="9"/>
    </row>
    <row r="31" spans="1:16" x14ac:dyDescent="0.25">
      <c r="E31" s="9"/>
    </row>
    <row r="32" spans="1:16" x14ac:dyDescent="0.25">
      <c r="E32" s="9"/>
    </row>
    <row r="33" spans="5:5" x14ac:dyDescent="0.25">
      <c r="E33" s="9"/>
    </row>
    <row r="34" spans="5:5" x14ac:dyDescent="0.25">
      <c r="E34" s="9"/>
    </row>
    <row r="35" spans="5:5" x14ac:dyDescent="0.25">
      <c r="E35" s="9"/>
    </row>
    <row r="36" spans="5:5" x14ac:dyDescent="0.25">
      <c r="E36" s="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36"/>
  <sheetViews>
    <sheetView tabSelected="1" workbookViewId="0">
      <selection activeCell="J25" sqref="J25"/>
    </sheetView>
  </sheetViews>
  <sheetFormatPr defaultColWidth="9.140625" defaultRowHeight="15" x14ac:dyDescent="0.25"/>
  <cols>
    <col min="1" max="1" width="9.140625" style="3"/>
    <col min="2" max="2" width="10.28515625" style="3" customWidth="1"/>
    <col min="3" max="3" width="12.85546875" style="4" customWidth="1"/>
    <col min="4" max="4" width="9.140625" style="3"/>
    <col min="5" max="5" width="11.140625" style="3" customWidth="1"/>
    <col min="6" max="6" width="13.28515625" style="3" customWidth="1"/>
    <col min="7" max="7" width="9.140625" style="3"/>
    <col min="8" max="8" width="9.140625" style="3" customWidth="1"/>
    <col min="9" max="9" width="11.5703125" style="3" customWidth="1"/>
    <col min="10" max="10" width="10.42578125" style="3" customWidth="1"/>
    <col min="11" max="11" width="10.28515625" style="1" customWidth="1"/>
    <col min="12" max="12" width="9.140625" style="1"/>
    <col min="13" max="13" width="13" style="1" customWidth="1"/>
    <col min="14" max="16384" width="9.140625" style="1"/>
  </cols>
  <sheetData>
    <row r="1" spans="1:11" x14ac:dyDescent="0.25">
      <c r="A1" s="2" t="s">
        <v>93</v>
      </c>
    </row>
    <row r="3" spans="1:11" x14ac:dyDescent="0.25">
      <c r="A3" s="2"/>
      <c r="C3" s="3"/>
      <c r="E3" s="2" t="s">
        <v>88</v>
      </c>
    </row>
    <row r="4" spans="1:11" s="14" customFormat="1" ht="91.5" customHeight="1" x14ac:dyDescent="0.2">
      <c r="A4" s="11"/>
      <c r="B4" s="12"/>
      <c r="C4" s="12"/>
      <c r="D4" s="12"/>
      <c r="E4" s="11"/>
      <c r="F4" s="13" t="s">
        <v>89</v>
      </c>
      <c r="G4" s="12"/>
      <c r="I4" s="13" t="s">
        <v>91</v>
      </c>
      <c r="J4" s="13" t="s">
        <v>45</v>
      </c>
      <c r="K4" s="17" t="s">
        <v>94</v>
      </c>
    </row>
    <row r="5" spans="1:11" s="14" customFormat="1" ht="32.25" customHeight="1" x14ac:dyDescent="0.2">
      <c r="A5" s="13" t="s">
        <v>76</v>
      </c>
      <c r="B5" s="15" t="s">
        <v>44</v>
      </c>
      <c r="C5" s="13" t="s">
        <v>157</v>
      </c>
      <c r="D5" s="18"/>
      <c r="E5" s="13" t="s">
        <v>76</v>
      </c>
      <c r="F5" s="18" t="s">
        <v>90</v>
      </c>
      <c r="G5" s="18"/>
      <c r="H5" s="13" t="s">
        <v>76</v>
      </c>
      <c r="I5" s="19" t="s">
        <v>92</v>
      </c>
      <c r="J5" s="18"/>
      <c r="K5" s="16"/>
    </row>
    <row r="6" spans="1:11" x14ac:dyDescent="0.25">
      <c r="A6" s="5" t="s">
        <v>61</v>
      </c>
      <c r="B6" s="30">
        <f>'Opex Modelling Results'!F9</f>
        <v>0.39852270000000001</v>
      </c>
      <c r="C6" s="31">
        <v>177255</v>
      </c>
      <c r="E6" s="5" t="s">
        <v>61</v>
      </c>
      <c r="F6" s="137">
        <v>0</v>
      </c>
      <c r="H6" s="5" t="s">
        <v>61</v>
      </c>
      <c r="I6" s="139">
        <v>0.3</v>
      </c>
      <c r="J6" s="140">
        <f>$F$19/(1+I6)</f>
        <v>0.66296862095205189</v>
      </c>
      <c r="K6" s="29">
        <f>MAX((1- B6/$J6),0)</f>
        <v>0.3988815044855305</v>
      </c>
    </row>
    <row r="7" spans="1:11" x14ac:dyDescent="0.25">
      <c r="A7" s="5" t="s">
        <v>62</v>
      </c>
      <c r="B7" s="30">
        <f>'Opex Modelling Results'!F10</f>
        <v>0.44665319999999997</v>
      </c>
      <c r="C7" s="31">
        <v>1635052.5</v>
      </c>
      <c r="E7" s="5" t="s">
        <v>62</v>
      </c>
      <c r="F7" s="137">
        <v>0</v>
      </c>
      <c r="H7" s="5" t="s">
        <v>62</v>
      </c>
      <c r="I7" s="139">
        <v>0.1</v>
      </c>
      <c r="J7" s="140">
        <f t="shared" ref="J7:J9" si="0">$F$19/(1+I7)</f>
        <v>0.78350837021606135</v>
      </c>
      <c r="K7" s="29">
        <f t="shared" ref="K7" si="1">MAX((1- B7/$J7),0)</f>
        <v>0.42993180803310338</v>
      </c>
    </row>
    <row r="8" spans="1:11" x14ac:dyDescent="0.25">
      <c r="A8" s="5" t="s">
        <v>64</v>
      </c>
      <c r="B8" s="30">
        <f>'Opex Modelling Results'!F11</f>
        <v>0.95049260000000002</v>
      </c>
      <c r="C8" s="31">
        <v>322735.81579787645</v>
      </c>
      <c r="E8" s="5" t="s">
        <v>64</v>
      </c>
      <c r="F8" s="137">
        <v>1</v>
      </c>
      <c r="H8" s="5" t="s">
        <v>65</v>
      </c>
      <c r="I8" s="139">
        <v>0.1</v>
      </c>
      <c r="J8" s="140">
        <f t="shared" si="0"/>
        <v>0.78350837021606135</v>
      </c>
      <c r="K8" s="29">
        <f>MAX((1- B9/$J8),0)</f>
        <v>0.24276290777035303</v>
      </c>
    </row>
    <row r="9" spans="1:11" x14ac:dyDescent="0.25">
      <c r="A9" s="5" t="s">
        <v>65</v>
      </c>
      <c r="B9" s="30">
        <f>'Opex Modelling Results'!F12</f>
        <v>0.59330159999999998</v>
      </c>
      <c r="C9" s="31">
        <v>919384.82389900391</v>
      </c>
      <c r="E9" s="5" t="s">
        <v>65</v>
      </c>
      <c r="F9" s="137">
        <v>0</v>
      </c>
      <c r="H9" s="5" t="s">
        <v>68</v>
      </c>
      <c r="I9" s="139">
        <v>0.1</v>
      </c>
      <c r="J9" s="140">
        <f t="shared" si="0"/>
        <v>0.78350837021606135</v>
      </c>
      <c r="K9" s="29">
        <f>MAX((1- B12/$J9),0)</f>
        <v>0.29969031492453602</v>
      </c>
    </row>
    <row r="10" spans="1:11" x14ac:dyDescent="0.25">
      <c r="A10" s="5" t="s">
        <v>66</v>
      </c>
      <c r="B10" s="30">
        <f>'Opex Modelling Results'!F13</f>
        <v>0.61800180000000005</v>
      </c>
      <c r="C10" s="31">
        <v>1359711.5</v>
      </c>
      <c r="E10" s="5" t="s">
        <v>66</v>
      </c>
      <c r="F10" s="137">
        <v>0</v>
      </c>
    </row>
    <row r="11" spans="1:11" x14ac:dyDescent="0.25">
      <c r="A11" s="5" t="s">
        <v>67</v>
      </c>
      <c r="B11" s="30">
        <f>'Opex Modelling Results'!F14</f>
        <v>0.4816415</v>
      </c>
      <c r="C11" s="31">
        <v>710431</v>
      </c>
      <c r="E11" s="5" t="s">
        <v>67</v>
      </c>
      <c r="F11" s="137">
        <v>0</v>
      </c>
    </row>
    <row r="12" spans="1:11" x14ac:dyDescent="0.25">
      <c r="A12" s="5" t="s">
        <v>68</v>
      </c>
      <c r="B12" s="30">
        <f>'Opex Modelling Results'!F15</f>
        <v>0.54869849999999998</v>
      </c>
      <c r="C12" s="31">
        <v>844244</v>
      </c>
      <c r="E12" s="5" t="s">
        <v>68</v>
      </c>
      <c r="F12" s="137">
        <v>0</v>
      </c>
    </row>
    <row r="13" spans="1:11" x14ac:dyDescent="0.25">
      <c r="A13" s="5" t="s">
        <v>69</v>
      </c>
      <c r="B13" s="30">
        <f>'Opex Modelling Results'!F16</f>
        <v>0.71820779999999995</v>
      </c>
      <c r="C13" s="31">
        <v>318830</v>
      </c>
      <c r="E13" s="5" t="s">
        <v>69</v>
      </c>
      <c r="F13" s="137">
        <v>0</v>
      </c>
    </row>
    <row r="14" spans="1:11" x14ac:dyDescent="0.25">
      <c r="A14" s="5" t="s">
        <v>70</v>
      </c>
      <c r="B14" s="30">
        <f>'Opex Modelling Results'!F17</f>
        <v>0.94602019999999998</v>
      </c>
      <c r="C14" s="31">
        <v>753913.41676783864</v>
      </c>
      <c r="E14" s="5" t="s">
        <v>70</v>
      </c>
      <c r="F14" s="137">
        <v>1</v>
      </c>
    </row>
    <row r="15" spans="1:11" x14ac:dyDescent="0.25">
      <c r="A15" s="5" t="s">
        <v>71</v>
      </c>
      <c r="B15" s="30">
        <f>'Opex Modelling Results'!F18</f>
        <v>0.84367110000000001</v>
      </c>
      <c r="C15" s="31">
        <v>847766</v>
      </c>
      <c r="E15" s="5" t="s">
        <v>71</v>
      </c>
      <c r="F15" s="137">
        <v>1</v>
      </c>
    </row>
    <row r="16" spans="1:11" x14ac:dyDescent="0.25">
      <c r="A16" s="5" t="s">
        <v>72</v>
      </c>
      <c r="B16" s="30">
        <f>'Opex Modelling Results'!F19</f>
        <v>0.76780820000000005</v>
      </c>
      <c r="C16" s="31">
        <v>681299.00000000012</v>
      </c>
      <c r="E16" s="5" t="s">
        <v>72</v>
      </c>
      <c r="F16" s="137">
        <v>1</v>
      </c>
    </row>
    <row r="17" spans="1:6" x14ac:dyDescent="0.25">
      <c r="A17" s="5" t="s">
        <v>73</v>
      </c>
      <c r="B17" s="30">
        <f>'Opex Modelling Results'!F20</f>
        <v>0.7334465</v>
      </c>
      <c r="C17" s="31">
        <v>279868</v>
      </c>
      <c r="E17" s="5" t="s">
        <v>73</v>
      </c>
      <c r="F17" s="137">
        <v>0</v>
      </c>
    </row>
    <row r="18" spans="1:6" x14ac:dyDescent="0.25">
      <c r="A18" s="5" t="s">
        <v>74</v>
      </c>
      <c r="B18" s="30">
        <f>'Opex Modelling Results'!F21</f>
        <v>0.84272919999999996</v>
      </c>
      <c r="C18" s="31">
        <v>656516</v>
      </c>
      <c r="E18" s="5" t="s">
        <v>74</v>
      </c>
      <c r="F18" s="137">
        <v>1</v>
      </c>
    </row>
    <row r="19" spans="1:6" ht="30" x14ac:dyDescent="0.25">
      <c r="A19" s="5"/>
      <c r="C19" s="3"/>
      <c r="E19" s="8" t="s">
        <v>63</v>
      </c>
      <c r="F19" s="138">
        <f>(F6*B6*C6+F7*B7*C7+F8*B8*C8+F9*B9*C9+F10*B10*C10+F11*B11*C11+F12*B12*C12+F13*B13*C13+F14*B14*C14+F15*B15*C15+F16*B16*C16+F17*B17*C17+F18*B18*C18)/(F6*C6+F7*C7+F8*C8+F9*C9+F10*C10+F11*C11+F12*C12+F13*C13+F14*C14+F15*C15+F16*C16+F17*C17+F18*C18)</f>
        <v>0.86185920723766751</v>
      </c>
    </row>
    <row r="20" spans="1:6" x14ac:dyDescent="0.25">
      <c r="C20" s="3"/>
      <c r="E20" s="1"/>
    </row>
    <row r="21" spans="1:6" x14ac:dyDescent="0.25">
      <c r="C21" s="3"/>
    </row>
    <row r="22" spans="1:6" x14ac:dyDescent="0.25">
      <c r="C22" s="3"/>
    </row>
    <row r="24" spans="1:6" x14ac:dyDescent="0.25">
      <c r="A24" s="9"/>
    </row>
    <row r="25" spans="1:6" x14ac:dyDescent="0.25">
      <c r="A25" s="9"/>
    </row>
    <row r="26" spans="1:6" x14ac:dyDescent="0.25">
      <c r="A26" s="9"/>
    </row>
    <row r="27" spans="1:6" x14ac:dyDescent="0.25">
      <c r="A27" s="9"/>
    </row>
    <row r="28" spans="1:6" x14ac:dyDescent="0.25">
      <c r="A28" s="9"/>
    </row>
    <row r="29" spans="1:6" x14ac:dyDescent="0.25">
      <c r="A29" s="9"/>
    </row>
    <row r="30" spans="1:6" x14ac:dyDescent="0.25">
      <c r="A30" s="9"/>
    </row>
    <row r="31" spans="1:6" x14ac:dyDescent="0.25">
      <c r="A31" s="9"/>
    </row>
    <row r="32" spans="1:6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1" topLeftCell="B1" activePane="topRight" state="frozen"/>
      <selection activeCell="E30" sqref="E30"/>
      <selection pane="topRight"/>
    </sheetView>
  </sheetViews>
  <sheetFormatPr defaultColWidth="8.7109375" defaultRowHeight="12.75" x14ac:dyDescent="0.2"/>
  <cols>
    <col min="1" max="1" width="32.28515625" customWidth="1"/>
    <col min="2" max="14" width="9.7109375" customWidth="1"/>
    <col min="15" max="15" width="12.140625" customWidth="1"/>
    <col min="16" max="21" width="8.7109375" customWidth="1"/>
    <col min="22" max="22" width="10.5703125" customWidth="1"/>
    <col min="23" max="23" width="4.85546875" customWidth="1"/>
    <col min="24" max="25" width="11" customWidth="1"/>
    <col min="26" max="31" width="8.7109375" customWidth="1"/>
    <col min="32" max="32" width="10.42578125" customWidth="1"/>
    <col min="33" max="33" width="4.85546875" customWidth="1"/>
    <col min="34" max="35" width="10.28515625" customWidth="1"/>
    <col min="42" max="42" width="10.7109375" customWidth="1"/>
  </cols>
  <sheetData>
    <row r="1" spans="1:32" s="50" customFormat="1" ht="15" x14ac:dyDescent="0.25">
      <c r="A1" s="49" t="s">
        <v>167</v>
      </c>
      <c r="L1" s="49"/>
    </row>
    <row r="2" spans="1:32" s="50" customFormat="1" ht="15" x14ac:dyDescent="0.25">
      <c r="A2" s="49"/>
      <c r="G2" s="45" t="s">
        <v>178</v>
      </c>
      <c r="L2" s="61"/>
    </row>
    <row r="3" spans="1:32" s="50" customFormat="1" ht="15" x14ac:dyDescent="0.25">
      <c r="A3" s="49" t="s">
        <v>1</v>
      </c>
      <c r="B3" s="51" t="s">
        <v>35</v>
      </c>
      <c r="C3" s="49" t="s">
        <v>2</v>
      </c>
      <c r="D3" s="49"/>
      <c r="E3" s="49"/>
      <c r="G3" s="50" t="s">
        <v>75</v>
      </c>
      <c r="AD3" s="113"/>
    </row>
    <row r="4" spans="1:32" s="50" customFormat="1" ht="15" x14ac:dyDescent="0.25">
      <c r="A4" s="52" t="s">
        <v>10</v>
      </c>
      <c r="B4" s="53">
        <f>'Opex Modelling Results'!B10</f>
        <v>0.6666282</v>
      </c>
      <c r="C4" s="54">
        <f>B4/SUM(B$4:B$6)</f>
        <v>0.67608294961721682</v>
      </c>
      <c r="D4" s="55"/>
      <c r="E4" s="55"/>
      <c r="G4" s="50" t="s">
        <v>61</v>
      </c>
      <c r="H4" s="56">
        <f>'Efficiency Target Option'!K6</f>
        <v>0.3988815044855305</v>
      </c>
      <c r="AD4" s="113"/>
    </row>
    <row r="5" spans="1:32" s="50" customFormat="1" ht="15" x14ac:dyDescent="0.25">
      <c r="A5" s="52" t="s">
        <v>15</v>
      </c>
      <c r="B5" s="53">
        <f>'Opex Modelling Results'!B11</f>
        <v>0.1055306</v>
      </c>
      <c r="C5" s="54">
        <f>B5/SUM(B$4:B$6)</f>
        <v>0.10702733446151043</v>
      </c>
      <c r="D5" s="55"/>
      <c r="E5" s="55"/>
      <c r="G5" s="50" t="s">
        <v>62</v>
      </c>
      <c r="H5" s="56">
        <f>'Efficiency Target Option'!K7</f>
        <v>0.42993180803310338</v>
      </c>
      <c r="AD5" s="113"/>
    </row>
    <row r="6" spans="1:32" s="50" customFormat="1" ht="15" x14ac:dyDescent="0.25">
      <c r="A6" s="52" t="s">
        <v>16</v>
      </c>
      <c r="B6" s="53">
        <f>'Opex Modelling Results'!B12</f>
        <v>0.21385660000000001</v>
      </c>
      <c r="C6" s="54">
        <f>B6/SUM(B$4:B$6)</f>
        <v>0.21688971592127262</v>
      </c>
      <c r="D6" s="55"/>
      <c r="E6" s="55"/>
      <c r="G6" s="50" t="s">
        <v>65</v>
      </c>
      <c r="H6" s="56">
        <f>'Efficiency Target Option'!K8</f>
        <v>0.24276290777035303</v>
      </c>
      <c r="AD6" s="113"/>
    </row>
    <row r="7" spans="1:32" s="50" customFormat="1" ht="12.75" customHeight="1" x14ac:dyDescent="0.25">
      <c r="A7" s="52" t="s">
        <v>19</v>
      </c>
      <c r="B7" s="53">
        <f>'Opex Modelling Results'!B13</f>
        <v>-0.1313396</v>
      </c>
      <c r="G7" s="50" t="s">
        <v>68</v>
      </c>
      <c r="H7" s="56">
        <f>'Efficiency Target Option'!K9</f>
        <v>0.29969031492453602</v>
      </c>
      <c r="AD7" s="113"/>
    </row>
    <row r="8" spans="1:32" s="50" customFormat="1" ht="12.75" customHeight="1" x14ac:dyDescent="0.25">
      <c r="A8" s="52" t="s">
        <v>0</v>
      </c>
      <c r="B8" s="53">
        <f>'Opex Modelling Results'!B14</f>
        <v>1.7866E-2</v>
      </c>
      <c r="AD8" s="113"/>
    </row>
    <row r="9" spans="1:32" s="50" customFormat="1" ht="15" x14ac:dyDescent="0.25">
      <c r="B9" s="55"/>
      <c r="AF9" s="113"/>
    </row>
    <row r="10" spans="1:32" s="50" customFormat="1" ht="15" x14ac:dyDescent="0.25">
      <c r="A10" s="49" t="s">
        <v>21</v>
      </c>
      <c r="B10" s="49"/>
      <c r="C10" s="49"/>
      <c r="E10" s="51" t="s">
        <v>31</v>
      </c>
      <c r="F10" s="51"/>
      <c r="G10" s="51"/>
      <c r="H10" s="51" t="s">
        <v>32</v>
      </c>
      <c r="I10" s="51"/>
      <c r="J10" s="51"/>
      <c r="K10" s="51" t="s">
        <v>33</v>
      </c>
      <c r="L10" s="51"/>
      <c r="M10" s="51"/>
      <c r="N10" s="51" t="s">
        <v>34</v>
      </c>
    </row>
    <row r="11" spans="1:32" s="50" customFormat="1" ht="15" x14ac:dyDescent="0.25">
      <c r="E11" s="57">
        <v>2013</v>
      </c>
      <c r="F11" s="49"/>
      <c r="G11" s="49"/>
      <c r="H11" s="57">
        <v>2013</v>
      </c>
      <c r="I11" s="49"/>
      <c r="J11" s="57"/>
      <c r="K11" s="57">
        <v>2013</v>
      </c>
      <c r="L11" s="49"/>
      <c r="M11" s="49"/>
      <c r="N11" s="57">
        <v>2013</v>
      </c>
    </row>
    <row r="12" spans="1:32" s="121" customFormat="1" ht="15" x14ac:dyDescent="0.25">
      <c r="A12" s="119" t="s">
        <v>10</v>
      </c>
      <c r="B12" s="119"/>
      <c r="C12" s="119"/>
      <c r="D12" s="119"/>
      <c r="E12" s="120">
        <f>'Cost Drivers'!K18</f>
        <v>7.5670936892605345E-2</v>
      </c>
      <c r="F12" s="120"/>
      <c r="G12" s="120"/>
      <c r="H12" s="120">
        <f>'Cost Drivers'!T18</f>
        <v>2.7107322257885057E-2</v>
      </c>
      <c r="I12" s="120"/>
      <c r="J12" s="120"/>
      <c r="K12" s="120">
        <f>'Cost Drivers'!AC18</f>
        <v>4.06880299560477E-2</v>
      </c>
      <c r="L12" s="120"/>
      <c r="M12" s="120"/>
      <c r="N12" s="120">
        <f>'Cost Drivers'!AL18</f>
        <v>2.564924723240072E-2</v>
      </c>
    </row>
    <row r="13" spans="1:32" s="121" customFormat="1" ht="12.75" customHeight="1" x14ac:dyDescent="0.25">
      <c r="A13" s="119" t="s">
        <v>15</v>
      </c>
      <c r="B13" s="119"/>
      <c r="C13" s="119"/>
      <c r="D13" s="119"/>
      <c r="E13" s="120">
        <f>'Cost Drivers'!K19</f>
        <v>5.0417200736878019E-2</v>
      </c>
      <c r="F13" s="120"/>
      <c r="G13" s="120"/>
      <c r="H13" s="120">
        <f>'Cost Drivers'!T19</f>
        <v>3.0351503193273434E-2</v>
      </c>
      <c r="I13" s="120"/>
      <c r="J13" s="120"/>
      <c r="K13" s="120">
        <f>'Cost Drivers'!AC19</f>
        <v>3.8203787706938643E-2</v>
      </c>
      <c r="L13" s="120"/>
      <c r="M13" s="120"/>
      <c r="N13" s="120">
        <f>'Cost Drivers'!AL19</f>
        <v>3.3558419616506207E-3</v>
      </c>
    </row>
    <row r="14" spans="1:32" s="121" customFormat="1" ht="13.5" customHeight="1" x14ac:dyDescent="0.25">
      <c r="A14" s="119" t="s">
        <v>16</v>
      </c>
      <c r="B14" s="119"/>
      <c r="C14" s="119"/>
      <c r="D14" s="119"/>
      <c r="E14" s="120">
        <f>'Cost Drivers'!K20</f>
        <v>7.9583803430247874E-2</v>
      </c>
      <c r="F14" s="120"/>
      <c r="G14" s="120"/>
      <c r="H14" s="120">
        <f>'Cost Drivers'!T20</f>
        <v>2.9633791641823511E-2</v>
      </c>
      <c r="I14" s="120"/>
      <c r="J14" s="120"/>
      <c r="K14" s="120">
        <f>'Cost Drivers'!AC20</f>
        <v>4.4986274740768807E-2</v>
      </c>
      <c r="L14" s="120"/>
      <c r="M14" s="120"/>
      <c r="N14" s="120">
        <f>'Cost Drivers'!AL20</f>
        <v>6.0271255733101072E-3</v>
      </c>
    </row>
    <row r="15" spans="1:32" s="115" customFormat="1" ht="15" x14ac:dyDescent="0.25">
      <c r="A15" s="115" t="s">
        <v>53</v>
      </c>
      <c r="E15" s="62">
        <f t="shared" ref="E15" si="0">$C4*E12+$C5*E13+$C6*E14</f>
        <v>7.3816757338450709E-2</v>
      </c>
      <c r="F15" s="62"/>
      <c r="G15" s="62"/>
      <c r="H15" s="62">
        <f t="shared" ref="H15" si="1">$C4*H12+$C5*H13+$C6*H14</f>
        <v>2.8002503522876723E-2</v>
      </c>
      <c r="I15" s="62"/>
      <c r="J15" s="62"/>
      <c r="K15" s="62">
        <f t="shared" ref="K15" si="2">$C4*K12+$C5*K13+$C6*K14</f>
        <v>4.1354393220287139E-2</v>
      </c>
      <c r="L15" s="62"/>
      <c r="M15" s="62"/>
      <c r="N15" s="62">
        <f t="shared" ref="N15" si="3">$C4*N12+$C5*N13+$C6*N14</f>
        <v>1.9007407097789333E-2</v>
      </c>
    </row>
    <row r="16" spans="1:32" s="121" customFormat="1" ht="15" x14ac:dyDescent="0.25">
      <c r="A16" s="119" t="s">
        <v>19</v>
      </c>
      <c r="B16" s="119"/>
      <c r="C16" s="119"/>
      <c r="D16" s="119"/>
      <c r="E16" s="120">
        <f>'Cost Drivers'!K21</f>
        <v>5.143022377976264E-2</v>
      </c>
      <c r="F16" s="120"/>
      <c r="G16" s="120"/>
      <c r="H16" s="120">
        <f>'Cost Drivers'!T21</f>
        <v>5.2451945369402848E-2</v>
      </c>
      <c r="I16" s="120"/>
      <c r="J16" s="120"/>
      <c r="K16" s="120">
        <f>'Cost Drivers'!AC21</f>
        <v>8.3704077161585719E-2</v>
      </c>
      <c r="L16" s="120"/>
      <c r="M16" s="120"/>
      <c r="N16" s="120">
        <f>'Cost Drivers'!AL21</f>
        <v>0.16477793769078694</v>
      </c>
    </row>
    <row r="17" spans="1:42" s="60" customFormat="1" ht="15" x14ac:dyDescent="0.25">
      <c r="F17" s="64"/>
      <c r="I17" s="64"/>
      <c r="L17" s="64"/>
      <c r="M17" s="64"/>
    </row>
    <row r="18" spans="1:42" s="60" customFormat="1" ht="15" x14ac:dyDescent="0.25">
      <c r="A18" s="61" t="s">
        <v>6</v>
      </c>
      <c r="B18" s="61"/>
      <c r="C18" s="61"/>
      <c r="D18" s="61"/>
      <c r="E18" s="61"/>
      <c r="F18" s="65"/>
      <c r="I18" s="65"/>
      <c r="L18" s="65"/>
      <c r="M18" s="65"/>
    </row>
    <row r="19" spans="1:42" s="60" customFormat="1" ht="15" x14ac:dyDescent="0.25">
      <c r="G19" s="66"/>
      <c r="H19" s="66"/>
      <c r="J19" s="66"/>
      <c r="K19" s="66"/>
      <c r="N19" s="66"/>
    </row>
    <row r="20" spans="1:42" s="114" customFormat="1" ht="15" x14ac:dyDescent="0.25">
      <c r="A20" s="114" t="s">
        <v>3</v>
      </c>
      <c r="E20" s="67">
        <f>-$B8*3.5</f>
        <v>-6.2531000000000003E-2</v>
      </c>
      <c r="F20" s="67"/>
      <c r="G20" s="67"/>
      <c r="H20" s="67">
        <f>-$B8*3.5</f>
        <v>-6.2531000000000003E-2</v>
      </c>
      <c r="I20" s="67"/>
      <c r="J20" s="67"/>
      <c r="K20" s="67">
        <f>-$B8*3.5</f>
        <v>-6.2531000000000003E-2</v>
      </c>
      <c r="L20" s="67"/>
      <c r="M20" s="67"/>
      <c r="N20" s="67">
        <f>-$B8*3.5</f>
        <v>-6.2531000000000003E-2</v>
      </c>
    </row>
    <row r="21" spans="1:42" s="114" customFormat="1" ht="15" x14ac:dyDescent="0.25">
      <c r="A21" s="114" t="s">
        <v>4</v>
      </c>
      <c r="E21" s="67">
        <f t="shared" ref="E21" si="4">(1-$B4-$B5-$B6)*E15</f>
        <v>1.0322978246752967E-3</v>
      </c>
      <c r="F21" s="67"/>
      <c r="G21" s="67"/>
      <c r="H21" s="67">
        <f t="shared" ref="H21" si="5">(1-$B4-$B5-$B6)*H15</f>
        <v>3.916038107660214E-4</v>
      </c>
      <c r="I21" s="67"/>
      <c r="J21" s="67"/>
      <c r="K21" s="67">
        <f t="shared" ref="K21" si="6">(1-$B4-$B5-$B6)*K15</f>
        <v>5.7832464742842691E-4</v>
      </c>
      <c r="L21" s="67"/>
      <c r="M21" s="67"/>
      <c r="N21" s="67">
        <f t="shared" ref="N21" si="7">(1-$B4-$B5-$B6)*N15</f>
        <v>2.6581098529974441E-4</v>
      </c>
    </row>
    <row r="22" spans="1:42" s="114" customFormat="1" ht="15" x14ac:dyDescent="0.25">
      <c r="A22" s="114" t="s">
        <v>5</v>
      </c>
      <c r="E22" s="67">
        <f t="shared" ref="E22" si="8">$B7*E16</f>
        <v>-6.7548250191445131E-3</v>
      </c>
      <c r="F22" s="67"/>
      <c r="G22" s="67"/>
      <c r="H22" s="67">
        <f t="shared" ref="H22" si="9">$B7*H16</f>
        <v>-6.8890175240392225E-3</v>
      </c>
      <c r="I22" s="67"/>
      <c r="J22" s="67"/>
      <c r="K22" s="67">
        <f t="shared" ref="K22" si="10">$B7*K16</f>
        <v>-1.0993660012771803E-2</v>
      </c>
      <c r="L22" s="67"/>
      <c r="M22" s="67"/>
      <c r="N22" s="67">
        <f t="shared" ref="N22" si="11">$B7*N16</f>
        <v>-2.1641868425132882E-2</v>
      </c>
    </row>
    <row r="23" spans="1:42" s="60" customFormat="1" ht="15" x14ac:dyDescent="0.25">
      <c r="G23" s="64"/>
      <c r="H23" s="64"/>
      <c r="J23" s="64"/>
      <c r="K23" s="64"/>
      <c r="N23" s="64"/>
    </row>
    <row r="24" spans="1:42" s="114" customFormat="1" ht="15" x14ac:dyDescent="0.25">
      <c r="A24" s="115" t="s">
        <v>55</v>
      </c>
      <c r="B24" s="115"/>
      <c r="C24" s="115"/>
      <c r="D24" s="115"/>
      <c r="E24" s="68">
        <f t="shared" ref="E24" si="12">E20+E21-E22</f>
        <v>-5.4743877156180197E-2</v>
      </c>
      <c r="F24" s="68"/>
      <c r="G24" s="68"/>
      <c r="H24" s="68">
        <f t="shared" ref="H24" si="13">H20+H21-H22</f>
        <v>-5.5250378665194763E-2</v>
      </c>
      <c r="I24" s="68"/>
      <c r="J24" s="68"/>
      <c r="K24" s="68">
        <f t="shared" ref="K24" si="14">K20+K21-K22</f>
        <v>-5.0959015339799768E-2</v>
      </c>
      <c r="L24" s="68"/>
      <c r="M24" s="68"/>
      <c r="N24" s="68">
        <f t="shared" ref="N24" si="15">N20+N21-N22</f>
        <v>-4.0623320589567379E-2</v>
      </c>
    </row>
    <row r="25" spans="1:42" s="60" customFormat="1" ht="15" x14ac:dyDescent="0.25"/>
    <row r="26" spans="1:42" s="116" customFormat="1" ht="15" x14ac:dyDescent="0.25">
      <c r="A26" s="116" t="s">
        <v>54</v>
      </c>
      <c r="E26" s="46">
        <v>0</v>
      </c>
      <c r="G26" s="46"/>
      <c r="H26" s="46">
        <v>0</v>
      </c>
      <c r="J26" s="46"/>
      <c r="K26" s="46">
        <v>0</v>
      </c>
      <c r="N26" s="46">
        <v>0</v>
      </c>
    </row>
    <row r="27" spans="1:42" s="60" customFormat="1" ht="15" x14ac:dyDescent="0.25">
      <c r="D27" s="69"/>
      <c r="E27" s="69"/>
    </row>
    <row r="28" spans="1:42" s="59" customFormat="1" ht="15" x14ac:dyDescent="0.25">
      <c r="A28" s="62" t="s">
        <v>56</v>
      </c>
      <c r="E28" s="70">
        <f t="shared" ref="E28" si="16">(1+E15)*(1+E26)*(1-E24)-1</f>
        <v>0.13260164999043456</v>
      </c>
      <c r="G28" s="70"/>
      <c r="H28" s="70">
        <f t="shared" ref="H28" si="17">(1+H15)*(1+H26)*(1-H24)-1</f>
        <v>8.480003111128398E-2</v>
      </c>
      <c r="J28" s="70"/>
      <c r="K28" s="70">
        <f t="shared" ref="K28" si="18">(1+K15)*(1+K26)*(1-K24)-1</f>
        <v>9.4420787718567656E-2</v>
      </c>
      <c r="N28" s="70">
        <f t="shared" ref="N28" si="19">(1+N15)*(1+N26)*(1-N24)-1</f>
        <v>6.0402871679466674E-2</v>
      </c>
    </row>
    <row r="29" spans="1:42" s="60" customFormat="1" ht="15" x14ac:dyDescent="0.25"/>
    <row r="30" spans="1:42" s="118" customFormat="1" ht="15" x14ac:dyDescent="0.25">
      <c r="A30" s="117" t="s">
        <v>127</v>
      </c>
      <c r="D30" s="47">
        <f>AVERAGE('Cost Drivers'!D13:'Cost Drivers'!K13)*(1-H4)</f>
        <v>36008.19635878651</v>
      </c>
      <c r="E30" s="72">
        <f>D30*(1+E28)</f>
        <v>40782.942609141159</v>
      </c>
      <c r="G30" s="72">
        <f>AVERAGE('Cost Drivers'!$M$13:'Cost Drivers'!$T$13)*(1-H5)</f>
        <v>290309.94844580611</v>
      </c>
      <c r="H30" s="72">
        <f>$G30*(1+H28)</f>
        <v>314928.2411059257</v>
      </c>
      <c r="J30" s="72">
        <f>AVERAGE('Cost Drivers'!V13:'Cost Drivers'!AC13)*(1-H6)</f>
        <v>177496.70802096551</v>
      </c>
      <c r="K30" s="72">
        <f>$J30*(1+K28)</f>
        <v>194256.08700975767</v>
      </c>
      <c r="M30" s="72">
        <f>AVERAGE('Cost Drivers'!AE13:'Cost Drivers'!AL13)*(1-H7)</f>
        <v>246828.78565236629</v>
      </c>
      <c r="N30" s="72">
        <f>$M30*(1+N28)</f>
        <v>261737.95311892475</v>
      </c>
    </row>
    <row r="31" spans="1:42" s="71" customFormat="1" ht="15" x14ac:dyDescent="0.25">
      <c r="A31" s="73"/>
      <c r="D31" s="48"/>
      <c r="E31" s="48"/>
      <c r="L31" s="73"/>
      <c r="N31" s="73"/>
      <c r="O31" s="73"/>
      <c r="V31" s="73"/>
      <c r="X31" s="73"/>
      <c r="Y31" s="73"/>
      <c r="AF31" s="73"/>
      <c r="AH31" s="73"/>
      <c r="AI31" s="73"/>
      <c r="AP31" s="73"/>
    </row>
    <row r="32" spans="1:42" s="60" customFormat="1" ht="15" x14ac:dyDescent="0.25">
      <c r="D32" s="63"/>
      <c r="E32" s="63"/>
      <c r="L32" s="63"/>
      <c r="V32" s="63"/>
    </row>
    <row r="33" spans="1:1" s="60" customFormat="1" ht="15" x14ac:dyDescent="0.25">
      <c r="A33" s="74"/>
    </row>
    <row r="34" spans="1:1" s="60" customFormat="1" ht="15" x14ac:dyDescent="0.25"/>
    <row r="35" spans="1:1" s="50" customFormat="1" ht="15" x14ac:dyDescent="0.25"/>
    <row r="36" spans="1:1" s="50" customFormat="1" ht="15" x14ac:dyDescent="0.25"/>
    <row r="37" spans="1:1" s="50" customFormat="1" ht="15" x14ac:dyDescent="0.25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opLeftCell="A4" zoomScaleNormal="100" workbookViewId="0">
      <selection activeCell="F34" sqref="F34"/>
    </sheetView>
  </sheetViews>
  <sheetFormatPr defaultRowHeight="12.75" x14ac:dyDescent="0.2"/>
  <cols>
    <col min="1" max="1" width="69.5703125" customWidth="1"/>
    <col min="2" max="2" width="7.28515625" customWidth="1"/>
    <col min="3" max="3" width="7.85546875" customWidth="1"/>
    <col min="4" max="4" width="31" customWidth="1"/>
    <col min="5" max="5" width="10.85546875" customWidth="1"/>
    <col min="6" max="6" width="10.7109375" customWidth="1"/>
    <col min="7" max="7" width="11.140625" customWidth="1"/>
    <col min="8" max="8" width="10.42578125" customWidth="1"/>
  </cols>
  <sheetData>
    <row r="1" spans="1:8" s="10" customFormat="1" ht="15" x14ac:dyDescent="0.25">
      <c r="A1" s="122" t="s">
        <v>117</v>
      </c>
      <c r="B1" s="2"/>
      <c r="C1" s="2"/>
      <c r="D1" s="2"/>
    </row>
    <row r="2" spans="1:8" s="10" customFormat="1" ht="15" x14ac:dyDescent="0.25">
      <c r="A2" s="2"/>
      <c r="B2" s="2"/>
      <c r="C2" s="2"/>
      <c r="D2" s="2"/>
    </row>
    <row r="3" spans="1:8" s="10" customFormat="1" ht="15" x14ac:dyDescent="0.25">
      <c r="E3" s="123" t="s">
        <v>82</v>
      </c>
      <c r="F3" s="123" t="s">
        <v>83</v>
      </c>
    </row>
    <row r="4" spans="1:8" s="10" customFormat="1" ht="15" x14ac:dyDescent="0.25">
      <c r="A4" s="10" t="s">
        <v>118</v>
      </c>
      <c r="E4" s="124">
        <v>1.0347295307199531</v>
      </c>
      <c r="F4" s="124">
        <v>1.0087753969845417</v>
      </c>
    </row>
    <row r="5" spans="1:8" s="10" customFormat="1" ht="15" x14ac:dyDescent="0.25"/>
    <row r="6" spans="1:8" s="20" customFormat="1" ht="15" x14ac:dyDescent="0.25">
      <c r="A6" s="20" t="s">
        <v>119</v>
      </c>
      <c r="E6" s="20" t="s">
        <v>57</v>
      </c>
      <c r="F6" s="20" t="s">
        <v>81</v>
      </c>
      <c r="G6" s="20" t="s">
        <v>58</v>
      </c>
      <c r="H6" s="20" t="s">
        <v>59</v>
      </c>
    </row>
    <row r="7" spans="1:8" s="10" customFormat="1" ht="15" x14ac:dyDescent="0.25">
      <c r="B7" s="25" t="s">
        <v>9</v>
      </c>
      <c r="C7" s="25" t="s">
        <v>97</v>
      </c>
      <c r="D7" s="25" t="s">
        <v>101</v>
      </c>
      <c r="E7" s="125" t="s">
        <v>82</v>
      </c>
      <c r="F7" s="125" t="s">
        <v>82</v>
      </c>
      <c r="G7" s="125" t="s">
        <v>82</v>
      </c>
      <c r="H7" s="125" t="s">
        <v>82</v>
      </c>
    </row>
    <row r="8" spans="1:8" s="10" customFormat="1" ht="15" x14ac:dyDescent="0.25">
      <c r="A8" s="126" t="s">
        <v>77</v>
      </c>
      <c r="B8" s="127" t="s">
        <v>96</v>
      </c>
      <c r="C8" s="127" t="s">
        <v>98</v>
      </c>
      <c r="D8" s="127"/>
      <c r="E8" s="128">
        <v>95.386123065048139</v>
      </c>
      <c r="F8" s="128">
        <v>503.58229615051454</v>
      </c>
      <c r="G8" s="128">
        <v>271.58627373226898</v>
      </c>
      <c r="H8" s="128">
        <v>461.04227079995258</v>
      </c>
    </row>
    <row r="9" spans="1:8" s="10" customFormat="1" ht="15" x14ac:dyDescent="0.25">
      <c r="A9" s="127" t="s">
        <v>106</v>
      </c>
      <c r="B9" s="127" t="s">
        <v>96</v>
      </c>
      <c r="C9" s="127" t="s">
        <v>121</v>
      </c>
      <c r="D9" s="127"/>
      <c r="E9" s="128">
        <v>0</v>
      </c>
      <c r="F9" s="128">
        <v>-0.36057828649000001</v>
      </c>
      <c r="G9" s="129"/>
      <c r="H9" s="128">
        <v>-0.2900994909755229</v>
      </c>
    </row>
    <row r="10" spans="1:8" s="10" customFormat="1" ht="15" x14ac:dyDescent="0.25">
      <c r="A10" s="127" t="s">
        <v>107</v>
      </c>
      <c r="B10" s="127" t="s">
        <v>96</v>
      </c>
      <c r="C10" s="127" t="s">
        <v>122</v>
      </c>
      <c r="D10" s="127"/>
      <c r="E10" s="128">
        <v>-22.00984190625767</v>
      </c>
      <c r="F10" s="129"/>
      <c r="G10" s="129"/>
      <c r="H10" s="129"/>
    </row>
    <row r="11" spans="1:8" s="10" customFormat="1" ht="15" x14ac:dyDescent="0.25">
      <c r="A11" s="127" t="s">
        <v>108</v>
      </c>
      <c r="B11" s="127" t="s">
        <v>96</v>
      </c>
      <c r="C11" s="127" t="s">
        <v>123</v>
      </c>
      <c r="D11" s="127"/>
      <c r="E11" s="128">
        <v>-6.9262946090784396</v>
      </c>
      <c r="F11" s="128">
        <v>3.7087917491173923</v>
      </c>
      <c r="G11" s="128">
        <v>0</v>
      </c>
      <c r="H11" s="128">
        <v>0</v>
      </c>
    </row>
    <row r="12" spans="1:8" s="10" customFormat="1" ht="15" x14ac:dyDescent="0.25">
      <c r="A12" s="127" t="s">
        <v>109</v>
      </c>
      <c r="B12" s="127" t="s">
        <v>96</v>
      </c>
      <c r="C12" s="127" t="s">
        <v>124</v>
      </c>
      <c r="D12" s="127"/>
      <c r="E12" s="128">
        <v>-1.95265945023314</v>
      </c>
      <c r="F12" s="128">
        <v>-34.754656573953362</v>
      </c>
      <c r="G12" s="128">
        <v>-55.093453778028184</v>
      </c>
      <c r="H12" s="128">
        <v>-59.782158760000009</v>
      </c>
    </row>
    <row r="13" spans="1:8" s="10" customFormat="1" ht="15" x14ac:dyDescent="0.25">
      <c r="A13" s="130" t="s">
        <v>78</v>
      </c>
      <c r="B13" s="127" t="s">
        <v>96</v>
      </c>
      <c r="C13" s="127" t="s">
        <v>110</v>
      </c>
      <c r="D13" s="127" t="s">
        <v>125</v>
      </c>
      <c r="E13" s="131">
        <f>SUM(E8:E12)</f>
        <v>64.497327099478895</v>
      </c>
      <c r="F13" s="131">
        <f>SUM(F8:F12)</f>
        <v>472.17585303918855</v>
      </c>
      <c r="G13" s="131">
        <f>SUM(G7:G12)</f>
        <v>216.49281995424079</v>
      </c>
      <c r="H13" s="131">
        <f>SUM(H8:H12)</f>
        <v>400.97001254897702</v>
      </c>
    </row>
    <row r="14" spans="1:8" s="10" customFormat="1" ht="15" x14ac:dyDescent="0.25">
      <c r="A14" s="127"/>
      <c r="B14" s="127"/>
      <c r="C14" s="127"/>
      <c r="D14" s="132"/>
      <c r="E14" s="133"/>
      <c r="F14" s="133"/>
      <c r="G14" s="133"/>
      <c r="H14" s="133"/>
    </row>
    <row r="15" spans="1:8" s="10" customFormat="1" ht="15" x14ac:dyDescent="0.25">
      <c r="A15" s="126" t="s">
        <v>113</v>
      </c>
      <c r="E15" s="134"/>
      <c r="F15" s="134"/>
      <c r="G15" s="134"/>
      <c r="H15" s="134"/>
    </row>
    <row r="16" spans="1:8" s="10" customFormat="1" ht="15" x14ac:dyDescent="0.25">
      <c r="A16" s="10" t="s">
        <v>79</v>
      </c>
      <c r="B16" s="127" t="s">
        <v>96</v>
      </c>
      <c r="C16" s="127" t="s">
        <v>111</v>
      </c>
      <c r="D16" s="127" t="s">
        <v>112</v>
      </c>
      <c r="E16" s="131">
        <f>E13*$E$4</f>
        <v>66.737289002335118</v>
      </c>
      <c r="F16" s="131">
        <f>F13*$E$4</f>
        <v>488.57429883253309</v>
      </c>
      <c r="G16" s="131">
        <f>G13*$E$4</f>
        <v>224.01151399549087</v>
      </c>
      <c r="H16" s="131">
        <f>H13*$E$4</f>
        <v>414.8955129175767</v>
      </c>
    </row>
    <row r="17" spans="1:8" s="10" customFormat="1" ht="15" x14ac:dyDescent="0.25">
      <c r="A17" s="127"/>
      <c r="B17" s="127"/>
      <c r="C17" s="127"/>
      <c r="D17" s="127"/>
      <c r="E17" s="134"/>
      <c r="F17" s="134"/>
      <c r="G17" s="134"/>
      <c r="H17" s="134"/>
    </row>
    <row r="18" spans="1:8" s="10" customFormat="1" ht="15" x14ac:dyDescent="0.25">
      <c r="A18" s="135" t="s">
        <v>120</v>
      </c>
      <c r="B18" s="127"/>
      <c r="C18" s="127"/>
      <c r="D18" s="127"/>
      <c r="E18" s="134"/>
      <c r="F18" s="134"/>
      <c r="G18" s="134"/>
      <c r="H18" s="134"/>
    </row>
    <row r="19" spans="1:8" s="10" customFormat="1" ht="15" x14ac:dyDescent="0.25">
      <c r="A19" s="10" t="s">
        <v>95</v>
      </c>
      <c r="B19" s="127" t="s">
        <v>96</v>
      </c>
      <c r="C19" s="127" t="s">
        <v>99</v>
      </c>
      <c r="D19" s="127" t="s">
        <v>105</v>
      </c>
      <c r="E19" s="131">
        <f>'Opex Forecasts'!E30/1000</f>
        <v>40.782942609141159</v>
      </c>
      <c r="F19" s="131">
        <f>'Opex Forecasts'!H30/1000</f>
        <v>314.92824110592568</v>
      </c>
      <c r="G19" s="131">
        <f>'Opex Forecasts'!K30/1000</f>
        <v>194.25608700975766</v>
      </c>
      <c r="H19" s="131">
        <f>'Opex Forecasts'!N30/1000</f>
        <v>261.73795311892474</v>
      </c>
    </row>
    <row r="20" spans="1:8" s="10" customFormat="1" ht="15" x14ac:dyDescent="0.25">
      <c r="A20" s="10" t="s">
        <v>80</v>
      </c>
      <c r="B20" s="127" t="s">
        <v>96</v>
      </c>
      <c r="C20" s="127" t="s">
        <v>100</v>
      </c>
      <c r="D20" s="127" t="s">
        <v>114</v>
      </c>
      <c r="E20" s="131">
        <f>'Opex Forecasts'!E30*$E$4/1000</f>
        <v>42.199315067335412</v>
      </c>
      <c r="F20" s="131">
        <f>'Opex Forecasts'!H30*$E$4/1000</f>
        <v>325.86555112999474</v>
      </c>
      <c r="G20" s="131">
        <f>'Opex Forecasts'!K30*$E$4/1000</f>
        <v>201.00250975110094</v>
      </c>
      <c r="H20" s="131">
        <f>'Opex Forecasts'!N30*$E$4/1000</f>
        <v>270.82798940234608</v>
      </c>
    </row>
    <row r="21" spans="1:8" s="10" customFormat="1" ht="15" x14ac:dyDescent="0.25">
      <c r="A21" s="20"/>
      <c r="B21" s="127"/>
      <c r="C21" s="127"/>
      <c r="D21" s="127"/>
      <c r="E21" s="134"/>
      <c r="F21" s="134"/>
      <c r="G21" s="134"/>
      <c r="H21" s="134"/>
    </row>
    <row r="22" spans="1:8" s="10" customFormat="1" ht="15" x14ac:dyDescent="0.25">
      <c r="A22" s="20" t="s">
        <v>177</v>
      </c>
      <c r="E22" s="134"/>
      <c r="F22" s="134"/>
      <c r="G22" s="134"/>
      <c r="H22" s="134"/>
    </row>
    <row r="23" spans="1:8" s="10" customFormat="1" ht="15" x14ac:dyDescent="0.25">
      <c r="A23" s="10" t="s">
        <v>104</v>
      </c>
      <c r="B23" s="127" t="s">
        <v>96</v>
      </c>
      <c r="C23" s="127" t="s">
        <v>102</v>
      </c>
      <c r="D23" s="127" t="s">
        <v>116</v>
      </c>
      <c r="E23" s="131">
        <f>E16-E20</f>
        <v>24.537973934999705</v>
      </c>
      <c r="F23" s="131">
        <f>F16-F20</f>
        <v>162.70874770253835</v>
      </c>
      <c r="G23" s="131">
        <f>G16-G20</f>
        <v>23.009004244389928</v>
      </c>
      <c r="H23" s="131">
        <f>H16-H20</f>
        <v>144.06752351523062</v>
      </c>
    </row>
    <row r="24" spans="1:8" s="10" customFormat="1" ht="15" x14ac:dyDescent="0.25">
      <c r="A24" s="10" t="s">
        <v>115</v>
      </c>
      <c r="B24" s="127" t="s">
        <v>49</v>
      </c>
      <c r="C24" s="127" t="s">
        <v>103</v>
      </c>
      <c r="D24" s="127" t="s">
        <v>126</v>
      </c>
      <c r="E24" s="136">
        <f>E23/E16</f>
        <v>0.3676801126000358</v>
      </c>
      <c r="F24" s="136">
        <f>F23/F16</f>
        <v>0.33302764408880514</v>
      </c>
      <c r="G24" s="136">
        <f>G23/G16</f>
        <v>0.10271348929347032</v>
      </c>
      <c r="H24" s="136">
        <f>H23/H16</f>
        <v>0.34723808532451189</v>
      </c>
    </row>
  </sheetData>
  <pageMargins left="0.7" right="0.7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20" sqref="E20"/>
    </sheetView>
  </sheetViews>
  <sheetFormatPr defaultRowHeight="12.75" x14ac:dyDescent="0.2"/>
  <cols>
    <col min="1" max="1" width="29" bestFit="1" customWidth="1"/>
    <col min="2" max="5" width="10.7109375" customWidth="1"/>
  </cols>
  <sheetData>
    <row r="1" spans="1:5" ht="15" x14ac:dyDescent="0.25">
      <c r="B1" s="141" t="str">
        <f>'Base Year Adjustment'!E6</f>
        <v>ActewAGL</v>
      </c>
      <c r="C1" s="141" t="str">
        <f>'Base Year Adjustment'!F6</f>
        <v>Ausgrid</v>
      </c>
      <c r="D1" s="141" t="str">
        <f>'Base Year Adjustment'!G6</f>
        <v>Endeavour</v>
      </c>
      <c r="E1" s="141" t="str">
        <f>'Base Year Adjustment'!H6</f>
        <v>Essential</v>
      </c>
    </row>
    <row r="2" spans="1:5" ht="15" x14ac:dyDescent="0.25">
      <c r="A2" s="10" t="s">
        <v>176</v>
      </c>
      <c r="B2" s="136">
        <f>-'Base Year Adjustment'!E24</f>
        <v>-0.3676801126000358</v>
      </c>
      <c r="C2" s="136">
        <f>-'Base Year Adjustment'!F24</f>
        <v>-0.33302764408880514</v>
      </c>
      <c r="D2" s="136">
        <f>-'Base Year Adjustment'!G24</f>
        <v>-0.10271348929347032</v>
      </c>
      <c r="E2" s="136">
        <f>-'Base Year Adjustment'!H24</f>
        <v>-0.34723808532451189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Readme</vt:lpstr>
      <vt:lpstr>Cost Drivers</vt:lpstr>
      <vt:lpstr>Opex Modelling Results</vt:lpstr>
      <vt:lpstr>Efficiency Target Option</vt:lpstr>
      <vt:lpstr>Opex Forecasts</vt:lpstr>
      <vt:lpstr>Base Year Adjustment</vt:lpstr>
      <vt:lpstr>Opex model inputs</vt:lpstr>
      <vt:lpstr>'Base Year Adjustment'!Print_Area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2014-11-25T23:51:09Z</dcterms:created>
  <dcterms:modified xsi:type="dcterms:W3CDTF">2014-11-25T23:51:11Z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8309429</vt:lpwstr>
  </property>
</Properties>
</file>