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200" yWindow="165" windowWidth="9825" windowHeight="10365" tabRatio="693" activeTab="1"/>
  </bookViews>
  <sheets>
    <sheet name="Readme" sheetId="31" r:id="rId1"/>
    <sheet name="Trend PPI" sheetId="32" r:id="rId2"/>
    <sheet name="Financial charts" sheetId="24" r:id="rId3"/>
    <sheet name="Non-Financial charts" sheetId="25" r:id="rId4"/>
    <sheet name="Analysis" sheetId="8" r:id="rId5"/>
    <sheet name="Total cost" sheetId="28" r:id="rId6"/>
    <sheet name="Asset cost" sheetId="22" r:id="rId7"/>
    <sheet name="RAB" sheetId="7" r:id="rId8"/>
    <sheet name="Opex" sheetId="4" r:id="rId9"/>
    <sheet name="Depreciation" sheetId="27" r:id="rId10"/>
    <sheet name="Zonesubstationtransformation" sheetId="30" r:id="rId11"/>
    <sheet name="CPI" sheetId="2" r:id="rId12"/>
    <sheet name="Reliability" sheetId="6" r:id="rId13"/>
    <sheet name="Physical data" sheetId="5" r:id="rId14"/>
  </sheets>
  <externalReferences>
    <externalReference r:id="rId15"/>
    <externalReference r:id="rId16"/>
    <externalReference r:id="rId17"/>
  </externalReferences>
  <definedNames>
    <definedName name="_GoBack" localSheetId="0">Readme!$A$14</definedName>
    <definedName name="_Ref390772024" localSheetId="13">'Physical data'!#REF!</definedName>
    <definedName name="Capex_base" localSheetId="6">'Asset cost'!#REF!</definedName>
    <definedName name="Capex_base" localSheetId="9">Depreciation!#REF!</definedName>
    <definedName name="Capex_base" localSheetId="8">Opex!#REF!</definedName>
    <definedName name="Capex_base" localSheetId="7">CPI!$E$6</definedName>
    <definedName name="Capex_base" localSheetId="0">[1]Capex!#REF!</definedName>
    <definedName name="Capex_base">#REF!</definedName>
    <definedName name="Capex_Base_Index" localSheetId="6">'Asset cost'!#REF!</definedName>
    <definedName name="Capex_Base_Index" localSheetId="9">Depreciation!#REF!</definedName>
    <definedName name="Capex_Base_Index" localSheetId="8">Opex!#REF!</definedName>
    <definedName name="Capex_Base_Index" localSheetId="7">CPI!$E$8</definedName>
    <definedName name="Capex_Base_Index" localSheetId="0">[1]Capex!#REF!</definedName>
    <definedName name="Capex_Base_Index">#REF!</definedName>
    <definedName name="Capex_Years">[2]Capex!$C$1:$CZ$1</definedName>
    <definedName name="currency_base" localSheetId="0">[1]CPI!$E$8</definedName>
    <definedName name="currency_base">CPI!$E$8</definedName>
    <definedName name="Real_year" localSheetId="0">[1]CPI!$E$6</definedName>
    <definedName name="Real_year">CPI!$E$6</definedName>
    <definedName name="RemovingHVAssets" localSheetId="0">[1]Zonesubstationtransformation!#REF!</definedName>
    <definedName name="RemovingHVAssets">Zonesubstationtransformation!#REF!</definedName>
  </definedNames>
  <calcPr calcId="145621"/>
</workbook>
</file>

<file path=xl/calcChain.xml><?xml version="1.0" encoding="utf-8"?>
<calcChain xmlns="http://schemas.openxmlformats.org/spreadsheetml/2006/main">
  <c r="B27" i="32" l="1"/>
  <c r="C27" i="32"/>
  <c r="D27" i="32"/>
  <c r="E27" i="32"/>
  <c r="F27" i="32"/>
  <c r="G27" i="32"/>
  <c r="H27" i="32"/>
  <c r="I27" i="32"/>
  <c r="J27" i="32"/>
  <c r="K27" i="32"/>
  <c r="C45" i="32" l="1"/>
  <c r="D45" i="32"/>
  <c r="E45" i="32"/>
  <c r="F45" i="32"/>
  <c r="G45" i="32"/>
  <c r="H45" i="32"/>
  <c r="I45" i="32"/>
  <c r="J45" i="32"/>
  <c r="K45" i="32"/>
  <c r="B45" i="32"/>
  <c r="C42" i="32"/>
  <c r="D42" i="32"/>
  <c r="E42" i="32"/>
  <c r="F42" i="32"/>
  <c r="G42" i="32"/>
  <c r="H42" i="32"/>
  <c r="I42" i="32"/>
  <c r="J42" i="32"/>
  <c r="K42" i="32"/>
  <c r="B42" i="32"/>
  <c r="C41" i="32"/>
  <c r="D41" i="32"/>
  <c r="E41" i="32"/>
  <c r="F41" i="32"/>
  <c r="G41" i="32"/>
  <c r="H41" i="32"/>
  <c r="I41" i="32"/>
  <c r="J41" i="32"/>
  <c r="K41" i="32"/>
  <c r="B41" i="32"/>
  <c r="C24" i="32"/>
  <c r="D24" i="32"/>
  <c r="E24" i="32"/>
  <c r="F24" i="32"/>
  <c r="G24" i="32"/>
  <c r="H24" i="32"/>
  <c r="I24" i="32"/>
  <c r="J24" i="32"/>
  <c r="K24" i="32"/>
  <c r="B24" i="32"/>
  <c r="C23" i="32"/>
  <c r="D23" i="32"/>
  <c r="E23" i="32"/>
  <c r="F23" i="32"/>
  <c r="G23" i="32"/>
  <c r="H23" i="32"/>
  <c r="I23" i="32"/>
  <c r="J23" i="32"/>
  <c r="K23" i="32"/>
  <c r="B23" i="32"/>
  <c r="B43" i="32"/>
  <c r="C43" i="32"/>
  <c r="D43" i="32"/>
  <c r="E43" i="32"/>
  <c r="F43" i="32"/>
  <c r="G43" i="32"/>
  <c r="H43" i="32"/>
  <c r="I43" i="32"/>
  <c r="J43" i="32"/>
  <c r="K43" i="32"/>
  <c r="B44" i="32"/>
  <c r="C44" i="32"/>
  <c r="D44" i="32"/>
  <c r="E44" i="32"/>
  <c r="F44" i="32"/>
  <c r="G44" i="32"/>
  <c r="H44" i="32"/>
  <c r="I44" i="32"/>
  <c r="J44" i="32"/>
  <c r="K44" i="32"/>
  <c r="C40" i="32"/>
  <c r="D40" i="32"/>
  <c r="E40" i="32"/>
  <c r="F40" i="32"/>
  <c r="G40" i="32"/>
  <c r="H40" i="32"/>
  <c r="I40" i="32"/>
  <c r="J40" i="32"/>
  <c r="K40" i="32"/>
  <c r="B40" i="32"/>
  <c r="B25" i="32"/>
  <c r="C25" i="32"/>
  <c r="D25" i="32"/>
  <c r="E25" i="32"/>
  <c r="F25" i="32"/>
  <c r="G25" i="32"/>
  <c r="H25" i="32"/>
  <c r="I25" i="32"/>
  <c r="J25" i="32"/>
  <c r="K25" i="32"/>
  <c r="B26" i="32"/>
  <c r="C26" i="32"/>
  <c r="D26" i="32"/>
  <c r="E26" i="32"/>
  <c r="F26" i="32"/>
  <c r="G26" i="32"/>
  <c r="H26" i="32"/>
  <c r="I26" i="32"/>
  <c r="J26" i="32"/>
  <c r="K26" i="32"/>
  <c r="C22" i="32"/>
  <c r="D22" i="32"/>
  <c r="E22" i="32"/>
  <c r="F22" i="32"/>
  <c r="G22" i="32"/>
  <c r="H22" i="32"/>
  <c r="I22" i="32"/>
  <c r="J22" i="32"/>
  <c r="K22" i="32"/>
  <c r="B22" i="32"/>
  <c r="L143" i="5"/>
  <c r="K143" i="5"/>
  <c r="J143" i="5"/>
  <c r="I143" i="5"/>
  <c r="H143" i="5"/>
  <c r="G143" i="5"/>
  <c r="F143" i="5"/>
  <c r="E143" i="5"/>
  <c r="D143" i="5"/>
  <c r="C143" i="5"/>
  <c r="L142" i="5"/>
  <c r="K142" i="5"/>
  <c r="J142" i="5"/>
  <c r="I142" i="5"/>
  <c r="H142" i="5"/>
  <c r="G142" i="5"/>
  <c r="F142" i="5"/>
  <c r="E142" i="5"/>
  <c r="D142" i="5"/>
  <c r="C142" i="5"/>
  <c r="L141" i="5"/>
  <c r="K141" i="5"/>
  <c r="J141" i="5"/>
  <c r="I141" i="5"/>
  <c r="H141" i="5"/>
  <c r="G141" i="5"/>
  <c r="F141" i="5"/>
  <c r="E141" i="5"/>
  <c r="D141" i="5"/>
  <c r="C141" i="5"/>
  <c r="L140" i="5"/>
  <c r="K140" i="5"/>
  <c r="J140" i="5"/>
  <c r="I140" i="5"/>
  <c r="H140" i="5"/>
  <c r="G140" i="5"/>
  <c r="F140" i="5"/>
  <c r="E140" i="5"/>
  <c r="D140" i="5"/>
  <c r="C140" i="5"/>
  <c r="L139" i="5"/>
  <c r="K139" i="5"/>
  <c r="J139" i="5"/>
  <c r="I139" i="5"/>
  <c r="H139" i="5"/>
  <c r="G139" i="5"/>
  <c r="F139" i="5"/>
  <c r="E139" i="5"/>
  <c r="D139" i="5"/>
  <c r="C139" i="5"/>
  <c r="L138" i="5"/>
  <c r="K138" i="5"/>
  <c r="J138" i="5"/>
  <c r="I138" i="5"/>
  <c r="H138" i="5"/>
  <c r="G138" i="5"/>
  <c r="F138" i="5"/>
  <c r="E138" i="5"/>
  <c r="D138" i="5"/>
  <c r="C138" i="5"/>
  <c r="C7" i="32" l="1"/>
  <c r="D7" i="32"/>
  <c r="E7" i="32"/>
  <c r="F7" i="32"/>
  <c r="G7" i="32"/>
  <c r="H7" i="32"/>
  <c r="I7" i="32"/>
  <c r="J7" i="32"/>
  <c r="K7" i="32"/>
  <c r="B7" i="32"/>
  <c r="C11" i="32"/>
  <c r="D11" i="32"/>
  <c r="E11" i="32"/>
  <c r="F11" i="32"/>
  <c r="G11" i="32"/>
  <c r="H11" i="32"/>
  <c r="I11" i="32"/>
  <c r="J11" i="32"/>
  <c r="K11" i="32"/>
  <c r="B11" i="32"/>
  <c r="C8" i="32"/>
  <c r="D8" i="32"/>
  <c r="E8" i="32"/>
  <c r="F8" i="32"/>
  <c r="G8" i="32"/>
  <c r="H8" i="32"/>
  <c r="I8" i="32"/>
  <c r="J8" i="32"/>
  <c r="K8" i="32"/>
  <c r="B8" i="32"/>
  <c r="C6" i="32" l="1"/>
  <c r="D6" i="32"/>
  <c r="E6" i="32"/>
  <c r="F6" i="32"/>
  <c r="G6" i="32"/>
  <c r="H6" i="32"/>
  <c r="I6" i="32"/>
  <c r="J6" i="32"/>
  <c r="K6" i="32"/>
  <c r="C9" i="32"/>
  <c r="D9" i="32"/>
  <c r="E9" i="32"/>
  <c r="F9" i="32"/>
  <c r="G9" i="32"/>
  <c r="H9" i="32"/>
  <c r="I9" i="32"/>
  <c r="J9" i="32"/>
  <c r="K9" i="32"/>
  <c r="C10" i="32"/>
  <c r="D10" i="32"/>
  <c r="E10" i="32"/>
  <c r="F10" i="32"/>
  <c r="G10" i="32"/>
  <c r="H10" i="32"/>
  <c r="I10" i="32"/>
  <c r="J10" i="32"/>
  <c r="K10" i="32"/>
  <c r="B9" i="32"/>
  <c r="B10" i="32"/>
  <c r="B6" i="32"/>
  <c r="B2" i="22"/>
  <c r="P6" i="5" l="1"/>
  <c r="L54" i="30" l="1"/>
  <c r="K54" i="30"/>
  <c r="L53" i="30"/>
  <c r="K53" i="30"/>
  <c r="D53" i="30"/>
  <c r="E53" i="30"/>
  <c r="F53" i="30"/>
  <c r="G53" i="30"/>
  <c r="H53" i="30"/>
  <c r="I53" i="30"/>
  <c r="J53" i="30"/>
  <c r="C53" i="30"/>
  <c r="L52" i="30"/>
  <c r="K52" i="30"/>
  <c r="E52" i="30"/>
  <c r="G52" i="30"/>
  <c r="I52" i="30"/>
  <c r="C52" i="30"/>
  <c r="D50" i="30"/>
  <c r="E50" i="30"/>
  <c r="F50" i="30"/>
  <c r="G50" i="30"/>
  <c r="H50" i="30"/>
  <c r="I50" i="30"/>
  <c r="J50" i="30"/>
  <c r="C50" i="30"/>
  <c r="D49" i="30"/>
  <c r="E49" i="30"/>
  <c r="F49" i="30"/>
  <c r="G49" i="30"/>
  <c r="H49" i="30"/>
  <c r="I49" i="30"/>
  <c r="J49" i="30"/>
  <c r="C49" i="30"/>
  <c r="D47" i="30"/>
  <c r="S98" i="30" s="1"/>
  <c r="E47" i="30"/>
  <c r="T98" i="30" s="1"/>
  <c r="F47" i="30"/>
  <c r="U98" i="30" s="1"/>
  <c r="G47" i="30"/>
  <c r="V98" i="30" s="1"/>
  <c r="H47" i="30"/>
  <c r="W98" i="30" s="1"/>
  <c r="I47" i="30"/>
  <c r="X98" i="30" s="1"/>
  <c r="J47" i="30"/>
  <c r="Y98" i="30" s="1"/>
  <c r="C47" i="30"/>
  <c r="R98" i="30" s="1"/>
  <c r="K47" i="30"/>
  <c r="L50" i="30"/>
  <c r="L49" i="30"/>
  <c r="L44" i="30"/>
  <c r="K44" i="30"/>
  <c r="D44" i="30"/>
  <c r="F44" i="30"/>
  <c r="H44" i="30"/>
  <c r="J44" i="30"/>
  <c r="L42" i="30"/>
  <c r="K42" i="30"/>
  <c r="D42" i="30"/>
  <c r="E42" i="30"/>
  <c r="F42" i="30"/>
  <c r="G42" i="30"/>
  <c r="H42" i="30"/>
  <c r="I42" i="30"/>
  <c r="J42" i="30"/>
  <c r="J88" i="5"/>
  <c r="F88" i="5"/>
  <c r="D88" i="5"/>
  <c r="J43" i="6"/>
  <c r="F43" i="6"/>
  <c r="D43" i="6"/>
  <c r="J90" i="5"/>
  <c r="F90" i="5"/>
  <c r="D90" i="5"/>
  <c r="J89" i="5"/>
  <c r="D89" i="5"/>
  <c r="J44" i="6"/>
  <c r="F44" i="6"/>
  <c r="J87" i="5"/>
  <c r="D87" i="5"/>
  <c r="J42" i="6"/>
  <c r="H45" i="6"/>
  <c r="F42" i="6"/>
  <c r="D45" i="6"/>
  <c r="J86" i="5"/>
  <c r="F86" i="5"/>
  <c r="H41" i="6"/>
  <c r="F41" i="6"/>
  <c r="D41" i="6"/>
  <c r="J85" i="5"/>
  <c r="H85" i="5"/>
  <c r="D85" i="5"/>
  <c r="H40" i="6"/>
  <c r="F40" i="6"/>
  <c r="D40" i="6"/>
  <c r="J84" i="5"/>
  <c r="H84" i="5"/>
  <c r="F84" i="5"/>
  <c r="D84" i="5"/>
  <c r="G39" i="6"/>
  <c r="E39" i="6"/>
  <c r="C39" i="6"/>
  <c r="E83" i="5"/>
  <c r="I38" i="6"/>
  <c r="G38" i="6"/>
  <c r="E38" i="6"/>
  <c r="C38" i="6"/>
  <c r="E82" i="5"/>
  <c r="C82" i="5"/>
  <c r="I37" i="6"/>
  <c r="G37" i="6"/>
  <c r="E37" i="6"/>
  <c r="E81" i="5"/>
  <c r="C81" i="5"/>
  <c r="I36" i="6"/>
  <c r="G36" i="6"/>
  <c r="E36" i="6"/>
  <c r="C36" i="6"/>
  <c r="I80" i="5"/>
  <c r="G80" i="5"/>
  <c r="E80" i="5"/>
  <c r="C80" i="5"/>
  <c r="G35" i="6"/>
  <c r="E35" i="6"/>
  <c r="I79" i="5"/>
  <c r="G79" i="5"/>
  <c r="E79" i="5"/>
  <c r="C79" i="5"/>
  <c r="I34" i="6"/>
  <c r="G34" i="6"/>
  <c r="E34" i="6"/>
  <c r="C34" i="6"/>
  <c r="M33" i="5"/>
  <c r="P3" i="5"/>
  <c r="G33" i="6"/>
  <c r="E33" i="6"/>
  <c r="C33" i="6"/>
  <c r="P60" i="5"/>
  <c r="M119" i="5"/>
  <c r="P74" i="5"/>
  <c r="M44" i="5"/>
  <c r="K134" i="5"/>
  <c r="K87" i="5"/>
  <c r="P57" i="5"/>
  <c r="K86" i="5"/>
  <c r="P56" i="5"/>
  <c r="P26" i="5"/>
  <c r="P115" i="5"/>
  <c r="P40" i="5"/>
  <c r="K40" i="6"/>
  <c r="M99" i="5"/>
  <c r="K129" i="5"/>
  <c r="K39" i="6"/>
  <c r="K83" i="5"/>
  <c r="K82" i="5"/>
  <c r="K127" i="5"/>
  <c r="K37" i="6"/>
  <c r="K81" i="5"/>
  <c r="N51" i="5"/>
  <c r="M21" i="5"/>
  <c r="K36" i="6"/>
  <c r="P103" i="5"/>
  <c r="P58" i="5"/>
  <c r="P28" i="5"/>
  <c r="AD13" i="8"/>
  <c r="M65" i="5"/>
  <c r="K35" i="6"/>
  <c r="K79" i="5"/>
  <c r="M49" i="5"/>
  <c r="K124" i="5"/>
  <c r="K34" i="6"/>
  <c r="K78" i="5"/>
  <c r="K123" i="5"/>
  <c r="K33" i="6"/>
  <c r="B107" i="5"/>
  <c r="A24" i="4"/>
  <c r="B1" i="27"/>
  <c r="A24" i="27"/>
  <c r="B1" i="4"/>
  <c r="B1" i="7"/>
  <c r="A24" i="7" s="1"/>
  <c r="A5" i="28"/>
  <c r="A5" i="22"/>
  <c r="D8" i="2"/>
  <c r="L90" i="5"/>
  <c r="L85" i="5"/>
  <c r="L130" i="5"/>
  <c r="L35" i="6"/>
  <c r="N71" i="5"/>
  <c r="N11" i="5"/>
  <c r="H5" i="8"/>
  <c r="L124" i="5"/>
  <c r="L128" i="5"/>
  <c r="N117" i="5"/>
  <c r="N104" i="5"/>
  <c r="L82" i="5"/>
  <c r="N72" i="5"/>
  <c r="K69" i="5"/>
  <c r="J69" i="5" s="1"/>
  <c r="I69" i="5" s="1"/>
  <c r="H69" i="5" s="1"/>
  <c r="N52" i="5"/>
  <c r="N49" i="5"/>
  <c r="H14" i="8"/>
  <c r="L129" i="5"/>
  <c r="H6" i="8"/>
  <c r="L42" i="6"/>
  <c r="L44" i="6"/>
  <c r="L78" i="5"/>
  <c r="D83" i="5"/>
  <c r="F83" i="5"/>
  <c r="G84" i="5"/>
  <c r="E85" i="5"/>
  <c r="I85" i="5"/>
  <c r="G86" i="5"/>
  <c r="E87" i="5"/>
  <c r="I87" i="5"/>
  <c r="E89" i="5"/>
  <c r="I89" i="5"/>
  <c r="E90" i="5"/>
  <c r="G90" i="5"/>
  <c r="C90" i="5"/>
  <c r="C88" i="5"/>
  <c r="C86" i="5"/>
  <c r="F128" i="5"/>
  <c r="H128" i="5"/>
  <c r="J128" i="5"/>
  <c r="D39" i="6"/>
  <c r="E44" i="6"/>
  <c r="G44" i="6"/>
  <c r="I44" i="6"/>
  <c r="C44" i="6"/>
  <c r="E45" i="6"/>
  <c r="I42" i="6"/>
  <c r="E40" i="6"/>
  <c r="I40" i="6"/>
  <c r="D37" i="6"/>
  <c r="D81" i="5"/>
  <c r="J81" i="5"/>
  <c r="D126" i="5"/>
  <c r="F126" i="5"/>
  <c r="J126" i="5"/>
  <c r="D124" i="5"/>
  <c r="J124" i="5"/>
  <c r="F81" i="5"/>
  <c r="D79" i="5"/>
  <c r="J79" i="5"/>
  <c r="F79" i="5"/>
  <c r="E7" i="2"/>
  <c r="E8" i="2"/>
  <c r="G10" i="2" s="1"/>
  <c r="O5" i="2"/>
  <c r="O4" i="2"/>
  <c r="O3" i="2"/>
  <c r="F3" i="2"/>
  <c r="G3" i="2"/>
  <c r="H3" i="2"/>
  <c r="I3" i="2"/>
  <c r="J3" i="2"/>
  <c r="K3" i="2"/>
  <c r="L3" i="2"/>
  <c r="M3" i="2"/>
  <c r="N3" i="2"/>
  <c r="F4" i="2"/>
  <c r="G4" i="2"/>
  <c r="H4" i="2"/>
  <c r="I4" i="2"/>
  <c r="J4" i="2"/>
  <c r="K4" i="2"/>
  <c r="L4" i="2"/>
  <c r="M4" i="2"/>
  <c r="N4" i="2"/>
  <c r="F5" i="2"/>
  <c r="G5" i="2"/>
  <c r="H5" i="2"/>
  <c r="I5" i="2"/>
  <c r="J5" i="2"/>
  <c r="K5" i="2"/>
  <c r="L5" i="2"/>
  <c r="M5" i="2"/>
  <c r="N5" i="2"/>
  <c r="D6" i="2"/>
  <c r="H10" i="2"/>
  <c r="E3" i="7" s="1"/>
  <c r="I10" i="2"/>
  <c r="F3" i="7" s="1"/>
  <c r="F37" i="7" s="1"/>
  <c r="M10" i="2"/>
  <c r="J3" i="7" s="1"/>
  <c r="J37" i="7" s="1"/>
  <c r="G9" i="2"/>
  <c r="D2" i="7" s="1"/>
  <c r="D34" i="7" s="1"/>
  <c r="K9" i="2"/>
  <c r="H2" i="7" s="1"/>
  <c r="O9" i="2"/>
  <c r="L2" i="7" s="1"/>
  <c r="L28" i="7" s="1"/>
  <c r="L10" i="2"/>
  <c r="I3" i="7" s="1"/>
  <c r="F10" i="2"/>
  <c r="C3" i="7" s="1"/>
  <c r="J9" i="2"/>
  <c r="G2" i="7" s="1"/>
  <c r="N9" i="2"/>
  <c r="K2" i="7" s="1"/>
  <c r="F45" i="6"/>
  <c r="K2" i="4"/>
  <c r="K38" i="4" s="1"/>
  <c r="G2" i="4"/>
  <c r="G28" i="4" s="1"/>
  <c r="C3" i="27"/>
  <c r="C26" i="27" s="1"/>
  <c r="I3" i="4"/>
  <c r="L2" i="27"/>
  <c r="L38" i="27" s="1"/>
  <c r="H2" i="27"/>
  <c r="H36" i="27" s="1"/>
  <c r="D2" i="27"/>
  <c r="D34" i="27" s="1"/>
  <c r="J3" i="27"/>
  <c r="J37" i="27" s="1"/>
  <c r="F3" i="27"/>
  <c r="F26" i="27" s="1"/>
  <c r="E3" i="27"/>
  <c r="E26" i="27" s="1"/>
  <c r="J83" i="5"/>
  <c r="C84" i="5"/>
  <c r="E84" i="5"/>
  <c r="F85" i="5"/>
  <c r="E86" i="5"/>
  <c r="F87" i="5"/>
  <c r="E88" i="5"/>
  <c r="F89" i="5"/>
  <c r="I90" i="5"/>
  <c r="D2" i="28"/>
  <c r="D2" i="22"/>
  <c r="E42" i="6"/>
  <c r="H37" i="6"/>
  <c r="D128" i="5"/>
  <c r="E132" i="5"/>
  <c r="G132" i="5"/>
  <c r="I132" i="5"/>
  <c r="E134" i="5"/>
  <c r="G134" i="5"/>
  <c r="I134" i="5"/>
  <c r="C134" i="5"/>
  <c r="C130" i="5"/>
  <c r="K28" i="4"/>
  <c r="G36" i="4"/>
  <c r="I35" i="4"/>
  <c r="I26" i="4"/>
  <c r="J41" i="6"/>
  <c r="I135" i="5"/>
  <c r="G135" i="5"/>
  <c r="E135" i="5"/>
  <c r="I133" i="5"/>
  <c r="G133" i="5"/>
  <c r="E133" i="5"/>
  <c r="G126" i="5"/>
  <c r="F124" i="5"/>
  <c r="D131" i="5"/>
  <c r="F82" i="5"/>
  <c r="H124" i="5"/>
  <c r="H81" i="5"/>
  <c r="M6" i="6"/>
  <c r="P105" i="5"/>
  <c r="H130" i="5"/>
  <c r="H39" i="6"/>
  <c r="M120" i="5"/>
  <c r="H126" i="5"/>
  <c r="M25" i="6"/>
  <c r="M29" i="5"/>
  <c r="P73" i="5"/>
  <c r="G131" i="5"/>
  <c r="E131" i="5"/>
  <c r="L36" i="27"/>
  <c r="M108" i="5"/>
  <c r="J33" i="6"/>
  <c r="J123" i="5"/>
  <c r="F123" i="5"/>
  <c r="D123" i="5"/>
  <c r="C132" i="5"/>
  <c r="I131" i="5"/>
  <c r="D35" i="6"/>
  <c r="F37" i="6"/>
  <c r="J37" i="6"/>
  <c r="C40" i="6"/>
  <c r="G40" i="6"/>
  <c r="C42" i="6"/>
  <c r="G42" i="6"/>
  <c r="J82" i="5"/>
  <c r="D82" i="5"/>
  <c r="C83" i="5"/>
  <c r="C89" i="5"/>
  <c r="H33" i="6"/>
  <c r="C35" i="6"/>
  <c r="J35" i="6"/>
  <c r="H35" i="6"/>
  <c r="F35" i="6"/>
  <c r="J36" i="6"/>
  <c r="H36" i="6"/>
  <c r="F36" i="6"/>
  <c r="D36" i="6"/>
  <c r="I29" i="4"/>
  <c r="J38" i="6"/>
  <c r="H38" i="6"/>
  <c r="F38" i="6"/>
  <c r="D38" i="6"/>
  <c r="J39" i="6"/>
  <c r="F39" i="6"/>
  <c r="J40" i="6"/>
  <c r="E37" i="27"/>
  <c r="H28" i="27"/>
  <c r="D28" i="27"/>
  <c r="C37" i="27"/>
  <c r="H38" i="27"/>
  <c r="I37" i="4"/>
  <c r="K34" i="4"/>
  <c r="F37" i="27"/>
  <c r="D38" i="27"/>
  <c r="K85" i="5"/>
  <c r="AD7" i="8"/>
  <c r="I39" i="6"/>
  <c r="K41" i="6"/>
  <c r="G11" i="8"/>
  <c r="G89" i="5"/>
  <c r="C87" i="5"/>
  <c r="D86" i="5"/>
  <c r="G85" i="5"/>
  <c r="C85" i="5"/>
  <c r="E130" i="5"/>
  <c r="G130" i="5"/>
  <c r="D125" i="5"/>
  <c r="F125" i="5"/>
  <c r="J125" i="5"/>
  <c r="D34" i="6"/>
  <c r="F34" i="6"/>
  <c r="D33" i="6"/>
  <c r="F33" i="6"/>
  <c r="D42" i="6"/>
  <c r="M94" i="5"/>
  <c r="N50" i="5"/>
  <c r="M36" i="5"/>
  <c r="M52" i="5"/>
  <c r="H82" i="5"/>
  <c r="C37" i="6"/>
  <c r="M60" i="5"/>
  <c r="N57" i="5"/>
  <c r="N53" i="5"/>
  <c r="H89" i="5"/>
  <c r="I88" i="5"/>
  <c r="G88" i="5"/>
  <c r="N102" i="5"/>
  <c r="M100" i="5"/>
  <c r="H83" i="5"/>
  <c r="M98" i="5"/>
  <c r="N120" i="5"/>
  <c r="G87" i="5"/>
  <c r="G83" i="5"/>
  <c r="M110" i="5"/>
  <c r="I130" i="5"/>
  <c r="D129" i="5"/>
  <c r="F129" i="5"/>
  <c r="H129" i="5"/>
  <c r="J129" i="5"/>
  <c r="D127" i="5"/>
  <c r="F127" i="5"/>
  <c r="N22" i="5"/>
  <c r="H127" i="5"/>
  <c r="M22" i="5"/>
  <c r="J127" i="5"/>
  <c r="J5" i="8"/>
  <c r="H125" i="5"/>
  <c r="M20" i="5"/>
  <c r="I124" i="5"/>
  <c r="C131" i="5"/>
  <c r="H34" i="6"/>
  <c r="J34" i="6"/>
  <c r="I86" i="5"/>
  <c r="I84" i="5"/>
  <c r="H123" i="5"/>
  <c r="F3" i="8"/>
  <c r="C41" i="6"/>
  <c r="I41" i="6"/>
  <c r="G41" i="6"/>
  <c r="E41" i="6"/>
  <c r="C45" i="6"/>
  <c r="I45" i="6"/>
  <c r="G45" i="6"/>
  <c r="C43" i="6"/>
  <c r="I43" i="6"/>
  <c r="G43" i="6"/>
  <c r="E43" i="6"/>
  <c r="H44" i="6"/>
  <c r="D44" i="6"/>
  <c r="M13" i="5"/>
  <c r="C133" i="5"/>
  <c r="C135" i="5"/>
  <c r="J12" i="8"/>
  <c r="M42" i="5"/>
  <c r="M39" i="5"/>
  <c r="N98" i="5"/>
  <c r="M63" i="5"/>
  <c r="H4" i="8"/>
  <c r="J80" i="5"/>
  <c r="F80" i="5"/>
  <c r="D80" i="5"/>
  <c r="H7" i="8"/>
  <c r="N67" i="5"/>
  <c r="AC8" i="8"/>
  <c r="AC14" i="8"/>
  <c r="AD15" i="8"/>
  <c r="AD12" i="8"/>
  <c r="AD8" i="8"/>
  <c r="N12" i="5"/>
  <c r="G15" i="8"/>
  <c r="G12" i="8"/>
  <c r="G8" i="8"/>
  <c r="L132" i="5"/>
  <c r="N118" i="5"/>
  <c r="N18" i="5"/>
  <c r="M93" i="5"/>
  <c r="H79" i="5"/>
  <c r="M5" i="5"/>
  <c r="I82" i="5"/>
  <c r="N63" i="5"/>
  <c r="F5" i="8"/>
  <c r="F6" i="8"/>
  <c r="AC6" i="8"/>
  <c r="AC13" i="8"/>
  <c r="M9" i="5"/>
  <c r="M15" i="5"/>
  <c r="H13" i="8"/>
  <c r="N10" i="5"/>
  <c r="N27" i="5"/>
  <c r="N44" i="5"/>
  <c r="N43" i="5"/>
  <c r="N42" i="5"/>
  <c r="N40" i="5"/>
  <c r="N38" i="5"/>
  <c r="M7" i="5"/>
  <c r="AD11" i="8"/>
  <c r="N60" i="5"/>
  <c r="N59" i="5"/>
  <c r="F10" i="8"/>
  <c r="N74" i="5"/>
  <c r="L89" i="5"/>
  <c r="N113" i="5"/>
  <c r="N109" i="5"/>
  <c r="F8" i="8"/>
  <c r="M4" i="5"/>
  <c r="N96" i="5"/>
  <c r="AD4" i="8"/>
  <c r="N95" i="5"/>
  <c r="H80" i="5"/>
  <c r="H12" i="8"/>
  <c r="N3" i="5"/>
  <c r="M3" i="5"/>
  <c r="I31" i="4"/>
  <c r="K36" i="7" l="1"/>
  <c r="K33" i="7"/>
  <c r="K28" i="7"/>
  <c r="K34" i="7"/>
  <c r="K38" i="7"/>
  <c r="C26" i="7"/>
  <c r="C37" i="7"/>
  <c r="G28" i="7"/>
  <c r="G34" i="7"/>
  <c r="G36" i="7"/>
  <c r="G33" i="7"/>
  <c r="G38" i="7"/>
  <c r="I26" i="7"/>
  <c r="I37" i="7"/>
  <c r="E26" i="7"/>
  <c r="E6" i="22" s="1"/>
  <c r="E37" i="7"/>
  <c r="D3" i="7"/>
  <c r="D3" i="4"/>
  <c r="D3" i="27"/>
  <c r="K33" i="4"/>
  <c r="J26" i="27"/>
  <c r="G34" i="4"/>
  <c r="G38" i="4"/>
  <c r="G33" i="4"/>
  <c r="L2" i="4"/>
  <c r="E3" i="4"/>
  <c r="F3" i="4"/>
  <c r="J3" i="4"/>
  <c r="D2" i="4"/>
  <c r="H2" i="4"/>
  <c r="I3" i="27"/>
  <c r="C3" i="4"/>
  <c r="G2" i="27"/>
  <c r="K2" i="27"/>
  <c r="F9" i="2"/>
  <c r="L9" i="2"/>
  <c r="H9" i="2"/>
  <c r="N10" i="2"/>
  <c r="J10" i="2"/>
  <c r="M9" i="2"/>
  <c r="I9" i="2"/>
  <c r="O10" i="2"/>
  <c r="K10" i="2"/>
  <c r="K36" i="4"/>
  <c r="D36" i="27"/>
  <c r="D33" i="27"/>
  <c r="L34" i="27"/>
  <c r="L28" i="27"/>
  <c r="L8" i="22" s="1"/>
  <c r="I32" i="4"/>
  <c r="I30" i="4"/>
  <c r="C6" i="22"/>
  <c r="L36" i="7"/>
  <c r="L16" i="22" s="1"/>
  <c r="L33" i="7"/>
  <c r="L34" i="7"/>
  <c r="H36" i="7"/>
  <c r="H38" i="7"/>
  <c r="H18" i="22" s="1"/>
  <c r="H33" i="7"/>
  <c r="D36" i="7"/>
  <c r="D16" i="22" s="1"/>
  <c r="D38" i="7"/>
  <c r="D33" i="7"/>
  <c r="J26" i="7"/>
  <c r="F26" i="7"/>
  <c r="D28" i="7"/>
  <c r="D8" i="22" s="1"/>
  <c r="H28" i="7"/>
  <c r="L38" i="7"/>
  <c r="L33" i="27"/>
  <c r="I27" i="4"/>
  <c r="H33" i="27"/>
  <c r="H34" i="7"/>
  <c r="H34" i="27"/>
  <c r="L43" i="6"/>
  <c r="L133" i="5"/>
  <c r="L88" i="5"/>
  <c r="E17" i="22"/>
  <c r="Z5" i="8"/>
  <c r="M115" i="5"/>
  <c r="L134" i="5"/>
  <c r="L126" i="5"/>
  <c r="P4" i="5"/>
  <c r="M34" i="5"/>
  <c r="N34" i="5"/>
  <c r="M64" i="5"/>
  <c r="P64" i="5"/>
  <c r="M109" i="5"/>
  <c r="M50" i="5"/>
  <c r="M6" i="5"/>
  <c r="M66" i="5"/>
  <c r="M111" i="5"/>
  <c r="M37" i="5"/>
  <c r="M67" i="5"/>
  <c r="AC12" i="8"/>
  <c r="P117" i="5"/>
  <c r="F7" i="8"/>
  <c r="M30" i="6"/>
  <c r="AD3" i="8"/>
  <c r="N33" i="5"/>
  <c r="M48" i="5"/>
  <c r="M78" i="5"/>
  <c r="P108" i="5"/>
  <c r="E124" i="5"/>
  <c r="AD5" i="8"/>
  <c r="N5" i="5"/>
  <c r="G125" i="5"/>
  <c r="G5" i="8"/>
  <c r="P50" i="5"/>
  <c r="P66" i="5"/>
  <c r="P111" i="5"/>
  <c r="N7" i="5"/>
  <c r="P37" i="5"/>
  <c r="P67" i="5"/>
  <c r="M112" i="5"/>
  <c r="P112" i="5"/>
  <c r="M8" i="5"/>
  <c r="M38" i="5"/>
  <c r="P38" i="5"/>
  <c r="M53" i="5"/>
  <c r="P53" i="5"/>
  <c r="AD9" i="8"/>
  <c r="C129" i="5"/>
  <c r="M24" i="5"/>
  <c r="M54" i="5"/>
  <c r="M114" i="5"/>
  <c r="AD10" i="8"/>
  <c r="N25" i="5"/>
  <c r="M55" i="5"/>
  <c r="H11" i="8"/>
  <c r="M41" i="5"/>
  <c r="P71" i="5"/>
  <c r="M116" i="5"/>
  <c r="M12" i="5"/>
  <c r="D132" i="5"/>
  <c r="P42" i="5"/>
  <c r="AD14" i="8"/>
  <c r="J134" i="5"/>
  <c r="M104" i="5"/>
  <c r="N119" i="5"/>
  <c r="D18" i="22"/>
  <c r="M15" i="6"/>
  <c r="N15" i="5"/>
  <c r="D135" i="5"/>
  <c r="M45" i="5"/>
  <c r="F15" i="8"/>
  <c r="P75" i="5"/>
  <c r="P13" i="5"/>
  <c r="J13" i="8"/>
  <c r="L13" i="8" s="1"/>
  <c r="J133" i="5"/>
  <c r="M43" i="5"/>
  <c r="N29" i="5"/>
  <c r="J14" i="8"/>
  <c r="L14" i="8" s="1"/>
  <c r="N19" i="5"/>
  <c r="F6" i="22"/>
  <c r="L125" i="5"/>
  <c r="L86" i="5"/>
  <c r="L135" i="5"/>
  <c r="M28" i="6"/>
  <c r="K43" i="6"/>
  <c r="M27" i="6"/>
  <c r="K42" i="6"/>
  <c r="P27" i="5"/>
  <c r="K132" i="5"/>
  <c r="J3" i="8"/>
  <c r="Z3" i="8" s="1"/>
  <c r="P48" i="5"/>
  <c r="P93" i="5"/>
  <c r="C124" i="5"/>
  <c r="P19" i="5"/>
  <c r="J4" i="8"/>
  <c r="Z4" i="8" s="1"/>
  <c r="P49" i="5"/>
  <c r="I35" i="6"/>
  <c r="M5" i="6"/>
  <c r="E125" i="5"/>
  <c r="I125" i="5"/>
  <c r="P20" i="5"/>
  <c r="M35" i="5"/>
  <c r="P65" i="5"/>
  <c r="N65" i="5"/>
  <c r="E126" i="5"/>
  <c r="M51" i="5"/>
  <c r="P96" i="5"/>
  <c r="C127" i="5"/>
  <c r="G127" i="5"/>
  <c r="G82" i="5"/>
  <c r="M82" i="5" s="1"/>
  <c r="M97" i="5"/>
  <c r="C128" i="5"/>
  <c r="G128" i="5"/>
  <c r="M23" i="5"/>
  <c r="P68" i="5"/>
  <c r="P113" i="5"/>
  <c r="M9" i="6"/>
  <c r="H10" i="8"/>
  <c r="D130" i="5"/>
  <c r="F130" i="5"/>
  <c r="M40" i="5"/>
  <c r="G10" i="8"/>
  <c r="N85" i="5"/>
  <c r="M26" i="6"/>
  <c r="H131" i="5"/>
  <c r="M26" i="5"/>
  <c r="P101" i="5"/>
  <c r="H86" i="5"/>
  <c r="N86" i="5" s="1"/>
  <c r="F132" i="5"/>
  <c r="J132" i="5"/>
  <c r="M57" i="5"/>
  <c r="P72" i="5"/>
  <c r="M72" i="5"/>
  <c r="M117" i="5"/>
  <c r="F17" i="22"/>
  <c r="P14" i="5"/>
  <c r="M14" i="5"/>
  <c r="D134" i="5"/>
  <c r="F134" i="5"/>
  <c r="P29" i="5"/>
  <c r="H134" i="5"/>
  <c r="P134" i="5" s="1"/>
  <c r="P44" i="5"/>
  <c r="G14" i="8"/>
  <c r="P59" i="5"/>
  <c r="M59" i="5"/>
  <c r="M74" i="5"/>
  <c r="H135" i="5"/>
  <c r="N105" i="5"/>
  <c r="H90" i="5"/>
  <c r="H43" i="6"/>
  <c r="M13" i="6"/>
  <c r="F133" i="5"/>
  <c r="M58" i="5"/>
  <c r="F13" i="8"/>
  <c r="M73" i="5"/>
  <c r="N73" i="5"/>
  <c r="M103" i="5"/>
  <c r="P118" i="5"/>
  <c r="M118" i="5"/>
  <c r="P10" i="5"/>
  <c r="K130" i="5"/>
  <c r="M14" i="6"/>
  <c r="K44" i="6"/>
  <c r="M44" i="6" s="1"/>
  <c r="M30" i="5"/>
  <c r="K135" i="5"/>
  <c r="AC3" i="8"/>
  <c r="M3" i="6"/>
  <c r="I33" i="6"/>
  <c r="C123" i="5"/>
  <c r="M18" i="5"/>
  <c r="G123" i="5"/>
  <c r="G124" i="5"/>
  <c r="M124" i="5" s="1"/>
  <c r="C125" i="5"/>
  <c r="N110" i="5"/>
  <c r="M21" i="6"/>
  <c r="N6" i="5"/>
  <c r="C126" i="5"/>
  <c r="J6" i="8"/>
  <c r="P21" i="5"/>
  <c r="P36" i="5"/>
  <c r="G6" i="8"/>
  <c r="M96" i="5"/>
  <c r="M22" i="6"/>
  <c r="E127" i="5"/>
  <c r="P97" i="5"/>
  <c r="P8" i="5"/>
  <c r="E128" i="5"/>
  <c r="I128" i="5"/>
  <c r="J8" i="8"/>
  <c r="AA8" i="8" s="1"/>
  <c r="M68" i="5"/>
  <c r="I83" i="5"/>
  <c r="P98" i="5"/>
  <c r="M113" i="5"/>
  <c r="H9" i="8"/>
  <c r="E129" i="5"/>
  <c r="N24" i="5"/>
  <c r="I129" i="5"/>
  <c r="P129" i="5" s="1"/>
  <c r="J9" i="8"/>
  <c r="L9" i="8" s="1"/>
  <c r="P39" i="5"/>
  <c r="P54" i="5"/>
  <c r="F9" i="8"/>
  <c r="M70" i="5"/>
  <c r="N115" i="5"/>
  <c r="F131" i="5"/>
  <c r="M56" i="5"/>
  <c r="H132" i="5"/>
  <c r="P102" i="5"/>
  <c r="H87" i="5"/>
  <c r="M87" i="5" s="1"/>
  <c r="J17" i="22"/>
  <c r="H3" i="8"/>
  <c r="N9" i="5"/>
  <c r="I81" i="5"/>
  <c r="P81" i="5" s="1"/>
  <c r="N35" i="5"/>
  <c r="N8" i="5"/>
  <c r="N112" i="5"/>
  <c r="N116" i="5"/>
  <c r="N100" i="5"/>
  <c r="N70" i="5"/>
  <c r="N55" i="5"/>
  <c r="F12" i="8"/>
  <c r="F14" i="8"/>
  <c r="Z14" i="8" s="1"/>
  <c r="AC7" i="8"/>
  <c r="N37" i="5"/>
  <c r="N56" i="5"/>
  <c r="N39" i="5"/>
  <c r="N41" i="5"/>
  <c r="N45" i="5"/>
  <c r="N28" i="5"/>
  <c r="N30" i="5"/>
  <c r="M11" i="5"/>
  <c r="N14" i="5"/>
  <c r="H15" i="8"/>
  <c r="H8" i="8"/>
  <c r="AC9" i="8"/>
  <c r="G3" i="8"/>
  <c r="M95" i="5"/>
  <c r="F4" i="8"/>
  <c r="N4" i="5"/>
  <c r="G9" i="8"/>
  <c r="G13" i="8"/>
  <c r="M10" i="5"/>
  <c r="N13" i="5"/>
  <c r="AC15" i="8"/>
  <c r="AC10" i="8"/>
  <c r="N97" i="5"/>
  <c r="G7" i="8"/>
  <c r="N93" i="5"/>
  <c r="M27" i="5"/>
  <c r="J15" i="8"/>
  <c r="Z15" i="8" s="1"/>
  <c r="AC11" i="8"/>
  <c r="N48" i="5"/>
  <c r="M101" i="5"/>
  <c r="N26" i="5"/>
  <c r="M19" i="5"/>
  <c r="N23" i="5"/>
  <c r="N111" i="5"/>
  <c r="H88" i="5"/>
  <c r="M102" i="5"/>
  <c r="N103" i="5"/>
  <c r="M71" i="5"/>
  <c r="M75" i="5"/>
  <c r="N58" i="5"/>
  <c r="K45" i="6"/>
  <c r="G81" i="5"/>
  <c r="N36" i="5"/>
  <c r="H42" i="6"/>
  <c r="AE12" i="8" s="1"/>
  <c r="N54" i="5"/>
  <c r="AC5" i="8"/>
  <c r="K89" i="5"/>
  <c r="P89" i="5" s="1"/>
  <c r="N75" i="5"/>
  <c r="I123" i="5"/>
  <c r="P23" i="5"/>
  <c r="P100" i="5"/>
  <c r="M25" i="5"/>
  <c r="P43" i="5"/>
  <c r="J45" i="6"/>
  <c r="P33" i="5"/>
  <c r="P63" i="5"/>
  <c r="N108" i="5"/>
  <c r="AD6" i="8"/>
  <c r="M23" i="6"/>
  <c r="M29" i="6"/>
  <c r="M7" i="6"/>
  <c r="L37" i="6"/>
  <c r="M37" i="6" s="1"/>
  <c r="M12" i="6"/>
  <c r="N66" i="5"/>
  <c r="N68" i="5"/>
  <c r="N94" i="5"/>
  <c r="P104" i="5"/>
  <c r="P24" i="5"/>
  <c r="P22" i="5"/>
  <c r="L127" i="5"/>
  <c r="P127" i="5" s="1"/>
  <c r="F11" i="8"/>
  <c r="M11" i="6"/>
  <c r="P41" i="5"/>
  <c r="I44" i="30"/>
  <c r="G44" i="30"/>
  <c r="E44" i="30"/>
  <c r="Z98" i="30"/>
  <c r="J52" i="30"/>
  <c r="H52" i="30"/>
  <c r="F52" i="30"/>
  <c r="D52" i="30"/>
  <c r="K43" i="30"/>
  <c r="Z94" i="30" s="1"/>
  <c r="L51" i="30"/>
  <c r="AA68" i="30" s="1"/>
  <c r="H14" i="22"/>
  <c r="L6" i="8"/>
  <c r="D14" i="22"/>
  <c r="M83" i="5"/>
  <c r="Z6" i="8"/>
  <c r="I7" i="8"/>
  <c r="L41" i="6"/>
  <c r="M41" i="6" s="1"/>
  <c r="N101" i="5"/>
  <c r="M4" i="6"/>
  <c r="J11" i="8"/>
  <c r="Z11" i="8" s="1"/>
  <c r="N20" i="5"/>
  <c r="J7" i="8"/>
  <c r="P119" i="5"/>
  <c r="L45" i="6"/>
  <c r="M28" i="5"/>
  <c r="P30" i="5"/>
  <c r="P95" i="5"/>
  <c r="L36" i="6"/>
  <c r="M36" i="6" s="1"/>
  <c r="K133" i="5"/>
  <c r="L11" i="8"/>
  <c r="M105" i="5"/>
  <c r="K90" i="5"/>
  <c r="I126" i="5"/>
  <c r="I127" i="5"/>
  <c r="G129" i="5"/>
  <c r="M129" i="5" s="1"/>
  <c r="J130" i="5"/>
  <c r="J131" i="5"/>
  <c r="F135" i="5"/>
  <c r="J135" i="5"/>
  <c r="D133" i="5"/>
  <c r="H133" i="5"/>
  <c r="P133" i="5" s="1"/>
  <c r="P7" i="5"/>
  <c r="P12" i="5"/>
  <c r="P34" i="5"/>
  <c r="N64" i="5"/>
  <c r="L81" i="5"/>
  <c r="L83" i="5"/>
  <c r="N83" i="5" s="1"/>
  <c r="L87" i="5"/>
  <c r="P109" i="5"/>
  <c r="N114" i="5"/>
  <c r="P18" i="5"/>
  <c r="M18" i="6"/>
  <c r="P11" i="5"/>
  <c r="P116" i="5"/>
  <c r="M20" i="6"/>
  <c r="J10" i="8"/>
  <c r="P55" i="5"/>
  <c r="M10" i="6"/>
  <c r="P15" i="5"/>
  <c r="P45" i="5"/>
  <c r="P120" i="5"/>
  <c r="Z60" i="30"/>
  <c r="J43" i="30"/>
  <c r="Y94" i="30" s="1"/>
  <c r="D43" i="30"/>
  <c r="L43" i="30"/>
  <c r="AA77" i="30" s="1"/>
  <c r="J45" i="30"/>
  <c r="Y96" i="30" s="1"/>
  <c r="H45" i="30"/>
  <c r="W96" i="30" s="1"/>
  <c r="F45" i="30"/>
  <c r="U96" i="30" s="1"/>
  <c r="D45" i="30"/>
  <c r="S96" i="30" s="1"/>
  <c r="L45" i="30"/>
  <c r="AA96" i="30" s="1"/>
  <c r="J46" i="30"/>
  <c r="H46" i="30"/>
  <c r="F46" i="30"/>
  <c r="U97" i="30" s="1"/>
  <c r="D46" i="30"/>
  <c r="S97" i="30" s="1"/>
  <c r="L46" i="30"/>
  <c r="AA97" i="30" s="1"/>
  <c r="L84" i="5"/>
  <c r="C44" i="30"/>
  <c r="K49" i="30"/>
  <c r="K50" i="30"/>
  <c r="C48" i="30"/>
  <c r="R99" i="30" s="1"/>
  <c r="I48" i="30"/>
  <c r="X99" i="30" s="1"/>
  <c r="G48" i="30"/>
  <c r="V99" i="30" s="1"/>
  <c r="E48" i="30"/>
  <c r="K48" i="30"/>
  <c r="Z82" i="30" s="1"/>
  <c r="C51" i="30"/>
  <c r="R102" i="30" s="1"/>
  <c r="I51" i="30"/>
  <c r="X102" i="30" s="1"/>
  <c r="G51" i="30"/>
  <c r="V102" i="30" s="1"/>
  <c r="E51" i="30"/>
  <c r="T102" i="30" s="1"/>
  <c r="L18" i="22"/>
  <c r="L80" i="5"/>
  <c r="P94" i="5"/>
  <c r="K125" i="5"/>
  <c r="M125" i="5" s="1"/>
  <c r="P35" i="5"/>
  <c r="K80" i="5"/>
  <c r="I5" i="8" s="1"/>
  <c r="K88" i="5"/>
  <c r="N21" i="5"/>
  <c r="P51" i="5"/>
  <c r="AA9" i="8"/>
  <c r="AA12" i="8"/>
  <c r="L5" i="8"/>
  <c r="M86" i="5"/>
  <c r="L38" i="6"/>
  <c r="L39" i="6"/>
  <c r="M39" i="6" s="1"/>
  <c r="K51" i="30"/>
  <c r="Z102" i="30" s="1"/>
  <c r="P52" i="5"/>
  <c r="K38" i="6"/>
  <c r="M38" i="6" s="1"/>
  <c r="K128" i="5"/>
  <c r="M128" i="5" s="1"/>
  <c r="P9" i="5"/>
  <c r="K84" i="5"/>
  <c r="M84" i="5" s="1"/>
  <c r="P70" i="5"/>
  <c r="K131" i="5"/>
  <c r="E123" i="5"/>
  <c r="C54" i="30"/>
  <c r="I54" i="30"/>
  <c r="G54" i="30"/>
  <c r="E54" i="30"/>
  <c r="C42" i="30"/>
  <c r="I3" i="8"/>
  <c r="P78" i="5"/>
  <c r="AA5" i="8"/>
  <c r="N82" i="5"/>
  <c r="N78" i="5"/>
  <c r="P80" i="5"/>
  <c r="N81" i="5"/>
  <c r="I12" i="8"/>
  <c r="AE5" i="8"/>
  <c r="N130" i="5"/>
  <c r="L10" i="8"/>
  <c r="D13" i="22"/>
  <c r="C17" i="22"/>
  <c r="N99" i="5"/>
  <c r="L123" i="5"/>
  <c r="N123" i="5" s="1"/>
  <c r="L40" i="6"/>
  <c r="M40" i="6" s="1"/>
  <c r="L131" i="5"/>
  <c r="L79" i="5"/>
  <c r="M8" i="6"/>
  <c r="P110" i="5"/>
  <c r="P114" i="5"/>
  <c r="P99" i="5"/>
  <c r="M24" i="6"/>
  <c r="P5" i="5"/>
  <c r="K126" i="5"/>
  <c r="P25" i="5"/>
  <c r="M19" i="6"/>
  <c r="L34" i="6"/>
  <c r="M34" i="6" s="1"/>
  <c r="J54" i="30"/>
  <c r="H54" i="30"/>
  <c r="F54" i="30"/>
  <c r="D54" i="30"/>
  <c r="Z77" i="30"/>
  <c r="W80" i="30"/>
  <c r="AA85" i="30"/>
  <c r="C43" i="30"/>
  <c r="R94" i="30" s="1"/>
  <c r="I43" i="30"/>
  <c r="X60" i="30" s="1"/>
  <c r="I27" i="7" s="1"/>
  <c r="G43" i="30"/>
  <c r="V94" i="30" s="1"/>
  <c r="E43" i="30"/>
  <c r="V60" i="30"/>
  <c r="AA102" i="30"/>
  <c r="L13" i="22"/>
  <c r="L12" i="8"/>
  <c r="M42" i="6"/>
  <c r="L14" i="22"/>
  <c r="P82" i="5"/>
  <c r="M45" i="6"/>
  <c r="L33" i="6"/>
  <c r="AE3" i="8" s="1"/>
  <c r="N87" i="5"/>
  <c r="T64" i="30"/>
  <c r="E31" i="7" s="1"/>
  <c r="T81" i="30"/>
  <c r="E31" i="27" s="1"/>
  <c r="V64" i="30"/>
  <c r="V81" i="30"/>
  <c r="X64" i="30"/>
  <c r="I31" i="7" s="1"/>
  <c r="X81" i="30"/>
  <c r="I31" i="27" s="1"/>
  <c r="R64" i="30"/>
  <c r="C31" i="7" s="1"/>
  <c r="R81" i="30"/>
  <c r="C31" i="27" s="1"/>
  <c r="Z64" i="30"/>
  <c r="Z81" i="30"/>
  <c r="S64" i="30"/>
  <c r="D31" i="7" s="1"/>
  <c r="S81" i="30"/>
  <c r="D31" i="27" s="1"/>
  <c r="U64" i="30"/>
  <c r="F31" i="7" s="1"/>
  <c r="U81" i="30"/>
  <c r="F31" i="27" s="1"/>
  <c r="W64" i="30"/>
  <c r="W81" i="30"/>
  <c r="Y64" i="30"/>
  <c r="J31" i="7" s="1"/>
  <c r="Y81" i="30"/>
  <c r="J31" i="27" s="1"/>
  <c r="S94" i="30"/>
  <c r="S60" i="30"/>
  <c r="D27" i="7" s="1"/>
  <c r="H43" i="30"/>
  <c r="W60" i="30" s="1"/>
  <c r="F43" i="30"/>
  <c r="C45" i="30"/>
  <c r="R62" i="30" s="1"/>
  <c r="C29" i="7" s="1"/>
  <c r="I45" i="30"/>
  <c r="X62" i="30" s="1"/>
  <c r="I29" i="7" s="1"/>
  <c r="G45" i="30"/>
  <c r="E45" i="30"/>
  <c r="T62" i="30" s="1"/>
  <c r="E29" i="7" s="1"/>
  <c r="K45" i="30"/>
  <c r="Z62" i="30" s="1"/>
  <c r="C46" i="30"/>
  <c r="R97" i="30" s="1"/>
  <c r="I46" i="30"/>
  <c r="X97" i="30" s="1"/>
  <c r="G46" i="30"/>
  <c r="V97" i="30" s="1"/>
  <c r="E46" i="30"/>
  <c r="T97" i="30" s="1"/>
  <c r="K46" i="30"/>
  <c r="Z97" i="30" s="1"/>
  <c r="L47" i="30"/>
  <c r="AA98" i="30" s="1"/>
  <c r="J48" i="30"/>
  <c r="Y99" i="30" s="1"/>
  <c r="H48" i="30"/>
  <c r="W99" i="30" s="1"/>
  <c r="F48" i="30"/>
  <c r="U99" i="30" s="1"/>
  <c r="D48" i="30"/>
  <c r="S99" i="30" s="1"/>
  <c r="L48" i="30"/>
  <c r="AA99" i="30" s="1"/>
  <c r="J51" i="30"/>
  <c r="Y102" i="30" s="1"/>
  <c r="H51" i="30"/>
  <c r="W102" i="30" s="1"/>
  <c r="F51" i="30"/>
  <c r="U102" i="30" s="1"/>
  <c r="D51" i="30"/>
  <c r="S102" i="30" s="1"/>
  <c r="W68" i="30"/>
  <c r="S77" i="30"/>
  <c r="D27" i="27" s="1"/>
  <c r="P85" i="5"/>
  <c r="M85" i="5"/>
  <c r="N89" i="5"/>
  <c r="I15" i="8"/>
  <c r="AE8" i="8"/>
  <c r="M35" i="6"/>
  <c r="N129" i="5"/>
  <c r="L7" i="8"/>
  <c r="P130" i="5"/>
  <c r="N124" i="5"/>
  <c r="P124" i="5"/>
  <c r="P69" i="5"/>
  <c r="M69" i="5"/>
  <c r="M81" i="5"/>
  <c r="I14" i="8"/>
  <c r="M123" i="5"/>
  <c r="AE6" i="8"/>
  <c r="I10" i="8"/>
  <c r="Z12" i="8"/>
  <c r="H8" i="22"/>
  <c r="P123" i="5"/>
  <c r="M132" i="5"/>
  <c r="M79" i="5"/>
  <c r="N69" i="5"/>
  <c r="N79" i="5"/>
  <c r="AE4" i="8"/>
  <c r="L4" i="8"/>
  <c r="G4" i="8"/>
  <c r="AA4" i="8" s="1"/>
  <c r="AC4" i="8"/>
  <c r="E6" i="28" l="1"/>
  <c r="K31" i="27"/>
  <c r="G27" i="7"/>
  <c r="H13" i="22"/>
  <c r="H16" i="22"/>
  <c r="H3" i="7"/>
  <c r="H3" i="4"/>
  <c r="H3" i="27"/>
  <c r="F2" i="7"/>
  <c r="F2" i="27"/>
  <c r="F2" i="4"/>
  <c r="G3" i="7"/>
  <c r="G3" i="27"/>
  <c r="G3" i="4"/>
  <c r="E2" i="7"/>
  <c r="E2" i="4"/>
  <c r="E2" i="27"/>
  <c r="C2" i="27"/>
  <c r="C2" i="7"/>
  <c r="C2" i="4"/>
  <c r="G34" i="27"/>
  <c r="G14" i="22" s="1"/>
  <c r="G14" i="28" s="1"/>
  <c r="G36" i="27"/>
  <c r="G16" i="22" s="1"/>
  <c r="G16" i="28" s="1"/>
  <c r="G38" i="27"/>
  <c r="G18" i="22" s="1"/>
  <c r="G18" i="28" s="1"/>
  <c r="G33" i="27"/>
  <c r="G13" i="22" s="1"/>
  <c r="G13" i="28" s="1"/>
  <c r="G28" i="27"/>
  <c r="G8" i="22" s="1"/>
  <c r="G8" i="28" s="1"/>
  <c r="I26" i="27"/>
  <c r="I6" i="22" s="1"/>
  <c r="I6" i="28" s="1"/>
  <c r="I37" i="27"/>
  <c r="D38" i="4"/>
  <c r="D18" i="28" s="1"/>
  <c r="D36" i="4"/>
  <c r="D16" i="28" s="1"/>
  <c r="D34" i="4"/>
  <c r="D14" i="28" s="1"/>
  <c r="D33" i="4"/>
  <c r="D13" i="28" s="1"/>
  <c r="D28" i="4"/>
  <c r="D8" i="28" s="1"/>
  <c r="F35" i="4"/>
  <c r="F37" i="4"/>
  <c r="F17" i="28" s="1"/>
  <c r="F32" i="4"/>
  <c r="F26" i="4"/>
  <c r="F6" i="28" s="1"/>
  <c r="F31" i="4"/>
  <c r="F27" i="4"/>
  <c r="F30" i="4"/>
  <c r="F29" i="4"/>
  <c r="L38" i="4"/>
  <c r="L34" i="4"/>
  <c r="L33" i="4"/>
  <c r="L28" i="4"/>
  <c r="L8" i="28" s="1"/>
  <c r="L36" i="4"/>
  <c r="L16" i="28" s="1"/>
  <c r="J6" i="22"/>
  <c r="D37" i="27"/>
  <c r="D26" i="27"/>
  <c r="D37" i="7"/>
  <c r="D17" i="22" s="1"/>
  <c r="D17" i="28" s="1"/>
  <c r="D26" i="7"/>
  <c r="D6" i="22" s="1"/>
  <c r="H35" i="7"/>
  <c r="H27" i="7"/>
  <c r="H31" i="7"/>
  <c r="G31" i="7"/>
  <c r="K27" i="27"/>
  <c r="L18" i="28"/>
  <c r="L3" i="7"/>
  <c r="L3" i="4"/>
  <c r="L3" i="27"/>
  <c r="J2" i="7"/>
  <c r="J2" i="27"/>
  <c r="J2" i="4"/>
  <c r="K3" i="7"/>
  <c r="K3" i="27"/>
  <c r="K3" i="4"/>
  <c r="I2" i="7"/>
  <c r="I2" i="4"/>
  <c r="I2" i="27"/>
  <c r="K36" i="27"/>
  <c r="K16" i="22" s="1"/>
  <c r="K16" i="28" s="1"/>
  <c r="K34" i="27"/>
  <c r="K14" i="22" s="1"/>
  <c r="K14" i="28" s="1"/>
  <c r="K38" i="27"/>
  <c r="K18" i="22" s="1"/>
  <c r="K18" i="28" s="1"/>
  <c r="K28" i="27"/>
  <c r="K8" i="22" s="1"/>
  <c r="K8" i="28" s="1"/>
  <c r="K33" i="27"/>
  <c r="K13" i="22" s="1"/>
  <c r="K13" i="28" s="1"/>
  <c r="C30" i="4"/>
  <c r="C27" i="4"/>
  <c r="C32" i="4"/>
  <c r="C29" i="4"/>
  <c r="C26" i="4"/>
  <c r="C6" i="28" s="1"/>
  <c r="C37" i="4"/>
  <c r="C17" i="28" s="1"/>
  <c r="C31" i="4"/>
  <c r="C35" i="4"/>
  <c r="H34" i="4"/>
  <c r="H33" i="4"/>
  <c r="H36" i="4"/>
  <c r="H38" i="4"/>
  <c r="H28" i="4"/>
  <c r="J35" i="4"/>
  <c r="J32" i="4"/>
  <c r="J37" i="4"/>
  <c r="J17" i="28" s="1"/>
  <c r="J29" i="4"/>
  <c r="J27" i="4"/>
  <c r="J26" i="4"/>
  <c r="J31" i="4"/>
  <c r="J30" i="4"/>
  <c r="E32" i="4"/>
  <c r="E30" i="4"/>
  <c r="E29" i="4"/>
  <c r="E31" i="4"/>
  <c r="E27" i="4"/>
  <c r="E35" i="4"/>
  <c r="E37" i="4"/>
  <c r="E17" i="28" s="1"/>
  <c r="E26" i="4"/>
  <c r="D31" i="4"/>
  <c r="D37" i="4"/>
  <c r="D35" i="4"/>
  <c r="D30" i="4"/>
  <c r="D29" i="4"/>
  <c r="D26" i="4"/>
  <c r="D32" i="4"/>
  <c r="D27" i="4"/>
  <c r="I17" i="22"/>
  <c r="I17" i="28" s="1"/>
  <c r="AA3" i="8"/>
  <c r="AB3" i="8" s="1"/>
  <c r="AE14" i="8"/>
  <c r="AE11" i="8"/>
  <c r="M43" i="6"/>
  <c r="M127" i="5"/>
  <c r="AA60" i="30"/>
  <c r="AE13" i="8"/>
  <c r="AE7" i="8"/>
  <c r="X80" i="30"/>
  <c r="I30" i="27" s="1"/>
  <c r="W77" i="30"/>
  <c r="H27" i="27" s="1"/>
  <c r="H7" i="22" s="1"/>
  <c r="X94" i="30"/>
  <c r="N127" i="5"/>
  <c r="L8" i="8"/>
  <c r="M126" i="5"/>
  <c r="N131" i="5"/>
  <c r="N133" i="5"/>
  <c r="I6" i="8"/>
  <c r="AA7" i="8"/>
  <c r="AE15" i="8"/>
  <c r="P132" i="5"/>
  <c r="N90" i="5"/>
  <c r="M135" i="5"/>
  <c r="P125" i="5"/>
  <c r="L3" i="8"/>
  <c r="N134" i="5"/>
  <c r="AA94" i="30"/>
  <c r="M89" i="5"/>
  <c r="AB12" i="8"/>
  <c r="N80" i="5"/>
  <c r="Z7" i="8"/>
  <c r="P86" i="5"/>
  <c r="N132" i="5"/>
  <c r="U80" i="30"/>
  <c r="F30" i="27" s="1"/>
  <c r="Y60" i="30"/>
  <c r="J27" i="7" s="1"/>
  <c r="J7" i="22" s="1"/>
  <c r="J7" i="28" s="1"/>
  <c r="P87" i="5"/>
  <c r="AB5" i="8"/>
  <c r="M80" i="5"/>
  <c r="I11" i="8"/>
  <c r="N88" i="5"/>
  <c r="AA10" i="8"/>
  <c r="M130" i="5"/>
  <c r="P90" i="5"/>
  <c r="AA13" i="8"/>
  <c r="Z13" i="8"/>
  <c r="AB13" i="8" s="1"/>
  <c r="AA14" i="8"/>
  <c r="AB14" i="8" s="1"/>
  <c r="M134" i="5"/>
  <c r="AA81" i="30"/>
  <c r="W82" i="30"/>
  <c r="H32" i="27" s="1"/>
  <c r="T80" i="30"/>
  <c r="E30" i="27" s="1"/>
  <c r="Y62" i="30"/>
  <c r="J29" i="7" s="1"/>
  <c r="M133" i="5"/>
  <c r="AA62" i="30"/>
  <c r="L29" i="7" s="1"/>
  <c r="Z10" i="8"/>
  <c r="Y65" i="30"/>
  <c r="J32" i="7" s="1"/>
  <c r="P128" i="5"/>
  <c r="N128" i="5"/>
  <c r="N125" i="5"/>
  <c r="P84" i="5"/>
  <c r="S80" i="30"/>
  <c r="D30" i="27" s="1"/>
  <c r="U62" i="30"/>
  <c r="F29" i="7" s="1"/>
  <c r="L15" i="8"/>
  <c r="Z9" i="8"/>
  <c r="AB9" i="8" s="1"/>
  <c r="AA6" i="8"/>
  <c r="AB6" i="8" s="1"/>
  <c r="Z8" i="8"/>
  <c r="AB8" i="8" s="1"/>
  <c r="AA11" i="8"/>
  <c r="AB11" i="8" s="1"/>
  <c r="AA15" i="8"/>
  <c r="AB15" i="8" s="1"/>
  <c r="Y97" i="30"/>
  <c r="Y80" i="30"/>
  <c r="J30" i="27" s="1"/>
  <c r="S79" i="30"/>
  <c r="D29" i="27" s="1"/>
  <c r="W79" i="30"/>
  <c r="H29" i="27" s="1"/>
  <c r="AA63" i="30"/>
  <c r="U63" i="30"/>
  <c r="F30" i="7" s="1"/>
  <c r="F10" i="22" s="1"/>
  <c r="F10" i="28" s="1"/>
  <c r="P135" i="5"/>
  <c r="N135" i="5"/>
  <c r="I8" i="8"/>
  <c r="N84" i="5"/>
  <c r="AE9" i="8"/>
  <c r="AB7" i="8"/>
  <c r="AA65" i="30"/>
  <c r="L32" i="7" s="1"/>
  <c r="Z63" i="30"/>
  <c r="V63" i="30"/>
  <c r="G30" i="7" s="1"/>
  <c r="R77" i="30"/>
  <c r="C27" i="27" s="1"/>
  <c r="Y77" i="30"/>
  <c r="J27" i="27" s="1"/>
  <c r="P83" i="5"/>
  <c r="P88" i="5"/>
  <c r="M131" i="5"/>
  <c r="I9" i="8"/>
  <c r="Z85" i="30"/>
  <c r="K35" i="27" s="1"/>
  <c r="W97" i="30"/>
  <c r="W63" i="30"/>
  <c r="H30" i="7" s="1"/>
  <c r="AA80" i="30"/>
  <c r="Y63" i="30"/>
  <c r="J30" i="7" s="1"/>
  <c r="J10" i="22" s="1"/>
  <c r="J10" i="28" s="1"/>
  <c r="S62" i="30"/>
  <c r="D29" i="7" s="1"/>
  <c r="W62" i="30"/>
  <c r="H29" i="7" s="1"/>
  <c r="AA79" i="30"/>
  <c r="U79" i="30"/>
  <c r="F29" i="27" s="1"/>
  <c r="F9" i="22" s="1"/>
  <c r="F9" i="28" s="1"/>
  <c r="Y79" i="30"/>
  <c r="J29" i="27" s="1"/>
  <c r="S63" i="30"/>
  <c r="D30" i="7" s="1"/>
  <c r="D10" i="22" s="1"/>
  <c r="D10" i="28" s="1"/>
  <c r="M90" i="5"/>
  <c r="T99" i="30"/>
  <c r="T82" i="30"/>
  <c r="E32" i="27" s="1"/>
  <c r="T85" i="30"/>
  <c r="E35" i="27" s="1"/>
  <c r="X85" i="30"/>
  <c r="I35" i="27" s="1"/>
  <c r="V68" i="30"/>
  <c r="G35" i="7" s="1"/>
  <c r="R68" i="30"/>
  <c r="C35" i="7" s="1"/>
  <c r="X82" i="30"/>
  <c r="I32" i="27" s="1"/>
  <c r="T65" i="30"/>
  <c r="E32" i="7" s="1"/>
  <c r="E12" i="22" s="1"/>
  <c r="X65" i="30"/>
  <c r="I32" i="7" s="1"/>
  <c r="I12" i="22" s="1"/>
  <c r="I12" i="28" s="1"/>
  <c r="Z99" i="30"/>
  <c r="Z65" i="30"/>
  <c r="K32" i="7" s="1"/>
  <c r="V85" i="30"/>
  <c r="R85" i="30"/>
  <c r="C35" i="27" s="1"/>
  <c r="T68" i="30"/>
  <c r="E35" i="7" s="1"/>
  <c r="X68" i="30"/>
  <c r="I35" i="7" s="1"/>
  <c r="V82" i="30"/>
  <c r="R82" i="30"/>
  <c r="C32" i="27" s="1"/>
  <c r="V65" i="30"/>
  <c r="G32" i="7" s="1"/>
  <c r="R65" i="30"/>
  <c r="C32" i="7" s="1"/>
  <c r="C12" i="22" s="1"/>
  <c r="C12" i="28" s="1"/>
  <c r="W94" i="30"/>
  <c r="U85" i="30"/>
  <c r="F35" i="27" s="1"/>
  <c r="Y85" i="30"/>
  <c r="J35" i="27" s="1"/>
  <c r="D7" i="22"/>
  <c r="D7" i="28" s="1"/>
  <c r="R60" i="30"/>
  <c r="C27" i="7" s="1"/>
  <c r="C7" i="22" s="1"/>
  <c r="M33" i="6"/>
  <c r="V77" i="30"/>
  <c r="G27" i="27" s="1"/>
  <c r="G7" i="22" s="1"/>
  <c r="M88" i="5"/>
  <c r="I13" i="8"/>
  <c r="Z68" i="30"/>
  <c r="W65" i="30"/>
  <c r="H32" i="7" s="1"/>
  <c r="T94" i="30"/>
  <c r="T77" i="30"/>
  <c r="E27" i="27" s="1"/>
  <c r="P79" i="5"/>
  <c r="I4" i="8"/>
  <c r="P131" i="5"/>
  <c r="S82" i="30"/>
  <c r="D32" i="27" s="1"/>
  <c r="Y68" i="30"/>
  <c r="J35" i="7" s="1"/>
  <c r="T63" i="30"/>
  <c r="E30" i="7" s="1"/>
  <c r="I11" i="22"/>
  <c r="I11" i="28" s="1"/>
  <c r="E11" i="22"/>
  <c r="E11" i="28" s="1"/>
  <c r="X77" i="30"/>
  <c r="I27" i="27" s="1"/>
  <c r="I7" i="22" s="1"/>
  <c r="I7" i="28" s="1"/>
  <c r="T60" i="30"/>
  <c r="E27" i="7" s="1"/>
  <c r="N126" i="5"/>
  <c r="P126" i="5"/>
  <c r="AE10" i="8"/>
  <c r="E10" i="22"/>
  <c r="E10" i="28" s="1"/>
  <c r="S68" i="30"/>
  <c r="D35" i="7" s="1"/>
  <c r="U65" i="30"/>
  <c r="F32" i="7" s="1"/>
  <c r="R63" i="30"/>
  <c r="C30" i="7" s="1"/>
  <c r="Z96" i="30"/>
  <c r="Z79" i="30"/>
  <c r="K29" i="27" s="1"/>
  <c r="V96" i="30"/>
  <c r="V79" i="30"/>
  <c r="G29" i="27" s="1"/>
  <c r="R96" i="30"/>
  <c r="R79" i="30"/>
  <c r="C29" i="27" s="1"/>
  <c r="C9" i="22" s="1"/>
  <c r="C9" i="28" s="1"/>
  <c r="W85" i="30"/>
  <c r="H35" i="27" s="1"/>
  <c r="H15" i="22" s="1"/>
  <c r="U82" i="30"/>
  <c r="F32" i="27" s="1"/>
  <c r="Z80" i="30"/>
  <c r="K30" i="27" s="1"/>
  <c r="R80" i="30"/>
  <c r="C30" i="27" s="1"/>
  <c r="U68" i="30"/>
  <c r="F35" i="7" s="1"/>
  <c r="S65" i="30"/>
  <c r="D32" i="7" s="1"/>
  <c r="D12" i="22" s="1"/>
  <c r="D12" i="28" s="1"/>
  <c r="AA64" i="30"/>
  <c r="X63" i="30"/>
  <c r="I30" i="7" s="1"/>
  <c r="V62" i="30"/>
  <c r="G29" i="7" s="1"/>
  <c r="J11" i="22"/>
  <c r="J11" i="28" s="1"/>
  <c r="F11" i="22"/>
  <c r="F11" i="28" s="1"/>
  <c r="D11" i="22"/>
  <c r="C11" i="22"/>
  <c r="C11" i="28" s="1"/>
  <c r="L14" i="28"/>
  <c r="L13" i="28"/>
  <c r="T96" i="30"/>
  <c r="T79" i="30"/>
  <c r="E29" i="27" s="1"/>
  <c r="E9" i="22" s="1"/>
  <c r="E9" i="28" s="1"/>
  <c r="X96" i="30"/>
  <c r="X79" i="30"/>
  <c r="I29" i="27" s="1"/>
  <c r="U94" i="30"/>
  <c r="U60" i="30"/>
  <c r="F27" i="7" s="1"/>
  <c r="S85" i="30"/>
  <c r="D35" i="27" s="1"/>
  <c r="AA82" i="30"/>
  <c r="L32" i="27" s="1"/>
  <c r="L12" i="22" s="1"/>
  <c r="Y82" i="30"/>
  <c r="J32" i="27" s="1"/>
  <c r="V80" i="30"/>
  <c r="G30" i="27" s="1"/>
  <c r="G10" i="22" s="1"/>
  <c r="U77" i="30"/>
  <c r="F27" i="27" s="1"/>
  <c r="M32" i="7"/>
  <c r="AB4" i="8"/>
  <c r="H8" i="28"/>
  <c r="H11" i="22" l="1"/>
  <c r="H11" i="28" s="1"/>
  <c r="K9" i="22"/>
  <c r="K9" i="28" s="1"/>
  <c r="H10" i="22"/>
  <c r="I33" i="4"/>
  <c r="M33" i="4" s="1"/>
  <c r="I38" i="4"/>
  <c r="D15" i="8" s="1"/>
  <c r="I28" i="4"/>
  <c r="M28" i="4" s="1"/>
  <c r="I36" i="4"/>
  <c r="I34" i="4"/>
  <c r="K29" i="4"/>
  <c r="K27" i="4"/>
  <c r="K31" i="4"/>
  <c r="K35" i="4"/>
  <c r="K30" i="4"/>
  <c r="K37" i="4"/>
  <c r="K26" i="4"/>
  <c r="K32" i="4"/>
  <c r="K37" i="7"/>
  <c r="K26" i="7"/>
  <c r="J34" i="27"/>
  <c r="J33" i="27"/>
  <c r="J38" i="27"/>
  <c r="J28" i="27"/>
  <c r="J36" i="27"/>
  <c r="L26" i="27"/>
  <c r="L37" i="27"/>
  <c r="L26" i="7"/>
  <c r="L37" i="7"/>
  <c r="L17" i="22" s="1"/>
  <c r="K29" i="7"/>
  <c r="M29" i="7" s="1"/>
  <c r="C28" i="7"/>
  <c r="C34" i="7"/>
  <c r="C38" i="7"/>
  <c r="C36" i="7"/>
  <c r="C33" i="7"/>
  <c r="C13" i="22" s="1"/>
  <c r="C13" i="28" s="1"/>
  <c r="E28" i="27"/>
  <c r="E33" i="27"/>
  <c r="E13" i="22" s="1"/>
  <c r="E38" i="27"/>
  <c r="E34" i="27"/>
  <c r="E36" i="27"/>
  <c r="E33" i="7"/>
  <c r="E36" i="7"/>
  <c r="E38" i="7"/>
  <c r="E18" i="22" s="1"/>
  <c r="E18" i="28" s="1"/>
  <c r="E34" i="7"/>
  <c r="E28" i="7"/>
  <c r="E8" i="22" s="1"/>
  <c r="G37" i="27"/>
  <c r="G26" i="27"/>
  <c r="F36" i="4"/>
  <c r="F33" i="4"/>
  <c r="F28" i="4"/>
  <c r="F38" i="4"/>
  <c r="F34" i="4"/>
  <c r="F34" i="7"/>
  <c r="F38" i="7"/>
  <c r="F33" i="7"/>
  <c r="F36" i="7"/>
  <c r="F28" i="7"/>
  <c r="H37" i="4"/>
  <c r="H30" i="4"/>
  <c r="H29" i="4"/>
  <c r="H35" i="4"/>
  <c r="H15" i="28" s="1"/>
  <c r="H32" i="4"/>
  <c r="H26" i="4"/>
  <c r="H31" i="4"/>
  <c r="H27" i="4"/>
  <c r="H13" i="28"/>
  <c r="K27" i="7"/>
  <c r="AG4" i="8" s="1"/>
  <c r="H18" i="28"/>
  <c r="D11" i="28"/>
  <c r="L31" i="7"/>
  <c r="AG6" i="8"/>
  <c r="K35" i="7"/>
  <c r="K15" i="22" s="1"/>
  <c r="C7" i="28"/>
  <c r="G32" i="27"/>
  <c r="G12" i="22" s="1"/>
  <c r="G12" i="28" s="1"/>
  <c r="E15" i="22"/>
  <c r="E15" i="28" s="1"/>
  <c r="G35" i="27"/>
  <c r="E12" i="28"/>
  <c r="L29" i="27"/>
  <c r="L9" i="22" s="1"/>
  <c r="L9" i="28" s="1"/>
  <c r="L30" i="27"/>
  <c r="K30" i="7"/>
  <c r="K7" i="8" s="1"/>
  <c r="L30" i="7"/>
  <c r="L31" i="27"/>
  <c r="AF8" i="8" s="1"/>
  <c r="L27" i="7"/>
  <c r="D5" i="8"/>
  <c r="M36" i="4"/>
  <c r="H14" i="28"/>
  <c r="I28" i="27"/>
  <c r="I33" i="27"/>
  <c r="I36" i="27"/>
  <c r="I34" i="27"/>
  <c r="I38" i="27"/>
  <c r="I33" i="7"/>
  <c r="I36" i="7"/>
  <c r="I28" i="7"/>
  <c r="I38" i="7"/>
  <c r="I34" i="7"/>
  <c r="K26" i="27"/>
  <c r="K37" i="27"/>
  <c r="J36" i="4"/>
  <c r="D13" i="8" s="1"/>
  <c r="J38" i="4"/>
  <c r="M38" i="4" s="1"/>
  <c r="J33" i="4"/>
  <c r="J34" i="4"/>
  <c r="M34" i="4" s="1"/>
  <c r="J28" i="4"/>
  <c r="J34" i="7"/>
  <c r="J14" i="22" s="1"/>
  <c r="J14" i="28" s="1"/>
  <c r="J36" i="7"/>
  <c r="J16" i="22" s="1"/>
  <c r="J16" i="28" s="1"/>
  <c r="J38" i="7"/>
  <c r="J18" i="22" s="1"/>
  <c r="J33" i="7"/>
  <c r="J28" i="7"/>
  <c r="J8" i="22" s="1"/>
  <c r="J8" i="28" s="1"/>
  <c r="L30" i="4"/>
  <c r="L32" i="4"/>
  <c r="L12" i="28" s="1"/>
  <c r="L27" i="4"/>
  <c r="L26" i="4"/>
  <c r="L29" i="4"/>
  <c r="L35" i="4"/>
  <c r="L37" i="4"/>
  <c r="L31" i="4"/>
  <c r="L27" i="27"/>
  <c r="AF4" i="8" s="1"/>
  <c r="L35" i="27"/>
  <c r="AF12" i="8" s="1"/>
  <c r="K31" i="7"/>
  <c r="K11" i="22" s="1"/>
  <c r="K11" i="28" s="1"/>
  <c r="D6" i="28"/>
  <c r="J6" i="28"/>
  <c r="C28" i="4"/>
  <c r="C33" i="4"/>
  <c r="C38" i="4"/>
  <c r="C36" i="4"/>
  <c r="C34" i="4"/>
  <c r="C33" i="27"/>
  <c r="C38" i="27"/>
  <c r="C34" i="27"/>
  <c r="C14" i="22" s="1"/>
  <c r="C28" i="27"/>
  <c r="C8" i="22" s="1"/>
  <c r="C8" i="28" s="1"/>
  <c r="C36" i="27"/>
  <c r="E28" i="4"/>
  <c r="E38" i="4"/>
  <c r="E34" i="4"/>
  <c r="E36" i="4"/>
  <c r="E33" i="4"/>
  <c r="G31" i="4"/>
  <c r="G27" i="4"/>
  <c r="G7" i="28" s="1"/>
  <c r="G32" i="4"/>
  <c r="G29" i="4"/>
  <c r="G30" i="4"/>
  <c r="G10" i="28" s="1"/>
  <c r="G37" i="4"/>
  <c r="G35" i="4"/>
  <c r="G26" i="4"/>
  <c r="G37" i="7"/>
  <c r="G26" i="7"/>
  <c r="F38" i="27"/>
  <c r="F34" i="27"/>
  <c r="F36" i="27"/>
  <c r="F28" i="27"/>
  <c r="F33" i="27"/>
  <c r="H37" i="27"/>
  <c r="H26" i="27"/>
  <c r="H37" i="7"/>
  <c r="H26" i="7"/>
  <c r="H16" i="28"/>
  <c r="L35" i="7"/>
  <c r="K32" i="27"/>
  <c r="M32" i="27" s="1"/>
  <c r="H30" i="27"/>
  <c r="G31" i="27"/>
  <c r="G11" i="22" s="1"/>
  <c r="G11" i="28" s="1"/>
  <c r="H31" i="27"/>
  <c r="K4" i="8"/>
  <c r="K10" i="22"/>
  <c r="K10" i="28" s="1"/>
  <c r="H12" i="22"/>
  <c r="H12" i="28" s="1"/>
  <c r="J9" i="22"/>
  <c r="J9" i="28" s="1"/>
  <c r="AB10" i="8"/>
  <c r="K12" i="8"/>
  <c r="M31" i="27"/>
  <c r="M35" i="7"/>
  <c r="AG12" i="8"/>
  <c r="J15" i="22"/>
  <c r="J15" i="28" s="1"/>
  <c r="I15" i="22"/>
  <c r="I15" i="28" s="1"/>
  <c r="E7" i="22"/>
  <c r="E7" i="28" s="1"/>
  <c r="H9" i="22"/>
  <c r="H9" i="28" s="1"/>
  <c r="L10" i="22"/>
  <c r="L10" i="28" s="1"/>
  <c r="D9" i="22"/>
  <c r="D9" i="28" s="1"/>
  <c r="F7" i="22"/>
  <c r="F7" i="28" s="1"/>
  <c r="G15" i="22"/>
  <c r="G15" i="28" s="1"/>
  <c r="C15" i="22"/>
  <c r="C15" i="28" s="1"/>
  <c r="AG9" i="8"/>
  <c r="K9" i="8"/>
  <c r="F15" i="22"/>
  <c r="F15" i="28" s="1"/>
  <c r="M31" i="7"/>
  <c r="K8" i="8"/>
  <c r="AF9" i="8"/>
  <c r="J12" i="22"/>
  <c r="AG8" i="8"/>
  <c r="I10" i="22"/>
  <c r="M30" i="7"/>
  <c r="G9" i="22"/>
  <c r="G9" i="28" s="1"/>
  <c r="F12" i="22"/>
  <c r="F12" i="28" s="1"/>
  <c r="M29" i="27"/>
  <c r="AF7" i="8"/>
  <c r="M30" i="27"/>
  <c r="M35" i="27"/>
  <c r="C10" i="22"/>
  <c r="C10" i="28" s="1"/>
  <c r="D15" i="22"/>
  <c r="D15" i="28" s="1"/>
  <c r="I9" i="22"/>
  <c r="V13" i="8" l="1"/>
  <c r="W13" i="8"/>
  <c r="Y13" i="8"/>
  <c r="X13" i="8"/>
  <c r="Y15" i="8"/>
  <c r="W15" i="8"/>
  <c r="X15" i="8"/>
  <c r="V15" i="8"/>
  <c r="AG14" i="8"/>
  <c r="H17" i="22"/>
  <c r="M37" i="7"/>
  <c r="K14" i="8"/>
  <c r="AG11" i="8"/>
  <c r="I14" i="22"/>
  <c r="M34" i="7"/>
  <c r="K11" i="8"/>
  <c r="AG5" i="8"/>
  <c r="M28" i="7"/>
  <c r="K5" i="8"/>
  <c r="I8" i="22"/>
  <c r="M33" i="7"/>
  <c r="K10" i="8"/>
  <c r="AG10" i="8"/>
  <c r="I13" i="22"/>
  <c r="M33" i="27"/>
  <c r="AF10" i="8"/>
  <c r="D11" i="8"/>
  <c r="Y5" i="8"/>
  <c r="V5" i="8"/>
  <c r="X5" i="8"/>
  <c r="W5" i="8"/>
  <c r="M27" i="7"/>
  <c r="M27" i="4"/>
  <c r="D4" i="8"/>
  <c r="M26" i="4"/>
  <c r="D3" i="8"/>
  <c r="D7" i="8"/>
  <c r="M30" i="4"/>
  <c r="F8" i="22"/>
  <c r="F8" i="28" s="1"/>
  <c r="G6" i="22"/>
  <c r="G6" i="28" s="1"/>
  <c r="K7" i="22"/>
  <c r="L6" i="22"/>
  <c r="L6" i="28" s="1"/>
  <c r="D10" i="8"/>
  <c r="K12" i="22"/>
  <c r="K12" i="28" s="1"/>
  <c r="AF6" i="8"/>
  <c r="AG7" i="8"/>
  <c r="L15" i="22"/>
  <c r="L15" i="28" s="1"/>
  <c r="H6" i="22"/>
  <c r="K3" i="8"/>
  <c r="AG3" i="8"/>
  <c r="M26" i="7"/>
  <c r="AF3" i="8"/>
  <c r="M26" i="27"/>
  <c r="F13" i="22"/>
  <c r="F13" i="28" s="1"/>
  <c r="C14" i="28"/>
  <c r="J13" i="22"/>
  <c r="J13" i="28" s="1"/>
  <c r="K6" i="22"/>
  <c r="K6" i="28" s="1"/>
  <c r="M38" i="7"/>
  <c r="AG15" i="8"/>
  <c r="K15" i="8"/>
  <c r="M36" i="7"/>
  <c r="K13" i="8"/>
  <c r="AG13" i="8"/>
  <c r="I18" i="22"/>
  <c r="AF15" i="8"/>
  <c r="M38" i="27"/>
  <c r="I16" i="22"/>
  <c r="AF13" i="8"/>
  <c r="M36" i="27"/>
  <c r="AF5" i="8"/>
  <c r="M28" i="27"/>
  <c r="L7" i="22"/>
  <c r="L7" i="28" s="1"/>
  <c r="K15" i="28"/>
  <c r="L11" i="22"/>
  <c r="M27" i="27"/>
  <c r="M31" i="4"/>
  <c r="D8" i="8"/>
  <c r="M32" i="4"/>
  <c r="D9" i="8"/>
  <c r="M29" i="4"/>
  <c r="D6" i="8"/>
  <c r="D14" i="8"/>
  <c r="M37" i="4"/>
  <c r="F16" i="22"/>
  <c r="F16" i="28" s="1"/>
  <c r="F18" i="22"/>
  <c r="F18" i="28" s="1"/>
  <c r="G17" i="22"/>
  <c r="G17" i="28" s="1"/>
  <c r="E14" i="22"/>
  <c r="E14" i="28" s="1"/>
  <c r="E16" i="22"/>
  <c r="E16" i="28" s="1"/>
  <c r="C16" i="22"/>
  <c r="C16" i="28" s="1"/>
  <c r="L17" i="28"/>
  <c r="K17" i="22"/>
  <c r="K17" i="28" s="1"/>
  <c r="H7" i="28"/>
  <c r="K6" i="8"/>
  <c r="AF14" i="8"/>
  <c r="M37" i="27"/>
  <c r="M18" i="22"/>
  <c r="J18" i="28"/>
  <c r="M34" i="27"/>
  <c r="AF11" i="8"/>
  <c r="M35" i="4"/>
  <c r="D12" i="8"/>
  <c r="F14" i="22"/>
  <c r="F14" i="28" s="1"/>
  <c r="E8" i="28"/>
  <c r="E13" i="28"/>
  <c r="C18" i="22"/>
  <c r="C18" i="28" s="1"/>
  <c r="H10" i="28"/>
  <c r="M15" i="22"/>
  <c r="M15" i="28"/>
  <c r="C12" i="8"/>
  <c r="J12" i="28"/>
  <c r="M12" i="28" s="1"/>
  <c r="M12" i="22"/>
  <c r="C9" i="8"/>
  <c r="I9" i="28"/>
  <c r="M9" i="28" s="1"/>
  <c r="M9" i="22"/>
  <c r="C6" i="8"/>
  <c r="I10" i="28"/>
  <c r="M10" i="28" s="1"/>
  <c r="C7" i="8"/>
  <c r="M10" i="22"/>
  <c r="V14" i="8" l="1"/>
  <c r="X14" i="8"/>
  <c r="Y14" i="8"/>
  <c r="W14" i="8"/>
  <c r="L11" i="28"/>
  <c r="M11" i="28" s="1"/>
  <c r="M11" i="22"/>
  <c r="C8" i="8"/>
  <c r="I16" i="28"/>
  <c r="M16" i="28" s="1"/>
  <c r="C13" i="8"/>
  <c r="M16" i="22"/>
  <c r="X10" i="8"/>
  <c r="Y10" i="8"/>
  <c r="W10" i="8"/>
  <c r="V10" i="8"/>
  <c r="K7" i="28"/>
  <c r="M7" i="28" s="1"/>
  <c r="M7" i="22"/>
  <c r="C4" i="8"/>
  <c r="W7" i="8"/>
  <c r="X7" i="8"/>
  <c r="V7" i="8"/>
  <c r="Y7" i="8"/>
  <c r="W11" i="8"/>
  <c r="V11" i="8"/>
  <c r="Y11" i="8"/>
  <c r="X11" i="8"/>
  <c r="V12" i="8"/>
  <c r="X12" i="8"/>
  <c r="W12" i="8"/>
  <c r="Y12" i="8"/>
  <c r="V6" i="8"/>
  <c r="X6" i="8"/>
  <c r="W6" i="8"/>
  <c r="Y6" i="8"/>
  <c r="X9" i="8"/>
  <c r="Y9" i="8"/>
  <c r="V9" i="8"/>
  <c r="W9" i="8"/>
  <c r="W8" i="8"/>
  <c r="Y8" i="8"/>
  <c r="V8" i="8"/>
  <c r="X8" i="8"/>
  <c r="I18" i="28"/>
  <c r="M18" i="28" s="1"/>
  <c r="C15" i="8"/>
  <c r="C3" i="8"/>
  <c r="M6" i="22"/>
  <c r="H6" i="28"/>
  <c r="M6" i="28" s="1"/>
  <c r="V3" i="8"/>
  <c r="Y3" i="8"/>
  <c r="X3" i="8"/>
  <c r="W3" i="8"/>
  <c r="V4" i="8"/>
  <c r="W4" i="8"/>
  <c r="X4" i="8"/>
  <c r="Y4" i="8"/>
  <c r="I13" i="28"/>
  <c r="M13" i="28" s="1"/>
  <c r="M13" i="22"/>
  <c r="C10" i="8"/>
  <c r="I8" i="28"/>
  <c r="M8" i="28" s="1"/>
  <c r="M8" i="22"/>
  <c r="C5" i="8"/>
  <c r="I14" i="28"/>
  <c r="M14" i="28" s="1"/>
  <c r="M14" i="22"/>
  <c r="C11" i="8"/>
  <c r="C14" i="8"/>
  <c r="M17" i="22"/>
  <c r="H17" i="28"/>
  <c r="M17" i="28" s="1"/>
  <c r="S12" i="8"/>
  <c r="E12" i="8"/>
  <c r="U12" i="8"/>
  <c r="T12" i="8"/>
  <c r="R12" i="8"/>
  <c r="S9" i="8"/>
  <c r="T9" i="8"/>
  <c r="U9" i="8"/>
  <c r="E9" i="8"/>
  <c r="R9" i="8"/>
  <c r="R7" i="8"/>
  <c r="U7" i="8"/>
  <c r="S7" i="8"/>
  <c r="T7" i="8"/>
  <c r="E7" i="8"/>
  <c r="T6" i="8"/>
  <c r="E6" i="8"/>
  <c r="S6" i="8"/>
  <c r="R6" i="8"/>
  <c r="U6" i="8"/>
  <c r="S11" i="8" l="1"/>
  <c r="T11" i="8"/>
  <c r="E11" i="8"/>
  <c r="U11" i="8"/>
  <c r="R11" i="8"/>
  <c r="E10" i="8"/>
  <c r="R10" i="8"/>
  <c r="T10" i="8"/>
  <c r="S10" i="8"/>
  <c r="U10" i="8"/>
  <c r="S14" i="8"/>
  <c r="T14" i="8"/>
  <c r="U14" i="8"/>
  <c r="R14" i="8"/>
  <c r="E14" i="8"/>
  <c r="S5" i="8"/>
  <c r="R5" i="8"/>
  <c r="U5" i="8"/>
  <c r="T5" i="8"/>
  <c r="E5" i="8"/>
  <c r="U3" i="8"/>
  <c r="R3" i="8"/>
  <c r="E3" i="8"/>
  <c r="T3" i="8"/>
  <c r="S3" i="8"/>
  <c r="R8" i="8"/>
  <c r="T8" i="8"/>
  <c r="U8" i="8"/>
  <c r="S8" i="8"/>
  <c r="E8" i="8"/>
  <c r="S15" i="8"/>
  <c r="E15" i="8"/>
  <c r="U15" i="8"/>
  <c r="R15" i="8"/>
  <c r="T15" i="8"/>
  <c r="R4" i="8"/>
  <c r="U4" i="8"/>
  <c r="S4" i="8"/>
  <c r="T4" i="8"/>
  <c r="E4" i="8"/>
  <c r="T13" i="8"/>
  <c r="E13" i="8"/>
  <c r="S13" i="8"/>
  <c r="R13" i="8"/>
  <c r="U13" i="8"/>
  <c r="P12" i="8"/>
  <c r="N12" i="8"/>
  <c r="M12" i="8"/>
  <c r="O12" i="8"/>
  <c r="Q12" i="8"/>
  <c r="Q9" i="8"/>
  <c r="P9" i="8"/>
  <c r="O9" i="8"/>
  <c r="N9" i="8"/>
  <c r="M9" i="8"/>
  <c r="O6" i="8"/>
  <c r="M6" i="8"/>
  <c r="N6" i="8"/>
  <c r="P6" i="8"/>
  <c r="Q6" i="8"/>
  <c r="P7" i="8"/>
  <c r="O7" i="8"/>
  <c r="M7" i="8"/>
  <c r="Q7" i="8"/>
  <c r="N7" i="8"/>
  <c r="Q13" i="8" l="1"/>
  <c r="N13" i="8"/>
  <c r="O13" i="8"/>
  <c r="M13" i="8"/>
  <c r="P13" i="8"/>
  <c r="Q4" i="8"/>
  <c r="M4" i="8"/>
  <c r="O4" i="8"/>
  <c r="N4" i="8"/>
  <c r="P4" i="8"/>
  <c r="Q15" i="8"/>
  <c r="M15" i="8"/>
  <c r="O15" i="8"/>
  <c r="N15" i="8"/>
  <c r="P15" i="8"/>
  <c r="O8" i="8"/>
  <c r="P8" i="8"/>
  <c r="N8" i="8"/>
  <c r="Q8" i="8"/>
  <c r="M8" i="8"/>
  <c r="M5" i="8"/>
  <c r="P5" i="8"/>
  <c r="N5" i="8"/>
  <c r="Q5" i="8"/>
  <c r="O5" i="8"/>
  <c r="N10" i="8"/>
  <c r="M10" i="8"/>
  <c r="O10" i="8"/>
  <c r="Q10" i="8"/>
  <c r="P10" i="8"/>
  <c r="O3" i="8"/>
  <c r="N3" i="8"/>
  <c r="P3" i="8"/>
  <c r="Q3" i="8"/>
  <c r="M3" i="8"/>
  <c r="P14" i="8"/>
  <c r="Q14" i="8"/>
  <c r="O14" i="8"/>
  <c r="N14" i="8"/>
  <c r="M14" i="8"/>
  <c r="Q11" i="8"/>
  <c r="M11" i="8"/>
  <c r="P11" i="8"/>
  <c r="O11" i="8"/>
  <c r="N11" i="8"/>
</calcChain>
</file>

<file path=xl/sharedStrings.xml><?xml version="1.0" encoding="utf-8"?>
<sst xmlns="http://schemas.openxmlformats.org/spreadsheetml/2006/main" count="1029" uniqueCount="194">
  <si>
    <t>CPI (Dec)</t>
  </si>
  <si>
    <t>ActewAGL</t>
  </si>
  <si>
    <t>CitiPower</t>
  </si>
  <si>
    <t>Endeavour Energy</t>
  </si>
  <si>
    <t>Energex</t>
  </si>
  <si>
    <t>Essential Energy</t>
  </si>
  <si>
    <t>Jemena</t>
  </si>
  <si>
    <t>Powercor</t>
  </si>
  <si>
    <t>SA Power Networks</t>
  </si>
  <si>
    <t>United Energy</t>
  </si>
  <si>
    <t>Ergon Energy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</si>
  <si>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</si>
  <si>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</si>
  <si>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</si>
  <si>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</si>
  <si>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</si>
  <si>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</si>
  <si>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</si>
  <si>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</si>
  <si>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</si>
  <si>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Index Numbers ;  All groups CPI ;  Australia ;</t>
  </si>
  <si>
    <t>Index Numbers</t>
  </si>
  <si>
    <t>Original</t>
  </si>
  <si>
    <t>INDEX</t>
  </si>
  <si>
    <t>Quarter</t>
  </si>
  <si>
    <t>A2325846C</t>
  </si>
  <si>
    <t>Financial year data (Real December previous year)</t>
  </si>
  <si>
    <t>Calander year data (Real June same year)</t>
  </si>
  <si>
    <t>Convert to real (Financial year DNSP)</t>
  </si>
  <si>
    <t>Convert to real (Calendar year DNSP)</t>
  </si>
  <si>
    <t>$ '000</t>
  </si>
  <si>
    <t>Route line length</t>
  </si>
  <si>
    <t>Customer numbers</t>
  </si>
  <si>
    <t>km</t>
  </si>
  <si>
    <t>Number</t>
  </si>
  <si>
    <t>Energy delivered</t>
  </si>
  <si>
    <t>SAIDI exclusive of MEDs excluding excluded outages</t>
  </si>
  <si>
    <t>SAIFI exclusive of MEDs excluding excluded outages</t>
  </si>
  <si>
    <t>Opex (5yr avg)</t>
  </si>
  <si>
    <t>MW</t>
  </si>
  <si>
    <t>MWh</t>
  </si>
  <si>
    <t>Energy delivered (5yr avg)</t>
  </si>
  <si>
    <t>RAB (5yr avg)</t>
  </si>
  <si>
    <t>Maximum demand</t>
  </si>
  <si>
    <t>Opex per customer (5yr avg)</t>
  </si>
  <si>
    <t>kW/Cust</t>
  </si>
  <si>
    <t>Load Factor</t>
  </si>
  <si>
    <t>SAIDI (5yr avg)</t>
  </si>
  <si>
    <t>SAIFI (5yr avg)</t>
  </si>
  <si>
    <t>CAIDI (5yr avg)</t>
  </si>
  <si>
    <t>CAIDI exclusive of MEDs excluding excluded outages</t>
  </si>
  <si>
    <t>DNSP Network services opex</t>
  </si>
  <si>
    <t>Total user cost (5yr avg)</t>
  </si>
  <si>
    <t>Customer density</t>
  </si>
  <si>
    <t>TasNetworks</t>
  </si>
  <si>
    <t>Average real WACC</t>
  </si>
  <si>
    <t>SAIDI</t>
  </si>
  <si>
    <t>SAIFI</t>
  </si>
  <si>
    <t>ACT</t>
  </si>
  <si>
    <t>AGD</t>
  </si>
  <si>
    <t>CIT</t>
  </si>
  <si>
    <t>END</t>
  </si>
  <si>
    <t>ENX</t>
  </si>
  <si>
    <t>ERG</t>
  </si>
  <si>
    <t>ESS</t>
  </si>
  <si>
    <t>JEN</t>
  </si>
  <si>
    <t>PCR</t>
  </si>
  <si>
    <t>UED</t>
  </si>
  <si>
    <t>TND</t>
  </si>
  <si>
    <t>SAPN</t>
  </si>
  <si>
    <t>Feed in tariffs</t>
  </si>
  <si>
    <t>Ergon</t>
  </si>
  <si>
    <t>Asset cost (5 yr avg)</t>
  </si>
  <si>
    <t>AusNet Services</t>
  </si>
  <si>
    <t>AND</t>
  </si>
  <si>
    <t>Overhead lines</t>
  </si>
  <si>
    <t>Underground lines</t>
  </si>
  <si>
    <t>Network capacity</t>
  </si>
  <si>
    <t>Ausgrid</t>
  </si>
  <si>
    <t>Circuit line length</t>
  </si>
  <si>
    <t>Route line length (5yr avg)</t>
  </si>
  <si>
    <t>Circuit line length (5yr avg)</t>
  </si>
  <si>
    <t>2010-14 average</t>
  </si>
  <si>
    <t>Reliability</t>
  </si>
  <si>
    <t>Total user cost</t>
  </si>
  <si>
    <t>#</t>
  </si>
  <si>
    <t>#/km</t>
  </si>
  <si>
    <t>$/Mwh</t>
  </si>
  <si>
    <t>$/km</t>
  </si>
  <si>
    <t>$/#</t>
  </si>
  <si>
    <t>$/MW</t>
  </si>
  <si>
    <t>$/MWh</t>
  </si>
  <si>
    <t>Asset cost per km of route line length (5yr avg)</t>
  </si>
  <si>
    <t>Asset cost per customer (5yr avg)</t>
  </si>
  <si>
    <t>kW/#</t>
  </si>
  <si>
    <t>MWh/#</t>
  </si>
  <si>
    <t>MWh/Cust</t>
  </si>
  <si>
    <t>min/#</t>
  </si>
  <si>
    <t>#/#</t>
  </si>
  <si>
    <t>minutes/#</t>
  </si>
  <si>
    <t>Nominal</t>
  </si>
  <si>
    <t>MVA</t>
  </si>
  <si>
    <t>minutes/customer</t>
  </si>
  <si>
    <t>Outages/customer</t>
  </si>
  <si>
    <t>miutes/outage</t>
  </si>
  <si>
    <t>Customer Density</t>
  </si>
  <si>
    <t>Total user cost per km of route line length (5yr avg)</t>
  </si>
  <si>
    <t>Total user cost per customer (5yr avg)</t>
  </si>
  <si>
    <t>CPI conversion</t>
  </si>
  <si>
    <t>Total user cost per km of circuit line length (5yr avg)</t>
  </si>
  <si>
    <t>$'000</t>
  </si>
  <si>
    <t>Total cost per MW of maximum demand ($2015) against customer density (2011–15 average)</t>
  </si>
  <si>
    <t>Total cost per customer ($2015) against customer density (2011–15 average)</t>
  </si>
  <si>
    <t>Total cost per km of route line length ($2015) against customer density (2011–15 average)</t>
  </si>
  <si>
    <t>Total cost per km of circuit line length ($2015) against customer density (2011–15 average)</t>
  </si>
  <si>
    <t>Total cost per customer ($2015) against unplanned minutes off supply per customer (excluding MEDs, 2011–15 average)</t>
  </si>
  <si>
    <t>Five year average customer numbers by DNSP (2011–15)</t>
  </si>
  <si>
    <t>Five year average circuit length by DNSP (2011–15)</t>
  </si>
  <si>
    <t>Five year average route line length by DNSP (2011–15)</t>
  </si>
  <si>
    <t>Average minutes off supply per customer (2011–2015)</t>
  </si>
  <si>
    <t>Average number of interruptions per customer (2011–2015)</t>
  </si>
  <si>
    <t>Maximum demand (5yr avg)</t>
  </si>
  <si>
    <t>Customer numbers (5yr avg)</t>
  </si>
  <si>
    <t>Total user cost per MW of maximum demand (5yr avg)</t>
  </si>
  <si>
    <t>Totex per MWh of energy delivered (5yr avg)</t>
  </si>
  <si>
    <t>Asset cost per MW of maximum demand (5yr avg)</t>
  </si>
  <si>
    <t>Asset cost per MWh of energy delivered (5yr avg)</t>
  </si>
  <si>
    <t>Opex per MW of maximum demand (5yr avg)</t>
  </si>
  <si>
    <t>Opex per MWh of energy delivered (5yr avg)</t>
  </si>
  <si>
    <t>Opex per km of route line length (5yr avg)</t>
  </si>
  <si>
    <t>Depreciation (5yr avg)</t>
  </si>
  <si>
    <t>Return on investment (5yr avg)</t>
  </si>
  <si>
    <t>*These are used to convert to $2015</t>
  </si>
  <si>
    <t>2011-15 average</t>
  </si>
  <si>
    <t>Average(2011-2015)</t>
  </si>
  <si>
    <t>Average(2011-2015, $'m))</t>
  </si>
  <si>
    <t>Average (2011-2015)</t>
  </si>
  <si>
    <t>If valid D2, will = valid; If not, D2 will = invalid</t>
  </si>
  <si>
    <t xml:space="preserve">Nominal </t>
  </si>
  <si>
    <t>DOEF0301</t>
  </si>
  <si>
    <t>DOPCN01</t>
  </si>
  <si>
    <t>DOPED01</t>
  </si>
  <si>
    <t>DOPSD0107</t>
  </si>
  <si>
    <t>DPA0501</t>
  </si>
  <si>
    <t>DPA01</t>
  </si>
  <si>
    <t>DPA01+DPA02</t>
  </si>
  <si>
    <t>Zone substation transformation</t>
  </si>
  <si>
    <t>Total installed capacity for first step transformation where there are two steps to reach distribution voltage (DPA0601)</t>
  </si>
  <si>
    <t>Total zone substation transformer  capacity (DPA0604)</t>
  </si>
  <si>
    <t>%</t>
  </si>
  <si>
    <t>Share of first-stage transformation capacity in the zone substation transformer capacity</t>
  </si>
  <si>
    <t>Zone Substation Network Service RAB for DNSPs with two-stage transformation</t>
  </si>
  <si>
    <t>Zone substation network service straight-line depreciation for DNSPs with two-stage transformation</t>
  </si>
  <si>
    <t>Zone substation network service capex for DNSPs with two-stage transformation</t>
  </si>
  <si>
    <t>First-stage of the two-step transformation at the Zone Substation level Network Service RAB for DNSPs with two-stage transformation</t>
  </si>
  <si>
    <t>First-stage of the two-step transformation at the Zone Substation level network service straight-line depreciation for DNSPs with two-stage transformation</t>
  </si>
  <si>
    <t>First-stage of the two-step transformation at the Zone Substation level network service capex for DNSPs with two-stage transformation</t>
  </si>
  <si>
    <t>Removing assets associated with the first step of the two-step transformation</t>
  </si>
  <si>
    <t>DNSP Network services RAB after removing assets associated with the first step of the two-step transformation</t>
  </si>
  <si>
    <t>Straight-line depreciation after removing assets associated with the first step of the two-step transformation</t>
  </si>
  <si>
    <t>DNSP Asset cost after removing assets associated with the first step of the two-step transformation</t>
  </si>
  <si>
    <t>DNSP Total user cost after removing assets associated with the first step of the two-step transformation</t>
  </si>
  <si>
    <t xml:space="preserve">Note: For this series to be valid, the RAB, depreciation, and opex real values must be in the same terms. </t>
  </si>
  <si>
    <t xml:space="preserve">For this series to be valid the RAB and depreciation real values must be in the same terms. </t>
  </si>
  <si>
    <t>AER DNSP Partial Performance Indicator Analysis</t>
  </si>
  <si>
    <t>Date: November 2016</t>
  </si>
  <si>
    <t>Summary</t>
  </si>
  <si>
    <t xml:space="preserve">This spreadsheet contains the PPI analysis on Electricity Distribution Network Service Providers for the years up to 2015. </t>
  </si>
  <si>
    <t>Data worksheets</t>
  </si>
  <si>
    <t>– Physical data: this presents key operational data submitted under DNSP EBRINs.</t>
  </si>
  <si>
    <t>– Reliability: this presents key reliability data submitted under DNSP EBRINs.</t>
  </si>
  <si>
    <t xml:space="preserve">– CPI: this contains consumer price index sourced from the Australian Bureau of Statistics.  This index is used to convert nominal values into real values. </t>
  </si>
  <si>
    <t xml:space="preserve">– Zone substation transformation: this contains network services zone substation data on capacity, capex, deprecation, and RAB for the purpose of removing assets associated with the first step of the two-step transformation.  For DNSPs with two-step transformation system at the zone substation level, assets values associated with the first step of the two-step transformation are measured by the proportional capacity. They are removed from the adjusted capex, depreciation and RAB measures. </t>
  </si>
  <si>
    <t>– Depreciation: this presents network services depreciation data  (adjusted) submitted under DNSP EBRINs.</t>
  </si>
  <si>
    <t>– Opex: this presents network services opex data submitted under DNSP EBRINs.</t>
  </si>
  <si>
    <t>– RAB: this presents network services RAB data  (adjusted)submitted under DNSP EBRINs.</t>
  </si>
  <si>
    <t>– Asset cost: this calculates asset cost using adjusted RAB.</t>
  </si>
  <si>
    <t xml:space="preserve">– Total cost: this calculates total cast as the sum of asset cost (above) and opex. </t>
  </si>
  <si>
    <t>Analysis worksheets</t>
  </si>
  <si>
    <t>– Data analysis</t>
  </si>
  <si>
    <t>– Graphical analysis: non-financial charts</t>
  </si>
  <si>
    <t>– Graphical analysis: financial charts</t>
  </si>
  <si>
    <t>Total cost per customer</t>
  </si>
  <si>
    <t>Real 2015</t>
  </si>
  <si>
    <t>Total cost per MW maximum demand</t>
  </si>
  <si>
    <t>Total cost per km circuit line length</t>
  </si>
  <si>
    <t>NSW</t>
  </si>
  <si>
    <t>SA</t>
  </si>
  <si>
    <t>TAS</t>
  </si>
  <si>
    <t>VIC</t>
  </si>
  <si>
    <t>QLD</t>
  </si>
  <si>
    <t>State-level customer density</t>
  </si>
  <si>
    <t>State level trend PPI analysis</t>
  </si>
  <si>
    <t>– Trend 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</si>
</sst>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\-yyyy"/>
    <numFmt numFmtId="165" formatCode="0.0;\-0.0;0.0;@"/>
    <numFmt numFmtId="166" formatCode="0.0"/>
    <numFmt numFmtId="167" formatCode="#,##0.000"/>
    <numFmt numFmtId="168" formatCode="&quot;$&quot;#,##0"/>
    <numFmt numFmtId="169" formatCode="_-&quot;$&quot;* #,##0_-;\-&quot;$&quot;* #,##0_-;_-&quot;$&quot;* &quot;-&quot;??_-;_-@_-"/>
    <numFmt numFmtId="170" formatCode="_-* #,##0_-;\-* #,##0_-;_-* &quot;-&quot;??_-;_-@_-"/>
    <numFmt numFmtId="171" formatCode="_-* #,##0.0_-;\-* #,##0.0_-;_-* &quot;-&quot;??_-;_-@_-"/>
    <numFmt numFmtId="172" formatCode="#,##0.0"/>
    <numFmt numFmtId="173" formatCode="0.000"/>
    <numFmt numFmtId="174" formatCode="#,##0.0000"/>
    <numFmt numFmtId="175" formatCode="#,##0_ ;\-#,##0\ "/>
    <numFmt numFmtId="176" formatCode="#,##0.00_ ;\-#,##0.00\ "/>
    <numFmt numFmtId="177" formatCode="0.0000"/>
    <numFmt numFmtId="178" formatCode="0.000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E7E1E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9" fontId="6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wrapText="1"/>
    </xf>
    <xf numFmtId="0" fontId="0" fillId="0" borderId="0" xfId="0"/>
    <xf numFmtId="0" fontId="0" fillId="0" borderId="0" xfId="0" applyBorder="1"/>
    <xf numFmtId="4" fontId="0" fillId="0" borderId="1" xfId="0" applyNumberFormat="1" applyBorder="1"/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165" fontId="2" fillId="0" borderId="0" xfId="0" applyNumberFormat="1" applyFont="1" applyAlignment="1"/>
    <xf numFmtId="166" fontId="0" fillId="0" borderId="0" xfId="0" applyNumberFormat="1"/>
    <xf numFmtId="0" fontId="0" fillId="0" borderId="0" xfId="0" applyAlignment="1">
      <alignment horizontal="right"/>
    </xf>
    <xf numFmtId="166" fontId="0" fillId="0" borderId="1" xfId="0" applyNumberFormat="1" applyBorder="1"/>
    <xf numFmtId="167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  <xf numFmtId="0" fontId="5" fillId="0" borderId="0" xfId="0" applyFont="1"/>
    <xf numFmtId="3" fontId="0" fillId="0" borderId="0" xfId="0" applyNumberFormat="1"/>
    <xf numFmtId="169" fontId="0" fillId="0" borderId="0" xfId="3" applyNumberFormat="1" applyFont="1"/>
    <xf numFmtId="10" fontId="0" fillId="0" borderId="0" xfId="0" applyNumberFormat="1"/>
    <xf numFmtId="0" fontId="0" fillId="0" borderId="0" xfId="0" applyFill="1" applyBorder="1"/>
    <xf numFmtId="169" fontId="0" fillId="0" borderId="0" xfId="0" applyNumberFormat="1"/>
    <xf numFmtId="168" fontId="0" fillId="0" borderId="0" xfId="0" applyNumberFormat="1"/>
    <xf numFmtId="9" fontId="0" fillId="0" borderId="0" xfId="0" applyNumberFormat="1"/>
    <xf numFmtId="164" fontId="7" fillId="0" borderId="0" xfId="0" applyNumberFormat="1" applyFont="1" applyAlignment="1">
      <alignment horizontal="left"/>
    </xf>
    <xf numFmtId="165" fontId="7" fillId="0" borderId="0" xfId="0" applyNumberFormat="1" applyFont="1" applyAlignment="1"/>
    <xf numFmtId="0" fontId="0" fillId="0" borderId="1" xfId="0" applyFill="1" applyBorder="1"/>
    <xf numFmtId="4" fontId="0" fillId="0" borderId="1" xfId="0" applyNumberFormat="1" applyFill="1" applyBorder="1"/>
    <xf numFmtId="0" fontId="0" fillId="0" borderId="0" xfId="0" applyFill="1"/>
    <xf numFmtId="0" fontId="8" fillId="0" borderId="0" xfId="0" applyFont="1" applyFill="1"/>
    <xf numFmtId="0" fontId="4" fillId="0" borderId="0" xfId="0" applyFont="1" applyFill="1"/>
    <xf numFmtId="0" fontId="0" fillId="4" borderId="0" xfId="0" applyFill="1"/>
    <xf numFmtId="0" fontId="4" fillId="4" borderId="0" xfId="0" applyFont="1" applyFill="1"/>
    <xf numFmtId="169" fontId="0" fillId="2" borderId="1" xfId="3" applyNumberFormat="1" applyFont="1" applyFill="1" applyBorder="1"/>
    <xf numFmtId="170" fontId="0" fillId="0" borderId="1" xfId="6" applyNumberFormat="1" applyFont="1" applyBorder="1"/>
    <xf numFmtId="0" fontId="5" fillId="0" borderId="0" xfId="0" applyFont="1" applyFill="1" applyBorder="1"/>
    <xf numFmtId="169" fontId="0" fillId="3" borderId="1" xfId="3" applyNumberFormat="1" applyFont="1" applyFill="1" applyBorder="1"/>
    <xf numFmtId="172" fontId="0" fillId="3" borderId="1" xfId="0" applyNumberFormat="1" applyFill="1" applyBorder="1"/>
    <xf numFmtId="164" fontId="9" fillId="0" borderId="0" xfId="0" applyNumberFormat="1" applyFont="1" applyAlignment="1">
      <alignment horizontal="left"/>
    </xf>
    <xf numFmtId="165" fontId="0" fillId="0" borderId="0" xfId="0" applyNumberFormat="1"/>
    <xf numFmtId="3" fontId="0" fillId="0" borderId="1" xfId="0" applyNumberFormat="1" applyFill="1" applyBorder="1"/>
    <xf numFmtId="169" fontId="0" fillId="0" borderId="1" xfId="3" applyNumberFormat="1" applyFont="1" applyFill="1" applyBorder="1"/>
    <xf numFmtId="4" fontId="0" fillId="6" borderId="1" xfId="0" applyNumberFormat="1" applyFill="1" applyBorder="1"/>
    <xf numFmtId="3" fontId="0" fillId="6" borderId="1" xfId="0" applyNumberFormat="1" applyFill="1" applyBorder="1"/>
    <xf numFmtId="0" fontId="0" fillId="6" borderId="0" xfId="0" applyFill="1"/>
    <xf numFmtId="174" fontId="0" fillId="6" borderId="1" xfId="0" applyNumberFormat="1" applyFill="1" applyBorder="1"/>
    <xf numFmtId="167" fontId="0" fillId="0" borderId="0" xfId="0" applyNumberFormat="1"/>
    <xf numFmtId="0" fontId="10" fillId="0" borderId="0" xfId="0" applyFont="1" applyFill="1"/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169" fontId="0" fillId="8" borderId="1" xfId="3" applyNumberFormat="1" applyFont="1" applyFill="1" applyBorder="1"/>
    <xf numFmtId="0" fontId="0" fillId="9" borderId="0" xfId="0" applyFill="1" applyAlignment="1">
      <alignment wrapText="1"/>
    </xf>
    <xf numFmtId="4" fontId="0" fillId="9" borderId="1" xfId="0" applyNumberFormat="1" applyFill="1" applyBorder="1"/>
    <xf numFmtId="3" fontId="0" fillId="9" borderId="1" xfId="0" applyNumberFormat="1" applyFill="1" applyBorder="1"/>
    <xf numFmtId="0" fontId="0" fillId="10" borderId="0" xfId="0" applyFill="1" applyAlignment="1">
      <alignment wrapText="1"/>
    </xf>
    <xf numFmtId="168" fontId="0" fillId="10" borderId="1" xfId="0" applyNumberFormat="1" applyFill="1" applyBorder="1"/>
    <xf numFmtId="168" fontId="0" fillId="7" borderId="1" xfId="0" applyNumberFormat="1" applyFill="1" applyBorder="1"/>
    <xf numFmtId="0" fontId="0" fillId="11" borderId="0" xfId="0" applyFill="1" applyAlignment="1">
      <alignment wrapText="1"/>
    </xf>
    <xf numFmtId="168" fontId="0" fillId="11" borderId="1" xfId="0" applyNumberFormat="1" applyFill="1" applyBorder="1"/>
    <xf numFmtId="171" fontId="0" fillId="9" borderId="1" xfId="6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171" fontId="0" fillId="0" borderId="1" xfId="6" applyNumberFormat="1" applyFont="1" applyFill="1" applyBorder="1" applyAlignment="1">
      <alignment wrapText="1"/>
    </xf>
    <xf numFmtId="173" fontId="0" fillId="0" borderId="1" xfId="0" applyNumberFormat="1" applyBorder="1"/>
    <xf numFmtId="175" fontId="0" fillId="0" borderId="1" xfId="3" applyNumberFormat="1" applyFont="1" applyBorder="1"/>
    <xf numFmtId="175" fontId="0" fillId="6" borderId="1" xfId="3" applyNumberFormat="1" applyFont="1" applyFill="1" applyBorder="1"/>
    <xf numFmtId="175" fontId="0" fillId="0" borderId="1" xfId="3" applyNumberFormat="1" applyFont="1" applyFill="1" applyBorder="1"/>
    <xf numFmtId="175" fontId="0" fillId="6" borderId="1" xfId="3" quotePrefix="1" applyNumberFormat="1" applyFont="1" applyFill="1" applyBorder="1"/>
    <xf numFmtId="0" fontId="11" fillId="0" borderId="0" xfId="0" applyFont="1"/>
    <xf numFmtId="4" fontId="0" fillId="0" borderId="0" xfId="0" applyNumberFormat="1"/>
    <xf numFmtId="175" fontId="0" fillId="0" borderId="0" xfId="0" applyNumberFormat="1"/>
    <xf numFmtId="2" fontId="0" fillId="0" borderId="0" xfId="0" applyNumberFormat="1"/>
    <xf numFmtId="176" fontId="0" fillId="0" borderId="0" xfId="0" applyNumberFormat="1"/>
    <xf numFmtId="0" fontId="0" fillId="5" borderId="0" xfId="0" applyFill="1"/>
    <xf numFmtId="0" fontId="5" fillId="5" borderId="0" xfId="0" applyFont="1" applyFill="1"/>
    <xf numFmtId="173" fontId="0" fillId="0" borderId="0" xfId="0" applyNumberFormat="1" applyBorder="1"/>
    <xf numFmtId="0" fontId="0" fillId="14" borderId="0" xfId="0" applyFont="1" applyFill="1" applyAlignment="1">
      <alignment horizontal="left"/>
    </xf>
    <xf numFmtId="0" fontId="0" fillId="5" borderId="1" xfId="0" applyFill="1" applyBorder="1"/>
    <xf numFmtId="0" fontId="0" fillId="5" borderId="0" xfId="0" applyFont="1" applyFill="1"/>
    <xf numFmtId="177" fontId="0" fillId="0" borderId="0" xfId="0" applyNumberFormat="1"/>
    <xf numFmtId="0" fontId="5" fillId="0" borderId="0" xfId="0" applyFont="1" applyFill="1"/>
    <xf numFmtId="3" fontId="0" fillId="0" borderId="0" xfId="0" applyNumberFormat="1" applyFill="1" applyBorder="1"/>
    <xf numFmtId="0" fontId="0" fillId="0" borderId="3" xfId="0" applyFill="1" applyBorder="1"/>
    <xf numFmtId="0" fontId="0" fillId="0" borderId="2" xfId="0" applyFill="1" applyBorder="1"/>
    <xf numFmtId="178" fontId="0" fillId="0" borderId="0" xfId="0" applyNumberFormat="1"/>
    <xf numFmtId="166" fontId="0" fillId="0" borderId="1" xfId="9" applyNumberFormat="1" applyFont="1" applyFill="1" applyBorder="1"/>
    <xf numFmtId="9" fontId="5" fillId="0" borderId="0" xfId="0" applyNumberFormat="1" applyFont="1"/>
    <xf numFmtId="3" fontId="6" fillId="0" borderId="1" xfId="7" applyNumberFormat="1" applyFont="1" applyFill="1" applyBorder="1"/>
    <xf numFmtId="9" fontId="0" fillId="0" borderId="0" xfId="0" applyNumberFormat="1" applyFill="1" applyBorder="1"/>
    <xf numFmtId="3" fontId="12" fillId="0" borderId="0" xfId="7" applyNumberFormat="1" applyFill="1" applyBorder="1"/>
    <xf numFmtId="43" fontId="0" fillId="0" borderId="0" xfId="0" applyNumberFormat="1"/>
    <xf numFmtId="3" fontId="6" fillId="0" borderId="1" xfId="8" applyNumberFormat="1" applyFont="1" applyFill="1" applyBorder="1"/>
    <xf numFmtId="3" fontId="14" fillId="0" borderId="1" xfId="7" applyNumberFormat="1" applyFont="1" applyFill="1" applyBorder="1"/>
    <xf numFmtId="3" fontId="14" fillId="0" borderId="1" xfId="8" applyNumberFormat="1" applyFont="1" applyFill="1" applyBorder="1"/>
    <xf numFmtId="3" fontId="14" fillId="0" borderId="1" xfId="0" applyNumberFormat="1" applyFont="1" applyFill="1" applyBorder="1"/>
    <xf numFmtId="4" fontId="0" fillId="0" borderId="0" xfId="0" applyNumberFormat="1" applyFill="1"/>
    <xf numFmtId="3" fontId="0" fillId="0" borderId="0" xfId="0" applyNumberFormat="1" applyFill="1"/>
    <xf numFmtId="3" fontId="0" fillId="0" borderId="1" xfId="0" quotePrefix="1" applyNumberFormat="1" applyFill="1" applyBorder="1"/>
    <xf numFmtId="3" fontId="13" fillId="0" borderId="1" xfId="8" applyNumberFormat="1" applyFill="1" applyBorder="1"/>
    <xf numFmtId="0" fontId="0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16" fillId="0" borderId="0" xfId="0" applyFont="1" applyAlignment="1">
      <alignment vertical="center"/>
    </xf>
    <xf numFmtId="2" fontId="0" fillId="5" borderId="0" xfId="0" applyNumberFormat="1" applyFill="1"/>
    <xf numFmtId="0" fontId="8" fillId="0" borderId="0" xfId="0" applyFont="1"/>
  </cellXfs>
  <cellStyles count="10">
    <cellStyle name="Bad" xfId="7" builtinId="27"/>
    <cellStyle name="Comma" xfId="6" builtinId="3"/>
    <cellStyle name="Comma 2" xfId="4"/>
    <cellStyle name="Currency" xfId="3" builtinId="4"/>
    <cellStyle name="Good" xfId="8" builtinId="26"/>
    <cellStyle name="Normal" xfId="0" builtinId="0"/>
    <cellStyle name="Normal 2" xfId="2"/>
    <cellStyle name="Normal 3" xfId="1"/>
    <cellStyle name="Percent" xfId="9" builtinId="5"/>
    <cellStyle name="Percent 2" xfId="5"/>
  </cellStyles>
  <dxfs count="0"/>
  <tableStyles count="0" defaultTableStyle="TableStyleMedium2" defaultPivotStyle="PivotStyleLight16"/>
  <colors>
    <mruColors>
      <color rgb="FF006D2C"/>
      <color rgb="FF238B45"/>
      <color rgb="FF74C476"/>
      <color rgb="FF5C437D"/>
      <color rgb="FFFD723C"/>
      <color rgb="FF41AB5D"/>
      <color rgb="FF007EFE"/>
      <color rgb="FF800026"/>
      <color rgb="FF1786A9"/>
      <color rgb="FF175A8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176165803108807E-2"/>
          <c:y val="4.7619047619047616E-2"/>
          <c:w val="0.75051911308401087"/>
          <c:h val="0.87838337921360898"/>
        </c:manualLayout>
      </c:layout>
      <c:lineChart>
        <c:grouping val="standard"/>
        <c:varyColors val="0"/>
        <c:ser>
          <c:idx val="5"/>
          <c:order val="0"/>
          <c:tx>
            <c:strRef>
              <c:f>'Trend PPI'!$A$10</c:f>
              <c:strCache>
                <c:ptCount val="1"/>
                <c:pt idx="0">
                  <c:v>TAS</c:v>
                </c:pt>
              </c:strCache>
            </c:strRef>
          </c:tx>
          <c:spPr>
            <a:ln w="28575">
              <a:solidFill>
                <a:srgbClr val="9966FF"/>
              </a:solidFill>
              <a:prstDash val="solid"/>
            </a:ln>
          </c:spPr>
          <c:marker>
            <c:spPr>
              <a:solidFill>
                <a:srgbClr val="9966FF"/>
              </a:solidFill>
              <a:ln>
                <a:noFill/>
              </a:ln>
            </c:spPr>
          </c:marker>
          <c:cat>
            <c:numRef>
              <c:f>'Trend PPI'!$B$5:$K$5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PPI'!$B$10:$K$10</c:f>
              <c:numCache>
                <c:formatCode>_-"$"* #,##0_-;\-"$"* #,##0_-;_-"$"* "-"??_-;_-@_-</c:formatCode>
                <c:ptCount val="10"/>
                <c:pt idx="0">
                  <c:v>704.54651147465972</c:v>
                </c:pt>
                <c:pt idx="1">
                  <c:v>734.61994922103929</c:v>
                </c:pt>
                <c:pt idx="2">
                  <c:v>733.43548101129284</c:v>
                </c:pt>
                <c:pt idx="3">
                  <c:v>728.60797857943544</c:v>
                </c:pt>
                <c:pt idx="4">
                  <c:v>814.19859432396913</c:v>
                </c:pt>
                <c:pt idx="5">
                  <c:v>831.00179926375586</c:v>
                </c:pt>
                <c:pt idx="6">
                  <c:v>879.8875539707758</c:v>
                </c:pt>
                <c:pt idx="7">
                  <c:v>827.55037049920338</c:v>
                </c:pt>
                <c:pt idx="8">
                  <c:v>837.70232181236099</c:v>
                </c:pt>
                <c:pt idx="9">
                  <c:v>810.22202332546544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'Trend PPI'!$A$6</c:f>
              <c:strCache>
                <c:ptCount val="1"/>
                <c:pt idx="0">
                  <c:v>ACT</c:v>
                </c:pt>
              </c:strCache>
            </c:strRef>
          </c:tx>
          <c:spPr>
            <a:ln w="28575">
              <a:solidFill>
                <a:srgbClr val="FCC0C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CC0C0"/>
                </a:solidFill>
              </a:ln>
            </c:spPr>
          </c:marker>
          <c:cat>
            <c:numRef>
              <c:f>'Trend PPI'!$B$5:$K$5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PPI'!$B$6:$K$6</c:f>
              <c:numCache>
                <c:formatCode>_-"$"* #,##0_-;\-"$"* #,##0_-;_-"$"* "-"??_-;_-@_-</c:formatCode>
                <c:ptCount val="10"/>
                <c:pt idx="0">
                  <c:v>716.75383045293518</c:v>
                </c:pt>
                <c:pt idx="1">
                  <c:v>716.82192925921095</c:v>
                </c:pt>
                <c:pt idx="2">
                  <c:v>736.54966505131131</c:v>
                </c:pt>
                <c:pt idx="3">
                  <c:v>740.2522554249781</c:v>
                </c:pt>
                <c:pt idx="4">
                  <c:v>778.83578360928072</c:v>
                </c:pt>
                <c:pt idx="5">
                  <c:v>827.95488689227898</c:v>
                </c:pt>
                <c:pt idx="6">
                  <c:v>861.82390283854795</c:v>
                </c:pt>
                <c:pt idx="7">
                  <c:v>908.05881880996276</c:v>
                </c:pt>
                <c:pt idx="8">
                  <c:v>980.59002254213692</c:v>
                </c:pt>
                <c:pt idx="9">
                  <c:v>1014.4597157171329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'Trend PPI'!$A$7</c:f>
              <c:strCache>
                <c:ptCount val="1"/>
                <c:pt idx="0">
                  <c:v>QLD</c:v>
                </c:pt>
              </c:strCache>
            </c:strRef>
          </c:tx>
          <c:spPr>
            <a:ln w="28575">
              <a:solidFill>
                <a:srgbClr val="80002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26"/>
              </a:solidFill>
              <a:ln>
                <a:solidFill>
                  <a:srgbClr val="800026"/>
                </a:solidFill>
              </a:ln>
            </c:spPr>
          </c:marker>
          <c:cat>
            <c:numRef>
              <c:f>'Trend PPI'!$B$5:$K$5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PPI'!$B$7:$K$7</c:f>
              <c:numCache>
                <c:formatCode>_-"$"* #,##0_-;\-"$"* #,##0_-;_-"$"* "-"??_-;_-@_-</c:formatCode>
                <c:ptCount val="10"/>
                <c:pt idx="0">
                  <c:v>880.35677400289524</c:v>
                </c:pt>
                <c:pt idx="1">
                  <c:v>908.3682755407541</c:v>
                </c:pt>
                <c:pt idx="2">
                  <c:v>929.55433832907568</c:v>
                </c:pt>
                <c:pt idx="3">
                  <c:v>926.14146876452151</c:v>
                </c:pt>
                <c:pt idx="4">
                  <c:v>947.08022783326805</c:v>
                </c:pt>
                <c:pt idx="5">
                  <c:v>1018.1596627966298</c:v>
                </c:pt>
                <c:pt idx="6">
                  <c:v>1053.227501409182</c:v>
                </c:pt>
                <c:pt idx="7">
                  <c:v>1041.5450801698055</c:v>
                </c:pt>
                <c:pt idx="8">
                  <c:v>1039.8131122958548</c:v>
                </c:pt>
                <c:pt idx="9">
                  <c:v>1058.0969173515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'Trend PPI'!$A$11</c:f>
              <c:strCache>
                <c:ptCount val="1"/>
                <c:pt idx="0">
                  <c:v>VIC</c:v>
                </c:pt>
              </c:strCache>
            </c:strRef>
          </c:tx>
          <c:spPr>
            <a:ln w="28575">
              <a:solidFill>
                <a:srgbClr val="A1D99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A1D99B"/>
              </a:solidFill>
              <a:ln>
                <a:solidFill>
                  <a:srgbClr val="A1D99B"/>
                </a:solidFill>
              </a:ln>
            </c:spPr>
          </c:marker>
          <c:cat>
            <c:numRef>
              <c:f>'Trend PPI'!$B$5:$K$5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PPI'!$B$11:$K$11</c:f>
              <c:numCache>
                <c:formatCode>_-"$"* #,##0_-;\-"$"* #,##0_-;_-"$"* "-"??_-;_-@_-</c:formatCode>
                <c:ptCount val="10"/>
                <c:pt idx="0">
                  <c:v>473.80160461937066</c:v>
                </c:pt>
                <c:pt idx="1">
                  <c:v>486.5328083703011</c:v>
                </c:pt>
                <c:pt idx="2">
                  <c:v>482.97700682810694</c:v>
                </c:pt>
                <c:pt idx="3">
                  <c:v>513.16997190275708</c:v>
                </c:pt>
                <c:pt idx="4">
                  <c:v>520.80352809924705</c:v>
                </c:pt>
                <c:pt idx="5">
                  <c:v>533.28259595348197</c:v>
                </c:pt>
                <c:pt idx="6">
                  <c:v>573.82652641486447</c:v>
                </c:pt>
                <c:pt idx="7">
                  <c:v>601.24075701352467</c:v>
                </c:pt>
                <c:pt idx="8">
                  <c:v>610.36393291612296</c:v>
                </c:pt>
                <c:pt idx="9">
                  <c:v>632.59031451727651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'Trend PPI'!$A$9</c:f>
              <c:strCache>
                <c:ptCount val="1"/>
                <c:pt idx="0">
                  <c:v>SA</c:v>
                </c:pt>
              </c:strCache>
            </c:strRef>
          </c:tx>
          <c:spPr>
            <a:ln w="28575">
              <a:solidFill>
                <a:srgbClr val="FD973C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D973C"/>
              </a:solidFill>
              <a:ln>
                <a:solidFill>
                  <a:srgbClr val="FD973C"/>
                </a:solidFill>
              </a:ln>
            </c:spPr>
          </c:marker>
          <c:cat>
            <c:numRef>
              <c:f>'Trend PPI'!$B$5:$K$5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PPI'!$B$9:$K$9</c:f>
              <c:numCache>
                <c:formatCode>_-"$"* #,##0_-;\-"$"* #,##0_-;_-"$"* "-"??_-;_-@_-</c:formatCode>
                <c:ptCount val="10"/>
                <c:pt idx="0">
                  <c:v>641.50537218737463</c:v>
                </c:pt>
                <c:pt idx="1">
                  <c:v>641.23811572603745</c:v>
                </c:pt>
                <c:pt idx="2">
                  <c:v>665.45778741518006</c:v>
                </c:pt>
                <c:pt idx="3">
                  <c:v>663.15003067156044</c:v>
                </c:pt>
                <c:pt idx="4">
                  <c:v>666.07211339071375</c:v>
                </c:pt>
                <c:pt idx="5">
                  <c:v>686.68172304520749</c:v>
                </c:pt>
                <c:pt idx="6">
                  <c:v>705.13526147824064</c:v>
                </c:pt>
                <c:pt idx="7">
                  <c:v>749.04047850825873</c:v>
                </c:pt>
                <c:pt idx="8">
                  <c:v>774.01740206392662</c:v>
                </c:pt>
                <c:pt idx="9">
                  <c:v>809.63346498227668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'Trend PPI'!$A$8</c:f>
              <c:strCache>
                <c:ptCount val="1"/>
                <c:pt idx="0">
                  <c:v>NSW</c:v>
                </c:pt>
              </c:strCache>
            </c:strRef>
          </c:tx>
          <c:spPr>
            <a:ln w="28575">
              <a:solidFill>
                <a:srgbClr val="2171B5"/>
              </a:solidFill>
              <a:prstDash val="solid"/>
            </a:ln>
          </c:spPr>
          <c:marker>
            <c:symbol val="star"/>
            <c:size val="7"/>
            <c:spPr>
              <a:ln>
                <a:solidFill>
                  <a:srgbClr val="2171B5"/>
                </a:solidFill>
              </a:ln>
            </c:spPr>
          </c:marker>
          <c:cat>
            <c:numRef>
              <c:f>'Trend PPI'!$B$5:$K$5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PPI'!$B$8:$K$8</c:f>
              <c:numCache>
                <c:formatCode>_-"$"* #,##0_-;\-"$"* #,##0_-;_-"$"* "-"??_-;_-@_-</c:formatCode>
                <c:ptCount val="10"/>
                <c:pt idx="0">
                  <c:v>695.62691001962389</c:v>
                </c:pt>
                <c:pt idx="1">
                  <c:v>722.59108702201286</c:v>
                </c:pt>
                <c:pt idx="2">
                  <c:v>844.27123776828137</c:v>
                </c:pt>
                <c:pt idx="3">
                  <c:v>850.63600020965816</c:v>
                </c:pt>
                <c:pt idx="4">
                  <c:v>919.91183616681417</c:v>
                </c:pt>
                <c:pt idx="5">
                  <c:v>953.74275465405515</c:v>
                </c:pt>
                <c:pt idx="6">
                  <c:v>1036.6436372621006</c:v>
                </c:pt>
                <c:pt idx="7">
                  <c:v>1029.6729534769433</c:v>
                </c:pt>
                <c:pt idx="8">
                  <c:v>1057.4882413940693</c:v>
                </c:pt>
                <c:pt idx="9">
                  <c:v>1065.3233696815998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75296"/>
        <c:axId val="48377216"/>
      </c:lineChart>
      <c:catAx>
        <c:axId val="4837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77216"/>
        <c:crosses val="autoZero"/>
        <c:auto val="1"/>
        <c:lblAlgn val="ctr"/>
        <c:lblOffset val="100"/>
        <c:tickMarkSkip val="1"/>
        <c:noMultiLvlLbl val="0"/>
      </c:catAx>
      <c:valAx>
        <c:axId val="4837721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65000"/>
                </a:sys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75296"/>
        <c:crosses val="autoZero"/>
        <c:crossBetween val="midCat"/>
      </c:valAx>
      <c:spPr>
        <a:noFill/>
        <a:ln w="12700">
          <a:noFill/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406921310182562"/>
          <c:y val="3.7448969862505802E-2"/>
          <c:w val="0.8332557778811851"/>
          <c:h val="0.69289447690006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Analysis!$J$2</c:f>
              <c:strCache>
                <c:ptCount val="1"/>
                <c:pt idx="0">
                  <c:v>Customer numbers (5yr avg)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Analysis!$A$3:$A$15</c:f>
              <c:strCache>
                <c:ptCount val="13"/>
                <c:pt idx="0">
                  <c:v>ActewAGL</c:v>
                </c:pt>
                <c:pt idx="1">
                  <c:v>Ausgrid</c:v>
                </c:pt>
                <c:pt idx="2">
                  <c:v>CitiPower</c:v>
                </c:pt>
                <c:pt idx="3">
                  <c:v>Endeavour Energy</c:v>
                </c:pt>
                <c:pt idx="4">
                  <c:v>Energex</c:v>
                </c:pt>
                <c:pt idx="5">
                  <c:v>Ergon Energy</c:v>
                </c:pt>
                <c:pt idx="6">
                  <c:v>Essential Energy</c:v>
                </c:pt>
                <c:pt idx="7">
                  <c:v>Jemena</c:v>
                </c:pt>
                <c:pt idx="8">
                  <c:v>Powercor</c:v>
                </c:pt>
                <c:pt idx="9">
                  <c:v>SA Power Networks</c:v>
                </c:pt>
                <c:pt idx="10">
                  <c:v>AusNet Services</c:v>
                </c:pt>
                <c:pt idx="11">
                  <c:v>TasNetworks</c:v>
                </c:pt>
                <c:pt idx="12">
                  <c:v>United Energy</c:v>
                </c:pt>
              </c:strCache>
            </c:strRef>
          </c:cat>
          <c:val>
            <c:numRef>
              <c:f>Analysis!$J$3:$J$15</c:f>
              <c:numCache>
                <c:formatCode>#,##0</c:formatCode>
                <c:ptCount val="13"/>
                <c:pt idx="0">
                  <c:v>175987.8</c:v>
                </c:pt>
                <c:pt idx="1">
                  <c:v>1637232.7</c:v>
                </c:pt>
                <c:pt idx="2">
                  <c:v>321928.59608477389</c:v>
                </c:pt>
                <c:pt idx="3">
                  <c:v>922816.1564185305</c:v>
                </c:pt>
                <c:pt idx="4">
                  <c:v>1360762.7</c:v>
                </c:pt>
                <c:pt idx="5">
                  <c:v>709774.9</c:v>
                </c:pt>
                <c:pt idx="6">
                  <c:v>847655.4</c:v>
                </c:pt>
                <c:pt idx="7">
                  <c:v>317817.59999999998</c:v>
                </c:pt>
                <c:pt idx="8">
                  <c:v>754231.64141230285</c:v>
                </c:pt>
                <c:pt idx="9">
                  <c:v>846735.9</c:v>
                </c:pt>
                <c:pt idx="10">
                  <c:v>679252.2</c:v>
                </c:pt>
                <c:pt idx="11">
                  <c:v>279584.2</c:v>
                </c:pt>
                <c:pt idx="12">
                  <c:v>653707.95483870967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1589888"/>
        <c:axId val="51591424"/>
      </c:barChart>
      <c:catAx>
        <c:axId val="51589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51591424"/>
        <c:crosses val="autoZero"/>
        <c:auto val="1"/>
        <c:lblAlgn val="ctr"/>
        <c:lblOffset val="100"/>
        <c:noMultiLvlLbl val="0"/>
      </c:catAx>
      <c:valAx>
        <c:axId val="51591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Customers</a:t>
                </a:r>
              </a:p>
            </c:rich>
          </c:tx>
          <c:layout>
            <c:manualLayout>
              <c:xMode val="edge"/>
              <c:yMode val="edge"/>
              <c:x val="3.9220833612670586E-3"/>
              <c:y val="0.2867547201761070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51589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45133273209609"/>
          <c:y val="3.7448969862505802E-2"/>
          <c:w val="0.8429238204798476"/>
          <c:h val="0.6785574755184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Analysis!$H$2</c:f>
              <c:strCache>
                <c:ptCount val="1"/>
                <c:pt idx="0">
                  <c:v>Route line length (5yr avg)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Analysis!$A$3:$A$15</c:f>
              <c:strCache>
                <c:ptCount val="13"/>
                <c:pt idx="0">
                  <c:v>ActewAGL</c:v>
                </c:pt>
                <c:pt idx="1">
                  <c:v>Ausgrid</c:v>
                </c:pt>
                <c:pt idx="2">
                  <c:v>CitiPower</c:v>
                </c:pt>
                <c:pt idx="3">
                  <c:v>Endeavour Energy</c:v>
                </c:pt>
                <c:pt idx="4">
                  <c:v>Energex</c:v>
                </c:pt>
                <c:pt idx="5">
                  <c:v>Ergon Energy</c:v>
                </c:pt>
                <c:pt idx="6">
                  <c:v>Essential Energy</c:v>
                </c:pt>
                <c:pt idx="7">
                  <c:v>Jemena</c:v>
                </c:pt>
                <c:pt idx="8">
                  <c:v>Powercor</c:v>
                </c:pt>
                <c:pt idx="9">
                  <c:v>SA Power Networks</c:v>
                </c:pt>
                <c:pt idx="10">
                  <c:v>AusNet Services</c:v>
                </c:pt>
                <c:pt idx="11">
                  <c:v>TasNetworks</c:v>
                </c:pt>
                <c:pt idx="12">
                  <c:v>United Energy</c:v>
                </c:pt>
              </c:strCache>
            </c:strRef>
          </c:cat>
          <c:val>
            <c:numRef>
              <c:f>Analysis!$H$3:$H$15</c:f>
              <c:numCache>
                <c:formatCode>#,##0</c:formatCode>
                <c:ptCount val="13"/>
                <c:pt idx="0">
                  <c:v>4037.9728000000005</c:v>
                </c:pt>
                <c:pt idx="1">
                  <c:v>37156.936141975253</c:v>
                </c:pt>
                <c:pt idx="2">
                  <c:v>3130.5963792902048</c:v>
                </c:pt>
                <c:pt idx="3">
                  <c:v>27688.620000000003</c:v>
                </c:pt>
                <c:pt idx="4">
                  <c:v>42474.432799999995</c:v>
                </c:pt>
                <c:pt idx="5">
                  <c:v>141407.03690000001</c:v>
                </c:pt>
                <c:pt idx="6">
                  <c:v>180725.21179999999</c:v>
                </c:pt>
                <c:pt idx="7">
                  <c:v>4380.0919514892139</c:v>
                </c:pt>
                <c:pt idx="8">
                  <c:v>66788.172961561824</c:v>
                </c:pt>
                <c:pt idx="9">
                  <c:v>81146.945002569613</c:v>
                </c:pt>
                <c:pt idx="10">
                  <c:v>37985.735666371256</c:v>
                </c:pt>
                <c:pt idx="11">
                  <c:v>20305.599999999999</c:v>
                </c:pt>
                <c:pt idx="12">
                  <c:v>7451.2648091116134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1641344"/>
        <c:axId val="52695808"/>
      </c:barChart>
      <c:catAx>
        <c:axId val="51641344"/>
        <c:scaling>
          <c:orientation val="minMax"/>
        </c:scaling>
        <c:delete val="0"/>
        <c:axPos val="b"/>
        <c:majorTickMark val="out"/>
        <c:minorTickMark val="none"/>
        <c:tickLblPos val="nextTo"/>
        <c:crossAx val="52695808"/>
        <c:crosses val="autoZero"/>
        <c:auto val="1"/>
        <c:lblAlgn val="ctr"/>
        <c:lblOffset val="100"/>
        <c:noMultiLvlLbl val="0"/>
      </c:catAx>
      <c:valAx>
        <c:axId val="52695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Route line length (km)</a:t>
                </a:r>
              </a:p>
            </c:rich>
          </c:tx>
          <c:layout>
            <c:manualLayout>
              <c:xMode val="edge"/>
              <c:yMode val="edge"/>
              <c:x val="6.5114370009432768E-3"/>
              <c:y val="0.2041201704625631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51641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29353992041318"/>
          <c:y val="3.7448969862505802E-2"/>
          <c:w val="0.89423004920083915"/>
          <c:h val="0.6785574755184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Analysis!$AC$2</c:f>
              <c:strCache>
                <c:ptCount val="1"/>
                <c:pt idx="0">
                  <c:v>SAIDI (5yr avg)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Analysis!$A$3:$A$15</c:f>
              <c:strCache>
                <c:ptCount val="13"/>
                <c:pt idx="0">
                  <c:v>ActewAGL</c:v>
                </c:pt>
                <c:pt idx="1">
                  <c:v>Ausgrid</c:v>
                </c:pt>
                <c:pt idx="2">
                  <c:v>CitiPower</c:v>
                </c:pt>
                <c:pt idx="3">
                  <c:v>Endeavour Energy</c:v>
                </c:pt>
                <c:pt idx="4">
                  <c:v>Energex</c:v>
                </c:pt>
                <c:pt idx="5">
                  <c:v>Ergon Energy</c:v>
                </c:pt>
                <c:pt idx="6">
                  <c:v>Essential Energy</c:v>
                </c:pt>
                <c:pt idx="7">
                  <c:v>Jemena</c:v>
                </c:pt>
                <c:pt idx="8">
                  <c:v>Powercor</c:v>
                </c:pt>
                <c:pt idx="9">
                  <c:v>SA Power Networks</c:v>
                </c:pt>
                <c:pt idx="10">
                  <c:v>AusNet Services</c:v>
                </c:pt>
                <c:pt idx="11">
                  <c:v>TasNetworks</c:v>
                </c:pt>
                <c:pt idx="12">
                  <c:v>United Energy</c:v>
                </c:pt>
              </c:strCache>
            </c:strRef>
          </c:cat>
          <c:val>
            <c:numRef>
              <c:f>Analysis!$AC$3:$AC$15</c:f>
              <c:numCache>
                <c:formatCode>_-* #,##0.0_-;\-* #,##0.0_-;_-* "-"??_-;_-@_-</c:formatCode>
                <c:ptCount val="13"/>
                <c:pt idx="0">
                  <c:v>33.715200000000003</c:v>
                </c:pt>
                <c:pt idx="1">
                  <c:v>76.828000000000003</c:v>
                </c:pt>
                <c:pt idx="2">
                  <c:v>27.933473717198023</c:v>
                </c:pt>
                <c:pt idx="3">
                  <c:v>89.684381688071255</c:v>
                </c:pt>
                <c:pt idx="4">
                  <c:v>72.951925623974844</c:v>
                </c:pt>
                <c:pt idx="5">
                  <c:v>278.79552000000001</c:v>
                </c:pt>
                <c:pt idx="6">
                  <c:v>219.05369785359821</c:v>
                </c:pt>
                <c:pt idx="7">
                  <c:v>54.168375491401193</c:v>
                </c:pt>
                <c:pt idx="8">
                  <c:v>138.88718989980572</c:v>
                </c:pt>
                <c:pt idx="9">
                  <c:v>145.28</c:v>
                </c:pt>
                <c:pt idx="10">
                  <c:v>139.64997595476092</c:v>
                </c:pt>
                <c:pt idx="11">
                  <c:v>152.41999721821858</c:v>
                </c:pt>
                <c:pt idx="12">
                  <c:v>71.485566681674442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2729344"/>
        <c:axId val="52730880"/>
      </c:barChart>
      <c:catAx>
        <c:axId val="52729344"/>
        <c:scaling>
          <c:orientation val="minMax"/>
        </c:scaling>
        <c:delete val="0"/>
        <c:axPos val="b"/>
        <c:majorTickMark val="out"/>
        <c:minorTickMark val="none"/>
        <c:tickLblPos val="nextTo"/>
        <c:crossAx val="52730880"/>
        <c:crosses val="autoZero"/>
        <c:auto val="1"/>
        <c:lblAlgn val="ctr"/>
        <c:lblOffset val="100"/>
        <c:noMultiLvlLbl val="0"/>
      </c:catAx>
      <c:valAx>
        <c:axId val="52730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Minutes off supply</a:t>
                </a:r>
                <a:r>
                  <a:rPr lang="en-AU" b="0" baseline="0"/>
                  <a:t> </a:t>
                </a:r>
                <a:endParaRPr lang="en-AU" b="0"/>
              </a:p>
            </c:rich>
          </c:tx>
          <c:layout>
            <c:manualLayout>
              <c:xMode val="edge"/>
              <c:yMode val="edge"/>
              <c:x val="8.9558697635913799E-5"/>
              <c:y val="0.2315454774465268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52729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68302618086718"/>
          <c:y val="3.7448969862505802E-2"/>
          <c:w val="0.89184056294038516"/>
          <c:h val="0.6785574755184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Analysis!$AD$2</c:f>
              <c:strCache>
                <c:ptCount val="1"/>
                <c:pt idx="0">
                  <c:v>SAIFI (5yr avg)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Analysis!$A$3:$A$15</c:f>
              <c:strCache>
                <c:ptCount val="13"/>
                <c:pt idx="0">
                  <c:v>ActewAGL</c:v>
                </c:pt>
                <c:pt idx="1">
                  <c:v>Ausgrid</c:v>
                </c:pt>
                <c:pt idx="2">
                  <c:v>CitiPower</c:v>
                </c:pt>
                <c:pt idx="3">
                  <c:v>Endeavour Energy</c:v>
                </c:pt>
                <c:pt idx="4">
                  <c:v>Energex</c:v>
                </c:pt>
                <c:pt idx="5">
                  <c:v>Ergon Energy</c:v>
                </c:pt>
                <c:pt idx="6">
                  <c:v>Essential Energy</c:v>
                </c:pt>
                <c:pt idx="7">
                  <c:v>Jemena</c:v>
                </c:pt>
                <c:pt idx="8">
                  <c:v>Powercor</c:v>
                </c:pt>
                <c:pt idx="9">
                  <c:v>SA Power Networks</c:v>
                </c:pt>
                <c:pt idx="10">
                  <c:v>AusNet Services</c:v>
                </c:pt>
                <c:pt idx="11">
                  <c:v>TasNetworks</c:v>
                </c:pt>
                <c:pt idx="12">
                  <c:v>United Energy</c:v>
                </c:pt>
              </c:strCache>
            </c:strRef>
          </c:cat>
          <c:val>
            <c:numRef>
              <c:f>Analysis!$AD$3:$AD$15</c:f>
              <c:numCache>
                <c:formatCode>_-* #,##0.0_-;\-* #,##0.0_-;_-* "-"??_-;_-@_-</c:formatCode>
                <c:ptCount val="13"/>
                <c:pt idx="0">
                  <c:v>0.62459999999999993</c:v>
                </c:pt>
                <c:pt idx="1">
                  <c:v>0.83152000000000004</c:v>
                </c:pt>
                <c:pt idx="2">
                  <c:v>0.41453361768444141</c:v>
                </c:pt>
                <c:pt idx="3">
                  <c:v>1.0398582465112034</c:v>
                </c:pt>
                <c:pt idx="4">
                  <c:v>0.92741729197508982</c:v>
                </c:pt>
                <c:pt idx="5">
                  <c:v>2.5598400000000003</c:v>
                </c:pt>
                <c:pt idx="6">
                  <c:v>1.9056331476441097</c:v>
                </c:pt>
                <c:pt idx="7">
                  <c:v>0.93339230243531779</c:v>
                </c:pt>
                <c:pt idx="8">
                  <c:v>1.4283648603858514</c:v>
                </c:pt>
                <c:pt idx="9">
                  <c:v>1.3497999999999999</c:v>
                </c:pt>
                <c:pt idx="10">
                  <c:v>1.8050242757510926</c:v>
                </c:pt>
                <c:pt idx="11">
                  <c:v>1.5512879786286407</c:v>
                </c:pt>
                <c:pt idx="12">
                  <c:v>0.99396679008777988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2785152"/>
        <c:axId val="52786688"/>
      </c:barChart>
      <c:catAx>
        <c:axId val="52785152"/>
        <c:scaling>
          <c:orientation val="minMax"/>
        </c:scaling>
        <c:delete val="0"/>
        <c:axPos val="b"/>
        <c:majorTickMark val="out"/>
        <c:minorTickMark val="none"/>
        <c:tickLblPos val="nextTo"/>
        <c:crossAx val="52786688"/>
        <c:crosses val="autoZero"/>
        <c:auto val="1"/>
        <c:lblAlgn val="ctr"/>
        <c:lblOffset val="100"/>
        <c:noMultiLvlLbl val="0"/>
      </c:catAx>
      <c:valAx>
        <c:axId val="52786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Number of interruptions</a:t>
                </a:r>
              </a:p>
            </c:rich>
          </c:tx>
          <c:layout>
            <c:manualLayout>
              <c:xMode val="edge"/>
              <c:yMode val="edge"/>
              <c:x val="8.5601934166831296E-3"/>
              <c:y val="0.1780682020723641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52785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223735958124271"/>
          <c:y val="3.7448969862505802E-2"/>
          <c:w val="0.84528344382534104"/>
          <c:h val="0.6785574755184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Analysis!$I$2</c:f>
              <c:strCache>
                <c:ptCount val="1"/>
                <c:pt idx="0">
                  <c:v>Circuit line length (5yr avg)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Analysis!$A$3:$A$15</c:f>
              <c:strCache>
                <c:ptCount val="13"/>
                <c:pt idx="0">
                  <c:v>ActewAGL</c:v>
                </c:pt>
                <c:pt idx="1">
                  <c:v>Ausgrid</c:v>
                </c:pt>
                <c:pt idx="2">
                  <c:v>CitiPower</c:v>
                </c:pt>
                <c:pt idx="3">
                  <c:v>Endeavour Energy</c:v>
                </c:pt>
                <c:pt idx="4">
                  <c:v>Energex</c:v>
                </c:pt>
                <c:pt idx="5">
                  <c:v>Ergon Energy</c:v>
                </c:pt>
                <c:pt idx="6">
                  <c:v>Essential Energy</c:v>
                </c:pt>
                <c:pt idx="7">
                  <c:v>Jemena</c:v>
                </c:pt>
                <c:pt idx="8">
                  <c:v>Powercor</c:v>
                </c:pt>
                <c:pt idx="9">
                  <c:v>SA Power Networks</c:v>
                </c:pt>
                <c:pt idx="10">
                  <c:v>AusNet Services</c:v>
                </c:pt>
                <c:pt idx="11">
                  <c:v>TasNetworks</c:v>
                </c:pt>
                <c:pt idx="12">
                  <c:v>United Energy</c:v>
                </c:pt>
              </c:strCache>
            </c:strRef>
          </c:cat>
          <c:val>
            <c:numRef>
              <c:f>Analysis!$I$3:$I$15</c:f>
              <c:numCache>
                <c:formatCode>#,##0</c:formatCode>
                <c:ptCount val="13"/>
                <c:pt idx="0">
                  <c:v>5123.8630367264223</c:v>
                </c:pt>
                <c:pt idx="1">
                  <c:v>40900.807896069964</c:v>
                </c:pt>
                <c:pt idx="2">
                  <c:v>4384.1906162000205</c:v>
                </c:pt>
                <c:pt idx="3">
                  <c:v>35053.234123800001</c:v>
                </c:pt>
                <c:pt idx="4">
                  <c:v>51711.150199999996</c:v>
                </c:pt>
                <c:pt idx="5">
                  <c:v>152106.21444221036</c:v>
                </c:pt>
                <c:pt idx="6">
                  <c:v>191029.87289941718</c:v>
                </c:pt>
                <c:pt idx="7">
                  <c:v>6137.1530882536017</c:v>
                </c:pt>
                <c:pt idx="8">
                  <c:v>73850.441735799628</c:v>
                </c:pt>
                <c:pt idx="9">
                  <c:v>87801.458288321708</c:v>
                </c:pt>
                <c:pt idx="10">
                  <c:v>43868.447455044326</c:v>
                </c:pt>
                <c:pt idx="11">
                  <c:v>22342.048999999999</c:v>
                </c:pt>
                <c:pt idx="12">
                  <c:v>12814.867353099999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2840704"/>
        <c:axId val="52842496"/>
      </c:barChart>
      <c:catAx>
        <c:axId val="52840704"/>
        <c:scaling>
          <c:orientation val="minMax"/>
        </c:scaling>
        <c:delete val="0"/>
        <c:axPos val="b"/>
        <c:majorTickMark val="out"/>
        <c:minorTickMark val="none"/>
        <c:tickLblPos val="nextTo"/>
        <c:crossAx val="52842496"/>
        <c:crosses val="autoZero"/>
        <c:auto val="1"/>
        <c:lblAlgn val="ctr"/>
        <c:lblOffset val="100"/>
        <c:noMultiLvlLbl val="0"/>
      </c:catAx>
      <c:valAx>
        <c:axId val="52842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Circuit</a:t>
                </a:r>
                <a:r>
                  <a:rPr lang="en-AU" b="0" baseline="0"/>
                  <a:t> line length (km)</a:t>
                </a:r>
                <a:endParaRPr lang="en-AU" b="0"/>
              </a:p>
            </c:rich>
          </c:tx>
          <c:layout>
            <c:manualLayout>
              <c:xMode val="edge"/>
              <c:yMode val="edge"/>
              <c:x val="6.5969415772096961E-3"/>
              <c:y val="0.2006166567888691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52840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176165803108807E-2"/>
          <c:y val="4.7619047619047616E-2"/>
          <c:w val="0.72715636497424574"/>
          <c:h val="0.87838337921360898"/>
        </c:manualLayout>
      </c:layout>
      <c:lineChart>
        <c:grouping val="standard"/>
        <c:varyColors val="0"/>
        <c:ser>
          <c:idx val="5"/>
          <c:order val="0"/>
          <c:tx>
            <c:strRef>
              <c:f>'Trend PPI'!$A$26</c:f>
              <c:strCache>
                <c:ptCount val="1"/>
                <c:pt idx="0">
                  <c:v>TAS</c:v>
                </c:pt>
              </c:strCache>
            </c:strRef>
          </c:tx>
          <c:spPr>
            <a:ln w="28575">
              <a:solidFill>
                <a:srgbClr val="9966FF"/>
              </a:solidFill>
              <a:prstDash val="solid"/>
            </a:ln>
          </c:spPr>
          <c:marker>
            <c:spPr>
              <a:solidFill>
                <a:srgbClr val="9966FF"/>
              </a:solidFill>
              <a:ln>
                <a:noFill/>
              </a:ln>
            </c:spPr>
          </c:marker>
          <c:cat>
            <c:numRef>
              <c:f>'Trend PPI'!$B$21:$K$21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PPI'!$B$26:$K$26</c:f>
              <c:numCache>
                <c:formatCode>_-"$"* #,##0_-;\-"$"* #,##0_-;_-"$"* "-"??_-;_-@_-</c:formatCode>
                <c:ptCount val="10"/>
                <c:pt idx="0">
                  <c:v>166123.53344613063</c:v>
                </c:pt>
                <c:pt idx="1">
                  <c:v>163487.74065419321</c:v>
                </c:pt>
                <c:pt idx="2">
                  <c:v>165515.07105514573</c:v>
                </c:pt>
                <c:pt idx="3">
                  <c:v>170563.74190127279</c:v>
                </c:pt>
                <c:pt idx="4">
                  <c:v>198314.16988821325</c:v>
                </c:pt>
                <c:pt idx="5">
                  <c:v>211860.91342930275</c:v>
                </c:pt>
                <c:pt idx="6">
                  <c:v>235080.28399715183</c:v>
                </c:pt>
                <c:pt idx="7">
                  <c:v>226619.24372883665</c:v>
                </c:pt>
                <c:pt idx="8">
                  <c:v>223483.55174095527</c:v>
                </c:pt>
                <c:pt idx="9">
                  <c:v>219622.23201986519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'Trend PPI'!$A$22</c:f>
              <c:strCache>
                <c:ptCount val="1"/>
                <c:pt idx="0">
                  <c:v>ACT</c:v>
                </c:pt>
              </c:strCache>
            </c:strRef>
          </c:tx>
          <c:spPr>
            <a:ln w="28575">
              <a:solidFill>
                <a:srgbClr val="FCC0C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CC0C0"/>
                </a:solidFill>
              </a:ln>
            </c:spPr>
          </c:marker>
          <c:cat>
            <c:numRef>
              <c:f>'Trend PPI'!$B$21:$K$21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PPI'!$B$22:$K$22</c:f>
              <c:numCache>
                <c:formatCode>_-"$"* #,##0_-;\-"$"* #,##0_-;_-"$"* "-"??_-;_-@_-</c:formatCode>
                <c:ptCount val="10"/>
                <c:pt idx="0">
                  <c:v>175753.24437136261</c:v>
                </c:pt>
                <c:pt idx="1">
                  <c:v>183536.83903021261</c:v>
                </c:pt>
                <c:pt idx="2">
                  <c:v>186697.72778647821</c:v>
                </c:pt>
                <c:pt idx="3">
                  <c:v>193847.39832195523</c:v>
                </c:pt>
                <c:pt idx="4">
                  <c:v>207896.3039322235</c:v>
                </c:pt>
                <c:pt idx="5">
                  <c:v>225305.99495324004</c:v>
                </c:pt>
                <c:pt idx="6">
                  <c:v>212708.47385604616</c:v>
                </c:pt>
                <c:pt idx="7">
                  <c:v>230663.90647239974</c:v>
                </c:pt>
                <c:pt idx="8">
                  <c:v>261593.13767503403</c:v>
                </c:pt>
                <c:pt idx="9">
                  <c:v>254811.2108925361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'Trend PPI'!$A$23</c:f>
              <c:strCache>
                <c:ptCount val="1"/>
                <c:pt idx="0">
                  <c:v>QLD</c:v>
                </c:pt>
              </c:strCache>
            </c:strRef>
          </c:tx>
          <c:spPr>
            <a:ln w="28575">
              <a:solidFill>
                <a:srgbClr val="80002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26"/>
              </a:solidFill>
              <a:ln>
                <a:solidFill>
                  <a:srgbClr val="800026"/>
                </a:solidFill>
              </a:ln>
            </c:spPr>
          </c:marker>
          <c:cat>
            <c:numRef>
              <c:f>'Trend PPI'!$B$21:$K$21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PPI'!$B$23:$K$23</c:f>
              <c:numCache>
                <c:formatCode>_-"$"* #,##0_-;\-"$"* #,##0_-;_-"$"* "-"??_-;_-@_-</c:formatCode>
                <c:ptCount val="10"/>
                <c:pt idx="0">
                  <c:v>229957.04436416045</c:v>
                </c:pt>
                <c:pt idx="1">
                  <c:v>227557.12814506004</c:v>
                </c:pt>
                <c:pt idx="2">
                  <c:v>225619.6813102015</c:v>
                </c:pt>
                <c:pt idx="3">
                  <c:v>223908.74837660237</c:v>
                </c:pt>
                <c:pt idx="4">
                  <c:v>220190.7275584731</c:v>
                </c:pt>
                <c:pt idx="5">
                  <c:v>253156.92938518935</c:v>
                </c:pt>
                <c:pt idx="6">
                  <c:v>274253.02242846391</c:v>
                </c:pt>
                <c:pt idx="7">
                  <c:v>275181.05742599315</c:v>
                </c:pt>
                <c:pt idx="8">
                  <c:v>287039.07961880049</c:v>
                </c:pt>
                <c:pt idx="9">
                  <c:v>286223.83415363426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'Trend PPI'!$A$27</c:f>
              <c:strCache>
                <c:ptCount val="1"/>
                <c:pt idx="0">
                  <c:v>VIC</c:v>
                </c:pt>
              </c:strCache>
            </c:strRef>
          </c:tx>
          <c:spPr>
            <a:ln w="28575">
              <a:solidFill>
                <a:srgbClr val="A1D99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A1D99B"/>
              </a:solidFill>
              <a:ln>
                <a:solidFill>
                  <a:srgbClr val="A1D99B"/>
                </a:solidFill>
              </a:ln>
            </c:spPr>
          </c:marker>
          <c:cat>
            <c:numRef>
              <c:f>'Trend PPI'!$B$21:$K$21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PPI'!$B$27:$K$27</c:f>
              <c:numCache>
                <c:formatCode>_-"$"* #,##0_-;\-"$"* #,##0_-;_-"$"* "-"??_-;_-@_-</c:formatCode>
                <c:ptCount val="10"/>
                <c:pt idx="0">
                  <c:v>154827.50967129151</c:v>
                </c:pt>
                <c:pt idx="1">
                  <c:v>153733.09339460763</c:v>
                </c:pt>
                <c:pt idx="2">
                  <c:v>145791.1602110361</c:v>
                </c:pt>
                <c:pt idx="3">
                  <c:v>146190.66125896829</c:v>
                </c:pt>
                <c:pt idx="4">
                  <c:v>154631.1002644439</c:v>
                </c:pt>
                <c:pt idx="5">
                  <c:v>163736.59143036677</c:v>
                </c:pt>
                <c:pt idx="6">
                  <c:v>190361.44909396759</c:v>
                </c:pt>
                <c:pt idx="7">
                  <c:v>187666.80175291927</c:v>
                </c:pt>
                <c:pt idx="8">
                  <c:v>184475.17724925332</c:v>
                </c:pt>
                <c:pt idx="9">
                  <c:v>219483.24238572034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'Trend PPI'!$A$25</c:f>
              <c:strCache>
                <c:ptCount val="1"/>
                <c:pt idx="0">
                  <c:v>SA</c:v>
                </c:pt>
              </c:strCache>
            </c:strRef>
          </c:tx>
          <c:spPr>
            <a:ln w="28575">
              <a:solidFill>
                <a:srgbClr val="FD973C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D973C"/>
              </a:solidFill>
              <a:ln>
                <a:solidFill>
                  <a:srgbClr val="FD973C"/>
                </a:solidFill>
              </a:ln>
            </c:spPr>
          </c:marker>
          <c:cat>
            <c:numRef>
              <c:f>'Trend PPI'!$B$21:$K$21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PPI'!$B$25:$K$25</c:f>
              <c:numCache>
                <c:formatCode>_-"$"* #,##0_-;\-"$"* #,##0_-;_-"$"* "-"??_-;_-@_-</c:formatCode>
                <c:ptCount val="10"/>
                <c:pt idx="0">
                  <c:v>180678.93124697512</c:v>
                </c:pt>
                <c:pt idx="1">
                  <c:v>182007.50014974453</c:v>
                </c:pt>
                <c:pt idx="2">
                  <c:v>175612.12833880231</c:v>
                </c:pt>
                <c:pt idx="3">
                  <c:v>169166.61552260225</c:v>
                </c:pt>
                <c:pt idx="4">
                  <c:v>177897.02004419031</c:v>
                </c:pt>
                <c:pt idx="5">
                  <c:v>185413.69284242796</c:v>
                </c:pt>
                <c:pt idx="6">
                  <c:v>215027.2942921755</c:v>
                </c:pt>
                <c:pt idx="7">
                  <c:v>218800.64702885039</c:v>
                </c:pt>
                <c:pt idx="8">
                  <c:v>216230.64235499443</c:v>
                </c:pt>
                <c:pt idx="9">
                  <c:v>251736.30584406806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'Trend PPI'!$A$24</c:f>
              <c:strCache>
                <c:ptCount val="1"/>
                <c:pt idx="0">
                  <c:v>NSW</c:v>
                </c:pt>
              </c:strCache>
            </c:strRef>
          </c:tx>
          <c:spPr>
            <a:ln w="28575">
              <a:solidFill>
                <a:srgbClr val="2171B5"/>
              </a:solidFill>
              <a:prstDash val="solid"/>
            </a:ln>
          </c:spPr>
          <c:marker>
            <c:symbol val="star"/>
            <c:size val="7"/>
            <c:spPr>
              <a:ln>
                <a:solidFill>
                  <a:srgbClr val="2171B5"/>
                </a:solidFill>
              </a:ln>
            </c:spPr>
          </c:marker>
          <c:cat>
            <c:numRef>
              <c:f>'Trend PPI'!$B$21:$K$21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PPI'!$B$24:$K$24</c:f>
              <c:numCache>
                <c:formatCode>_-"$"* #,##0_-;\-"$"* #,##0_-;_-"$"* "-"??_-;_-@_-</c:formatCode>
                <c:ptCount val="10"/>
                <c:pt idx="0">
                  <c:v>179765.66420583244</c:v>
                </c:pt>
                <c:pt idx="1">
                  <c:v>189394.46491566711</c:v>
                </c:pt>
                <c:pt idx="2">
                  <c:v>219605.04795095939</c:v>
                </c:pt>
                <c:pt idx="3">
                  <c:v>215600.04053293908</c:v>
                </c:pt>
                <c:pt idx="4">
                  <c:v>237314.09742097955</c:v>
                </c:pt>
                <c:pt idx="5">
                  <c:v>240123.26467417536</c:v>
                </c:pt>
                <c:pt idx="6">
                  <c:v>295552.05929676211</c:v>
                </c:pt>
                <c:pt idx="7">
                  <c:v>282387.13558686688</c:v>
                </c:pt>
                <c:pt idx="8">
                  <c:v>316977.05444993475</c:v>
                </c:pt>
                <c:pt idx="9">
                  <c:v>318419.18437434267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17408"/>
        <c:axId val="48435968"/>
      </c:lineChart>
      <c:catAx>
        <c:axId val="4841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35968"/>
        <c:crosses val="autoZero"/>
        <c:auto val="1"/>
        <c:lblAlgn val="ctr"/>
        <c:lblOffset val="100"/>
        <c:tickMarkSkip val="1"/>
        <c:noMultiLvlLbl val="0"/>
      </c:catAx>
      <c:valAx>
        <c:axId val="484359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65000"/>
                </a:sys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17408"/>
        <c:crosses val="autoZero"/>
        <c:crossBetween val="midCat"/>
      </c:valAx>
      <c:spPr>
        <a:noFill/>
        <a:ln w="12700">
          <a:noFill/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176165803108807E-2"/>
          <c:y val="4.7619047619047616E-2"/>
          <c:w val="0.73330201176727705"/>
          <c:h val="0.87838337921360898"/>
        </c:manualLayout>
      </c:layout>
      <c:lineChart>
        <c:grouping val="standard"/>
        <c:varyColors val="0"/>
        <c:ser>
          <c:idx val="5"/>
          <c:order val="0"/>
          <c:tx>
            <c:strRef>
              <c:f>'Trend PPI'!$A$44</c:f>
              <c:strCache>
                <c:ptCount val="1"/>
                <c:pt idx="0">
                  <c:v>TAS</c:v>
                </c:pt>
              </c:strCache>
            </c:strRef>
          </c:tx>
          <c:spPr>
            <a:ln w="28575">
              <a:solidFill>
                <a:srgbClr val="9966FF"/>
              </a:solidFill>
              <a:prstDash val="solid"/>
            </a:ln>
          </c:spPr>
          <c:marker>
            <c:spPr>
              <a:solidFill>
                <a:srgbClr val="9966FF"/>
              </a:solidFill>
              <a:ln>
                <a:noFill/>
              </a:ln>
            </c:spPr>
          </c:marker>
          <c:cat>
            <c:numRef>
              <c:f>'Trend PPI'!$B$39:$K$39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PPI'!$B$44:$K$44</c:f>
              <c:numCache>
                <c:formatCode>_-"$"* #,##0_-;\-"$"* #,##0_-;_-"$"* "-"??_-;_-@_-</c:formatCode>
                <c:ptCount val="10"/>
                <c:pt idx="0">
                  <c:v>8325.7967295101316</c:v>
                </c:pt>
                <c:pt idx="1">
                  <c:v>8848.7996884038184</c:v>
                </c:pt>
                <c:pt idx="2">
                  <c:v>9005.3508468907858</c:v>
                </c:pt>
                <c:pt idx="3">
                  <c:v>9094.4659680852455</c:v>
                </c:pt>
                <c:pt idx="4">
                  <c:v>10185.378067641701</c:v>
                </c:pt>
                <c:pt idx="5">
                  <c:v>10406.885533297875</c:v>
                </c:pt>
                <c:pt idx="6">
                  <c:v>11022.975142989739</c:v>
                </c:pt>
                <c:pt idx="7">
                  <c:v>10369.17550180969</c:v>
                </c:pt>
                <c:pt idx="8">
                  <c:v>10454.568470202143</c:v>
                </c:pt>
                <c:pt idx="9">
                  <c:v>10134.701166586994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'Trend PPI'!$A$40</c:f>
              <c:strCache>
                <c:ptCount val="1"/>
                <c:pt idx="0">
                  <c:v>ACT</c:v>
                </c:pt>
              </c:strCache>
            </c:strRef>
          </c:tx>
          <c:spPr>
            <a:ln w="28575">
              <a:solidFill>
                <a:srgbClr val="FCC0C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CC0C0"/>
                </a:solidFill>
              </a:ln>
            </c:spPr>
          </c:marker>
          <c:cat>
            <c:numRef>
              <c:f>'Trend PPI'!$B$39:$K$39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PPI'!$B$40:$K$40</c:f>
              <c:numCache>
                <c:formatCode>_-"$"* #,##0_-;\-"$"* #,##0_-;_-"$"* "-"??_-;_-@_-</c:formatCode>
                <c:ptCount val="10"/>
                <c:pt idx="0">
                  <c:v>23821.74760581593</c:v>
                </c:pt>
                <c:pt idx="1">
                  <c:v>23864.662919787057</c:v>
                </c:pt>
                <c:pt idx="2">
                  <c:v>24903.020931565152</c:v>
                </c:pt>
                <c:pt idx="3">
                  <c:v>25022.922519773056</c:v>
                </c:pt>
                <c:pt idx="4">
                  <c:v>26499.107583359466</c:v>
                </c:pt>
                <c:pt idx="5">
                  <c:v>28322.359969924259</c:v>
                </c:pt>
                <c:pt idx="6">
                  <c:v>29743.93447125865</c:v>
                </c:pt>
                <c:pt idx="7">
                  <c:v>31128.183358048384</c:v>
                </c:pt>
                <c:pt idx="8">
                  <c:v>33572.310977954941</c:v>
                </c:pt>
                <c:pt idx="9">
                  <c:v>34991.952473018006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'Trend PPI'!$A$41</c:f>
              <c:strCache>
                <c:ptCount val="1"/>
                <c:pt idx="0">
                  <c:v>QLD</c:v>
                </c:pt>
              </c:strCache>
            </c:strRef>
          </c:tx>
          <c:spPr>
            <a:ln w="28575">
              <a:solidFill>
                <a:srgbClr val="80002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26"/>
              </a:solidFill>
              <a:ln>
                <a:solidFill>
                  <a:srgbClr val="800026"/>
                </a:solidFill>
              </a:ln>
            </c:spPr>
          </c:marker>
          <c:cat>
            <c:numRef>
              <c:f>'Trend PPI'!$B$39:$K$39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PPI'!$B$41:$K$41</c:f>
              <c:numCache>
                <c:formatCode>_-"$"* #,##0_-;\-"$"* #,##0_-;_-"$"* "-"??_-;_-@_-</c:formatCode>
                <c:ptCount val="10"/>
                <c:pt idx="0">
                  <c:v>8289.285232866001</c:v>
                </c:pt>
                <c:pt idx="1">
                  <c:v>8594.1329711480685</c:v>
                </c:pt>
                <c:pt idx="2">
                  <c:v>8922.2745040913524</c:v>
                </c:pt>
                <c:pt idx="3">
                  <c:v>8979.1543520250798</c:v>
                </c:pt>
                <c:pt idx="4">
                  <c:v>9272.4484412741585</c:v>
                </c:pt>
                <c:pt idx="5">
                  <c:v>10084.119604423211</c:v>
                </c:pt>
                <c:pt idx="6">
                  <c:v>10492.372539968605</c:v>
                </c:pt>
                <c:pt idx="7">
                  <c:v>10660.621664827826</c:v>
                </c:pt>
                <c:pt idx="8">
                  <c:v>10736.982975307923</c:v>
                </c:pt>
                <c:pt idx="9">
                  <c:v>10969.267586034077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'Trend PPI'!$A$45</c:f>
              <c:strCache>
                <c:ptCount val="1"/>
                <c:pt idx="0">
                  <c:v>VIC</c:v>
                </c:pt>
              </c:strCache>
            </c:strRef>
          </c:tx>
          <c:spPr>
            <a:ln w="28575">
              <a:solidFill>
                <a:srgbClr val="A1D99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A1D99B"/>
              </a:solidFill>
              <a:ln>
                <a:solidFill>
                  <a:srgbClr val="A1D99B"/>
                </a:solidFill>
              </a:ln>
            </c:spPr>
          </c:marker>
          <c:cat>
            <c:numRef>
              <c:f>'Trend PPI'!$B$39:$K$39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PPI'!$B$45:$K$45</c:f>
              <c:numCache>
                <c:formatCode>_-"$"* #,##0_-;\-"$"* #,##0_-;_-"$"* "-"??_-;_-@_-</c:formatCode>
                <c:ptCount val="10"/>
                <c:pt idx="0">
                  <c:v>8654.4141329626964</c:v>
                </c:pt>
                <c:pt idx="1">
                  <c:v>8972.5947111864352</c:v>
                </c:pt>
                <c:pt idx="2">
                  <c:v>8993.3214852376041</c:v>
                </c:pt>
                <c:pt idx="3">
                  <c:v>9577.3807957308454</c:v>
                </c:pt>
                <c:pt idx="4">
                  <c:v>9783.2051463443004</c:v>
                </c:pt>
                <c:pt idx="5">
                  <c:v>10156.445230486219</c:v>
                </c:pt>
                <c:pt idx="6">
                  <c:v>11008.583907391856</c:v>
                </c:pt>
                <c:pt idx="7">
                  <c:v>11652.821063985904</c:v>
                </c:pt>
                <c:pt idx="8">
                  <c:v>11842.506021428671</c:v>
                </c:pt>
                <c:pt idx="9">
                  <c:v>12425.014394533593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'Trend PPI'!$A$43</c:f>
              <c:strCache>
                <c:ptCount val="1"/>
                <c:pt idx="0">
                  <c:v>SA</c:v>
                </c:pt>
              </c:strCache>
            </c:strRef>
          </c:tx>
          <c:spPr>
            <a:ln w="28575">
              <a:solidFill>
                <a:srgbClr val="FD973C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D973C"/>
              </a:solidFill>
              <a:ln>
                <a:solidFill>
                  <a:srgbClr val="FD973C"/>
                </a:solidFill>
              </a:ln>
            </c:spPr>
          </c:marker>
          <c:cat>
            <c:numRef>
              <c:f>'Trend PPI'!$B$39:$K$39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PPI'!$B$43:$K$43</c:f>
              <c:numCache>
                <c:formatCode>_-"$"* #,##0_-;\-"$"* #,##0_-;_-"$"* "-"??_-;_-@_-</c:formatCode>
                <c:ptCount val="10"/>
                <c:pt idx="0">
                  <c:v>5889.7443491496779</c:v>
                </c:pt>
                <c:pt idx="1">
                  <c:v>5857.4989223356279</c:v>
                </c:pt>
                <c:pt idx="2">
                  <c:v>6056.6839312936272</c:v>
                </c:pt>
                <c:pt idx="3">
                  <c:v>6235.1004226370706</c:v>
                </c:pt>
                <c:pt idx="4">
                  <c:v>6316.0969152849166</c:v>
                </c:pt>
                <c:pt idx="5">
                  <c:v>6584.2349893140836</c:v>
                </c:pt>
                <c:pt idx="6">
                  <c:v>6791.3027554036698</c:v>
                </c:pt>
                <c:pt idx="7">
                  <c:v>7225.7015016001815</c:v>
                </c:pt>
                <c:pt idx="8">
                  <c:v>7484.8127967173241</c:v>
                </c:pt>
                <c:pt idx="9">
                  <c:v>7838.6593287321057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'Trend PPI'!$A$42</c:f>
              <c:strCache>
                <c:ptCount val="1"/>
                <c:pt idx="0">
                  <c:v>NSW</c:v>
                </c:pt>
              </c:strCache>
            </c:strRef>
          </c:tx>
          <c:spPr>
            <a:ln w="28575">
              <a:solidFill>
                <a:srgbClr val="2171B5"/>
              </a:solidFill>
              <a:prstDash val="solid"/>
            </a:ln>
          </c:spPr>
          <c:marker>
            <c:symbol val="star"/>
            <c:size val="7"/>
            <c:spPr>
              <a:ln>
                <a:solidFill>
                  <a:srgbClr val="2171B5"/>
                </a:solidFill>
              </a:ln>
            </c:spPr>
          </c:marker>
          <c:cat>
            <c:numRef>
              <c:f>'Trend PPI'!$B$39:$K$39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'Trend PPI'!$B$42:$K$42</c:f>
              <c:numCache>
                <c:formatCode>_-"$"* #,##0_-;\-"$"* #,##0_-;_-"$"* "-"??_-;_-@_-</c:formatCode>
                <c:ptCount val="10"/>
                <c:pt idx="0">
                  <c:v>8208.9400411275783</c:v>
                </c:pt>
                <c:pt idx="1">
                  <c:v>8927.3572195760717</c:v>
                </c:pt>
                <c:pt idx="2">
                  <c:v>10649.593577014022</c:v>
                </c:pt>
                <c:pt idx="3">
                  <c:v>10719.180492590713</c:v>
                </c:pt>
                <c:pt idx="4">
                  <c:v>11606.690377098535</c:v>
                </c:pt>
                <c:pt idx="5">
                  <c:v>12012.767920589557</c:v>
                </c:pt>
                <c:pt idx="6">
                  <c:v>13108.561818686085</c:v>
                </c:pt>
                <c:pt idx="7">
                  <c:v>13101.97195462434</c:v>
                </c:pt>
                <c:pt idx="8">
                  <c:v>13599.194582011309</c:v>
                </c:pt>
                <c:pt idx="9">
                  <c:v>13838.630065148845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73600"/>
        <c:axId val="48475520"/>
      </c:lineChart>
      <c:catAx>
        <c:axId val="4847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75520"/>
        <c:crosses val="autoZero"/>
        <c:auto val="1"/>
        <c:lblAlgn val="ctr"/>
        <c:lblOffset val="100"/>
        <c:tickMarkSkip val="1"/>
        <c:noMultiLvlLbl val="0"/>
      </c:catAx>
      <c:valAx>
        <c:axId val="4847552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65000"/>
                </a:sys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73600"/>
        <c:crosses val="autoZero"/>
        <c:crossBetween val="midCat"/>
      </c:valAx>
      <c:spPr>
        <a:noFill/>
        <a:ln w="12700">
          <a:noFill/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9"/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BD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C0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AU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AU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AU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AU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AU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AU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AU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AU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AU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AU"/>
                      <a:t>SAPN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AU"/>
                      <a:t>AND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AU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AU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Analysis!$L$3:$L$15</c:f>
              <c:numCache>
                <c:formatCode>#,##0.00</c:formatCode>
                <c:ptCount val="13"/>
                <c:pt idx="0">
                  <c:v>43.583205909658425</c:v>
                </c:pt>
                <c:pt idx="1">
                  <c:v>44.062639980438526</c:v>
                </c:pt>
                <c:pt idx="2">
                  <c:v>102.83299316846596</c:v>
                </c:pt>
                <c:pt idx="3">
                  <c:v>33.328354985496944</c:v>
                </c:pt>
                <c:pt idx="4">
                  <c:v>32.037218870171706</c:v>
                </c:pt>
                <c:pt idx="5">
                  <c:v>5.0193746758298703</c:v>
                </c:pt>
                <c:pt idx="6">
                  <c:v>4.6902996629936728</c:v>
                </c:pt>
                <c:pt idx="7">
                  <c:v>72.559572611698997</c:v>
                </c:pt>
                <c:pt idx="8">
                  <c:v>11.292892258729417</c:v>
                </c:pt>
                <c:pt idx="9">
                  <c:v>10.434599848129675</c:v>
                </c:pt>
                <c:pt idx="10">
                  <c:v>17.881770303617984</c:v>
                </c:pt>
                <c:pt idx="11">
                  <c:v>13.768822393822395</c:v>
                </c:pt>
                <c:pt idx="12">
                  <c:v>87.731139824655997</c:v>
                </c:pt>
              </c:numCache>
            </c:numRef>
          </c:xVal>
          <c:yVal>
            <c:numRef>
              <c:f>Analysis!$M$3:$M$15</c:f>
              <c:numCache>
                <c:formatCode>"$"#,##0</c:formatCode>
                <c:ptCount val="13"/>
                <c:pt idx="0">
                  <c:v>237188.56391390157</c:v>
                </c:pt>
                <c:pt idx="1">
                  <c:v>296350.21565309988</c:v>
                </c:pt>
                <c:pt idx="2">
                  <c:v>139418.79184539686</c:v>
                </c:pt>
                <c:pt idx="3">
                  <c:v>197437.13046537148</c:v>
                </c:pt>
                <c:pt idx="4">
                  <c:v>230976.74552397436</c:v>
                </c:pt>
                <c:pt idx="5">
                  <c:v>341503.99528014933</c:v>
                </c:pt>
                <c:pt idx="6">
                  <c:v>400344.5199131376</c:v>
                </c:pt>
                <c:pt idx="7">
                  <c:v>183694.64780792897</c:v>
                </c:pt>
                <c:pt idx="8">
                  <c:v>182761.15299690882</c:v>
                </c:pt>
                <c:pt idx="9">
                  <c:v>216657.90779935927</c:v>
                </c:pt>
                <c:pt idx="10">
                  <c:v>260303.6606413096</c:v>
                </c:pt>
                <c:pt idx="11">
                  <c:v>223231.88171932031</c:v>
                </c:pt>
                <c:pt idx="12">
                  <c:v>165246.17246074064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48544768"/>
        <c:axId val="48594304"/>
      </c:scatterChart>
      <c:valAx>
        <c:axId val="485447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Customer</a:t>
                </a:r>
                <a:r>
                  <a:rPr lang="en-AU" baseline="0"/>
                  <a:t> density (per km)</a:t>
                </a:r>
                <a:endParaRPr lang="en-AU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8594304"/>
        <c:crosses val="autoZero"/>
        <c:crossBetween val="midCat"/>
        <c:majorUnit val="10"/>
      </c:valAx>
      <c:valAx>
        <c:axId val="48594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Total cost per MW</a:t>
                </a:r>
                <a:r>
                  <a:rPr lang="en-AU" baseline="0"/>
                  <a:t> of maximum demand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9.9037048117261196E-3"/>
              <c:y val="0.12582467224078625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85447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RAB!$A$26</c:f>
              <c:strCache>
                <c:ptCount val="1"/>
                <c:pt idx="0">
                  <c:v>ACT</c:v>
                </c:pt>
              </c:strCache>
            </c:strRef>
          </c:tx>
          <c:spPr>
            <a:ln>
              <a:solidFill>
                <a:srgbClr val="FCC0C0"/>
              </a:solidFill>
            </a:ln>
          </c:spPr>
          <c:marker>
            <c:symbol val="square"/>
            <c:size val="7"/>
            <c:spPr>
              <a:noFill/>
              <a:ln>
                <a:solidFill>
                  <a:srgbClr val="FCC0C0"/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RAB!$C$26:$L$26</c:f>
              <c:numCache>
                <c:formatCode>#,##0</c:formatCode>
                <c:ptCount val="10"/>
                <c:pt idx="0">
                  <c:v>662374.40133312345</c:v>
                </c:pt>
                <c:pt idx="1">
                  <c:v>664150.34189883259</c:v>
                </c:pt>
                <c:pt idx="2">
                  <c:v>673127.0633782564</c:v>
                </c:pt>
                <c:pt idx="3">
                  <c:v>675883.32547057548</c:v>
                </c:pt>
                <c:pt idx="4">
                  <c:v>702827.5978126101</c:v>
                </c:pt>
                <c:pt idx="5">
                  <c:v>742253.22268072458</c:v>
                </c:pt>
                <c:pt idx="6">
                  <c:v>782105.99514647305</c:v>
                </c:pt>
                <c:pt idx="7">
                  <c:v>816137.35092167452</c:v>
                </c:pt>
                <c:pt idx="8">
                  <c:v>845830.52190169459</c:v>
                </c:pt>
                <c:pt idx="9">
                  <c:v>936205.29132082558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RAB!$A$27</c:f>
              <c:strCache>
                <c:ptCount val="1"/>
                <c:pt idx="0">
                  <c:v>AGD</c:v>
                </c:pt>
              </c:strCache>
            </c:strRef>
          </c:tx>
          <c:spPr>
            <a:ln>
              <a:solidFill>
                <a:srgbClr val="9ECAE1"/>
              </a:solidFill>
            </a:ln>
          </c:spPr>
          <c:marker>
            <c:symbol val="diamond"/>
            <c:size val="7"/>
            <c:spPr>
              <a:noFill/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RAB!$C$27:$L$27</c:f>
              <c:numCache>
                <c:formatCode>#,##0</c:formatCode>
                <c:ptCount val="10"/>
                <c:pt idx="0">
                  <c:v>6119331.887814166</c:v>
                </c:pt>
                <c:pt idx="1">
                  <c:v>6623242.0298967399</c:v>
                </c:pt>
                <c:pt idx="2">
                  <c:v>7289629.6882221038</c:v>
                </c:pt>
                <c:pt idx="3">
                  <c:v>8064427.4454141213</c:v>
                </c:pt>
                <c:pt idx="4">
                  <c:v>9131602.3397725169</c:v>
                </c:pt>
                <c:pt idx="5">
                  <c:v>10277873.455405872</c:v>
                </c:pt>
                <c:pt idx="6">
                  <c:v>11615163.530396648</c:v>
                </c:pt>
                <c:pt idx="7">
                  <c:v>12717756.855559947</c:v>
                </c:pt>
                <c:pt idx="8">
                  <c:v>13268388.984570436</c:v>
                </c:pt>
                <c:pt idx="9">
                  <c:v>13647514.023850543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RAB!$A$28</c:f>
              <c:strCache>
                <c:ptCount val="1"/>
                <c:pt idx="0">
                  <c:v>CIT</c:v>
                </c:pt>
              </c:strCache>
            </c:strRef>
          </c:tx>
          <c:spPr>
            <a:ln>
              <a:solidFill>
                <a:srgbClr val="A1D99B"/>
              </a:solidFill>
            </a:ln>
          </c:spPr>
          <c:marker>
            <c:symbol val="square"/>
            <c:size val="5"/>
            <c:spPr>
              <a:solidFill>
                <a:srgbClr val="3C967A"/>
              </a:solidFill>
              <a:ln>
                <a:solidFill>
                  <a:srgbClr val="3C967A"/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RAB!$C$28:$L$28</c:f>
              <c:numCache>
                <c:formatCode>#,##0</c:formatCode>
                <c:ptCount val="10"/>
                <c:pt idx="0">
                  <c:v>999354.45075992832</c:v>
                </c:pt>
                <c:pt idx="1">
                  <c:v>1030982.665359412</c:v>
                </c:pt>
                <c:pt idx="2">
                  <c:v>1030127.2733693711</c:v>
                </c:pt>
                <c:pt idx="3">
                  <c:v>1073391.35744087</c:v>
                </c:pt>
                <c:pt idx="4">
                  <c:v>1129901.2315993931</c:v>
                </c:pt>
                <c:pt idx="5">
                  <c:v>1174912.5268286988</c:v>
                </c:pt>
                <c:pt idx="6">
                  <c:v>1256034.9721454463</c:v>
                </c:pt>
                <c:pt idx="7">
                  <c:v>1312290.3160980493</c:v>
                </c:pt>
                <c:pt idx="8">
                  <c:v>1361983.6833028595</c:v>
                </c:pt>
                <c:pt idx="9">
                  <c:v>1403561.4544090633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RAB!$A$29</c:f>
              <c:strCache>
                <c:ptCount val="1"/>
                <c:pt idx="0">
                  <c:v>END</c:v>
                </c:pt>
              </c:strCache>
            </c:strRef>
          </c:tx>
          <c:spPr>
            <a:ln>
              <a:solidFill>
                <a:srgbClr val="DEEBF7"/>
              </a:solidFill>
            </a:ln>
          </c:spPr>
          <c:marker>
            <c:symbol val="triangle"/>
            <c:size val="7"/>
            <c:spPr>
              <a:noFill/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RAB!$C$29:$L$29</c:f>
              <c:numCache>
                <c:formatCode>#,##0</c:formatCode>
                <c:ptCount val="10"/>
                <c:pt idx="0">
                  <c:v>2928283.7736579347</c:v>
                </c:pt>
                <c:pt idx="1">
                  <c:v>3104609.3434517933</c:v>
                </c:pt>
                <c:pt idx="2">
                  <c:v>3282804.8410119927</c:v>
                </c:pt>
                <c:pt idx="3">
                  <c:v>3457761.8283236846</c:v>
                </c:pt>
                <c:pt idx="4">
                  <c:v>3665378.3256778885</c:v>
                </c:pt>
                <c:pt idx="5">
                  <c:v>3829010.8290119059</c:v>
                </c:pt>
                <c:pt idx="6">
                  <c:v>4089308.2250744621</c:v>
                </c:pt>
                <c:pt idx="7">
                  <c:v>4418919.3690902274</c:v>
                </c:pt>
                <c:pt idx="8">
                  <c:v>4724516.2728341511</c:v>
                </c:pt>
                <c:pt idx="9">
                  <c:v>5019908.8961935425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RAB!$A$30</c:f>
              <c:strCache>
                <c:ptCount val="1"/>
                <c:pt idx="0">
                  <c:v>ENX</c:v>
                </c:pt>
              </c:strCache>
            </c:strRef>
          </c:tx>
          <c:spPr>
            <a:ln>
              <a:solidFill>
                <a:srgbClr val="BD0026"/>
              </a:solidFill>
            </a:ln>
          </c:spPr>
          <c:marker>
            <c:symbol val="star"/>
            <c:size val="7"/>
            <c:spPr>
              <a:noFill/>
              <a:ln>
                <a:solidFill>
                  <a:srgbClr val="DE2D26"/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RAB!$C$30:$L$30</c:f>
              <c:numCache>
                <c:formatCode>#,##0</c:formatCode>
                <c:ptCount val="10"/>
                <c:pt idx="0">
                  <c:v>4431634.0393857872</c:v>
                </c:pt>
                <c:pt idx="1">
                  <c:v>4755129.0079084635</c:v>
                </c:pt>
                <c:pt idx="2">
                  <c:v>5032734.1260248814</c:v>
                </c:pt>
                <c:pt idx="3">
                  <c:v>5302139.638901446</c:v>
                </c:pt>
                <c:pt idx="4">
                  <c:v>5818299.1328631407</c:v>
                </c:pt>
                <c:pt idx="5">
                  <c:v>6333751.5028128428</c:v>
                </c:pt>
                <c:pt idx="6">
                  <c:v>6699958.6588561712</c:v>
                </c:pt>
                <c:pt idx="7">
                  <c:v>7112713.8326999806</c:v>
                </c:pt>
                <c:pt idx="8">
                  <c:v>7443421.0858124867</c:v>
                </c:pt>
                <c:pt idx="9">
                  <c:v>8049459.888229209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RAB!$A$31</c:f>
              <c:strCache>
                <c:ptCount val="1"/>
                <c:pt idx="0">
                  <c:v>ERG</c:v>
                </c:pt>
              </c:strCache>
            </c:strRef>
          </c:tx>
          <c:spPr>
            <a:ln>
              <a:solidFill>
                <a:srgbClr val="800026"/>
              </a:solidFill>
            </a:ln>
          </c:spPr>
          <c:marker>
            <c:symbol val="circle"/>
            <c:size val="7"/>
            <c:spPr>
              <a:noFill/>
              <a:ln>
                <a:solidFill>
                  <a:srgbClr val="800026"/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RAB!$C$31:$L$31</c:f>
              <c:numCache>
                <c:formatCode>#,##0</c:formatCode>
                <c:ptCount val="10"/>
                <c:pt idx="0">
                  <c:v>4968377.224379098</c:v>
                </c:pt>
                <c:pt idx="1">
                  <c:v>5219867.4859580342</c:v>
                </c:pt>
                <c:pt idx="2">
                  <c:v>5465908.1841322994</c:v>
                </c:pt>
                <c:pt idx="3">
                  <c:v>5640249.748302808</c:v>
                </c:pt>
                <c:pt idx="4">
                  <c:v>5985911.8067913018</c:v>
                </c:pt>
                <c:pt idx="5">
                  <c:v>6386825.6177862342</c:v>
                </c:pt>
                <c:pt idx="6">
                  <c:v>6695130.8453013524</c:v>
                </c:pt>
                <c:pt idx="7">
                  <c:v>7006327.8900104053</c:v>
                </c:pt>
                <c:pt idx="8">
                  <c:v>7342485.4177862369</c:v>
                </c:pt>
                <c:pt idx="9">
                  <c:v>7626084.6676275777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RAB!$A$32</c:f>
              <c:strCache>
                <c:ptCount val="1"/>
                <c:pt idx="0">
                  <c:v>ESS</c:v>
                </c:pt>
              </c:strCache>
            </c:strRef>
          </c:tx>
          <c:spPr>
            <a:ln>
              <a:solidFill>
                <a:srgbClr val="C6DBEF"/>
              </a:solidFill>
            </a:ln>
          </c:spPr>
          <c:marker>
            <c:symbol val="x"/>
            <c:size val="7"/>
            <c:spPr>
              <a:noFill/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RAB!$C$32:$L$32</c:f>
              <c:numCache>
                <c:formatCode>#,##0</c:formatCode>
                <c:ptCount val="10"/>
                <c:pt idx="0">
                  <c:v>3395967.0637179413</c:v>
                </c:pt>
                <c:pt idx="1">
                  <c:v>3693705.9308789093</c:v>
                </c:pt>
                <c:pt idx="2">
                  <c:v>4044923.4332306674</c:v>
                </c:pt>
                <c:pt idx="3">
                  <c:v>4454321.0786744971</c:v>
                </c:pt>
                <c:pt idx="4">
                  <c:v>4975917.5533105666</c:v>
                </c:pt>
                <c:pt idx="5">
                  <c:v>5410599.7545892028</c:v>
                </c:pt>
                <c:pt idx="6">
                  <c:v>5915433.3629846461</c:v>
                </c:pt>
                <c:pt idx="7">
                  <c:v>6372022.3121134201</c:v>
                </c:pt>
                <c:pt idx="8">
                  <c:v>6595309.532825971</c:v>
                </c:pt>
                <c:pt idx="9">
                  <c:v>6841245.0131132621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RAB!$A$33</c:f>
              <c:strCache>
                <c:ptCount val="1"/>
                <c:pt idx="0">
                  <c:v>JEN</c:v>
                </c:pt>
              </c:strCache>
            </c:strRef>
          </c:tx>
          <c:spPr>
            <a:ln>
              <a:solidFill>
                <a:srgbClr val="41AB5D"/>
              </a:solidFill>
            </a:ln>
          </c:spPr>
          <c:marker>
            <c:symbol val="triangle"/>
            <c:size val="5"/>
            <c:spPr>
              <a:solidFill>
                <a:srgbClr val="3C967A"/>
              </a:solidFill>
              <a:ln>
                <a:solidFill>
                  <a:srgbClr val="3C967A"/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RAB!$C$33:$L$33</c:f>
              <c:numCache>
                <c:formatCode>#,##0</c:formatCode>
                <c:ptCount val="10"/>
                <c:pt idx="0">
                  <c:v>603052.65209655522</c:v>
                </c:pt>
                <c:pt idx="1">
                  <c:v>638798.59597953549</c:v>
                </c:pt>
                <c:pt idx="2">
                  <c:v>643457.93315651943</c:v>
                </c:pt>
                <c:pt idx="3">
                  <c:v>675387.85737265076</c:v>
                </c:pt>
                <c:pt idx="4">
                  <c:v>698703.88104951323</c:v>
                </c:pt>
                <c:pt idx="5">
                  <c:v>737051.00586404279</c:v>
                </c:pt>
                <c:pt idx="6">
                  <c:v>826576.86421744397</c:v>
                </c:pt>
                <c:pt idx="7">
                  <c:v>893322.43811933731</c:v>
                </c:pt>
                <c:pt idx="8">
                  <c:v>940993.38620967302</c:v>
                </c:pt>
                <c:pt idx="9">
                  <c:v>1007887.9800792739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RAB!$A$34</c:f>
              <c:strCache>
                <c:ptCount val="1"/>
                <c:pt idx="0">
                  <c:v>PCR</c:v>
                </c:pt>
              </c:strCache>
            </c:strRef>
          </c:tx>
          <c:spPr>
            <a:ln>
              <a:solidFill>
                <a:srgbClr val="74C476"/>
              </a:solidFill>
            </a:ln>
          </c:spPr>
          <c:marker>
            <c:symbol val="diamond"/>
            <c:size val="5"/>
            <c:spPr>
              <a:solidFill>
                <a:srgbClr val="3C967A"/>
              </a:solidFill>
              <a:ln>
                <a:solidFill>
                  <a:srgbClr val="3C967A"/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RAB!$C$34:$L$34</c:f>
              <c:numCache>
                <c:formatCode>#,##0</c:formatCode>
                <c:ptCount val="10"/>
                <c:pt idx="0">
                  <c:v>1659492.6354496453</c:v>
                </c:pt>
                <c:pt idx="1">
                  <c:v>1754289.9391336585</c:v>
                </c:pt>
                <c:pt idx="2">
                  <c:v>1795213.5050389275</c:v>
                </c:pt>
                <c:pt idx="3">
                  <c:v>1892809.0162299667</c:v>
                </c:pt>
                <c:pt idx="4">
                  <c:v>1989928.8176713239</c:v>
                </c:pt>
                <c:pt idx="5">
                  <c:v>2068331.1476799967</c:v>
                </c:pt>
                <c:pt idx="6">
                  <c:v>2238752.7142425878</c:v>
                </c:pt>
                <c:pt idx="7">
                  <c:v>2386272.0122245946</c:v>
                </c:pt>
                <c:pt idx="8">
                  <c:v>2519842.1613767222</c:v>
                </c:pt>
                <c:pt idx="9">
                  <c:v>2655245.8405557405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RAB!$A$35</c:f>
              <c:strCache>
                <c:ptCount val="1"/>
                <c:pt idx="0">
                  <c:v>SAPN</c:v>
                </c:pt>
              </c:strCache>
            </c:strRef>
          </c:tx>
          <c:spPr>
            <a:ln>
              <a:solidFill>
                <a:srgbClr val="FD8D3C"/>
              </a:solidFill>
            </a:ln>
          </c:spPr>
          <c:marker>
            <c:symbol val="plus"/>
            <c:size val="7"/>
            <c:spPr>
              <a:noFill/>
              <a:ln>
                <a:solidFill>
                  <a:srgbClr val="FD8D3C"/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RAB!$C$35:$L$35</c:f>
              <c:numCache>
                <c:formatCode>#,##0</c:formatCode>
                <c:ptCount val="10"/>
                <c:pt idx="0">
                  <c:v>3257089.4754050355</c:v>
                </c:pt>
                <c:pt idx="1">
                  <c:v>3214263.9259570348</c:v>
                </c:pt>
                <c:pt idx="2">
                  <c:v>3172382.3056561602</c:v>
                </c:pt>
                <c:pt idx="3">
                  <c:v>3121046.2469350374</c:v>
                </c:pt>
                <c:pt idx="4">
                  <c:v>3095530.9574928954</c:v>
                </c:pt>
                <c:pt idx="5">
                  <c:v>3123398.7623054176</c:v>
                </c:pt>
                <c:pt idx="6">
                  <c:v>3231435.0634746598</c:v>
                </c:pt>
                <c:pt idx="7">
                  <c:v>3365555.9438316431</c:v>
                </c:pt>
                <c:pt idx="8">
                  <c:v>3464432.5699943569</c:v>
                </c:pt>
                <c:pt idx="9">
                  <c:v>3547194.4934705584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RAB!$A$36</c:f>
              <c:strCache>
                <c:ptCount val="1"/>
                <c:pt idx="0">
                  <c:v>AND</c:v>
                </c:pt>
              </c:strCache>
            </c:strRef>
          </c:tx>
          <c:spPr>
            <a:ln>
              <a:solidFill>
                <a:srgbClr val="238B45"/>
              </a:solidFill>
            </a:ln>
          </c:spPr>
          <c:marker>
            <c:symbol val="plus"/>
            <c:size val="5"/>
            <c:spPr>
              <a:solidFill>
                <a:srgbClr val="A1D99B"/>
              </a:solidFill>
              <a:ln>
                <a:solidFill>
                  <a:srgbClr val="238B45"/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RAB!$C$36:$L$36</c:f>
              <c:numCache>
                <c:formatCode>#,##0</c:formatCode>
                <c:ptCount val="10"/>
                <c:pt idx="0">
                  <c:v>1659634.6917415818</c:v>
                </c:pt>
                <c:pt idx="1">
                  <c:v>1759760.2941460612</c:v>
                </c:pt>
                <c:pt idx="2">
                  <c:v>1838182.8576201925</c:v>
                </c:pt>
                <c:pt idx="3">
                  <c:v>2032361.7089976682</c:v>
                </c:pt>
                <c:pt idx="4">
                  <c:v>2226851.049775606</c:v>
                </c:pt>
                <c:pt idx="5">
                  <c:v>2378879.9370769151</c:v>
                </c:pt>
                <c:pt idx="6">
                  <c:v>2612301.5687775798</c:v>
                </c:pt>
                <c:pt idx="7">
                  <c:v>2857766.6364481593</c:v>
                </c:pt>
                <c:pt idx="8">
                  <c:v>3095308.8298820499</c:v>
                </c:pt>
                <c:pt idx="9">
                  <c:v>3355180.9015619145</c:v>
                </c:pt>
              </c:numCache>
            </c:numRef>
          </c:val>
          <c:smooth val="0"/>
        </c:ser>
        <c:ser>
          <c:idx val="12"/>
          <c:order val="11"/>
          <c:tx>
            <c:strRef>
              <c:f>RAB!$A$37</c:f>
              <c:strCache>
                <c:ptCount val="1"/>
                <c:pt idx="0">
                  <c:v>TND</c:v>
                </c:pt>
              </c:strCache>
            </c:strRef>
          </c:tx>
          <c:spPr>
            <a:ln>
              <a:solidFill>
                <a:srgbClr val="E7E1EF"/>
              </a:solidFill>
            </a:ln>
          </c:spPr>
          <c:marker>
            <c:symbol val="circle"/>
            <c:size val="5"/>
            <c:spPr>
              <a:solidFill>
                <a:srgbClr val="604A7B"/>
              </a:solidFill>
              <a:ln>
                <a:solidFill>
                  <a:srgbClr val="604A7B"/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RAB!$C$37:$L$37</c:f>
              <c:numCache>
                <c:formatCode>#,##0</c:formatCode>
                <c:ptCount val="10"/>
                <c:pt idx="0">
                  <c:v>1012820.6484181554</c:v>
                </c:pt>
                <c:pt idx="1">
                  <c:v>1061184.1057823438</c:v>
                </c:pt>
                <c:pt idx="2">
                  <c:v>1107133.8112290497</c:v>
                </c:pt>
                <c:pt idx="3">
                  <c:v>1170998.3357916931</c:v>
                </c:pt>
                <c:pt idx="4">
                  <c:v>1265845.5021972642</c:v>
                </c:pt>
                <c:pt idx="5">
                  <c:v>1344469.1837221736</c:v>
                </c:pt>
                <c:pt idx="6">
                  <c:v>1404267.9204877317</c:v>
                </c:pt>
                <c:pt idx="7">
                  <c:v>1437378.5166155398</c:v>
                </c:pt>
                <c:pt idx="8">
                  <c:v>1448238.5434364723</c:v>
                </c:pt>
                <c:pt idx="9">
                  <c:v>1478216.5844263614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RAB!$A$38</c:f>
              <c:strCache>
                <c:ptCount val="1"/>
                <c:pt idx="0">
                  <c:v>UED</c:v>
                </c:pt>
              </c:strCache>
            </c:strRef>
          </c:tx>
          <c:spPr>
            <a:ln>
              <a:solidFill>
                <a:srgbClr val="006D2C"/>
              </a:solidFill>
            </a:ln>
          </c:spPr>
          <c:marker>
            <c:symbol val="star"/>
            <c:size val="5"/>
            <c:spPr>
              <a:solidFill>
                <a:srgbClr val="3C967A"/>
              </a:solidFill>
              <a:ln>
                <a:solidFill>
                  <a:srgbClr val="A1D99B"/>
                </a:solidFill>
              </a:ln>
            </c:spPr>
          </c:marker>
          <c:cat>
            <c:numRef>
              <c:f>RAB!$C$9:$L$9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RAB!$C$38:$L$38</c:f>
              <c:numCache>
                <c:formatCode>#,##0</c:formatCode>
                <c:ptCount val="10"/>
                <c:pt idx="0">
                  <c:v>1355877.5763222901</c:v>
                </c:pt>
                <c:pt idx="1">
                  <c:v>1380323.9568659957</c:v>
                </c:pt>
                <c:pt idx="2">
                  <c:v>1355646.1723895555</c:v>
                </c:pt>
                <c:pt idx="3">
                  <c:v>1398297.1782980971</c:v>
                </c:pt>
                <c:pt idx="4">
                  <c:v>1438709.318824674</c:v>
                </c:pt>
                <c:pt idx="5">
                  <c:v>1503092.3481987121</c:v>
                </c:pt>
                <c:pt idx="6">
                  <c:v>1654046.0189643479</c:v>
                </c:pt>
                <c:pt idx="7">
                  <c:v>1763259.3322105962</c:v>
                </c:pt>
                <c:pt idx="8">
                  <c:v>1843891.5230542561</c:v>
                </c:pt>
                <c:pt idx="9">
                  <c:v>1948257.5720385164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18816"/>
        <c:axId val="51122944"/>
      </c:lineChart>
      <c:catAx>
        <c:axId val="4881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122944"/>
        <c:crosses val="autoZero"/>
        <c:auto val="1"/>
        <c:lblAlgn val="ctr"/>
        <c:lblOffset val="100"/>
        <c:noMultiLvlLbl val="0"/>
      </c:catAx>
      <c:valAx>
        <c:axId val="51122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000" b="1" i="0" u="none" strike="noStrike" baseline="0">
                    <a:effectLst/>
                  </a:rPr>
                  <a:t>RAB ($ 2015)</a:t>
                </a:r>
                <a:r>
                  <a:rPr lang="en-AU" sz="1000" b="1" i="0" u="none" strike="noStrike" baseline="0"/>
                  <a:t> </a:t>
                </a:r>
                <a:endParaRPr lang="en-AU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48818816"/>
        <c:crosses val="autoZero"/>
        <c:crossBetween val="between"/>
        <c:dispUnits>
          <c:builtInUnit val="thousands"/>
        </c:dispUnits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9"/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BD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C0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AU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AU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AU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AU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386904601987309E-2"/>
                  <c:y val="-4.880658982021932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AU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AU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AU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AU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AU"/>
                      <a:t>SAPN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AU"/>
                      <a:t>AND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AU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AU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Analysis!$L$3:$L$15</c:f>
              <c:numCache>
                <c:formatCode>#,##0.00</c:formatCode>
                <c:ptCount val="13"/>
                <c:pt idx="0">
                  <c:v>43.583205909658425</c:v>
                </c:pt>
                <c:pt idx="1">
                  <c:v>44.062639980438526</c:v>
                </c:pt>
                <c:pt idx="2">
                  <c:v>102.83299316846596</c:v>
                </c:pt>
                <c:pt idx="3">
                  <c:v>33.328354985496944</c:v>
                </c:pt>
                <c:pt idx="4">
                  <c:v>32.037218870171706</c:v>
                </c:pt>
                <c:pt idx="5">
                  <c:v>5.0193746758298703</c:v>
                </c:pt>
                <c:pt idx="6">
                  <c:v>4.6902996629936728</c:v>
                </c:pt>
                <c:pt idx="7">
                  <c:v>72.559572611698997</c:v>
                </c:pt>
                <c:pt idx="8">
                  <c:v>11.292892258729417</c:v>
                </c:pt>
                <c:pt idx="9">
                  <c:v>10.434599848129675</c:v>
                </c:pt>
                <c:pt idx="10">
                  <c:v>17.881770303617984</c:v>
                </c:pt>
                <c:pt idx="11">
                  <c:v>13.768822393822395</c:v>
                </c:pt>
                <c:pt idx="12">
                  <c:v>87.731139824655997</c:v>
                </c:pt>
              </c:numCache>
            </c:numRef>
          </c:xVal>
          <c:yVal>
            <c:numRef>
              <c:f>Analysis!$Q$3:$Q$15</c:f>
              <c:numCache>
                <c:formatCode>"$"#,##0</c:formatCode>
                <c:ptCount val="13"/>
                <c:pt idx="0">
                  <c:v>920.29989781502957</c:v>
                </c:pt>
                <c:pt idx="1">
                  <c:v>1051.6856913512506</c:v>
                </c:pt>
                <c:pt idx="2">
                  <c:v>599.60670212870025</c:v>
                </c:pt>
                <c:pt idx="3">
                  <c:v>783.85099496353916</c:v>
                </c:pt>
                <c:pt idx="4">
                  <c:v>802.22796743229958</c:v>
                </c:pt>
                <c:pt idx="5">
                  <c:v>1502.6913098092405</c:v>
                </c:pt>
                <c:pt idx="6">
                  <c:v>1252.4894039626017</c:v>
                </c:pt>
                <c:pt idx="7">
                  <c:v>552.11838524636744</c:v>
                </c:pt>
                <c:pt idx="8">
                  <c:v>578.48862503890825</c:v>
                </c:pt>
                <c:pt idx="9">
                  <c:v>745.21854325411709</c:v>
                </c:pt>
                <c:pt idx="10">
                  <c:v>710.71056825752771</c:v>
                </c:pt>
                <c:pt idx="11">
                  <c:v>837.1843572674793</c:v>
                </c:pt>
                <c:pt idx="12">
                  <c:v>495.13757573575225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1152384"/>
        <c:axId val="51197824"/>
      </c:scatterChart>
      <c:valAx>
        <c:axId val="511523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Customer</a:t>
                </a:r>
                <a:r>
                  <a:rPr lang="en-AU" baseline="0"/>
                  <a:t> density (per km)</a:t>
                </a:r>
                <a:endParaRPr lang="en-AU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197824"/>
        <c:crosses val="autoZero"/>
        <c:crossBetween val="midCat"/>
        <c:majorUnit val="10"/>
      </c:valAx>
      <c:valAx>
        <c:axId val="51197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Total cost per customer</a:t>
                </a:r>
              </a:p>
            </c:rich>
          </c:tx>
          <c:layout>
            <c:manualLayout>
              <c:xMode val="edge"/>
              <c:yMode val="edge"/>
              <c:x val="1.1700823224613426E-2"/>
              <c:y val="0.24770330863305429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1523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9"/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BD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C0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AU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AU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AU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AU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386904601987309E-2"/>
                  <c:y val="-4.880658982021932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AU"/>
                      <a:t>ERG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AU"/>
                      <a:t>ESS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AU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AU"/>
                      <a:t>PCR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AU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AU"/>
                      <a:t>AND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AU"/>
                      <a:t>TND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AU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Analysis!$L$3:$L$15</c:f>
              <c:numCache>
                <c:formatCode>#,##0.00</c:formatCode>
                <c:ptCount val="13"/>
                <c:pt idx="0">
                  <c:v>43.583205909658425</c:v>
                </c:pt>
                <c:pt idx="1">
                  <c:v>44.062639980438526</c:v>
                </c:pt>
                <c:pt idx="2">
                  <c:v>102.83299316846596</c:v>
                </c:pt>
                <c:pt idx="3">
                  <c:v>33.328354985496944</c:v>
                </c:pt>
                <c:pt idx="4">
                  <c:v>32.037218870171706</c:v>
                </c:pt>
                <c:pt idx="5">
                  <c:v>5.0193746758298703</c:v>
                </c:pt>
                <c:pt idx="6">
                  <c:v>4.6902996629936728</c:v>
                </c:pt>
                <c:pt idx="7">
                  <c:v>72.559572611698997</c:v>
                </c:pt>
                <c:pt idx="8">
                  <c:v>11.292892258729417</c:v>
                </c:pt>
                <c:pt idx="9">
                  <c:v>10.434599848129675</c:v>
                </c:pt>
                <c:pt idx="10">
                  <c:v>17.881770303617984</c:v>
                </c:pt>
                <c:pt idx="11">
                  <c:v>13.768822393822395</c:v>
                </c:pt>
                <c:pt idx="12">
                  <c:v>87.731139824655997</c:v>
                </c:pt>
              </c:numCache>
            </c:numRef>
          </c:xVal>
          <c:yVal>
            <c:numRef>
              <c:f>Analysis!$O$3:$O$15</c:f>
              <c:numCache>
                <c:formatCode>"$"#,##0</c:formatCode>
                <c:ptCount val="13"/>
                <c:pt idx="0">
                  <c:v>40109.619945110033</c:v>
                </c:pt>
                <c:pt idx="1">
                  <c:v>46340.047990588748</c:v>
                </c:pt>
                <c:pt idx="2">
                  <c:v>61659.351903767041</c:v>
                </c:pt>
                <c:pt idx="3">
                  <c:v>26124.464215879812</c:v>
                </c:pt>
                <c:pt idx="4">
                  <c:v>25701.152976401561</c:v>
                </c:pt>
                <c:pt idx="5">
                  <c:v>7542.57070604612</c:v>
                </c:pt>
                <c:pt idx="6">
                  <c:v>5874.5506293089365</c:v>
                </c:pt>
                <c:pt idx="7">
                  <c:v>40061.474064537797</c:v>
                </c:pt>
                <c:pt idx="8">
                  <c:v>6532.8097154649122</c:v>
                </c:pt>
                <c:pt idx="9">
                  <c:v>7776.0572982628273</c:v>
                </c:pt>
                <c:pt idx="10">
                  <c:v>12708.763133934921</c:v>
                </c:pt>
                <c:pt idx="11">
                  <c:v>11527.042726102278</c:v>
                </c:pt>
                <c:pt idx="12">
                  <c:v>43438.983889314484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1249920"/>
        <c:axId val="51291264"/>
      </c:scatterChart>
      <c:valAx>
        <c:axId val="512499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Customer</a:t>
                </a:r>
                <a:r>
                  <a:rPr lang="en-AU" baseline="0"/>
                  <a:t> density (per km)</a:t>
                </a:r>
                <a:endParaRPr lang="en-AU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291264"/>
        <c:crosses val="autoZero"/>
        <c:crossBetween val="midCat"/>
        <c:majorUnit val="10"/>
      </c:valAx>
      <c:valAx>
        <c:axId val="51291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Total cost per km of route line length</a:t>
                </a:r>
              </a:p>
            </c:rich>
          </c:tx>
          <c:layout>
            <c:manualLayout>
              <c:xMode val="edge"/>
              <c:yMode val="edge"/>
              <c:x val="9.8600411030483111E-3"/>
              <c:y val="0.15301085778365556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24992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9"/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BD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C0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AU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AU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AU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AU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AU"/>
                      <a:t>ENX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AU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AU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AU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AU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AU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AU"/>
                      <a:t>AND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AU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AU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Analysis!$AC$3:$AC$15</c:f>
              <c:numCache>
                <c:formatCode>_-* #,##0.0_-;\-* #,##0.0_-;_-* "-"??_-;_-@_-</c:formatCode>
                <c:ptCount val="13"/>
                <c:pt idx="0">
                  <c:v>33.715200000000003</c:v>
                </c:pt>
                <c:pt idx="1">
                  <c:v>76.828000000000003</c:v>
                </c:pt>
                <c:pt idx="2">
                  <c:v>27.933473717198023</c:v>
                </c:pt>
                <c:pt idx="3">
                  <c:v>89.684381688071255</c:v>
                </c:pt>
                <c:pt idx="4">
                  <c:v>72.951925623974844</c:v>
                </c:pt>
                <c:pt idx="5">
                  <c:v>278.79552000000001</c:v>
                </c:pt>
                <c:pt idx="6">
                  <c:v>219.05369785359821</c:v>
                </c:pt>
                <c:pt idx="7">
                  <c:v>54.168375491401193</c:v>
                </c:pt>
                <c:pt idx="8">
                  <c:v>138.88718989980572</c:v>
                </c:pt>
                <c:pt idx="9">
                  <c:v>145.28</c:v>
                </c:pt>
                <c:pt idx="10">
                  <c:v>139.64997595476092</c:v>
                </c:pt>
                <c:pt idx="11">
                  <c:v>152.41999721821858</c:v>
                </c:pt>
                <c:pt idx="12">
                  <c:v>71.485566681674442</c:v>
                </c:pt>
              </c:numCache>
            </c:numRef>
          </c:xVal>
          <c:yVal>
            <c:numRef>
              <c:f>Analysis!$Q$3:$Q$15</c:f>
              <c:numCache>
                <c:formatCode>"$"#,##0</c:formatCode>
                <c:ptCount val="13"/>
                <c:pt idx="0">
                  <c:v>920.29989781502957</c:v>
                </c:pt>
                <c:pt idx="1">
                  <c:v>1051.6856913512506</c:v>
                </c:pt>
                <c:pt idx="2">
                  <c:v>599.60670212870025</c:v>
                </c:pt>
                <c:pt idx="3">
                  <c:v>783.85099496353916</c:v>
                </c:pt>
                <c:pt idx="4">
                  <c:v>802.22796743229958</c:v>
                </c:pt>
                <c:pt idx="5">
                  <c:v>1502.6913098092405</c:v>
                </c:pt>
                <c:pt idx="6">
                  <c:v>1252.4894039626017</c:v>
                </c:pt>
                <c:pt idx="7">
                  <c:v>552.11838524636744</c:v>
                </c:pt>
                <c:pt idx="8">
                  <c:v>578.48862503890825</c:v>
                </c:pt>
                <c:pt idx="9">
                  <c:v>745.21854325411709</c:v>
                </c:pt>
                <c:pt idx="10">
                  <c:v>710.71056825752771</c:v>
                </c:pt>
                <c:pt idx="11">
                  <c:v>837.1843572674793</c:v>
                </c:pt>
                <c:pt idx="12">
                  <c:v>495.13757573575225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1301760"/>
        <c:axId val="51380224"/>
      </c:scatterChart>
      <c:valAx>
        <c:axId val="513017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Minutes</a:t>
                </a:r>
                <a:r>
                  <a:rPr lang="en-AU" baseline="0"/>
                  <a:t> off supply per customer</a:t>
                </a:r>
                <a:endParaRPr lang="en-AU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380224"/>
        <c:crosses val="autoZero"/>
        <c:crossBetween val="midCat"/>
      </c:valAx>
      <c:valAx>
        <c:axId val="5138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Total cost per customer</a:t>
                </a:r>
              </a:p>
            </c:rich>
          </c:tx>
          <c:layout>
            <c:manualLayout>
              <c:xMode val="edge"/>
              <c:yMode val="edge"/>
              <c:x val="1.1757149077698582E-2"/>
              <c:y val="0.25022203453983966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3017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9"/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BD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C0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AU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AU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AU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AU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386904601987309E-2"/>
                  <c:y val="-4.880658982021932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AU"/>
                      <a:t>ERG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AU"/>
                      <a:t>ESS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AU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AU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AU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AU"/>
                      <a:t>AND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AU"/>
                      <a:t>TND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AU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Analysis!$L$3:$L$15</c:f>
              <c:numCache>
                <c:formatCode>#,##0.00</c:formatCode>
                <c:ptCount val="13"/>
                <c:pt idx="0">
                  <c:v>43.583205909658425</c:v>
                </c:pt>
                <c:pt idx="1">
                  <c:v>44.062639980438526</c:v>
                </c:pt>
                <c:pt idx="2">
                  <c:v>102.83299316846596</c:v>
                </c:pt>
                <c:pt idx="3">
                  <c:v>33.328354985496944</c:v>
                </c:pt>
                <c:pt idx="4">
                  <c:v>32.037218870171706</c:v>
                </c:pt>
                <c:pt idx="5">
                  <c:v>5.0193746758298703</c:v>
                </c:pt>
                <c:pt idx="6">
                  <c:v>4.6902996629936728</c:v>
                </c:pt>
                <c:pt idx="7">
                  <c:v>72.559572611698997</c:v>
                </c:pt>
                <c:pt idx="8">
                  <c:v>11.292892258729417</c:v>
                </c:pt>
                <c:pt idx="9">
                  <c:v>10.434599848129675</c:v>
                </c:pt>
                <c:pt idx="10">
                  <c:v>17.881770303617984</c:v>
                </c:pt>
                <c:pt idx="11">
                  <c:v>13.768822393822395</c:v>
                </c:pt>
                <c:pt idx="12">
                  <c:v>87.731139824655997</c:v>
                </c:pt>
              </c:numCache>
            </c:numRef>
          </c:xVal>
          <c:yVal>
            <c:numRef>
              <c:f>Analysis!$P$3:$P$15</c:f>
              <c:numCache>
                <c:formatCode>"$"#,##0</c:formatCode>
                <c:ptCount val="13"/>
                <c:pt idx="0">
                  <c:v>31609.266913615087</c:v>
                </c:pt>
                <c:pt idx="1">
                  <c:v>42098.293226325797</c:v>
                </c:pt>
                <c:pt idx="2">
                  <c:v>44028.775369858835</c:v>
                </c:pt>
                <c:pt idx="3">
                  <c:v>20635.766726185269</c:v>
                </c:pt>
                <c:pt idx="4">
                  <c:v>21110.377370385548</c:v>
                </c:pt>
                <c:pt idx="5">
                  <c:v>7012.0249725624799</c:v>
                </c:pt>
                <c:pt idx="6">
                  <c:v>5557.6616923714655</c:v>
                </c:pt>
                <c:pt idx="7">
                  <c:v>28591.911850908182</c:v>
                </c:pt>
                <c:pt idx="8">
                  <c:v>5908.0814541686741</c:v>
                </c:pt>
                <c:pt idx="9">
                  <c:v>7186.7063055704648</c:v>
                </c:pt>
                <c:pt idx="10">
                  <c:v>11004.53161801297</c:v>
                </c:pt>
                <c:pt idx="11">
                  <c:v>10476.367623181848</c:v>
                </c:pt>
                <c:pt idx="12">
                  <c:v>25257.801199145164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1391104"/>
        <c:axId val="51432448"/>
      </c:scatterChart>
      <c:valAx>
        <c:axId val="513911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Customer</a:t>
                </a:r>
                <a:r>
                  <a:rPr lang="en-AU" baseline="0"/>
                  <a:t> density (per km)</a:t>
                </a:r>
                <a:endParaRPr lang="en-AU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432448"/>
        <c:crosses val="autoZero"/>
        <c:crossBetween val="midCat"/>
        <c:majorUnit val="10"/>
      </c:valAx>
      <c:valAx>
        <c:axId val="51432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Total cost per km of circuit line length</a:t>
                </a:r>
              </a:p>
            </c:rich>
          </c:tx>
          <c:layout>
            <c:manualLayout>
              <c:xMode val="edge"/>
              <c:yMode val="edge"/>
              <c:x val="1.3631196100487439E-2"/>
              <c:y val="0.1477730901005592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139110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163607</xdr:rowOff>
    </xdr:from>
    <xdr:to>
      <xdr:col>20</xdr:col>
      <xdr:colOff>559058</xdr:colOff>
      <xdr:row>17</xdr:row>
      <xdr:rowOff>186107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19</xdr:row>
      <xdr:rowOff>0</xdr:rowOff>
    </xdr:from>
    <xdr:to>
      <xdr:col>20</xdr:col>
      <xdr:colOff>559199</xdr:colOff>
      <xdr:row>34</xdr:row>
      <xdr:rowOff>22500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37</xdr:row>
      <xdr:rowOff>0</xdr:rowOff>
    </xdr:from>
    <xdr:to>
      <xdr:col>20</xdr:col>
      <xdr:colOff>563541</xdr:colOff>
      <xdr:row>52</xdr:row>
      <xdr:rowOff>22500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601044</xdr:colOff>
      <xdr:row>5</xdr:row>
      <xdr:rowOff>12224</xdr:rowOff>
    </xdr:from>
    <xdr:to>
      <xdr:col>12</xdr:col>
      <xdr:colOff>11206</xdr:colOff>
      <xdr:row>23</xdr:row>
      <xdr:rowOff>235323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-1</xdr:colOff>
      <xdr:row>51</xdr:row>
      <xdr:rowOff>0</xdr:rowOff>
    </xdr:from>
    <xdr:to>
      <xdr:col>12</xdr:col>
      <xdr:colOff>547687</xdr:colOff>
      <xdr:row>51</xdr:row>
      <xdr:rowOff>0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44823</xdr:colOff>
      <xdr:row>5</xdr:row>
      <xdr:rowOff>11206</xdr:rowOff>
    </xdr:from>
    <xdr:to>
      <xdr:col>24</xdr:col>
      <xdr:colOff>593911</xdr:colOff>
      <xdr:row>24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11206</xdr:colOff>
      <xdr:row>5</xdr:row>
      <xdr:rowOff>11206</xdr:rowOff>
    </xdr:from>
    <xdr:to>
      <xdr:col>38</xdr:col>
      <xdr:colOff>0</xdr:colOff>
      <xdr:row>24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22412</xdr:colOff>
      <xdr:row>30</xdr:row>
      <xdr:rowOff>3</xdr:rowOff>
    </xdr:from>
    <xdr:to>
      <xdr:col>12</xdr:col>
      <xdr:colOff>11207</xdr:colOff>
      <xdr:row>49</xdr:row>
      <xdr:rowOff>2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11205</xdr:colOff>
      <xdr:row>4</xdr:row>
      <xdr:rowOff>238125</xdr:rowOff>
    </xdr:from>
    <xdr:to>
      <xdr:col>50</xdr:col>
      <xdr:colOff>582705</xdr:colOff>
      <xdr:row>24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452438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588818</xdr:colOff>
      <xdr:row>2</xdr:row>
      <xdr:rowOff>34636</xdr:rowOff>
    </xdr:from>
    <xdr:to>
      <xdr:col>19</xdr:col>
      <xdr:colOff>435120</xdr:colOff>
      <xdr:row>20</xdr:row>
      <xdr:rowOff>148936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25</xdr:row>
      <xdr:rowOff>14286</xdr:rowOff>
    </xdr:from>
    <xdr:to>
      <xdr:col>9</xdr:col>
      <xdr:colOff>504825</xdr:colOff>
      <xdr:row>43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25</xdr:row>
      <xdr:rowOff>0</xdr:rowOff>
    </xdr:from>
    <xdr:to>
      <xdr:col>19</xdr:col>
      <xdr:colOff>457200</xdr:colOff>
      <xdr:row>43</xdr:row>
      <xdr:rowOff>100013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13608</xdr:colOff>
      <xdr:row>2</xdr:row>
      <xdr:rowOff>13607</xdr:rowOff>
    </xdr:from>
    <xdr:to>
      <xdr:col>29</xdr:col>
      <xdr:colOff>466046</xdr:colOff>
      <xdr:row>20</xdr:row>
      <xdr:rowOff>127907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00AER\DNSP%20PPI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cheu\Local%20Settings\Temporary%20Internet%20Files\Content.Outlook\SMGVD7WK\Database%20%20mockup%20-%20EBT%20RIN%20da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EBTRIN\00AER\DNSP%20AU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LogofChanges"/>
      <sheetName val="Financial charts"/>
      <sheetName val="Non-Financial charts"/>
      <sheetName val="Analysis"/>
      <sheetName val="Total cost"/>
      <sheetName val="Asset cost"/>
      <sheetName val="RAB"/>
      <sheetName val="Opex"/>
      <sheetName val="Depreciation"/>
      <sheetName val="Capex"/>
      <sheetName val="Zonesubstationtransformation"/>
      <sheetName val="CPI"/>
      <sheetName val="Reliability"/>
      <sheetName val="Physical data"/>
      <sheetName val="Sheet1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>
        <row r="10">
          <cell r="C10">
            <v>32644.372461278101</v>
          </cell>
        </row>
      </sheetData>
      <sheetData sheetId="9"/>
      <sheetData sheetId="10"/>
      <sheetData sheetId="11"/>
      <sheetData sheetId="12">
        <row r="6">
          <cell r="E6">
            <v>2015</v>
          </cell>
        </row>
        <row r="8">
          <cell r="E8">
            <v>108.4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finitions"/>
      <sheetName val="Raw data"/>
      <sheetName val="Capex"/>
      <sheetName val="Capex data check"/>
      <sheetName val="Opex"/>
      <sheetName val="Opex data check"/>
      <sheetName val="Physical and other"/>
      <sheetName val="Physical and other data check"/>
      <sheetName val="Reliability"/>
      <sheetName val="Rel - Normalised - Unplanned"/>
      <sheetName val="Rel - Norm'd - Unplanned check"/>
      <sheetName val="Calculations and charts"/>
      <sheetName val="AS Testing Sheet"/>
      <sheetName val="Charts - Expenditure"/>
      <sheetName val="Charts - Reliability"/>
    </sheetNames>
    <sheetDataSet>
      <sheetData sheetId="0"/>
      <sheetData sheetId="1"/>
      <sheetData sheetId="2"/>
      <sheetData sheetId="3">
        <row r="1">
          <cell r="C1">
            <v>1999</v>
          </cell>
          <cell r="D1">
            <v>2000</v>
          </cell>
          <cell r="E1">
            <v>2001</v>
          </cell>
          <cell r="F1">
            <v>2002</v>
          </cell>
          <cell r="G1">
            <v>2003</v>
          </cell>
          <cell r="H1">
            <v>2004</v>
          </cell>
          <cell r="I1">
            <v>2005</v>
          </cell>
          <cell r="J1">
            <v>2006</v>
          </cell>
          <cell r="K1">
            <v>2007</v>
          </cell>
          <cell r="L1">
            <v>2008</v>
          </cell>
          <cell r="M1">
            <v>2009</v>
          </cell>
          <cell r="N1">
            <v>2010</v>
          </cell>
          <cell r="O1">
            <v>2011</v>
          </cell>
          <cell r="P1">
            <v>2012</v>
          </cell>
          <cell r="Q1">
            <v>2013</v>
          </cell>
          <cell r="R1">
            <v>2014</v>
          </cell>
          <cell r="S1">
            <v>2015</v>
          </cell>
          <cell r="T1">
            <v>2016</v>
          </cell>
          <cell r="U1">
            <v>2017</v>
          </cell>
          <cell r="V1">
            <v>2018</v>
          </cell>
          <cell r="W1">
            <v>2019</v>
          </cell>
          <cell r="X1">
            <v>2020</v>
          </cell>
          <cell r="Y1">
            <v>2021</v>
          </cell>
          <cell r="Z1">
            <v>2022</v>
          </cell>
          <cell r="AA1">
            <v>2023</v>
          </cell>
          <cell r="AB1">
            <v>2024</v>
          </cell>
          <cell r="AC1">
            <v>2025</v>
          </cell>
          <cell r="AD1">
            <v>2026</v>
          </cell>
          <cell r="AE1">
            <v>2027</v>
          </cell>
          <cell r="AF1">
            <v>2028</v>
          </cell>
          <cell r="AG1">
            <v>2029</v>
          </cell>
          <cell r="AH1">
            <v>2030</v>
          </cell>
          <cell r="AI1">
            <v>2031</v>
          </cell>
          <cell r="AJ1">
            <v>2032</v>
          </cell>
          <cell r="AK1">
            <v>2033</v>
          </cell>
          <cell r="AL1">
            <v>2034</v>
          </cell>
          <cell r="AM1">
            <v>2035</v>
          </cell>
          <cell r="AN1">
            <v>2036</v>
          </cell>
          <cell r="AO1">
            <v>2037</v>
          </cell>
          <cell r="AP1">
            <v>2038</v>
          </cell>
          <cell r="AQ1">
            <v>2039</v>
          </cell>
          <cell r="AR1">
            <v>2040</v>
          </cell>
          <cell r="AS1">
            <v>2041</v>
          </cell>
          <cell r="AT1">
            <v>2042</v>
          </cell>
          <cell r="AU1">
            <v>2043</v>
          </cell>
          <cell r="AV1">
            <v>2044</v>
          </cell>
          <cell r="AW1">
            <v>2045</v>
          </cell>
          <cell r="AX1">
            <v>2046</v>
          </cell>
          <cell r="AY1">
            <v>2047</v>
          </cell>
          <cell r="AZ1">
            <v>2048</v>
          </cell>
          <cell r="BA1">
            <v>2049</v>
          </cell>
          <cell r="BB1">
            <v>2050</v>
          </cell>
          <cell r="BC1">
            <v>2051</v>
          </cell>
          <cell r="BD1">
            <v>2052</v>
          </cell>
          <cell r="BE1">
            <v>2053</v>
          </cell>
          <cell r="BF1">
            <v>2054</v>
          </cell>
          <cell r="BG1">
            <v>2055</v>
          </cell>
          <cell r="BH1">
            <v>2056</v>
          </cell>
          <cell r="BI1">
            <v>2057</v>
          </cell>
          <cell r="BJ1">
            <v>2058</v>
          </cell>
          <cell r="BK1">
            <v>2059</v>
          </cell>
          <cell r="BL1">
            <v>2060</v>
          </cell>
          <cell r="BM1">
            <v>2061</v>
          </cell>
          <cell r="BN1">
            <v>2062</v>
          </cell>
          <cell r="BO1">
            <v>2063</v>
          </cell>
          <cell r="BP1">
            <v>2064</v>
          </cell>
          <cell r="BQ1">
            <v>2065</v>
          </cell>
          <cell r="BR1">
            <v>2066</v>
          </cell>
          <cell r="BS1">
            <v>2067</v>
          </cell>
          <cell r="BT1">
            <v>2068</v>
          </cell>
          <cell r="BU1">
            <v>2069</v>
          </cell>
          <cell r="BV1">
            <v>2070</v>
          </cell>
          <cell r="BW1">
            <v>2071</v>
          </cell>
          <cell r="BX1">
            <v>2072</v>
          </cell>
          <cell r="BY1">
            <v>2073</v>
          </cell>
          <cell r="BZ1">
            <v>2074</v>
          </cell>
          <cell r="CA1">
            <v>2075</v>
          </cell>
          <cell r="CB1">
            <v>2076</v>
          </cell>
          <cell r="CC1">
            <v>2077</v>
          </cell>
          <cell r="CD1">
            <v>2078</v>
          </cell>
          <cell r="CE1">
            <v>2079</v>
          </cell>
          <cell r="CF1">
            <v>2080</v>
          </cell>
          <cell r="CG1">
            <v>2081</v>
          </cell>
          <cell r="CH1">
            <v>2082</v>
          </cell>
          <cell r="CI1">
            <v>2083</v>
          </cell>
          <cell r="CJ1">
            <v>2084</v>
          </cell>
          <cell r="CK1">
            <v>2085</v>
          </cell>
          <cell r="CL1">
            <v>2086</v>
          </cell>
          <cell r="CM1">
            <v>2087</v>
          </cell>
          <cell r="CN1">
            <v>2088</v>
          </cell>
          <cell r="CO1">
            <v>2089</v>
          </cell>
          <cell r="CP1">
            <v>2090</v>
          </cell>
          <cell r="CQ1">
            <v>2091</v>
          </cell>
          <cell r="CR1">
            <v>2092</v>
          </cell>
          <cell r="CS1">
            <v>2093</v>
          </cell>
          <cell r="CT1">
            <v>2094</v>
          </cell>
          <cell r="CU1">
            <v>2095</v>
          </cell>
          <cell r="CV1">
            <v>2096</v>
          </cell>
          <cell r="CW1">
            <v>2097</v>
          </cell>
          <cell r="CX1">
            <v>2098</v>
          </cell>
          <cell r="CY1">
            <v>2099</v>
          </cell>
          <cell r="CZ1">
            <v>2100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C"/>
      <sheetName val="WACC"/>
      <sheetName val="01ACT BB"/>
      <sheetName val="02AGD BB"/>
      <sheetName val="03CIT BB"/>
      <sheetName val="04END BB"/>
      <sheetName val="05ENX BB"/>
      <sheetName val="06ERG BB"/>
      <sheetName val="07ESS BB"/>
      <sheetName val="DNSP stacked data"/>
      <sheetName val="08JEN BB"/>
      <sheetName val="09PCR BB"/>
      <sheetName val="10SAP BB"/>
      <sheetName val="11SPD BB"/>
      <sheetName val="12TND BB"/>
      <sheetName val="13UED BB"/>
      <sheetName val="Sheet1"/>
    </sheetNames>
    <sheetDataSet>
      <sheetData sheetId="0" refreshError="1"/>
      <sheetData sheetId="1">
        <row r="22">
          <cell r="C22">
            <v>5.4837949386972701E-2</v>
          </cell>
          <cell r="D22">
            <v>5.3020717360741765E-2</v>
          </cell>
          <cell r="E22">
            <v>5.7246966360432382E-2</v>
          </cell>
          <cell r="F22">
            <v>6.7730314280203485E-2</v>
          </cell>
          <cell r="G22">
            <v>6.1728961434373147E-2</v>
          </cell>
          <cell r="H22">
            <v>6.9611523853425436E-2</v>
          </cell>
          <cell r="I22">
            <v>6.9361121062213871E-2</v>
          </cell>
          <cell r="J22">
            <v>5.3905874252040943E-2</v>
          </cell>
          <cell r="K22">
            <v>4.1839400868173462E-2</v>
          </cell>
          <cell r="L22">
            <v>4.3699425217022414E-2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30" sqref="A30"/>
    </sheetView>
  </sheetViews>
  <sheetFormatPr defaultColWidth="9.140625" defaultRowHeight="15" x14ac:dyDescent="0.25"/>
  <cols>
    <col min="1" max="1" width="101.5703125" style="105" customWidth="1"/>
    <col min="2" max="9" width="9.140625" style="105"/>
    <col min="10" max="16384" width="9.140625" style="2"/>
  </cols>
  <sheetData>
    <row r="1" spans="1:9" x14ac:dyDescent="0.25">
      <c r="A1" s="23" t="s">
        <v>164</v>
      </c>
    </row>
    <row r="2" spans="1:9" x14ac:dyDescent="0.25">
      <c r="A2" s="106" t="s">
        <v>165</v>
      </c>
    </row>
    <row r="4" spans="1:9" x14ac:dyDescent="0.25">
      <c r="A4" s="107" t="s">
        <v>166</v>
      </c>
    </row>
    <row r="5" spans="1:9" x14ac:dyDescent="0.25">
      <c r="A5" s="105" t="s">
        <v>167</v>
      </c>
    </row>
    <row r="7" spans="1:9" x14ac:dyDescent="0.25">
      <c r="A7" s="107" t="s">
        <v>168</v>
      </c>
    </row>
    <row r="8" spans="1:9" x14ac:dyDescent="0.25">
      <c r="A8" s="108" t="s">
        <v>169</v>
      </c>
    </row>
    <row r="9" spans="1:9" x14ac:dyDescent="0.25">
      <c r="A9" s="108" t="s">
        <v>170</v>
      </c>
    </row>
    <row r="10" spans="1:9" s="19" customFormat="1" ht="29.1" customHeight="1" x14ac:dyDescent="0.25">
      <c r="A10" s="109" t="s">
        <v>171</v>
      </c>
      <c r="B10" s="110"/>
      <c r="C10" s="110"/>
      <c r="D10" s="110"/>
      <c r="E10" s="110"/>
      <c r="F10" s="110"/>
      <c r="G10" s="110"/>
      <c r="H10" s="110"/>
      <c r="I10" s="110"/>
    </row>
    <row r="11" spans="1:9" ht="71.45" customHeight="1" x14ac:dyDescent="0.25">
      <c r="A11" s="109" t="s">
        <v>172</v>
      </c>
    </row>
    <row r="12" spans="1:9" s="19" customFormat="1" ht="14.45" customHeight="1" x14ac:dyDescent="0.25">
      <c r="A12" s="109" t="s">
        <v>173</v>
      </c>
      <c r="B12" s="110"/>
      <c r="C12" s="110"/>
      <c r="D12" s="110"/>
      <c r="E12" s="110"/>
      <c r="F12" s="110"/>
      <c r="G12" s="110"/>
      <c r="H12" s="110"/>
      <c r="I12" s="110"/>
    </row>
    <row r="13" spans="1:9" x14ac:dyDescent="0.25">
      <c r="A13" s="109" t="s">
        <v>174</v>
      </c>
    </row>
    <row r="14" spans="1:9" s="19" customFormat="1" ht="14.45" customHeight="1" x14ac:dyDescent="0.25">
      <c r="A14" s="109" t="s">
        <v>175</v>
      </c>
      <c r="B14" s="110"/>
      <c r="C14" s="110"/>
      <c r="D14" s="110"/>
      <c r="E14" s="110"/>
      <c r="F14" s="110"/>
      <c r="G14" s="110"/>
      <c r="H14" s="110"/>
      <c r="I14" s="110"/>
    </row>
    <row r="15" spans="1:9" x14ac:dyDescent="0.25">
      <c r="A15" s="108" t="s">
        <v>176</v>
      </c>
    </row>
    <row r="16" spans="1:9" x14ac:dyDescent="0.25">
      <c r="A16" s="108" t="s">
        <v>177</v>
      </c>
    </row>
    <row r="18" spans="1:1" x14ac:dyDescent="0.25">
      <c r="A18" s="111" t="s">
        <v>178</v>
      </c>
    </row>
    <row r="19" spans="1:1" x14ac:dyDescent="0.25">
      <c r="A19" s="108" t="s">
        <v>193</v>
      </c>
    </row>
    <row r="20" spans="1:1" x14ac:dyDescent="0.25">
      <c r="A20" s="108" t="s">
        <v>179</v>
      </c>
    </row>
    <row r="21" spans="1:1" x14ac:dyDescent="0.25">
      <c r="A21" s="108" t="s">
        <v>180</v>
      </c>
    </row>
    <row r="22" spans="1:1" x14ac:dyDescent="0.25">
      <c r="A22" s="108" t="s">
        <v>181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I39"/>
  <sheetViews>
    <sheetView topLeftCell="A7" zoomScale="75" zoomScaleNormal="75" workbookViewId="0">
      <selection activeCell="J57" sqref="J57"/>
    </sheetView>
  </sheetViews>
  <sheetFormatPr defaultRowHeight="15" x14ac:dyDescent="0.25"/>
  <cols>
    <col min="1" max="1" width="35.42578125" customWidth="1"/>
    <col min="2" max="2" width="11.140625" style="25" customWidth="1"/>
    <col min="3" max="9" width="12.85546875" style="25" customWidth="1"/>
    <col min="10" max="12" width="12.85546875" customWidth="1"/>
    <col min="14" max="14" width="7.140625" customWidth="1"/>
    <col min="15" max="15" width="11.5703125" customWidth="1"/>
    <col min="16" max="16" width="9.85546875" customWidth="1"/>
  </cols>
  <sheetData>
    <row r="1" spans="1:35" s="2" customFormat="1" ht="14.45" x14ac:dyDescent="0.35">
      <c r="A1" s="23" t="s">
        <v>108</v>
      </c>
      <c r="B1" s="80" t="str">
        <f>"Real "&amp;Real_year&amp;""</f>
        <v>Real 2015</v>
      </c>
      <c r="C1" s="2">
        <v>2006</v>
      </c>
      <c r="D1" s="2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  <c r="J1" s="2">
        <v>2013</v>
      </c>
      <c r="K1" s="2">
        <v>2014</v>
      </c>
      <c r="L1" s="2">
        <v>2015</v>
      </c>
    </row>
    <row r="2" spans="1:35" s="2" customFormat="1" x14ac:dyDescent="0.25">
      <c r="A2" s="2" t="s">
        <v>29</v>
      </c>
      <c r="C2" s="69">
        <f>CPI!F9</f>
        <v>1.2619324796274738</v>
      </c>
      <c r="D2" s="69">
        <f>CPI!G9</f>
        <v>1.2360319270239453</v>
      </c>
      <c r="E2" s="69">
        <f>CPI!H9</f>
        <v>1.1834061135371181</v>
      </c>
      <c r="F2" s="69">
        <f>CPI!I9</f>
        <v>1.1668460710441335</v>
      </c>
      <c r="G2" s="69">
        <f>CPI!J9</f>
        <v>1.1315240083507307</v>
      </c>
      <c r="H2" s="69">
        <f>CPI!K9</f>
        <v>1.092741935483871</v>
      </c>
      <c r="I2" s="69">
        <f>CPI!L9</f>
        <v>1.0796812749003983</v>
      </c>
      <c r="J2" s="69">
        <f>CPI!M9</f>
        <v>1.0544747081712063</v>
      </c>
      <c r="K2" s="69">
        <f>CPI!N9</f>
        <v>1.0236071765816808</v>
      </c>
      <c r="L2" s="69">
        <f>CPI!O9</f>
        <v>1.0083720930232558</v>
      </c>
    </row>
    <row r="3" spans="1:35" s="2" customFormat="1" x14ac:dyDescent="0.25">
      <c r="A3" s="2" t="s">
        <v>28</v>
      </c>
      <c r="C3" s="69">
        <f>CPI!F10</f>
        <v>1.2935560859188546</v>
      </c>
      <c r="D3" s="69">
        <f>CPI!G10</f>
        <v>1.2517321016166283</v>
      </c>
      <c r="E3" s="69">
        <f>CPI!H10</f>
        <v>1.2166105499438835</v>
      </c>
      <c r="F3" s="69">
        <f>CPI!I10</f>
        <v>1.1731601731601731</v>
      </c>
      <c r="G3" s="69">
        <f>CPI!J10</f>
        <v>1.1495227995758219</v>
      </c>
      <c r="H3" s="69">
        <f>CPI!K10</f>
        <v>1.1186790505675954</v>
      </c>
      <c r="I3" s="69">
        <f>CPI!L10</f>
        <v>1.086172344689379</v>
      </c>
      <c r="J3" s="69">
        <f>CPI!M10</f>
        <v>1.0627450980392157</v>
      </c>
      <c r="K3" s="69">
        <f>CPI!N10</f>
        <v>1.0343511450381679</v>
      </c>
      <c r="L3" s="69">
        <f>CPI!O10</f>
        <v>1.0168855534709194</v>
      </c>
    </row>
    <row r="4" spans="1:35" s="2" customFormat="1" x14ac:dyDescent="0.25"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35" s="2" customFormat="1" x14ac:dyDescent="0.25">
      <c r="C5" s="81"/>
      <c r="D5" s="81"/>
      <c r="E5" s="81"/>
      <c r="F5" s="81"/>
      <c r="G5" s="81"/>
      <c r="H5" s="81"/>
      <c r="I5" s="81"/>
      <c r="J5" s="81"/>
      <c r="K5" s="81"/>
      <c r="L5" s="81"/>
    </row>
    <row r="7" spans="1:35" s="2" customFormat="1" ht="14.45" x14ac:dyDescent="0.35">
      <c r="A7" s="23" t="s">
        <v>159</v>
      </c>
      <c r="B7" s="25"/>
      <c r="C7" s="25"/>
      <c r="D7" s="25"/>
      <c r="E7" s="25"/>
      <c r="F7" s="25"/>
      <c r="G7" s="25"/>
      <c r="H7" s="25"/>
      <c r="I7" s="25"/>
    </row>
    <row r="8" spans="1:35" x14ac:dyDescent="0.25">
      <c r="A8" s="80" t="s">
        <v>138</v>
      </c>
    </row>
    <row r="9" spans="1:35" s="2" customFormat="1" x14ac:dyDescent="0.25">
      <c r="B9" s="25"/>
      <c r="C9" s="2">
        <v>2006</v>
      </c>
      <c r="D9" s="2">
        <v>2007</v>
      </c>
      <c r="E9" s="2">
        <v>2008</v>
      </c>
      <c r="F9" s="2">
        <v>2009</v>
      </c>
      <c r="G9" s="2">
        <v>2010</v>
      </c>
      <c r="H9" s="2">
        <v>2011</v>
      </c>
      <c r="I9" s="2">
        <v>2012</v>
      </c>
      <c r="J9" s="2">
        <v>2013</v>
      </c>
      <c r="K9" s="2">
        <v>2014</v>
      </c>
      <c r="L9" s="2">
        <v>2015</v>
      </c>
    </row>
    <row r="10" spans="1:35" x14ac:dyDescent="0.25">
      <c r="A10" t="s">
        <v>1</v>
      </c>
      <c r="B10" s="17" t="s">
        <v>30</v>
      </c>
      <c r="C10" s="70">
        <v>-23628.994719235827</v>
      </c>
      <c r="D10" s="70">
        <v>-25150.379587713338</v>
      </c>
      <c r="E10" s="70">
        <v>-26570.057343712524</v>
      </c>
      <c r="F10" s="70">
        <v>-28677.285890860141</v>
      </c>
      <c r="G10" s="70">
        <v>-30604.575188427232</v>
      </c>
      <c r="H10" s="70">
        <v>-33775.868383474903</v>
      </c>
      <c r="I10" s="70">
        <v>-37392.400414643591</v>
      </c>
      <c r="J10" s="70">
        <v>-41035.20893735627</v>
      </c>
      <c r="K10" s="71">
        <v>-45342.765346326341</v>
      </c>
      <c r="L10" s="71">
        <v>-55085.188999999998</v>
      </c>
      <c r="N10" s="76"/>
      <c r="O10" s="76"/>
      <c r="P10" s="76"/>
      <c r="Q10" s="76"/>
      <c r="R10" s="76"/>
      <c r="S10" s="76"/>
      <c r="T10" s="76"/>
      <c r="U10" s="76"/>
      <c r="V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</row>
    <row r="11" spans="1:35" x14ac:dyDescent="0.25">
      <c r="A11" t="s">
        <v>78</v>
      </c>
      <c r="B11" s="17" t="s">
        <v>30</v>
      </c>
      <c r="C11" s="72">
        <v>-185409.29138161193</v>
      </c>
      <c r="D11" s="72">
        <v>-207191.5911437379</v>
      </c>
      <c r="E11" s="72">
        <v>-235916.90800778419</v>
      </c>
      <c r="F11" s="72">
        <v>-270849.70820071083</v>
      </c>
      <c r="G11" s="72">
        <v>-257390.78683295025</v>
      </c>
      <c r="H11" s="72">
        <v>-305146.78284405021</v>
      </c>
      <c r="I11" s="72">
        <v>-371354.6841423107</v>
      </c>
      <c r="J11" s="72">
        <v>-440155.05687099876</v>
      </c>
      <c r="K11" s="71">
        <v>-459770.18653048895</v>
      </c>
      <c r="L11" s="71">
        <v>-476663.27216983179</v>
      </c>
      <c r="N11" s="76"/>
      <c r="O11" s="76"/>
      <c r="P11" s="76"/>
      <c r="Q11" s="76"/>
      <c r="R11" s="76"/>
      <c r="S11" s="76"/>
      <c r="T11" s="76"/>
      <c r="U11" s="76"/>
      <c r="V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</row>
    <row r="12" spans="1:35" x14ac:dyDescent="0.25">
      <c r="A12" t="s">
        <v>2</v>
      </c>
      <c r="B12" s="17" t="s">
        <v>30</v>
      </c>
      <c r="C12" s="72">
        <v>-49530.346006633255</v>
      </c>
      <c r="D12" s="72">
        <v>-50521.926211270031</v>
      </c>
      <c r="E12" s="72">
        <v>-51107.876951435494</v>
      </c>
      <c r="F12" s="72">
        <v>-54862.072268019823</v>
      </c>
      <c r="G12" s="72">
        <v>-58379.576308968622</v>
      </c>
      <c r="H12" s="72">
        <v>-50513.703111735944</v>
      </c>
      <c r="I12" s="72">
        <v>-55019.391495229938</v>
      </c>
      <c r="J12" s="72">
        <v>-60167.55945892715</v>
      </c>
      <c r="K12" s="71">
        <v>-64915.93216032887</v>
      </c>
      <c r="L12" s="71">
        <v>-70805.733439347867</v>
      </c>
      <c r="N12" s="76"/>
      <c r="O12" s="76"/>
      <c r="P12" s="76"/>
      <c r="Q12" s="76"/>
      <c r="R12" s="76"/>
      <c r="S12" s="76"/>
      <c r="T12" s="76"/>
      <c r="U12" s="76"/>
      <c r="V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</row>
    <row r="13" spans="1:35" x14ac:dyDescent="0.25">
      <c r="A13" t="s">
        <v>3</v>
      </c>
      <c r="B13" s="17" t="s">
        <v>30</v>
      </c>
      <c r="C13" s="72">
        <v>-128220.93601165245</v>
      </c>
      <c r="D13" s="72">
        <v>-141984.9076533982</v>
      </c>
      <c r="E13" s="72">
        <v>-159310.56527367063</v>
      </c>
      <c r="F13" s="72">
        <v>-173043.37326207227</v>
      </c>
      <c r="G13" s="72">
        <v>-213127.60325396963</v>
      </c>
      <c r="H13" s="72">
        <v>-194668.26503615751</v>
      </c>
      <c r="I13" s="72">
        <v>-202853.93707845447</v>
      </c>
      <c r="J13" s="72">
        <v>-207001.33183270285</v>
      </c>
      <c r="K13" s="71">
        <v>-206105.19287543232</v>
      </c>
      <c r="L13" s="71">
        <v>-179471.00453561396</v>
      </c>
      <c r="N13" s="76"/>
      <c r="O13" s="76"/>
      <c r="P13" s="76"/>
      <c r="Q13" s="76"/>
      <c r="R13" s="76"/>
      <c r="S13" s="76"/>
      <c r="T13" s="76"/>
      <c r="U13" s="76"/>
      <c r="V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</row>
    <row r="14" spans="1:35" x14ac:dyDescent="0.25">
      <c r="A14" t="s">
        <v>4</v>
      </c>
      <c r="B14" s="17" t="s">
        <v>30</v>
      </c>
      <c r="C14" s="72">
        <v>-176052.18216029034</v>
      </c>
      <c r="D14" s="72">
        <v>-202668.33513855838</v>
      </c>
      <c r="E14" s="72">
        <v>-218267.50102093563</v>
      </c>
      <c r="F14" s="72">
        <v>-219282.16226548326</v>
      </c>
      <c r="G14" s="72">
        <v>-235535.13990712949</v>
      </c>
      <c r="H14" s="72">
        <v>-261852.21071753043</v>
      </c>
      <c r="I14" s="72">
        <v>-271874.87927217537</v>
      </c>
      <c r="J14" s="72">
        <v>-288130.93583222729</v>
      </c>
      <c r="K14" s="71">
        <v>-307281.09685157682</v>
      </c>
      <c r="L14" s="71">
        <v>-284119.98735616409</v>
      </c>
      <c r="N14" s="76"/>
      <c r="O14" s="76"/>
      <c r="P14" s="76"/>
      <c r="Q14" s="76"/>
      <c r="R14" s="76"/>
      <c r="S14" s="76"/>
      <c r="T14" s="76"/>
      <c r="U14" s="76"/>
      <c r="V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</row>
    <row r="15" spans="1:35" x14ac:dyDescent="0.25">
      <c r="A15" t="s">
        <v>10</v>
      </c>
      <c r="B15" s="17" t="s">
        <v>30</v>
      </c>
      <c r="C15" s="71">
        <v>-207988.59932423526</v>
      </c>
      <c r="D15" s="71">
        <v>-226761.13680730923</v>
      </c>
      <c r="E15" s="71">
        <v>-229084.78868584242</v>
      </c>
      <c r="F15" s="71">
        <v>-246347.81729733845</v>
      </c>
      <c r="G15" s="71">
        <v>-261721.9264321253</v>
      </c>
      <c r="H15" s="71">
        <v>-258272.75073881188</v>
      </c>
      <c r="I15" s="71">
        <v>-287724.60134052968</v>
      </c>
      <c r="J15" s="71">
        <v>-293124.14512625436</v>
      </c>
      <c r="K15" s="71">
        <v>-309357.35134812415</v>
      </c>
      <c r="L15" s="71">
        <v>-299943.28119539015</v>
      </c>
      <c r="N15" s="76"/>
      <c r="O15" s="76"/>
      <c r="P15" s="76"/>
      <c r="Q15" s="76"/>
      <c r="R15" s="76"/>
      <c r="S15" s="76"/>
      <c r="T15" s="76"/>
      <c r="U15" s="76"/>
      <c r="V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25">
      <c r="A16" t="s">
        <v>5</v>
      </c>
      <c r="B16" s="17" t="s">
        <v>30</v>
      </c>
      <c r="C16" s="71">
        <v>-140043.0050475086</v>
      </c>
      <c r="D16" s="71">
        <v>-156472.04362410592</v>
      </c>
      <c r="E16" s="71">
        <v>-180997.08904792654</v>
      </c>
      <c r="F16" s="71">
        <v>-206911.64155623681</v>
      </c>
      <c r="G16" s="71">
        <v>-244412.29779295358</v>
      </c>
      <c r="H16" s="71">
        <v>-274115.31227820856</v>
      </c>
      <c r="I16" s="71">
        <v>-247797.69800593675</v>
      </c>
      <c r="J16" s="71">
        <v>-283253.49337193172</v>
      </c>
      <c r="K16" s="71">
        <v>-305700.77361603378</v>
      </c>
      <c r="L16" s="71">
        <v>-255799.02237614393</v>
      </c>
      <c r="N16" s="76"/>
      <c r="O16" s="76"/>
      <c r="P16" s="76"/>
      <c r="Q16" s="76"/>
      <c r="R16" s="76"/>
      <c r="S16" s="76"/>
      <c r="T16" s="76"/>
      <c r="U16" s="76"/>
      <c r="V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1:35" ht="14.45" x14ac:dyDescent="0.35">
      <c r="A17" t="s">
        <v>6</v>
      </c>
      <c r="B17" s="17" t="s">
        <v>30</v>
      </c>
      <c r="C17" s="71">
        <v>-29220.598418442733</v>
      </c>
      <c r="D17" s="71">
        <v>-31713.910559852517</v>
      </c>
      <c r="E17" s="71">
        <v>-32953.009665072146</v>
      </c>
      <c r="F17" s="71">
        <v>-34153.517460740855</v>
      </c>
      <c r="G17" s="71">
        <v>-35426.078082974593</v>
      </c>
      <c r="H17" s="71">
        <v>-37018.887065742354</v>
      </c>
      <c r="I17" s="71">
        <v>-44475.252429240143</v>
      </c>
      <c r="J17" s="71">
        <v>-52565.461213156748</v>
      </c>
      <c r="K17" s="71">
        <v>-58369.901011614966</v>
      </c>
      <c r="L17" s="71">
        <v>-61453.443724107761</v>
      </c>
      <c r="N17" s="76"/>
      <c r="O17" s="76"/>
      <c r="P17" s="76"/>
      <c r="Q17" s="76"/>
      <c r="R17" s="76"/>
      <c r="S17" s="76"/>
      <c r="T17" s="76"/>
      <c r="U17" s="76"/>
      <c r="V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  <row r="18" spans="1:35" ht="14.45" x14ac:dyDescent="0.35">
      <c r="A18" t="s">
        <v>7</v>
      </c>
      <c r="B18" s="17" t="s">
        <v>30</v>
      </c>
      <c r="C18" s="71">
        <v>-77661.587309336406</v>
      </c>
      <c r="D18" s="71">
        <v>-81993.927730056923</v>
      </c>
      <c r="E18" s="71">
        <v>-85462.954533099983</v>
      </c>
      <c r="F18" s="71">
        <v>-92714.426115943046</v>
      </c>
      <c r="G18" s="71">
        <v>-97108.533098771266</v>
      </c>
      <c r="H18" s="71">
        <v>-91578.358235293563</v>
      </c>
      <c r="I18" s="71">
        <v>-102051.4872868394</v>
      </c>
      <c r="J18" s="71">
        <v>-113068.91101421771</v>
      </c>
      <c r="K18" s="71">
        <v>-123402.92996482523</v>
      </c>
      <c r="L18" s="71">
        <v>-136847.17723917309</v>
      </c>
      <c r="N18" s="76"/>
      <c r="O18" s="76"/>
      <c r="P18" s="76"/>
      <c r="Q18" s="76"/>
      <c r="R18" s="76"/>
      <c r="S18" s="76"/>
      <c r="T18" s="76"/>
      <c r="U18" s="76"/>
      <c r="V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</row>
    <row r="19" spans="1:35" ht="14.45" x14ac:dyDescent="0.35">
      <c r="A19" t="s">
        <v>8</v>
      </c>
      <c r="B19" s="17" t="s">
        <v>30</v>
      </c>
      <c r="C19" s="71">
        <v>-129465.15764010455</v>
      </c>
      <c r="D19" s="71">
        <v>-143159.84799020347</v>
      </c>
      <c r="E19" s="71">
        <v>-150943.07370331354</v>
      </c>
      <c r="F19" s="71">
        <v>-162442.54687823248</v>
      </c>
      <c r="G19" s="71">
        <v>-176916.75407031088</v>
      </c>
      <c r="H19" s="71">
        <v>-161699.01377254829</v>
      </c>
      <c r="I19" s="71">
        <v>-174180.14979919355</v>
      </c>
      <c r="J19" s="71">
        <v>-193652.00695926757</v>
      </c>
      <c r="K19" s="71">
        <v>-211624.02173006174</v>
      </c>
      <c r="L19" s="71">
        <v>-231646.68115564022</v>
      </c>
      <c r="N19" s="76"/>
      <c r="O19" s="76"/>
      <c r="P19" s="76"/>
      <c r="Q19" s="76"/>
      <c r="R19" s="76"/>
      <c r="S19" s="76"/>
      <c r="T19" s="76"/>
      <c r="U19" s="76"/>
      <c r="V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</row>
    <row r="20" spans="1:35" ht="14.45" x14ac:dyDescent="0.35">
      <c r="A20" t="s">
        <v>73</v>
      </c>
      <c r="B20" s="17" t="s">
        <v>30</v>
      </c>
      <c r="C20" s="71">
        <v>-56565.419646917799</v>
      </c>
      <c r="D20" s="71">
        <v>-66700.723362476376</v>
      </c>
      <c r="E20" s="71">
        <v>-73552.324646312627</v>
      </c>
      <c r="F20" s="71">
        <v>-82384.991379396903</v>
      </c>
      <c r="G20" s="71">
        <v>-88913.31548786597</v>
      </c>
      <c r="H20" s="71">
        <v>-130732.86402114748</v>
      </c>
      <c r="I20" s="71">
        <v>-112282.34545229192</v>
      </c>
      <c r="J20" s="71">
        <v>-129504.23772903973</v>
      </c>
      <c r="K20" s="71">
        <v>-130471.88508236363</v>
      </c>
      <c r="L20" s="71">
        <v>-134583.4136178302</v>
      </c>
      <c r="N20" s="76"/>
      <c r="O20" s="76"/>
      <c r="P20" s="76"/>
      <c r="Q20" s="76"/>
      <c r="R20" s="76"/>
      <c r="S20" s="76"/>
      <c r="T20" s="76"/>
      <c r="U20" s="76"/>
      <c r="V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</row>
    <row r="21" spans="1:35" ht="14.45" x14ac:dyDescent="0.35">
      <c r="A21" t="s">
        <v>54</v>
      </c>
      <c r="B21" s="17" t="s">
        <v>30</v>
      </c>
      <c r="C21" s="71">
        <v>-43002.780182764465</v>
      </c>
      <c r="D21" s="71">
        <v>-50615.401205290553</v>
      </c>
      <c r="E21" s="71">
        <v>-51565.886646444778</v>
      </c>
      <c r="F21" s="71">
        <v>-45703.966411886177</v>
      </c>
      <c r="G21" s="71">
        <v>-53533.931814740274</v>
      </c>
      <c r="H21" s="71">
        <v>-61151.18369106482</v>
      </c>
      <c r="I21" s="71">
        <v>-67071.747018849259</v>
      </c>
      <c r="J21" s="71">
        <v>-69759.442766199165</v>
      </c>
      <c r="K21" s="71">
        <v>-73072.839130016902</v>
      </c>
      <c r="L21" s="71">
        <v>-78151.523411840622</v>
      </c>
      <c r="N21" s="76"/>
      <c r="O21" s="76"/>
      <c r="P21" s="76"/>
      <c r="Q21" s="76"/>
      <c r="R21" s="76"/>
      <c r="S21" s="76"/>
      <c r="T21" s="76"/>
      <c r="U21" s="76"/>
      <c r="V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</row>
    <row r="22" spans="1:35" ht="14.45" x14ac:dyDescent="0.35">
      <c r="A22" t="s">
        <v>9</v>
      </c>
      <c r="B22" s="17" t="s">
        <v>30</v>
      </c>
      <c r="C22" s="73">
        <v>-70486.626808111818</v>
      </c>
      <c r="D22" s="73">
        <v>-74606.338306308913</v>
      </c>
      <c r="E22" s="73">
        <v>-79444.021156553732</v>
      </c>
      <c r="F22" s="73">
        <v>-76668.799873429656</v>
      </c>
      <c r="G22" s="73">
        <v>-76669.548274234519</v>
      </c>
      <c r="H22" s="73">
        <v>-64707.860204395642</v>
      </c>
      <c r="I22" s="73">
        <v>-81873.902372155891</v>
      </c>
      <c r="J22" s="73">
        <v>-93872.261597680204</v>
      </c>
      <c r="K22" s="71">
        <v>-103287.30342356479</v>
      </c>
      <c r="L22" s="71">
        <v>-118489.52537029621</v>
      </c>
      <c r="N22" s="76"/>
      <c r="O22" s="76"/>
      <c r="P22" s="76"/>
      <c r="Q22" s="76"/>
      <c r="R22" s="76"/>
      <c r="S22" s="76"/>
      <c r="T22" s="76"/>
      <c r="U22" s="76"/>
      <c r="V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</row>
    <row r="23" spans="1:35" ht="14.45" x14ac:dyDescent="0.35">
      <c r="J23" s="25"/>
      <c r="K23" s="25"/>
      <c r="L23" s="25"/>
      <c r="M23" s="51"/>
    </row>
    <row r="24" spans="1:35" ht="14.45" x14ac:dyDescent="0.35">
      <c r="A24" s="80" t="str">
        <f>CONCATENATE(B1)</f>
        <v>Real 2015</v>
      </c>
      <c r="J24" s="25"/>
      <c r="K24" s="25"/>
      <c r="L24" s="25"/>
    </row>
    <row r="25" spans="1:35" ht="14.45" x14ac:dyDescent="0.35">
      <c r="C25" s="2">
        <v>2006</v>
      </c>
      <c r="D25" s="2">
        <v>2007</v>
      </c>
      <c r="E25" s="2">
        <v>2008</v>
      </c>
      <c r="F25" s="2">
        <v>2009</v>
      </c>
      <c r="G25" s="2">
        <v>2010</v>
      </c>
      <c r="H25" s="2">
        <v>2011</v>
      </c>
      <c r="I25" s="2">
        <v>2012</v>
      </c>
      <c r="J25" s="2">
        <v>2013</v>
      </c>
      <c r="K25" s="2">
        <v>2014</v>
      </c>
      <c r="L25" s="2">
        <v>2015</v>
      </c>
      <c r="M25" s="79" t="s">
        <v>134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5" ht="14.45" x14ac:dyDescent="0.35">
      <c r="A26" s="2" t="s">
        <v>1</v>
      </c>
      <c r="B26" s="17" t="s">
        <v>30</v>
      </c>
      <c r="C26" s="70">
        <f>C10*C$3</f>
        <v>-30565.429923211981</v>
      </c>
      <c r="D26" s="70">
        <f t="shared" ref="D26:L26" si="0">D10*D$3</f>
        <v>-31481.537497784368</v>
      </c>
      <c r="E26" s="70">
        <f t="shared" si="0"/>
        <v>-32325.412076974615</v>
      </c>
      <c r="F26" s="70">
        <f t="shared" si="0"/>
        <v>-33643.049681485274</v>
      </c>
      <c r="G26" s="70">
        <f t="shared" si="0"/>
        <v>-35180.656950429613</v>
      </c>
      <c r="H26" s="70">
        <f t="shared" si="0"/>
        <v>-37784.356375321768</v>
      </c>
      <c r="I26" s="70">
        <f t="shared" si="0"/>
        <v>-40614.591231937535</v>
      </c>
      <c r="J26" s="70">
        <f t="shared" si="0"/>
        <v>-43609.967145190392</v>
      </c>
      <c r="K26" s="70">
        <f t="shared" si="0"/>
        <v>-46900.341255169609</v>
      </c>
      <c r="L26" s="70">
        <f t="shared" si="0"/>
        <v>-56015.332904315197</v>
      </c>
      <c r="M26" s="78">
        <f>-AVERAGE(H26:L26)/1000</f>
        <v>44.984917782386901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5" ht="14.45" x14ac:dyDescent="0.35">
      <c r="A27" s="2" t="s">
        <v>78</v>
      </c>
      <c r="B27" s="17" t="s">
        <v>30</v>
      </c>
      <c r="C27" s="70">
        <f>C11*C$3</f>
        <v>-239837.31725258633</v>
      </c>
      <c r="D27" s="70">
        <f t="shared" ref="D27:L27" si="1">D11*D$3</f>
        <v>-259348.36581964421</v>
      </c>
      <c r="E27" s="70">
        <f t="shared" si="1"/>
        <v>-287018.99919241091</v>
      </c>
      <c r="F27" s="70">
        <f t="shared" si="1"/>
        <v>-317750.09057312825</v>
      </c>
      <c r="G27" s="70">
        <f t="shared" si="1"/>
        <v>-295876.57786523656</v>
      </c>
      <c r="H27" s="70">
        <f t="shared" si="1"/>
        <v>-341361.31331573828</v>
      </c>
      <c r="I27" s="70">
        <f t="shared" si="1"/>
        <v>-403355.18798623735</v>
      </c>
      <c r="J27" s="70">
        <f t="shared" si="1"/>
        <v>-467772.62906682614</v>
      </c>
      <c r="K27" s="70">
        <f t="shared" si="1"/>
        <v>-475563.81889222329</v>
      </c>
      <c r="L27" s="70">
        <f t="shared" si="1"/>
        <v>-484711.99533967889</v>
      </c>
      <c r="M27" s="78">
        <f t="shared" ref="M27:M38" si="2">-AVERAGE(H27:L27)/1000</f>
        <v>434.55298892014082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5" ht="14.45" x14ac:dyDescent="0.35">
      <c r="A28" s="2" t="s">
        <v>2</v>
      </c>
      <c r="B28" s="17" t="s">
        <v>30</v>
      </c>
      <c r="C28" s="70">
        <f>C12*C$2</f>
        <v>-62503.952352957451</v>
      </c>
      <c r="D28" s="70">
        <f t="shared" ref="D28:L28" si="3">D12*D$2</f>
        <v>-62446.713811877664</v>
      </c>
      <c r="E28" s="70">
        <f t="shared" si="3"/>
        <v>-60481.374034231536</v>
      </c>
      <c r="F28" s="70">
        <f t="shared" si="3"/>
        <v>-64015.593475278249</v>
      </c>
      <c r="G28" s="70">
        <f t="shared" si="3"/>
        <v>-66057.892190941537</v>
      </c>
      <c r="H28" s="70">
        <f t="shared" si="3"/>
        <v>-55198.441706775971</v>
      </c>
      <c r="I28" s="70">
        <f t="shared" si="3"/>
        <v>-59403.406753813993</v>
      </c>
      <c r="J28" s="70">
        <f t="shared" si="3"/>
        <v>-63445.169701825907</v>
      </c>
      <c r="K28" s="70">
        <f t="shared" si="3"/>
        <v>-66448.414033802168</v>
      </c>
      <c r="L28" s="70">
        <f t="shared" si="3"/>
        <v>-71398.525626281946</v>
      </c>
      <c r="M28" s="78">
        <f t="shared" si="2"/>
        <v>63.178791564500003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5" ht="14.45" x14ac:dyDescent="0.35">
      <c r="A29" s="2" t="s">
        <v>3</v>
      </c>
      <c r="B29" s="17" t="s">
        <v>30</v>
      </c>
      <c r="C29" s="70">
        <f>C13*C$3</f>
        <v>-165860.97212008506</v>
      </c>
      <c r="D29" s="70">
        <f t="shared" ref="D29:L29" si="4">D13*D$3</f>
        <v>-177727.06685483101</v>
      </c>
      <c r="E29" s="70">
        <f t="shared" si="4"/>
        <v>-193818.91442947136</v>
      </c>
      <c r="F29" s="70">
        <f t="shared" si="4"/>
        <v>-203007.59374035316</v>
      </c>
      <c r="G29" s="70">
        <f t="shared" si="4"/>
        <v>-244995.03915938822</v>
      </c>
      <c r="H29" s="70">
        <f t="shared" si="4"/>
        <v>-217771.30990628971</v>
      </c>
      <c r="I29" s="70">
        <f t="shared" si="4"/>
        <v>-220334.33646597664</v>
      </c>
      <c r="J29" s="70">
        <f t="shared" si="4"/>
        <v>-219989.65069279401</v>
      </c>
      <c r="K29" s="70">
        <f t="shared" si="4"/>
        <v>-213185.14224901586</v>
      </c>
      <c r="L29" s="70">
        <f t="shared" si="4"/>
        <v>-182501.47177917967</v>
      </c>
      <c r="M29" s="78">
        <f t="shared" si="2"/>
        <v>210.75638221865117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5" ht="14.45" x14ac:dyDescent="0.35">
      <c r="A30" s="2" t="s">
        <v>4</v>
      </c>
      <c r="B30" s="17" t="s">
        <v>30</v>
      </c>
      <c r="C30" s="70">
        <f>C14*C$3</f>
        <v>-227733.37167273837</v>
      </c>
      <c r="D30" s="70">
        <f t="shared" ref="D30:L30" si="5">D14*D$3</f>
        <v>-253686.46107413084</v>
      </c>
      <c r="E30" s="70">
        <f t="shared" si="5"/>
        <v>-265546.54445195763</v>
      </c>
      <c r="F30" s="70">
        <f t="shared" si="5"/>
        <v>-257253.09945431151</v>
      </c>
      <c r="G30" s="70">
        <f t="shared" si="5"/>
        <v>-270753.01342452638</v>
      </c>
      <c r="H30" s="70">
        <f t="shared" si="5"/>
        <v>-292928.58247451286</v>
      </c>
      <c r="I30" s="70">
        <f t="shared" si="5"/>
        <v>-295302.97508120054</v>
      </c>
      <c r="J30" s="70">
        <f t="shared" si="5"/>
        <v>-306209.73964915134</v>
      </c>
      <c r="K30" s="70">
        <f t="shared" si="5"/>
        <v>-317836.55437701265</v>
      </c>
      <c r="L30" s="70">
        <f t="shared" si="5"/>
        <v>-288917.51059482351</v>
      </c>
      <c r="M30" s="78">
        <f t="shared" si="2"/>
        <v>300.23907243534018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5" ht="14.45" x14ac:dyDescent="0.35">
      <c r="A31" s="2" t="s">
        <v>10</v>
      </c>
      <c r="B31" s="17" t="s">
        <v>30</v>
      </c>
      <c r="C31" s="70">
        <f>C15*C$3</f>
        <v>-269044.91845760267</v>
      </c>
      <c r="D31" s="70">
        <f t="shared" ref="D31:L31" si="6">D15*D$3</f>
        <v>-283844.19434078893</v>
      </c>
      <c r="E31" s="70">
        <f t="shared" si="6"/>
        <v>-278706.97074686107</v>
      </c>
      <c r="F31" s="70">
        <f t="shared" si="6"/>
        <v>-289005.44799817627</v>
      </c>
      <c r="G31" s="70">
        <f t="shared" si="6"/>
        <v>-300855.321582634</v>
      </c>
      <c r="H31" s="70">
        <f t="shared" si="6"/>
        <v>-288924.31558397529</v>
      </c>
      <c r="I31" s="70">
        <f t="shared" si="6"/>
        <v>-312518.50486285996</v>
      </c>
      <c r="J31" s="70">
        <f t="shared" si="6"/>
        <v>-311516.24834986246</v>
      </c>
      <c r="K31" s="70">
        <f t="shared" si="6"/>
        <v>-319984.13059290702</v>
      </c>
      <c r="L31" s="70">
        <f t="shared" si="6"/>
        <v>-305007.98950825789</v>
      </c>
      <c r="M31" s="78">
        <f t="shared" si="2"/>
        <v>307.59023777957253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5" ht="14.45" x14ac:dyDescent="0.35">
      <c r="A32" s="2" t="s">
        <v>5</v>
      </c>
      <c r="B32" s="17" t="s">
        <v>30</v>
      </c>
      <c r="C32" s="70">
        <f>C16*C$3</f>
        <v>-181153.48146956964</v>
      </c>
      <c r="D32" s="70">
        <f t="shared" ref="D32:L32" si="7">D16*D$3</f>
        <v>-195861.08000985085</v>
      </c>
      <c r="E32" s="70">
        <f t="shared" si="7"/>
        <v>-220202.96804483994</v>
      </c>
      <c r="F32" s="70">
        <f t="shared" si="7"/>
        <v>-242740.49723697043</v>
      </c>
      <c r="G32" s="70">
        <f t="shared" si="7"/>
        <v>-280957.50880971551</v>
      </c>
      <c r="H32" s="70">
        <f t="shared" si="7"/>
        <v>-306647.0572854263</v>
      </c>
      <c r="I32" s="70">
        <f t="shared" si="7"/>
        <v>-269151.00665173895</v>
      </c>
      <c r="J32" s="70">
        <f t="shared" si="7"/>
        <v>-301026.26158350392</v>
      </c>
      <c r="K32" s="70">
        <f t="shared" si="7"/>
        <v>-316201.94522879831</v>
      </c>
      <c r="L32" s="70">
        <f t="shared" si="7"/>
        <v>-260118.3304462852</v>
      </c>
      <c r="M32" s="78">
        <f t="shared" si="2"/>
        <v>290.62892023915055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ht="14.45" x14ac:dyDescent="0.35">
      <c r="A33" s="2" t="s">
        <v>6</v>
      </c>
      <c r="B33" s="17" t="s">
        <v>30</v>
      </c>
      <c r="C33" s="70">
        <f>C17*C$2</f>
        <v>-36874.422218384076</v>
      </c>
      <c r="D33" s="70">
        <f t="shared" ref="D33:L34" si="8">D17*D$2</f>
        <v>-39199.405982759556</v>
      </c>
      <c r="E33" s="70">
        <f t="shared" si="8"/>
        <v>-38996.793097094116</v>
      </c>
      <c r="F33" s="70">
        <f t="shared" si="8"/>
        <v>-39851.897661402676</v>
      </c>
      <c r="G33" s="70">
        <f t="shared" si="8"/>
        <v>-40085.457872593382</v>
      </c>
      <c r="H33" s="70">
        <f t="shared" si="8"/>
        <v>-40452.090301678138</v>
      </c>
      <c r="I33" s="70">
        <f t="shared" si="8"/>
        <v>-48019.097244319033</v>
      </c>
      <c r="J33" s="70">
        <f t="shared" si="8"/>
        <v>-55428.949372628325</v>
      </c>
      <c r="K33" s="70">
        <f t="shared" si="8"/>
        <v>-59747.849571851388</v>
      </c>
      <c r="L33" s="70">
        <f t="shared" si="8"/>
        <v>-61967.937671565407</v>
      </c>
      <c r="M33" s="78">
        <f t="shared" si="2"/>
        <v>53.123184832408455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ht="14.45" x14ac:dyDescent="0.35">
      <c r="A34" s="2" t="s">
        <v>7</v>
      </c>
      <c r="B34" s="17" t="s">
        <v>30</v>
      </c>
      <c r="C34" s="70">
        <f>C18*C$2</f>
        <v>-98003.679445076443</v>
      </c>
      <c r="D34" s="70">
        <f>D18*D$2</f>
        <v>-101347.11249644436</v>
      </c>
      <c r="E34" s="70">
        <f>E18*E$2</f>
        <v>-101137.38287541528</v>
      </c>
      <c r="F34" s="70">
        <f>F18*F$2</f>
        <v>-108183.46384249975</v>
      </c>
      <c r="G34" s="70">
        <f>G18*G$2</f>
        <v>-109880.63661698127</v>
      </c>
      <c r="H34" s="70">
        <f t="shared" si="8"/>
        <v>-100071.51242646998</v>
      </c>
      <c r="I34" s="70">
        <f t="shared" si="8"/>
        <v>-110183.07989933656</v>
      </c>
      <c r="J34" s="70">
        <f t="shared" si="8"/>
        <v>-119228.30694495331</v>
      </c>
      <c r="K34" s="70">
        <f t="shared" si="8"/>
        <v>-126316.12472320165</v>
      </c>
      <c r="L34" s="70">
        <f t="shared" si="8"/>
        <v>-137992.87453698943</v>
      </c>
      <c r="M34" s="78">
        <f t="shared" si="2"/>
        <v>118.7583797061902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ht="14.45" x14ac:dyDescent="0.35">
      <c r="A35" s="2" t="s">
        <v>8</v>
      </c>
      <c r="B35" s="17" t="s">
        <v>30</v>
      </c>
      <c r="C35" s="70">
        <f>C19*C$3</f>
        <v>-167470.44257980114</v>
      </c>
      <c r="D35" s="70">
        <f t="shared" ref="D35:L35" si="9">D19*D$3</f>
        <v>-179197.77739189443</v>
      </c>
      <c r="E35" s="70">
        <f t="shared" si="9"/>
        <v>-183638.93590840843</v>
      </c>
      <c r="F35" s="70">
        <f t="shared" si="9"/>
        <v>-190571.12642424673</v>
      </c>
      <c r="G35" s="70">
        <f t="shared" si="9"/>
        <v>-203369.84243077095</v>
      </c>
      <c r="H35" s="70">
        <f t="shared" si="9"/>
        <v>-180889.29920479085</v>
      </c>
      <c r="I35" s="70">
        <f t="shared" si="9"/>
        <v>-189189.66170573732</v>
      </c>
      <c r="J35" s="70">
        <f t="shared" si="9"/>
        <v>-205802.72112141771</v>
      </c>
      <c r="K35" s="70">
        <f t="shared" si="9"/>
        <v>-218893.5491940715</v>
      </c>
      <c r="L35" s="70">
        <f t="shared" si="9"/>
        <v>-235558.1635766548</v>
      </c>
      <c r="M35" s="78">
        <f t="shared" si="2"/>
        <v>206.06667896053446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ht="14.45" x14ac:dyDescent="0.35">
      <c r="A36" s="2" t="s">
        <v>73</v>
      </c>
      <c r="B36" s="17" t="s">
        <v>30</v>
      </c>
      <c r="C36" s="70">
        <f>C20*C$2</f>
        <v>-71381.740276203607</v>
      </c>
      <c r="D36" s="70">
        <f t="shared" ref="D36:L36" si="10">D20*D$2</f>
        <v>-82444.223631612767</v>
      </c>
      <c r="E36" s="70">
        <f t="shared" si="10"/>
        <v>-87042.270651313214</v>
      </c>
      <c r="F36" s="70">
        <f t="shared" si="10"/>
        <v>-96130.603504054088</v>
      </c>
      <c r="G36" s="70">
        <f t="shared" si="10"/>
        <v>-100607.55113658321</v>
      </c>
      <c r="H36" s="70">
        <f t="shared" si="10"/>
        <v>-142857.28286181841</v>
      </c>
      <c r="I36" s="70">
        <f t="shared" si="10"/>
        <v>-121229.14588673749</v>
      </c>
      <c r="J36" s="70">
        <f t="shared" si="10"/>
        <v>-136558.94328626367</v>
      </c>
      <c r="K36" s="70">
        <f t="shared" si="10"/>
        <v>-133551.95791244775</v>
      </c>
      <c r="L36" s="70">
        <f t="shared" si="10"/>
        <v>-135710.158476026</v>
      </c>
      <c r="M36" s="78">
        <f t="shared" si="2"/>
        <v>133.98149768465868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14.45" x14ac:dyDescent="0.35">
      <c r="A37" s="2" t="s">
        <v>54</v>
      </c>
      <c r="B37" s="17" t="s">
        <v>30</v>
      </c>
      <c r="C37" s="70">
        <f>C21*C$3</f>
        <v>-55626.508016845692</v>
      </c>
      <c r="D37" s="70">
        <f t="shared" ref="D37:L37" si="11">D21*D$3</f>
        <v>-63356.922524867165</v>
      </c>
      <c r="E37" s="70">
        <f t="shared" si="11"/>
        <v>-62735.601711275143</v>
      </c>
      <c r="F37" s="70">
        <f t="shared" si="11"/>
        <v>-53618.073149875119</v>
      </c>
      <c r="G37" s="70">
        <f t="shared" si="11"/>
        <v>-61538.475171981401</v>
      </c>
      <c r="H37" s="70">
        <f t="shared" si="11"/>
        <v>-68408.548112605014</v>
      </c>
      <c r="I37" s="70">
        <f t="shared" si="11"/>
        <v>-72851.476721876359</v>
      </c>
      <c r="J37" s="70">
        <f t="shared" si="11"/>
        <v>-74136.505841725389</v>
      </c>
      <c r="K37" s="70">
        <f t="shared" si="11"/>
        <v>-75582.974825322832</v>
      </c>
      <c r="L37" s="70">
        <f t="shared" si="11"/>
        <v>-79471.155139245064</v>
      </c>
      <c r="M37" s="78">
        <f t="shared" si="2"/>
        <v>74.090132128154934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14.45" x14ac:dyDescent="0.35">
      <c r="A38" s="2" t="s">
        <v>9</v>
      </c>
      <c r="B38" s="17" t="s">
        <v>30</v>
      </c>
      <c r="C38" s="70">
        <f>C22*C$2</f>
        <v>-88949.363748536911</v>
      </c>
      <c r="D38" s="70">
        <f>D22*D$2</f>
        <v>-92215.816104947386</v>
      </c>
      <c r="E38" s="70">
        <f t="shared" ref="E38:L38" si="12">E22*E$2</f>
        <v>-94014.54032063784</v>
      </c>
      <c r="F38" s="70">
        <f>F22*F$2</f>
        <v>-89460.687903980361</v>
      </c>
      <c r="G38" s="70">
        <f>G22*G$2</f>
        <v>-86753.434581701687</v>
      </c>
      <c r="H38" s="70">
        <f>H22*H$2</f>
        <v>-70708.992400771051</v>
      </c>
      <c r="I38" s="70">
        <f>I22*I$2</f>
        <v>-88397.719294240014</v>
      </c>
      <c r="J38" s="70">
        <f>J22*J$2</f>
        <v>-98985.925653584971</v>
      </c>
      <c r="K38" s="70">
        <f t="shared" si="12"/>
        <v>-105725.62503413053</v>
      </c>
      <c r="L38" s="70">
        <f t="shared" si="12"/>
        <v>-119481.53069897776</v>
      </c>
      <c r="M38" s="78">
        <f t="shared" si="2"/>
        <v>96.659958616340859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14.45" x14ac:dyDescent="0.35">
      <c r="J39" s="2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6"/>
  <sheetViews>
    <sheetView topLeftCell="A64" zoomScale="75" zoomScaleNormal="75" workbookViewId="0">
      <selection activeCell="G62" sqref="G62:M62"/>
    </sheetView>
  </sheetViews>
  <sheetFormatPr defaultRowHeight="15" x14ac:dyDescent="0.25"/>
  <cols>
    <col min="1" max="1" width="11" customWidth="1"/>
    <col min="2" max="2" width="6" customWidth="1"/>
    <col min="3" max="3" width="11.28515625" bestFit="1" customWidth="1"/>
    <col min="4" max="4" width="9.42578125" customWidth="1"/>
    <col min="5" max="5" width="9.85546875" customWidth="1"/>
    <col min="6" max="6" width="9.7109375" customWidth="1"/>
    <col min="7" max="7" width="10.42578125" customWidth="1"/>
    <col min="8" max="8" width="9.85546875" customWidth="1"/>
    <col min="9" max="9" width="9.42578125" customWidth="1"/>
    <col min="10" max="11" width="9.85546875" customWidth="1"/>
    <col min="12" max="12" width="12" customWidth="1"/>
    <col min="25" max="25" width="8.85546875" bestFit="1" customWidth="1"/>
    <col min="26" max="27" width="9.5703125" customWidth="1"/>
    <col min="28" max="32" width="8.85546875" bestFit="1" customWidth="1"/>
    <col min="33" max="33" width="9.42578125" bestFit="1" customWidth="1"/>
    <col min="34" max="34" width="8.85546875" bestFit="1" customWidth="1"/>
  </cols>
  <sheetData>
    <row r="1" spans="1:12" s="23" customFormat="1" ht="14.45" x14ac:dyDescent="0.35">
      <c r="A1" s="23" t="s">
        <v>157</v>
      </c>
    </row>
    <row r="2" spans="1:12" s="23" customFormat="1" ht="14.45" x14ac:dyDescent="0.35"/>
    <row r="3" spans="1:12" ht="14.45" x14ac:dyDescent="0.35">
      <c r="A3" s="23" t="s">
        <v>146</v>
      </c>
    </row>
    <row r="5" spans="1:12" ht="14.45" x14ac:dyDescent="0.35">
      <c r="A5" s="2" t="s">
        <v>147</v>
      </c>
      <c r="B5" s="2"/>
      <c r="C5" s="2"/>
      <c r="D5" s="2"/>
      <c r="E5" s="2"/>
      <c r="F5" s="2"/>
      <c r="G5" s="2"/>
      <c r="H5" s="2"/>
      <c r="I5" s="2"/>
      <c r="J5" s="2"/>
      <c r="K5" s="2"/>
      <c r="L5" s="30"/>
    </row>
    <row r="6" spans="1:12" ht="14.45" x14ac:dyDescent="0.35">
      <c r="A6" s="86"/>
      <c r="B6" s="35"/>
      <c r="C6" s="35"/>
      <c r="D6" s="2"/>
      <c r="E6" s="2"/>
      <c r="F6" s="2"/>
      <c r="G6" s="2"/>
      <c r="H6" s="2"/>
      <c r="I6" s="2"/>
      <c r="J6" s="2"/>
      <c r="K6" s="2"/>
      <c r="L6" s="2"/>
    </row>
    <row r="7" spans="1:12" ht="14.45" x14ac:dyDescent="0.35">
      <c r="A7" s="2"/>
      <c r="B7" s="2"/>
      <c r="C7" s="2">
        <v>2006</v>
      </c>
      <c r="D7" s="2">
        <v>2007</v>
      </c>
      <c r="E7" s="2">
        <v>2008</v>
      </c>
      <c r="F7" s="2">
        <v>2009</v>
      </c>
      <c r="G7" s="2">
        <v>2010</v>
      </c>
      <c r="H7" s="2">
        <v>2011</v>
      </c>
      <c r="I7" s="2">
        <v>2012</v>
      </c>
      <c r="J7" s="2">
        <v>2013</v>
      </c>
      <c r="K7" s="2">
        <v>2014</v>
      </c>
      <c r="L7" s="2">
        <v>2015</v>
      </c>
    </row>
    <row r="8" spans="1:12" ht="14.45" x14ac:dyDescent="0.35">
      <c r="A8" s="17" t="s">
        <v>1</v>
      </c>
      <c r="B8" s="17" t="s">
        <v>101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</row>
    <row r="9" spans="1:12" ht="14.45" x14ac:dyDescent="0.35">
      <c r="A9" s="17" t="s">
        <v>78</v>
      </c>
      <c r="B9" s="17" t="s">
        <v>101</v>
      </c>
      <c r="C9" s="47">
        <v>7545</v>
      </c>
      <c r="D9" s="47">
        <v>7571</v>
      </c>
      <c r="E9" s="47">
        <v>7597</v>
      </c>
      <c r="F9" s="47">
        <v>7623</v>
      </c>
      <c r="G9" s="47">
        <v>7649</v>
      </c>
      <c r="H9" s="47">
        <v>7904</v>
      </c>
      <c r="I9" s="47">
        <v>7713</v>
      </c>
      <c r="J9" s="47">
        <v>7728</v>
      </c>
      <c r="K9" s="47">
        <v>7888</v>
      </c>
      <c r="L9" s="47">
        <v>7858</v>
      </c>
    </row>
    <row r="10" spans="1:12" ht="14.45" x14ac:dyDescent="0.35">
      <c r="A10" s="17" t="s">
        <v>2</v>
      </c>
      <c r="B10" s="17" t="s">
        <v>101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</row>
    <row r="11" spans="1:12" ht="14.45" x14ac:dyDescent="0.35">
      <c r="A11" s="17" t="s">
        <v>3</v>
      </c>
      <c r="B11" s="17" t="s">
        <v>101</v>
      </c>
      <c r="C11" s="47">
        <v>4844</v>
      </c>
      <c r="D11" s="47">
        <v>5354</v>
      </c>
      <c r="E11" s="47">
        <v>5534</v>
      </c>
      <c r="F11" s="47">
        <v>5706</v>
      </c>
      <c r="G11" s="47">
        <v>5864</v>
      </c>
      <c r="H11" s="47">
        <v>5864</v>
      </c>
      <c r="I11" s="47">
        <v>6104</v>
      </c>
      <c r="J11" s="47">
        <v>6104</v>
      </c>
      <c r="K11" s="47">
        <v>5540</v>
      </c>
      <c r="L11" s="47">
        <v>5450</v>
      </c>
    </row>
    <row r="12" spans="1:12" ht="14.45" x14ac:dyDescent="0.35">
      <c r="A12" s="17" t="s">
        <v>4</v>
      </c>
      <c r="B12" s="17" t="s">
        <v>101</v>
      </c>
      <c r="C12" s="33">
        <v>6316.4999694824219</v>
      </c>
      <c r="D12" s="33">
        <v>6992.2999572753906</v>
      </c>
      <c r="E12" s="33">
        <v>7193.9999542236328</v>
      </c>
      <c r="F12" s="33">
        <v>7193.9999542236328</v>
      </c>
      <c r="G12" s="33">
        <v>7291.9999542236328</v>
      </c>
      <c r="H12" s="33">
        <v>7619.5999603271484</v>
      </c>
      <c r="I12" s="33">
        <v>7792.9999542236328</v>
      </c>
      <c r="J12" s="33">
        <v>7792.9999542236301</v>
      </c>
      <c r="K12" s="33">
        <v>8041.9</v>
      </c>
      <c r="L12" s="89">
        <v>8051.5</v>
      </c>
    </row>
    <row r="13" spans="1:12" ht="14.45" x14ac:dyDescent="0.35">
      <c r="A13" s="17" t="s">
        <v>10</v>
      </c>
      <c r="B13" s="17" t="s">
        <v>101</v>
      </c>
      <c r="C13" s="47">
        <v>2622.58</v>
      </c>
      <c r="D13" s="47">
        <v>2732.26</v>
      </c>
      <c r="E13" s="47">
        <v>2714.4</v>
      </c>
      <c r="F13" s="47">
        <v>2680.4</v>
      </c>
      <c r="G13" s="47">
        <v>2744.4</v>
      </c>
      <c r="H13" s="47">
        <v>2881.4</v>
      </c>
      <c r="I13" s="47">
        <v>3105.4</v>
      </c>
      <c r="J13" s="47">
        <v>3330.15</v>
      </c>
      <c r="K13" s="47">
        <v>3266.15</v>
      </c>
      <c r="L13" s="47">
        <v>3329.15</v>
      </c>
    </row>
    <row r="14" spans="1:12" ht="14.45" x14ac:dyDescent="0.35">
      <c r="A14" s="17" t="s">
        <v>5</v>
      </c>
      <c r="B14" s="17" t="s">
        <v>101</v>
      </c>
      <c r="C14" s="47">
        <v>1541</v>
      </c>
      <c r="D14" s="47">
        <v>1661</v>
      </c>
      <c r="E14" s="47">
        <v>1836</v>
      </c>
      <c r="F14" s="47">
        <v>1836</v>
      </c>
      <c r="G14" s="47">
        <v>1866</v>
      </c>
      <c r="H14" s="47">
        <v>1971</v>
      </c>
      <c r="I14" s="47">
        <v>2001</v>
      </c>
      <c r="J14" s="47">
        <v>2031</v>
      </c>
      <c r="K14" s="47">
        <v>2081</v>
      </c>
      <c r="L14" s="47">
        <v>2131</v>
      </c>
    </row>
    <row r="15" spans="1:12" ht="14.45" x14ac:dyDescent="0.35">
      <c r="A15" s="17" t="s">
        <v>6</v>
      </c>
      <c r="B15" s="17" t="s">
        <v>101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</row>
    <row r="16" spans="1:12" ht="14.45" x14ac:dyDescent="0.35">
      <c r="A16" s="17" t="s">
        <v>7</v>
      </c>
      <c r="B16" s="17" t="s">
        <v>101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</row>
    <row r="17" spans="1:12" ht="14.45" x14ac:dyDescent="0.35">
      <c r="A17" s="17" t="s">
        <v>8</v>
      </c>
      <c r="B17" s="17" t="s">
        <v>101</v>
      </c>
      <c r="C17" s="47">
        <v>310.8</v>
      </c>
      <c r="D17" s="47">
        <v>310.8</v>
      </c>
      <c r="E17" s="47">
        <v>310.8</v>
      </c>
      <c r="F17" s="47">
        <v>328.8</v>
      </c>
      <c r="G17" s="47">
        <v>346.3</v>
      </c>
      <c r="H17" s="47">
        <v>351.3</v>
      </c>
      <c r="I17" s="47">
        <v>351.3</v>
      </c>
      <c r="J17" s="47">
        <v>351.3</v>
      </c>
      <c r="K17" s="47">
        <v>326.10000000000002</v>
      </c>
      <c r="L17" s="47">
        <v>301.10000000000002</v>
      </c>
    </row>
    <row r="18" spans="1:12" ht="14.45" x14ac:dyDescent="0.35">
      <c r="A18" s="17" t="s">
        <v>73</v>
      </c>
      <c r="B18" s="17" t="s">
        <v>101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</row>
    <row r="19" spans="1:12" ht="14.45" x14ac:dyDescent="0.35">
      <c r="A19" s="17" t="s">
        <v>54</v>
      </c>
      <c r="B19" s="17" t="s">
        <v>101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</row>
    <row r="20" spans="1:12" ht="14.45" x14ac:dyDescent="0.35">
      <c r="A20" s="17" t="s">
        <v>9</v>
      </c>
      <c r="B20" s="17" t="s">
        <v>101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</row>
    <row r="22" spans="1:12" ht="14.45" x14ac:dyDescent="0.35">
      <c r="A22" t="s">
        <v>148</v>
      </c>
    </row>
    <row r="24" spans="1:12" ht="14.45" x14ac:dyDescent="0.35">
      <c r="A24" s="2"/>
      <c r="B24" s="2"/>
      <c r="C24" s="2">
        <v>2006</v>
      </c>
      <c r="D24" s="2">
        <v>2007</v>
      </c>
      <c r="E24" s="2">
        <v>2008</v>
      </c>
      <c r="F24" s="2">
        <v>2009</v>
      </c>
      <c r="G24" s="2">
        <v>2010</v>
      </c>
      <c r="H24" s="2">
        <v>2011</v>
      </c>
      <c r="I24" s="2">
        <v>2012</v>
      </c>
      <c r="J24" s="2">
        <v>2013</v>
      </c>
      <c r="K24" s="2">
        <v>2014</v>
      </c>
      <c r="L24" s="2">
        <v>2015</v>
      </c>
    </row>
    <row r="25" spans="1:12" ht="14.45" x14ac:dyDescent="0.35">
      <c r="A25" s="17" t="s">
        <v>1</v>
      </c>
      <c r="B25" s="17" t="s">
        <v>101</v>
      </c>
      <c r="C25" s="47">
        <v>1343</v>
      </c>
      <c r="D25" s="47">
        <v>1343</v>
      </c>
      <c r="E25" s="47">
        <v>1348</v>
      </c>
      <c r="F25" s="47">
        <v>1363</v>
      </c>
      <c r="G25" s="47">
        <v>1363</v>
      </c>
      <c r="H25" s="47">
        <v>1418</v>
      </c>
      <c r="I25" s="47">
        <v>1418</v>
      </c>
      <c r="J25" s="47">
        <v>1426</v>
      </c>
      <c r="K25" s="47">
        <v>1478</v>
      </c>
      <c r="L25" s="47">
        <v>1478</v>
      </c>
    </row>
    <row r="26" spans="1:12" ht="14.45" x14ac:dyDescent="0.35">
      <c r="A26" s="17" t="s">
        <v>78</v>
      </c>
      <c r="B26" s="17" t="s">
        <v>101</v>
      </c>
      <c r="C26" s="47">
        <v>19349.5</v>
      </c>
      <c r="D26" s="47">
        <v>19869.5</v>
      </c>
      <c r="E26" s="47">
        <v>20426</v>
      </c>
      <c r="F26" s="47">
        <v>21523.5</v>
      </c>
      <c r="G26" s="47">
        <v>22622</v>
      </c>
      <c r="H26" s="47">
        <v>23366.5</v>
      </c>
      <c r="I26" s="47">
        <v>24053</v>
      </c>
      <c r="J26" s="47">
        <v>24930</v>
      </c>
      <c r="K26" s="47">
        <v>25649</v>
      </c>
      <c r="L26" s="47">
        <v>25956</v>
      </c>
    </row>
    <row r="27" spans="1:12" ht="14.45" x14ac:dyDescent="0.35">
      <c r="A27" s="17" t="s">
        <v>2</v>
      </c>
      <c r="B27" s="17" t="s">
        <v>101</v>
      </c>
      <c r="C27" s="47">
        <v>2511.9</v>
      </c>
      <c r="D27" s="47">
        <v>2525.4</v>
      </c>
      <c r="E27" s="47">
        <v>2525.4</v>
      </c>
      <c r="F27" s="47">
        <v>2520</v>
      </c>
      <c r="G27" s="47">
        <v>2630</v>
      </c>
      <c r="H27" s="47">
        <v>2685</v>
      </c>
      <c r="I27" s="47">
        <v>2740</v>
      </c>
      <c r="J27" s="47">
        <v>2740</v>
      </c>
      <c r="K27" s="47">
        <v>2826.9</v>
      </c>
      <c r="L27" s="47">
        <v>2777</v>
      </c>
    </row>
    <row r="28" spans="1:12" ht="14.45" x14ac:dyDescent="0.35">
      <c r="A28" s="17" t="s">
        <v>3</v>
      </c>
      <c r="B28" s="17" t="s">
        <v>101</v>
      </c>
      <c r="C28" s="47">
        <v>11766</v>
      </c>
      <c r="D28" s="47">
        <v>12846</v>
      </c>
      <c r="E28" s="47">
        <v>13226.5</v>
      </c>
      <c r="F28" s="47">
        <v>13593.75</v>
      </c>
      <c r="G28" s="47">
        <v>14053.75</v>
      </c>
      <c r="H28" s="47">
        <v>14069.5</v>
      </c>
      <c r="I28" s="47">
        <v>14566</v>
      </c>
      <c r="J28" s="47">
        <v>15121</v>
      </c>
      <c r="K28" s="47">
        <v>15353.5</v>
      </c>
      <c r="L28" s="47">
        <v>15196.5</v>
      </c>
    </row>
    <row r="29" spans="1:12" ht="14.45" x14ac:dyDescent="0.35">
      <c r="A29" s="17" t="s">
        <v>4</v>
      </c>
      <c r="B29" s="17" t="s">
        <v>101</v>
      </c>
      <c r="C29" s="33">
        <v>16240.399970412254</v>
      </c>
      <c r="D29" s="33">
        <v>17553.99996316433</v>
      </c>
      <c r="E29" s="33">
        <v>17870.799960494041</v>
      </c>
      <c r="F29" s="33">
        <v>18129.39996278286</v>
      </c>
      <c r="G29" s="33">
        <v>18410.79996240139</v>
      </c>
      <c r="H29" s="33">
        <v>19028.099969267845</v>
      </c>
      <c r="I29" s="33">
        <v>19362.19996087551</v>
      </c>
      <c r="J29" s="33">
        <v>19642.899960875508</v>
      </c>
      <c r="K29" s="33">
        <v>20119.199999999997</v>
      </c>
      <c r="L29" s="89">
        <v>20980.400000000001</v>
      </c>
    </row>
    <row r="30" spans="1:12" ht="14.45" x14ac:dyDescent="0.35">
      <c r="A30" s="17" t="s">
        <v>10</v>
      </c>
      <c r="B30" s="17" t="s">
        <v>101</v>
      </c>
      <c r="C30" s="47">
        <v>7093.9629999999997</v>
      </c>
      <c r="D30" s="47">
        <v>7344.6229999999996</v>
      </c>
      <c r="E30" s="47">
        <v>7294.5709999999999</v>
      </c>
      <c r="F30" s="47">
        <v>7270.3310000000001</v>
      </c>
      <c r="G30" s="47">
        <v>7887.1210000000001</v>
      </c>
      <c r="H30" s="47">
        <v>8183.0309999999999</v>
      </c>
      <c r="I30" s="47">
        <v>8673.9310000000005</v>
      </c>
      <c r="J30" s="47">
        <v>9052.6129999999994</v>
      </c>
      <c r="K30" s="47">
        <v>9442.125</v>
      </c>
      <c r="L30" s="47">
        <v>9407.0930000000008</v>
      </c>
    </row>
    <row r="31" spans="1:12" ht="14.45" x14ac:dyDescent="0.35">
      <c r="A31" s="17" t="s">
        <v>5</v>
      </c>
      <c r="B31" s="17" t="s">
        <v>101</v>
      </c>
      <c r="C31" s="47">
        <v>8075.15</v>
      </c>
      <c r="D31" s="47">
        <v>8787.15</v>
      </c>
      <c r="E31" s="47">
        <v>9447.15</v>
      </c>
      <c r="F31" s="47">
        <v>9617.15</v>
      </c>
      <c r="G31" s="47">
        <v>10209.65</v>
      </c>
      <c r="H31" s="47">
        <v>10500.65</v>
      </c>
      <c r="I31" s="47">
        <v>10846.65</v>
      </c>
      <c r="J31" s="47">
        <v>10945.15</v>
      </c>
      <c r="K31" s="47">
        <v>10921.6</v>
      </c>
      <c r="L31" s="47">
        <v>11297.1</v>
      </c>
    </row>
    <row r="32" spans="1:12" ht="14.45" x14ac:dyDescent="0.35">
      <c r="A32" s="17" t="s">
        <v>6</v>
      </c>
      <c r="B32" s="17" t="s">
        <v>101</v>
      </c>
      <c r="C32" s="47">
        <v>1474</v>
      </c>
      <c r="D32" s="47">
        <v>1458</v>
      </c>
      <c r="E32" s="47">
        <v>1524</v>
      </c>
      <c r="F32" s="47">
        <v>1557</v>
      </c>
      <c r="G32" s="47">
        <v>1563</v>
      </c>
      <c r="H32" s="47">
        <v>1593.3</v>
      </c>
      <c r="I32" s="47">
        <v>1633.3</v>
      </c>
      <c r="J32" s="47">
        <v>1633.3</v>
      </c>
      <c r="K32" s="47">
        <v>1644.3</v>
      </c>
      <c r="L32" s="47">
        <v>1791</v>
      </c>
    </row>
    <row r="33" spans="1:34" ht="14.45" x14ac:dyDescent="0.35">
      <c r="A33" s="17" t="s">
        <v>7</v>
      </c>
      <c r="B33" s="17" t="s">
        <v>101</v>
      </c>
      <c r="C33" s="47">
        <v>2663</v>
      </c>
      <c r="D33" s="47">
        <v>2791.8</v>
      </c>
      <c r="E33" s="47">
        <v>2862</v>
      </c>
      <c r="F33" s="47">
        <v>2893</v>
      </c>
      <c r="G33" s="47">
        <v>2903</v>
      </c>
      <c r="H33" s="47">
        <v>2947</v>
      </c>
      <c r="I33" s="47">
        <v>3058.5</v>
      </c>
      <c r="J33" s="47">
        <v>3197</v>
      </c>
      <c r="K33" s="47">
        <v>3349</v>
      </c>
      <c r="L33" s="47">
        <v>3291.5</v>
      </c>
    </row>
    <row r="34" spans="1:34" ht="14.45" x14ac:dyDescent="0.35">
      <c r="A34" s="17" t="s">
        <v>8</v>
      </c>
      <c r="B34" s="17" t="s">
        <v>101</v>
      </c>
      <c r="C34" s="47">
        <v>4532.1600000000017</v>
      </c>
      <c r="D34" s="47">
        <v>4699.9600000000019</v>
      </c>
      <c r="E34" s="47">
        <v>4677.9550000000017</v>
      </c>
      <c r="F34" s="47">
        <v>4825.6050000000014</v>
      </c>
      <c r="G34" s="47">
        <v>5089.3050000000012</v>
      </c>
      <c r="H34" s="47">
        <v>5143.8900000000021</v>
      </c>
      <c r="I34" s="47">
        <v>5396.2900000000018</v>
      </c>
      <c r="J34" s="47">
        <v>5559.6900000000014</v>
      </c>
      <c r="K34" s="47">
        <v>5689.590000000002</v>
      </c>
      <c r="L34" s="47">
        <v>5757.4550000000027</v>
      </c>
    </row>
    <row r="35" spans="1:34" ht="14.45" x14ac:dyDescent="0.35">
      <c r="A35" s="17" t="s">
        <v>73</v>
      </c>
      <c r="B35" s="17" t="s">
        <v>101</v>
      </c>
      <c r="C35" s="47">
        <v>2700.75</v>
      </c>
      <c r="D35" s="47">
        <v>2738.75</v>
      </c>
      <c r="E35" s="47">
        <v>2816.75</v>
      </c>
      <c r="F35" s="47">
        <v>2965.25</v>
      </c>
      <c r="G35" s="47">
        <v>3130.25</v>
      </c>
      <c r="H35" s="47">
        <v>3163.25</v>
      </c>
      <c r="I35" s="47">
        <v>3249.25</v>
      </c>
      <c r="J35" s="47">
        <v>3334.75</v>
      </c>
      <c r="K35" s="47">
        <v>3214</v>
      </c>
      <c r="L35" s="47">
        <v>3445.5</v>
      </c>
    </row>
    <row r="36" spans="1:34" ht="14.45" x14ac:dyDescent="0.35">
      <c r="A36" s="17" t="s">
        <v>54</v>
      </c>
      <c r="B36" s="17" t="s">
        <v>101</v>
      </c>
      <c r="C36" s="47">
        <v>495</v>
      </c>
      <c r="D36" s="47">
        <v>495</v>
      </c>
      <c r="E36" s="47">
        <v>535</v>
      </c>
      <c r="F36" s="47">
        <v>575</v>
      </c>
      <c r="G36" s="47">
        <v>575</v>
      </c>
      <c r="H36" s="47">
        <v>675</v>
      </c>
      <c r="I36" s="47">
        <v>675</v>
      </c>
      <c r="J36" s="47">
        <v>675</v>
      </c>
      <c r="K36" s="47">
        <v>675</v>
      </c>
      <c r="L36" s="47">
        <v>675</v>
      </c>
    </row>
    <row r="37" spans="1:34" ht="14.45" x14ac:dyDescent="0.35">
      <c r="A37" s="17" t="s">
        <v>9</v>
      </c>
      <c r="B37" s="17" t="s">
        <v>101</v>
      </c>
      <c r="C37" s="47">
        <v>2752</v>
      </c>
      <c r="D37" s="47">
        <v>2842</v>
      </c>
      <c r="E37" s="47">
        <v>2923</v>
      </c>
      <c r="F37" s="47">
        <v>2963</v>
      </c>
      <c r="G37" s="47">
        <v>2998</v>
      </c>
      <c r="H37" s="47">
        <v>3062</v>
      </c>
      <c r="I37" s="47">
        <v>3125</v>
      </c>
      <c r="J37" s="47">
        <v>3258</v>
      </c>
      <c r="K37" s="47">
        <v>3357</v>
      </c>
      <c r="L37" s="47">
        <v>3357</v>
      </c>
    </row>
    <row r="39" spans="1:34" s="2" customFormat="1" ht="14.45" x14ac:dyDescent="0.35">
      <c r="A39" s="23" t="s">
        <v>150</v>
      </c>
    </row>
    <row r="41" spans="1:34" ht="14.45" x14ac:dyDescent="0.35">
      <c r="A41" s="2"/>
      <c r="B41" s="2"/>
      <c r="C41" s="2">
        <v>2006</v>
      </c>
      <c r="D41" s="2">
        <v>2007</v>
      </c>
      <c r="E41" s="2">
        <v>2008</v>
      </c>
      <c r="F41" s="2">
        <v>2009</v>
      </c>
      <c r="G41" s="2">
        <v>2010</v>
      </c>
      <c r="H41" s="2">
        <v>2011</v>
      </c>
      <c r="I41" s="2">
        <v>2012</v>
      </c>
      <c r="J41" s="2">
        <v>2013</v>
      </c>
      <c r="K41" s="2">
        <v>2014</v>
      </c>
      <c r="L41" s="2">
        <v>2015</v>
      </c>
      <c r="N41" s="2"/>
      <c r="O41" s="2"/>
      <c r="AC41" s="2"/>
      <c r="AD41" s="2"/>
      <c r="AE41" s="2"/>
      <c r="AF41" s="2"/>
      <c r="AG41" s="2"/>
      <c r="AH41" s="2"/>
    </row>
    <row r="42" spans="1:34" ht="14.45" x14ac:dyDescent="0.35">
      <c r="A42" s="17" t="s">
        <v>1</v>
      </c>
      <c r="B42" s="17" t="s">
        <v>149</v>
      </c>
      <c r="C42" s="91">
        <f>C8/C25*100</f>
        <v>0</v>
      </c>
      <c r="D42" s="91">
        <f t="shared" ref="D42:L42" si="0">D8/D25*100</f>
        <v>0</v>
      </c>
      <c r="E42" s="91">
        <f t="shared" si="0"/>
        <v>0</v>
      </c>
      <c r="F42" s="91">
        <f t="shared" si="0"/>
        <v>0</v>
      </c>
      <c r="G42" s="91">
        <f t="shared" si="0"/>
        <v>0</v>
      </c>
      <c r="H42" s="91">
        <f t="shared" si="0"/>
        <v>0</v>
      </c>
      <c r="I42" s="91">
        <f t="shared" si="0"/>
        <v>0</v>
      </c>
      <c r="J42" s="91">
        <f t="shared" si="0"/>
        <v>0</v>
      </c>
      <c r="K42" s="91">
        <f t="shared" si="0"/>
        <v>0</v>
      </c>
      <c r="L42" s="91">
        <f t="shared" si="0"/>
        <v>0</v>
      </c>
      <c r="AC42" s="90"/>
      <c r="AD42" s="90"/>
      <c r="AE42" s="90"/>
      <c r="AF42" s="90"/>
      <c r="AG42" s="90"/>
      <c r="AH42" s="90"/>
    </row>
    <row r="43" spans="1:34" ht="14.45" x14ac:dyDescent="0.35">
      <c r="A43" s="33" t="s">
        <v>78</v>
      </c>
      <c r="B43" s="33" t="s">
        <v>149</v>
      </c>
      <c r="C43" s="91">
        <f t="shared" ref="C43:L43" si="1">C9/C26*100</f>
        <v>38.993255639680612</v>
      </c>
      <c r="D43" s="91">
        <f t="shared" si="1"/>
        <v>38.103626160698553</v>
      </c>
      <c r="E43" s="91">
        <f t="shared" si="1"/>
        <v>37.192793498482324</v>
      </c>
      <c r="F43" s="91">
        <f t="shared" si="1"/>
        <v>35.417102237089694</v>
      </c>
      <c r="G43" s="91">
        <f t="shared" si="1"/>
        <v>33.812218194677747</v>
      </c>
      <c r="H43" s="91">
        <f t="shared" si="1"/>
        <v>33.826204181199579</v>
      </c>
      <c r="I43" s="91">
        <f t="shared" si="1"/>
        <v>32.066686068265916</v>
      </c>
      <c r="J43" s="91">
        <f t="shared" si="1"/>
        <v>30.998796630565582</v>
      </c>
      <c r="K43" s="91">
        <f t="shared" si="1"/>
        <v>30.753635619322388</v>
      </c>
      <c r="L43" s="91">
        <f t="shared" si="1"/>
        <v>30.27431037139775</v>
      </c>
      <c r="AC43" s="90"/>
      <c r="AD43" s="90"/>
      <c r="AE43" s="90"/>
      <c r="AF43" s="90"/>
      <c r="AG43" s="90"/>
      <c r="AH43" s="90"/>
    </row>
    <row r="44" spans="1:34" ht="14.45" x14ac:dyDescent="0.35">
      <c r="A44" s="33" t="s">
        <v>2</v>
      </c>
      <c r="B44" s="33" t="s">
        <v>149</v>
      </c>
      <c r="C44" s="91">
        <f t="shared" ref="C44:L44" si="2">C10/C27*100</f>
        <v>0</v>
      </c>
      <c r="D44" s="91">
        <f t="shared" si="2"/>
        <v>0</v>
      </c>
      <c r="E44" s="91">
        <f t="shared" si="2"/>
        <v>0</v>
      </c>
      <c r="F44" s="91">
        <f t="shared" si="2"/>
        <v>0</v>
      </c>
      <c r="G44" s="91">
        <f t="shared" si="2"/>
        <v>0</v>
      </c>
      <c r="H44" s="91">
        <f t="shared" si="2"/>
        <v>0</v>
      </c>
      <c r="I44" s="91">
        <f t="shared" si="2"/>
        <v>0</v>
      </c>
      <c r="J44" s="91">
        <f t="shared" si="2"/>
        <v>0</v>
      </c>
      <c r="K44" s="91">
        <f t="shared" si="2"/>
        <v>0</v>
      </c>
      <c r="L44" s="91">
        <f t="shared" si="2"/>
        <v>0</v>
      </c>
      <c r="AC44" s="90"/>
      <c r="AD44" s="90"/>
      <c r="AE44" s="90"/>
      <c r="AF44" s="90"/>
      <c r="AG44" s="90"/>
      <c r="AH44" s="90"/>
    </row>
    <row r="45" spans="1:34" x14ac:dyDescent="0.25">
      <c r="A45" s="33" t="s">
        <v>3</v>
      </c>
      <c r="B45" s="33" t="s">
        <v>149</v>
      </c>
      <c r="C45" s="91">
        <f t="shared" ref="C45:L45" si="3">C11/C28*100</f>
        <v>41.169471358150602</v>
      </c>
      <c r="D45" s="91">
        <f t="shared" si="3"/>
        <v>41.678343453215014</v>
      </c>
      <c r="E45" s="91">
        <f t="shared" si="3"/>
        <v>41.840244962764153</v>
      </c>
      <c r="F45" s="91">
        <f t="shared" si="3"/>
        <v>41.975172413793103</v>
      </c>
      <c r="G45" s="91">
        <f t="shared" si="3"/>
        <v>41.725518100151206</v>
      </c>
      <c r="H45" s="91">
        <f t="shared" si="3"/>
        <v>41.678808770745228</v>
      </c>
      <c r="I45" s="91">
        <f t="shared" si="3"/>
        <v>41.905808046134837</v>
      </c>
      <c r="J45" s="91">
        <f t="shared" si="3"/>
        <v>40.367700548905496</v>
      </c>
      <c r="K45" s="91">
        <f t="shared" si="3"/>
        <v>36.082977822646299</v>
      </c>
      <c r="L45" s="91">
        <f t="shared" si="3"/>
        <v>35.863521205540749</v>
      </c>
      <c r="AC45" s="90"/>
      <c r="AD45" s="90"/>
      <c r="AE45" s="90"/>
      <c r="AF45" s="90"/>
      <c r="AG45" s="90"/>
      <c r="AH45" s="90"/>
    </row>
    <row r="46" spans="1:34" x14ac:dyDescent="0.25">
      <c r="A46" s="33" t="s">
        <v>4</v>
      </c>
      <c r="B46" s="33" t="s">
        <v>149</v>
      </c>
      <c r="C46" s="91">
        <f t="shared" ref="C46:L46" si="4">C12/C29*100</f>
        <v>38.893746342394302</v>
      </c>
      <c r="D46" s="91">
        <f t="shared" si="4"/>
        <v>39.83308631621383</v>
      </c>
      <c r="E46" s="91">
        <f t="shared" si="4"/>
        <v>40.255612340393263</v>
      </c>
      <c r="F46" s="91">
        <f t="shared" si="4"/>
        <v>39.681401309430626</v>
      </c>
      <c r="G46" s="91">
        <f t="shared" si="4"/>
        <v>39.60718691808821</v>
      </c>
      <c r="H46" s="91">
        <f t="shared" si="4"/>
        <v>40.043934878592779</v>
      </c>
      <c r="I46" s="91">
        <f t="shared" si="4"/>
        <v>40.24852532238414</v>
      </c>
      <c r="J46" s="91">
        <f t="shared" si="4"/>
        <v>39.673367831357048</v>
      </c>
      <c r="K46" s="91">
        <f t="shared" si="4"/>
        <v>39.971271223507898</v>
      </c>
      <c r="L46" s="91">
        <f t="shared" si="4"/>
        <v>38.376294064936793</v>
      </c>
      <c r="AC46" s="90"/>
      <c r="AD46" s="90"/>
      <c r="AE46" s="90"/>
      <c r="AF46" s="90"/>
      <c r="AG46" s="90"/>
      <c r="AH46" s="90"/>
    </row>
    <row r="47" spans="1:34" x14ac:dyDescent="0.25">
      <c r="A47" s="33" t="s">
        <v>10</v>
      </c>
      <c r="B47" s="33" t="s">
        <v>149</v>
      </c>
      <c r="C47" s="91">
        <f t="shared" ref="C47:L47" si="5">C13/C30*100</f>
        <v>36.96918069631883</v>
      </c>
      <c r="D47" s="91">
        <f t="shared" si="5"/>
        <v>37.200820246321705</v>
      </c>
      <c r="E47" s="91">
        <f t="shared" si="5"/>
        <v>37.211235588768687</v>
      </c>
      <c r="F47" s="91">
        <f t="shared" si="5"/>
        <v>36.867647428982259</v>
      </c>
      <c r="G47" s="91">
        <f t="shared" si="5"/>
        <v>34.795966741222813</v>
      </c>
      <c r="H47" s="91">
        <f t="shared" si="5"/>
        <v>35.211891535055898</v>
      </c>
      <c r="I47" s="91">
        <f t="shared" si="5"/>
        <v>35.801529894577214</v>
      </c>
      <c r="J47" s="91">
        <f t="shared" si="5"/>
        <v>36.786616195787893</v>
      </c>
      <c r="K47" s="91">
        <f t="shared" si="5"/>
        <v>34.591259912360833</v>
      </c>
      <c r="L47" s="91">
        <f t="shared" si="5"/>
        <v>35.389785133409433</v>
      </c>
      <c r="AC47" s="90"/>
      <c r="AD47" s="90"/>
      <c r="AE47" s="90"/>
      <c r="AF47" s="90"/>
      <c r="AG47" s="90"/>
      <c r="AH47" s="90"/>
    </row>
    <row r="48" spans="1:34" x14ac:dyDescent="0.25">
      <c r="A48" s="33" t="s">
        <v>5</v>
      </c>
      <c r="B48" s="33" t="s">
        <v>149</v>
      </c>
      <c r="C48" s="91">
        <f t="shared" ref="C48:L48" si="6">C14/C31*100</f>
        <v>19.083236843897637</v>
      </c>
      <c r="D48" s="91">
        <f t="shared" si="6"/>
        <v>18.902602095104783</v>
      </c>
      <c r="E48" s="91">
        <f t="shared" si="6"/>
        <v>19.434432606659151</v>
      </c>
      <c r="F48" s="91">
        <f t="shared" si="6"/>
        <v>19.090894911694214</v>
      </c>
      <c r="G48" s="91">
        <f t="shared" si="6"/>
        <v>18.276826335868517</v>
      </c>
      <c r="H48" s="91">
        <f t="shared" si="6"/>
        <v>18.770266602543654</v>
      </c>
      <c r="I48" s="91">
        <f t="shared" si="6"/>
        <v>18.448092268119652</v>
      </c>
      <c r="J48" s="91">
        <f t="shared" si="6"/>
        <v>18.556164145763194</v>
      </c>
      <c r="K48" s="91">
        <f t="shared" si="6"/>
        <v>19.053984764137123</v>
      </c>
      <c r="L48" s="91">
        <f t="shared" si="6"/>
        <v>18.863248090217844</v>
      </c>
      <c r="AC48" s="90"/>
      <c r="AD48" s="90"/>
      <c r="AE48" s="90"/>
      <c r="AF48" s="90"/>
      <c r="AG48" s="90"/>
      <c r="AH48" s="90"/>
    </row>
    <row r="49" spans="1:49" x14ac:dyDescent="0.25">
      <c r="A49" s="33" t="s">
        <v>6</v>
      </c>
      <c r="B49" s="33" t="s">
        <v>149</v>
      </c>
      <c r="C49" s="91">
        <f t="shared" ref="C49:L49" si="7">C15/C32*100</f>
        <v>0</v>
      </c>
      <c r="D49" s="91">
        <f t="shared" si="7"/>
        <v>0</v>
      </c>
      <c r="E49" s="91">
        <f t="shared" si="7"/>
        <v>0</v>
      </c>
      <c r="F49" s="91">
        <f t="shared" si="7"/>
        <v>0</v>
      </c>
      <c r="G49" s="91">
        <f t="shared" si="7"/>
        <v>0</v>
      </c>
      <c r="H49" s="91">
        <f t="shared" si="7"/>
        <v>0</v>
      </c>
      <c r="I49" s="91">
        <f t="shared" si="7"/>
        <v>0</v>
      </c>
      <c r="J49" s="91">
        <f t="shared" si="7"/>
        <v>0</v>
      </c>
      <c r="K49" s="91">
        <f t="shared" si="7"/>
        <v>0</v>
      </c>
      <c r="L49" s="91">
        <f t="shared" si="7"/>
        <v>0</v>
      </c>
      <c r="AC49" s="90"/>
      <c r="AD49" s="90"/>
      <c r="AE49" s="90"/>
      <c r="AF49" s="90"/>
      <c r="AG49" s="90"/>
      <c r="AH49" s="90"/>
    </row>
    <row r="50" spans="1:49" x14ac:dyDescent="0.25">
      <c r="A50" s="33" t="s">
        <v>7</v>
      </c>
      <c r="B50" s="33" t="s">
        <v>149</v>
      </c>
      <c r="C50" s="91">
        <f t="shared" ref="C50:L50" si="8">C16/C33*100</f>
        <v>0</v>
      </c>
      <c r="D50" s="91">
        <f t="shared" si="8"/>
        <v>0</v>
      </c>
      <c r="E50" s="91">
        <f t="shared" si="8"/>
        <v>0</v>
      </c>
      <c r="F50" s="91">
        <f t="shared" si="8"/>
        <v>0</v>
      </c>
      <c r="G50" s="91">
        <f t="shared" si="8"/>
        <v>0</v>
      </c>
      <c r="H50" s="91">
        <f t="shared" si="8"/>
        <v>0</v>
      </c>
      <c r="I50" s="91">
        <f t="shared" si="8"/>
        <v>0</v>
      </c>
      <c r="J50" s="91">
        <f t="shared" si="8"/>
        <v>0</v>
      </c>
      <c r="K50" s="91">
        <f t="shared" si="8"/>
        <v>0</v>
      </c>
      <c r="L50" s="91">
        <f t="shared" si="8"/>
        <v>0</v>
      </c>
      <c r="AC50" s="90"/>
      <c r="AD50" s="90"/>
      <c r="AE50" s="90"/>
      <c r="AF50" s="90"/>
      <c r="AG50" s="90"/>
      <c r="AH50" s="90"/>
    </row>
    <row r="51" spans="1:49" x14ac:dyDescent="0.25">
      <c r="A51" s="33" t="s">
        <v>8</v>
      </c>
      <c r="B51" s="33" t="s">
        <v>149</v>
      </c>
      <c r="C51" s="91">
        <f t="shared" ref="C51:L51" si="9">C17/C34*100</f>
        <v>6.857657276000845</v>
      </c>
      <c r="D51" s="91">
        <f t="shared" si="9"/>
        <v>6.612822236784992</v>
      </c>
      <c r="E51" s="91">
        <f t="shared" si="9"/>
        <v>6.6439288107730814</v>
      </c>
      <c r="F51" s="91">
        <f t="shared" si="9"/>
        <v>6.8136534175507508</v>
      </c>
      <c r="G51" s="91">
        <f t="shared" si="9"/>
        <v>6.8044654427274436</v>
      </c>
      <c r="H51" s="91">
        <f t="shared" si="9"/>
        <v>6.8294617497652528</v>
      </c>
      <c r="I51" s="91">
        <f t="shared" si="9"/>
        <v>6.5100281860315121</v>
      </c>
      <c r="J51" s="91">
        <f t="shared" si="9"/>
        <v>6.3186976252273039</v>
      </c>
      <c r="K51" s="91">
        <f t="shared" si="9"/>
        <v>5.7315201974131691</v>
      </c>
      <c r="L51" s="91">
        <f t="shared" si="9"/>
        <v>5.2297412658891798</v>
      </c>
      <c r="AC51" s="90"/>
      <c r="AD51" s="90"/>
      <c r="AE51" s="90"/>
      <c r="AF51" s="90"/>
      <c r="AG51" s="90"/>
      <c r="AH51" s="90"/>
    </row>
    <row r="52" spans="1:49" x14ac:dyDescent="0.25">
      <c r="A52" s="17" t="s">
        <v>73</v>
      </c>
      <c r="B52" s="17" t="s">
        <v>149</v>
      </c>
      <c r="C52" s="91">
        <f t="shared" ref="C52:L52" si="10">C18/C35*100</f>
        <v>0</v>
      </c>
      <c r="D52" s="91">
        <f t="shared" si="10"/>
        <v>0</v>
      </c>
      <c r="E52" s="91">
        <f t="shared" si="10"/>
        <v>0</v>
      </c>
      <c r="F52" s="91">
        <f t="shared" si="10"/>
        <v>0</v>
      </c>
      <c r="G52" s="91">
        <f t="shared" si="10"/>
        <v>0</v>
      </c>
      <c r="H52" s="91">
        <f t="shared" si="10"/>
        <v>0</v>
      </c>
      <c r="I52" s="91">
        <f t="shared" si="10"/>
        <v>0</v>
      </c>
      <c r="J52" s="91">
        <f t="shared" si="10"/>
        <v>0</v>
      </c>
      <c r="K52" s="91">
        <f t="shared" si="10"/>
        <v>0</v>
      </c>
      <c r="L52" s="91">
        <f t="shared" si="10"/>
        <v>0</v>
      </c>
      <c r="AC52" s="90"/>
      <c r="AD52" s="90"/>
      <c r="AE52" s="90"/>
      <c r="AF52" s="90"/>
      <c r="AG52" s="90"/>
      <c r="AH52" s="90"/>
    </row>
    <row r="53" spans="1:49" x14ac:dyDescent="0.25">
      <c r="A53" s="17" t="s">
        <v>54</v>
      </c>
      <c r="B53" s="17" t="s">
        <v>149</v>
      </c>
      <c r="C53" s="91">
        <f t="shared" ref="C53:L53" si="11">C19/C36*100</f>
        <v>0</v>
      </c>
      <c r="D53" s="91">
        <f t="shared" si="11"/>
        <v>0</v>
      </c>
      <c r="E53" s="91">
        <f t="shared" si="11"/>
        <v>0</v>
      </c>
      <c r="F53" s="91">
        <f t="shared" si="11"/>
        <v>0</v>
      </c>
      <c r="G53" s="91">
        <f t="shared" si="11"/>
        <v>0</v>
      </c>
      <c r="H53" s="91">
        <f t="shared" si="11"/>
        <v>0</v>
      </c>
      <c r="I53" s="91">
        <f t="shared" si="11"/>
        <v>0</v>
      </c>
      <c r="J53" s="91">
        <f t="shared" si="11"/>
        <v>0</v>
      </c>
      <c r="K53" s="91">
        <f t="shared" si="11"/>
        <v>0</v>
      </c>
      <c r="L53" s="91">
        <f t="shared" si="11"/>
        <v>0</v>
      </c>
      <c r="AC53" s="90"/>
      <c r="AD53" s="90"/>
      <c r="AE53" s="90"/>
      <c r="AF53" s="90"/>
      <c r="AG53" s="90"/>
      <c r="AH53" s="90"/>
    </row>
    <row r="54" spans="1:49" x14ac:dyDescent="0.25">
      <c r="A54" s="17" t="s">
        <v>9</v>
      </c>
      <c r="B54" s="17" t="s">
        <v>149</v>
      </c>
      <c r="C54" s="91">
        <f t="shared" ref="C54:L54" si="12">C20/C37*100</f>
        <v>0</v>
      </c>
      <c r="D54" s="91">
        <f t="shared" si="12"/>
        <v>0</v>
      </c>
      <c r="E54" s="91">
        <f t="shared" si="12"/>
        <v>0</v>
      </c>
      <c r="F54" s="91">
        <f t="shared" si="12"/>
        <v>0</v>
      </c>
      <c r="G54" s="91">
        <f t="shared" si="12"/>
        <v>0</v>
      </c>
      <c r="H54" s="91">
        <f t="shared" si="12"/>
        <v>0</v>
      </c>
      <c r="I54" s="91">
        <f t="shared" si="12"/>
        <v>0</v>
      </c>
      <c r="J54" s="91">
        <f t="shared" si="12"/>
        <v>0</v>
      </c>
      <c r="K54" s="91">
        <f t="shared" si="12"/>
        <v>0</v>
      </c>
      <c r="L54" s="91">
        <f t="shared" si="12"/>
        <v>0</v>
      </c>
      <c r="AC54" s="90"/>
      <c r="AD54" s="90"/>
      <c r="AE54" s="90"/>
      <c r="AF54" s="90"/>
      <c r="AG54" s="90"/>
      <c r="AH54" s="90"/>
    </row>
    <row r="55" spans="1:49" x14ac:dyDescent="0.25">
      <c r="AC55" s="90"/>
      <c r="AD55" s="90"/>
      <c r="AE55" s="90"/>
      <c r="AF55" s="90"/>
      <c r="AG55" s="90"/>
      <c r="AH55" s="90"/>
    </row>
    <row r="56" spans="1:49" x14ac:dyDescent="0.25">
      <c r="A56" s="42" t="s">
        <v>151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30"/>
      <c r="P56" s="42" t="s">
        <v>154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30"/>
      <c r="AB56" s="2"/>
    </row>
    <row r="57" spans="1:49" x14ac:dyDescent="0.25">
      <c r="A57" s="80" t="s">
        <v>100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P57" s="80" t="s">
        <v>100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49" x14ac:dyDescent="0.25">
      <c r="A58" s="2"/>
      <c r="B58" s="2"/>
      <c r="C58" s="2">
        <v>2006</v>
      </c>
      <c r="D58" s="2">
        <v>2007</v>
      </c>
      <c r="E58" s="2">
        <v>2008</v>
      </c>
      <c r="F58" s="2">
        <v>2009</v>
      </c>
      <c r="G58" s="2">
        <v>2010</v>
      </c>
      <c r="H58" s="2">
        <v>2011</v>
      </c>
      <c r="I58" s="2">
        <v>2012</v>
      </c>
      <c r="J58" s="2">
        <v>2013</v>
      </c>
      <c r="K58" s="2">
        <v>2014</v>
      </c>
      <c r="L58" s="2">
        <v>2015</v>
      </c>
      <c r="P58" s="2"/>
      <c r="Q58" s="2"/>
      <c r="R58" s="2">
        <v>2006</v>
      </c>
      <c r="S58" s="2">
        <v>2007</v>
      </c>
      <c r="T58" s="2">
        <v>2008</v>
      </c>
      <c r="U58" s="2">
        <v>2009</v>
      </c>
      <c r="V58" s="2">
        <v>2010</v>
      </c>
      <c r="W58" s="2">
        <v>2011</v>
      </c>
      <c r="X58" s="2">
        <v>2012</v>
      </c>
      <c r="Y58" s="2">
        <v>2013</v>
      </c>
      <c r="Z58" s="2">
        <v>2014</v>
      </c>
      <c r="AA58" s="2">
        <v>2015</v>
      </c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N58" s="2"/>
      <c r="AO58" s="2"/>
      <c r="AP58" s="2"/>
      <c r="AQ58" s="2"/>
      <c r="AR58" s="2"/>
      <c r="AS58" s="2"/>
      <c r="AT58" s="2"/>
      <c r="AU58" s="2"/>
      <c r="AV58" s="2"/>
      <c r="AW58" s="2"/>
    </row>
    <row r="59" spans="1:49" x14ac:dyDescent="0.25">
      <c r="A59" s="17" t="s">
        <v>1</v>
      </c>
      <c r="B59" s="17" t="s">
        <v>30</v>
      </c>
      <c r="C59" s="47"/>
      <c r="D59" s="47"/>
      <c r="E59" s="47"/>
      <c r="F59" s="47"/>
      <c r="G59" s="47"/>
      <c r="H59" s="47"/>
      <c r="I59" s="47"/>
      <c r="J59" s="47"/>
      <c r="K59" s="47"/>
      <c r="L59" s="47"/>
      <c r="P59" s="17" t="s">
        <v>1</v>
      </c>
      <c r="Q59" s="17" t="s">
        <v>30</v>
      </c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2"/>
      <c r="AN59" s="24"/>
      <c r="AO59" s="24"/>
      <c r="AP59" s="24"/>
      <c r="AQ59" s="24"/>
      <c r="AR59" s="24"/>
      <c r="AS59" s="24"/>
      <c r="AT59" s="24"/>
      <c r="AU59" s="24"/>
      <c r="AV59" s="24"/>
      <c r="AW59" s="24"/>
    </row>
    <row r="60" spans="1:49" x14ac:dyDescent="0.25">
      <c r="A60" s="17" t="s">
        <v>78</v>
      </c>
      <c r="B60" s="17" t="s">
        <v>30</v>
      </c>
      <c r="C60" s="47">
        <v>1296390.973</v>
      </c>
      <c r="D60" s="47">
        <v>1452766.9649999999</v>
      </c>
      <c r="E60" s="47">
        <v>1661340.5520000001</v>
      </c>
      <c r="F60" s="47">
        <v>1949125.8844999999</v>
      </c>
      <c r="G60" s="47">
        <v>2289245.9005000005</v>
      </c>
      <c r="H60" s="47">
        <v>2597157.1114999996</v>
      </c>
      <c r="I60" s="47">
        <v>2922562.3884999999</v>
      </c>
      <c r="J60" s="47">
        <v>3203386.9110000003</v>
      </c>
      <c r="K60" s="47">
        <v>3411020.9377134731</v>
      </c>
      <c r="L60" s="47">
        <v>3503035.1504996847</v>
      </c>
      <c r="P60" s="17" t="s">
        <v>78</v>
      </c>
      <c r="Q60" s="17" t="s">
        <v>30</v>
      </c>
      <c r="R60" s="47">
        <f>(C$43/100)*C60</f>
        <v>505505.04619163286</v>
      </c>
      <c r="S60" s="47">
        <f t="shared" ref="S60:AA60" si="13">(D$43/100)*D60</f>
        <v>553556.89332972642</v>
      </c>
      <c r="T60" s="47">
        <f t="shared" si="13"/>
        <v>617898.96081190638</v>
      </c>
      <c r="U60" s="47">
        <f t="shared" si="13"/>
        <v>690323.90724294377</v>
      </c>
      <c r="V60" s="47">
        <f t="shared" si="13"/>
        <v>774044.81888977555</v>
      </c>
      <c r="W60" s="47">
        <f t="shared" si="13"/>
        <v>878519.66744253505</v>
      </c>
      <c r="X60" s="47">
        <f t="shared" si="13"/>
        <v>937168.906269509</v>
      </c>
      <c r="Y60" s="47">
        <f t="shared" si="13"/>
        <v>993011.393831047</v>
      </c>
      <c r="Z60" s="47">
        <f t="shared" si="13"/>
        <v>1049012.9500831952</v>
      </c>
      <c r="AA60" s="47">
        <f t="shared" si="13"/>
        <v>1060519.7338814349</v>
      </c>
      <c r="AB60" s="2"/>
      <c r="AN60" s="24"/>
      <c r="AO60" s="24"/>
      <c r="AP60" s="24"/>
      <c r="AQ60" s="24"/>
      <c r="AR60" s="24"/>
      <c r="AS60" s="24"/>
      <c r="AT60" s="24"/>
      <c r="AU60" s="24"/>
      <c r="AV60" s="24"/>
      <c r="AW60" s="24"/>
    </row>
    <row r="61" spans="1:49" x14ac:dyDescent="0.25">
      <c r="A61" s="17" t="s">
        <v>2</v>
      </c>
      <c r="B61" s="17" t="s">
        <v>30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P61" s="17" t="s">
        <v>2</v>
      </c>
      <c r="Q61" s="17" t="s">
        <v>30</v>
      </c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2"/>
      <c r="AN61" s="24"/>
      <c r="AO61" s="24"/>
      <c r="AP61" s="24"/>
      <c r="AQ61" s="24"/>
      <c r="AR61" s="24"/>
      <c r="AS61" s="24"/>
      <c r="AT61" s="24"/>
      <c r="AU61" s="24"/>
      <c r="AV61" s="24"/>
      <c r="AW61" s="24"/>
    </row>
    <row r="62" spans="1:49" x14ac:dyDescent="0.25">
      <c r="A62" s="17" t="s">
        <v>3</v>
      </c>
      <c r="B62" s="17" t="s">
        <v>30</v>
      </c>
      <c r="C62" s="47">
        <v>641951.84497188556</v>
      </c>
      <c r="D62" s="47">
        <v>796921.06710264808</v>
      </c>
      <c r="E62" s="47">
        <v>960156.2564666901</v>
      </c>
      <c r="F62" s="47">
        <v>1165571.0113495197</v>
      </c>
      <c r="G62" s="47">
        <v>1390616.3576896591</v>
      </c>
      <c r="H62" s="47">
        <v>1614859.7145305811</v>
      </c>
      <c r="I62" s="47">
        <v>1941882.3609899008</v>
      </c>
      <c r="J62" s="47">
        <v>2279999.2574435649</v>
      </c>
      <c r="K62" s="47">
        <v>2508756.1573152118</v>
      </c>
      <c r="L62" s="47">
        <v>2285393.9829757642</v>
      </c>
      <c r="M62" s="35"/>
      <c r="P62" s="17" t="s">
        <v>3</v>
      </c>
      <c r="Q62" s="17" t="s">
        <v>30</v>
      </c>
      <c r="R62" s="47">
        <f>(C$45/100)*C62</f>
        <v>264288.18094881979</v>
      </c>
      <c r="S62" s="47">
        <f t="shared" ref="S62:AA62" si="14">(D$45/100)*D62</f>
        <v>332143.49939806777</v>
      </c>
      <c r="T62" s="47">
        <f t="shared" si="14"/>
        <v>401731.72973096912</v>
      </c>
      <c r="U62" s="47">
        <f t="shared" si="14"/>
        <v>489250.4416191529</v>
      </c>
      <c r="V62" s="47">
        <f t="shared" si="14"/>
        <v>580241.88003146218</v>
      </c>
      <c r="W62" s="47">
        <f t="shared" si="14"/>
        <v>673054.29233500327</v>
      </c>
      <c r="X62" s="47">
        <f t="shared" si="14"/>
        <v>813761.49467817892</v>
      </c>
      <c r="Y62" s="47">
        <f t="shared" si="14"/>
        <v>920383.27276208717</v>
      </c>
      <c r="Z62" s="47">
        <f t="shared" si="14"/>
        <v>905233.92786832142</v>
      </c>
      <c r="AA62" s="47">
        <f t="shared" si="14"/>
        <v>819622.75571466552</v>
      </c>
      <c r="AB62" s="2"/>
      <c r="AN62" s="24"/>
      <c r="AO62" s="24"/>
      <c r="AP62" s="24"/>
      <c r="AQ62" s="24"/>
      <c r="AR62" s="24"/>
      <c r="AS62" s="24"/>
      <c r="AT62" s="24"/>
      <c r="AU62" s="24"/>
      <c r="AV62" s="24"/>
      <c r="AW62" s="24"/>
    </row>
    <row r="63" spans="1:49" x14ac:dyDescent="0.25">
      <c r="A63" s="17" t="s">
        <v>4</v>
      </c>
      <c r="B63" s="17" t="s">
        <v>30</v>
      </c>
      <c r="C63" s="47">
        <v>1064586.902990496</v>
      </c>
      <c r="D63" s="47">
        <v>1203521.9747694018</v>
      </c>
      <c r="E63" s="47">
        <v>1349931.8864658102</v>
      </c>
      <c r="F63" s="47">
        <v>1527135.6227859654</v>
      </c>
      <c r="G63" s="47">
        <v>1765449.5605824122</v>
      </c>
      <c r="H63" s="47">
        <v>2019956.2129993045</v>
      </c>
      <c r="I63" s="47">
        <v>2235273.4210156333</v>
      </c>
      <c r="J63" s="47">
        <v>2426079.4471347304</v>
      </c>
      <c r="K63" s="47">
        <v>2640425.5666344049</v>
      </c>
      <c r="L63" s="47">
        <v>2739411.6319505502</v>
      </c>
      <c r="P63" s="17" t="s">
        <v>4</v>
      </c>
      <c r="Q63" s="17" t="s">
        <v>30</v>
      </c>
      <c r="R63" s="47">
        <f>(C$46/100)*C63</f>
        <v>414057.72964347486</v>
      </c>
      <c r="S63" s="47">
        <f t="shared" ref="S63:AA63" si="15">(D$46/100)*D63</f>
        <v>479399.94704449706</v>
      </c>
      <c r="T63" s="47">
        <f t="shared" si="15"/>
        <v>543423.34707503428</v>
      </c>
      <c r="U63" s="47">
        <f t="shared" si="15"/>
        <v>605988.81501697167</v>
      </c>
      <c r="V63" s="47">
        <f t="shared" si="15"/>
        <v>699244.9074044429</v>
      </c>
      <c r="W63" s="47">
        <f t="shared" si="15"/>
        <v>808869.95050953038</v>
      </c>
      <c r="X63" s="47">
        <f t="shared" si="15"/>
        <v>899664.58888199937</v>
      </c>
      <c r="Y63" s="47">
        <f t="shared" si="15"/>
        <v>962507.422942715</v>
      </c>
      <c r="Z63" s="47">
        <f t="shared" si="15"/>
        <v>1055411.6646942832</v>
      </c>
      <c r="AA63" s="47">
        <f t="shared" si="15"/>
        <v>1051284.6635264272</v>
      </c>
      <c r="AB63" s="2"/>
      <c r="AN63" s="24"/>
      <c r="AO63" s="24"/>
      <c r="AP63" s="24"/>
      <c r="AQ63" s="24"/>
      <c r="AR63" s="24"/>
      <c r="AS63" s="24"/>
      <c r="AT63" s="24"/>
      <c r="AU63" s="24"/>
      <c r="AV63" s="24"/>
      <c r="AW63" s="24"/>
    </row>
    <row r="64" spans="1:49" x14ac:dyDescent="0.25">
      <c r="A64" s="17" t="s">
        <v>10</v>
      </c>
      <c r="B64" s="17" t="s">
        <v>30</v>
      </c>
      <c r="C64" s="50">
        <v>643788.28620734857</v>
      </c>
      <c r="D64" s="50">
        <v>719397.91145408142</v>
      </c>
      <c r="E64" s="50">
        <v>852686.07009997149</v>
      </c>
      <c r="F64" s="50">
        <v>1034166.6355329596</v>
      </c>
      <c r="G64" s="50">
        <v>1196040.5544486537</v>
      </c>
      <c r="H64" s="50">
        <v>1313793.0046200235</v>
      </c>
      <c r="I64" s="50">
        <v>1393359.3684675992</v>
      </c>
      <c r="J64" s="50">
        <v>1464188.4245289564</v>
      </c>
      <c r="K64" s="47">
        <v>1569996.311663406</v>
      </c>
      <c r="L64" s="47">
        <v>1714798.0517001948</v>
      </c>
      <c r="P64" s="17" t="s">
        <v>10</v>
      </c>
      <c r="Q64" s="17" t="s">
        <v>30</v>
      </c>
      <c r="R64" s="47">
        <f>(C$47/100)*C64</f>
        <v>238003.25482972895</v>
      </c>
      <c r="S64" s="47">
        <f t="shared" ref="S64:AA64" si="16">(D$47/100)*D64</f>
        <v>267621.9238958254</v>
      </c>
      <c r="T64" s="47">
        <f t="shared" si="16"/>
        <v>317295.0223775137</v>
      </c>
      <c r="U64" s="47">
        <f t="shared" si="16"/>
        <v>381272.90901645948</v>
      </c>
      <c r="V64" s="47">
        <f t="shared" si="16"/>
        <v>416173.87353749044</v>
      </c>
      <c r="W64" s="47">
        <f t="shared" si="16"/>
        <v>462611.36778195464</v>
      </c>
      <c r="X64" s="47">
        <f t="shared" si="16"/>
        <v>498843.97084081982</v>
      </c>
      <c r="Y64" s="47">
        <f t="shared" si="16"/>
        <v>538625.37611462059</v>
      </c>
      <c r="Z64" s="47">
        <f t="shared" si="16"/>
        <v>543081.50478196738</v>
      </c>
      <c r="AA64" s="47">
        <f t="shared" si="16"/>
        <v>606863.34596859023</v>
      </c>
      <c r="AB64" s="2"/>
      <c r="AN64" s="24"/>
      <c r="AO64" s="24"/>
      <c r="AP64" s="24"/>
      <c r="AQ64" s="24"/>
      <c r="AR64" s="24"/>
      <c r="AS64" s="24"/>
      <c r="AT64" s="24"/>
      <c r="AU64" s="24"/>
      <c r="AV64" s="24"/>
      <c r="AW64" s="24"/>
    </row>
    <row r="65" spans="1:49" x14ac:dyDescent="0.25">
      <c r="A65" s="17" t="s">
        <v>5</v>
      </c>
      <c r="B65" s="17" t="s">
        <v>30</v>
      </c>
      <c r="C65" s="50">
        <v>367959.44253302703</v>
      </c>
      <c r="D65" s="50">
        <v>459563.97093092254</v>
      </c>
      <c r="E65" s="50">
        <v>595153.50103032449</v>
      </c>
      <c r="F65" s="50">
        <v>712980.16133201914</v>
      </c>
      <c r="G65" s="50">
        <v>831395.53296493343</v>
      </c>
      <c r="H65" s="50">
        <v>918804.31810920208</v>
      </c>
      <c r="I65" s="50">
        <v>1024927.8740779283</v>
      </c>
      <c r="J65" s="50">
        <v>1129858.410220156</v>
      </c>
      <c r="K65" s="93">
        <v>1160871.0221588679</v>
      </c>
      <c r="L65" s="47">
        <v>1231976.4744858674</v>
      </c>
      <c r="P65" s="17" t="s">
        <v>5</v>
      </c>
      <c r="Q65" s="17" t="s">
        <v>30</v>
      </c>
      <c r="R65" s="47">
        <f>(C$48/100)*C65</f>
        <v>70218.571908062979</v>
      </c>
      <c r="S65" s="47">
        <f t="shared" ref="S65:AA65" si="17">(D$48/100)*D65</f>
        <v>86869.548797535288</v>
      </c>
      <c r="T65" s="47">
        <f t="shared" si="17"/>
        <v>115664.70606391088</v>
      </c>
      <c r="U65" s="47">
        <f t="shared" si="17"/>
        <v>136114.29334112364</v>
      </c>
      <c r="V65" s="47">
        <f t="shared" si="17"/>
        <v>151952.71772416937</v>
      </c>
      <c r="W65" s="47">
        <f t="shared" si="17"/>
        <v>172462.02006478052</v>
      </c>
      <c r="X65" s="47">
        <f t="shared" si="17"/>
        <v>189079.6398915734</v>
      </c>
      <c r="Y65" s="47">
        <f t="shared" si="17"/>
        <v>209658.3812151626</v>
      </c>
      <c r="Z65" s="47">
        <f t="shared" si="17"/>
        <v>221192.18769343357</v>
      </c>
      <c r="AA65" s="47">
        <f t="shared" si="17"/>
        <v>232390.7787953885</v>
      </c>
      <c r="AB65" s="2"/>
      <c r="AN65" s="24"/>
      <c r="AO65" s="24"/>
      <c r="AP65" s="24"/>
      <c r="AQ65" s="24"/>
      <c r="AR65" s="24"/>
      <c r="AS65" s="24"/>
      <c r="AT65" s="24"/>
      <c r="AU65" s="24"/>
      <c r="AV65" s="24"/>
      <c r="AW65" s="24"/>
    </row>
    <row r="66" spans="1:49" x14ac:dyDescent="0.25">
      <c r="A66" s="17" t="s">
        <v>6</v>
      </c>
      <c r="B66" s="17" t="s">
        <v>30</v>
      </c>
      <c r="K66" s="47"/>
      <c r="L66" s="47"/>
      <c r="P66" s="17" t="s">
        <v>6</v>
      </c>
      <c r="Q66" s="17" t="s">
        <v>30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N66" s="24"/>
      <c r="AO66" s="24"/>
      <c r="AP66" s="24"/>
      <c r="AQ66" s="24"/>
      <c r="AR66" s="24"/>
      <c r="AS66" s="24"/>
      <c r="AT66" s="24"/>
      <c r="AU66" s="24"/>
      <c r="AV66" s="24"/>
      <c r="AW66" s="24"/>
    </row>
    <row r="67" spans="1:49" x14ac:dyDescent="0.25">
      <c r="A67" s="17" t="s">
        <v>7</v>
      </c>
      <c r="B67" s="17" t="s">
        <v>30</v>
      </c>
      <c r="C67" s="50"/>
      <c r="D67" s="47"/>
      <c r="E67" s="47"/>
      <c r="F67" s="47"/>
      <c r="G67" s="47"/>
      <c r="H67" s="47"/>
      <c r="I67" s="47"/>
      <c r="J67" s="47"/>
      <c r="K67" s="47"/>
      <c r="L67" s="47"/>
      <c r="P67" s="17" t="s">
        <v>7</v>
      </c>
      <c r="Q67" s="17" t="s">
        <v>30</v>
      </c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2"/>
      <c r="AN67" s="24"/>
      <c r="AO67" s="24"/>
      <c r="AP67" s="24"/>
      <c r="AQ67" s="24"/>
      <c r="AR67" s="24"/>
      <c r="AS67" s="24"/>
      <c r="AT67" s="24"/>
      <c r="AU67" s="24"/>
      <c r="AV67" s="24"/>
      <c r="AW67" s="24"/>
    </row>
    <row r="68" spans="1:49" x14ac:dyDescent="0.25">
      <c r="A68" s="17" t="s">
        <v>8</v>
      </c>
      <c r="B68" s="17" t="s">
        <v>30</v>
      </c>
      <c r="C68" s="50">
        <v>262365.05577601714</v>
      </c>
      <c r="D68" s="50">
        <v>273119.01459389867</v>
      </c>
      <c r="E68" s="50">
        <v>285409.16345117585</v>
      </c>
      <c r="F68" s="50">
        <v>299427.6907792532</v>
      </c>
      <c r="G68" s="50">
        <v>319826.84206352971</v>
      </c>
      <c r="H68" s="50">
        <v>351996.6629019574</v>
      </c>
      <c r="I68" s="50">
        <v>393985.91498462117</v>
      </c>
      <c r="J68" s="50">
        <v>434750.36300753744</v>
      </c>
      <c r="K68" s="47">
        <v>470000.73282084067</v>
      </c>
      <c r="L68" s="47">
        <v>498474.74787336984</v>
      </c>
      <c r="P68" s="17" t="s">
        <v>8</v>
      </c>
      <c r="Q68" s="17" t="s">
        <v>30</v>
      </c>
      <c r="R68" s="47">
        <f>(C$51/100)*C68</f>
        <v>17992.096337107712</v>
      </c>
      <c r="S68" s="47">
        <f t="shared" ref="S68:AA68" si="18">(D$51/100)*D68</f>
        <v>18060.874929953377</v>
      </c>
      <c r="T68" s="47">
        <f t="shared" si="18"/>
        <v>18962.381639119107</v>
      </c>
      <c r="U68" s="47">
        <f t="shared" si="18"/>
        <v>20401.965085873882</v>
      </c>
      <c r="V68" s="47">
        <f t="shared" si="18"/>
        <v>21762.506944779358</v>
      </c>
      <c r="W68" s="47">
        <f t="shared" si="18"/>
        <v>24039.477453339321</v>
      </c>
      <c r="X68" s="47">
        <f t="shared" si="18"/>
        <v>25648.594114492989</v>
      </c>
      <c r="Y68" s="47">
        <f t="shared" si="18"/>
        <v>27470.560863024351</v>
      </c>
      <c r="Z68" s="47">
        <f t="shared" si="18"/>
        <v>26938.186929616386</v>
      </c>
      <c r="AA68" s="47">
        <f t="shared" si="18"/>
        <v>26068.939589570669</v>
      </c>
      <c r="AB68" s="2"/>
      <c r="AN68" s="24"/>
      <c r="AO68" s="24"/>
      <c r="AP68" s="24"/>
      <c r="AQ68" s="24"/>
      <c r="AR68" s="24"/>
      <c r="AS68" s="24"/>
      <c r="AT68" s="24"/>
      <c r="AU68" s="24"/>
      <c r="AV68" s="24"/>
      <c r="AW68" s="24"/>
    </row>
    <row r="69" spans="1:49" x14ac:dyDescent="0.25">
      <c r="A69" s="17" t="s">
        <v>73</v>
      </c>
      <c r="B69" s="17" t="s">
        <v>30</v>
      </c>
      <c r="C69" s="50"/>
      <c r="D69" s="47"/>
      <c r="E69" s="47"/>
      <c r="F69" s="47"/>
      <c r="G69" s="47"/>
      <c r="H69" s="47"/>
      <c r="I69" s="47"/>
      <c r="J69" s="47"/>
      <c r="K69" s="47"/>
      <c r="L69" s="47"/>
      <c r="P69" s="17" t="s">
        <v>73</v>
      </c>
      <c r="Q69" s="17" t="s">
        <v>30</v>
      </c>
      <c r="R69" s="50"/>
      <c r="S69" s="47"/>
      <c r="T69" s="47"/>
      <c r="U69" s="47"/>
      <c r="V69" s="47"/>
      <c r="W69" s="47"/>
      <c r="X69" s="47"/>
      <c r="Y69" s="47"/>
      <c r="Z69" s="47"/>
      <c r="AA69" s="47"/>
      <c r="AB69" s="2"/>
      <c r="AN69" s="24"/>
      <c r="AO69" s="24"/>
      <c r="AP69" s="24"/>
      <c r="AQ69" s="24"/>
      <c r="AR69" s="24"/>
      <c r="AS69" s="24"/>
      <c r="AT69" s="24"/>
      <c r="AU69" s="24"/>
      <c r="AV69" s="24"/>
      <c r="AW69" s="24"/>
    </row>
    <row r="70" spans="1:49" x14ac:dyDescent="0.25">
      <c r="A70" s="17" t="s">
        <v>54</v>
      </c>
      <c r="B70" s="17" t="s">
        <v>30</v>
      </c>
      <c r="C70" s="50"/>
      <c r="D70" s="47"/>
      <c r="E70" s="47"/>
      <c r="F70" s="47"/>
      <c r="G70" s="47"/>
      <c r="H70" s="47"/>
      <c r="I70" s="47"/>
      <c r="J70" s="47"/>
      <c r="K70" s="47"/>
      <c r="L70" s="47"/>
      <c r="P70" s="17" t="s">
        <v>54</v>
      </c>
      <c r="Q70" s="17" t="s">
        <v>30</v>
      </c>
      <c r="R70" s="50"/>
      <c r="S70" s="47"/>
      <c r="T70" s="47"/>
      <c r="U70" s="47"/>
      <c r="V70" s="47"/>
      <c r="W70" s="47"/>
      <c r="X70" s="47"/>
      <c r="Y70" s="47"/>
      <c r="Z70" s="47"/>
      <c r="AA70" s="47"/>
      <c r="AB70" s="2"/>
      <c r="AN70" s="24"/>
      <c r="AO70" s="24"/>
      <c r="AP70" s="24"/>
      <c r="AQ70" s="24"/>
      <c r="AR70" s="24"/>
      <c r="AS70" s="24"/>
      <c r="AT70" s="24"/>
      <c r="AU70" s="24"/>
      <c r="AV70" s="24"/>
      <c r="AW70" s="24"/>
    </row>
    <row r="71" spans="1:49" x14ac:dyDescent="0.25">
      <c r="A71" s="17" t="s">
        <v>9</v>
      </c>
      <c r="B71" s="17" t="s">
        <v>30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P71" s="17" t="s">
        <v>9</v>
      </c>
      <c r="Q71" s="17" t="s">
        <v>30</v>
      </c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2"/>
      <c r="AN71" s="24"/>
      <c r="AO71" s="24"/>
      <c r="AP71" s="24"/>
      <c r="AQ71" s="24"/>
      <c r="AR71" s="24"/>
      <c r="AS71" s="24"/>
      <c r="AT71" s="24"/>
      <c r="AU71" s="24"/>
      <c r="AV71" s="24"/>
      <c r="AW71" s="24"/>
    </row>
    <row r="72" spans="1:49" x14ac:dyDescent="0.25"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49" s="23" customFormat="1" x14ac:dyDescent="0.25">
      <c r="A73" s="42" t="s">
        <v>152</v>
      </c>
      <c r="L73" s="92"/>
      <c r="P73" s="42" t="s">
        <v>155</v>
      </c>
      <c r="AA73" s="92"/>
    </row>
    <row r="74" spans="1:49" x14ac:dyDescent="0.25">
      <c r="A74" s="80" t="s">
        <v>100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P74" s="80" t="s">
        <v>100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49" x14ac:dyDescent="0.25">
      <c r="A75" s="2"/>
      <c r="B75" s="2"/>
      <c r="C75" s="2">
        <v>2006</v>
      </c>
      <c r="D75" s="2">
        <v>2007</v>
      </c>
      <c r="E75" s="2">
        <v>2008</v>
      </c>
      <c r="F75" s="2">
        <v>2009</v>
      </c>
      <c r="G75" s="2">
        <v>2010</v>
      </c>
      <c r="H75" s="2">
        <v>2011</v>
      </c>
      <c r="I75" s="2">
        <v>2012</v>
      </c>
      <c r="J75" s="2">
        <v>2013</v>
      </c>
      <c r="K75" s="2">
        <v>2014</v>
      </c>
      <c r="L75" s="2">
        <v>2015</v>
      </c>
      <c r="P75" s="2"/>
      <c r="Q75" s="2"/>
      <c r="R75" s="2">
        <v>2006</v>
      </c>
      <c r="S75" s="2">
        <v>2007</v>
      </c>
      <c r="T75" s="2">
        <v>2008</v>
      </c>
      <c r="U75" s="2">
        <v>2009</v>
      </c>
      <c r="V75" s="2">
        <v>2010</v>
      </c>
      <c r="W75" s="2">
        <v>2011</v>
      </c>
      <c r="X75" s="2">
        <v>2012</v>
      </c>
      <c r="Y75" s="2">
        <v>2013</v>
      </c>
      <c r="Z75" s="2">
        <v>2014</v>
      </c>
      <c r="AA75" s="2">
        <v>2015</v>
      </c>
      <c r="AB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x14ac:dyDescent="0.25">
      <c r="A76" s="17" t="s">
        <v>1</v>
      </c>
      <c r="B76" s="17" t="s">
        <v>30</v>
      </c>
      <c r="C76" s="47"/>
      <c r="D76" s="47"/>
      <c r="E76" s="47"/>
      <c r="F76" s="47"/>
      <c r="G76" s="47"/>
      <c r="H76" s="47"/>
      <c r="I76" s="47"/>
      <c r="J76" s="47"/>
      <c r="K76" s="47"/>
      <c r="L76" s="47"/>
      <c r="P76" s="17" t="s">
        <v>1</v>
      </c>
      <c r="Q76" s="17" t="s">
        <v>30</v>
      </c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2"/>
      <c r="AN76" s="24"/>
      <c r="AO76" s="24"/>
      <c r="AP76" s="24"/>
      <c r="AQ76" s="24"/>
      <c r="AR76" s="24"/>
      <c r="AS76" s="24"/>
      <c r="AT76" s="24"/>
      <c r="AU76" s="24"/>
      <c r="AV76" s="24"/>
      <c r="AW76" s="24"/>
    </row>
    <row r="77" spans="1:49" x14ac:dyDescent="0.25">
      <c r="A77" s="17" t="s">
        <v>78</v>
      </c>
      <c r="B77" s="17" t="s">
        <v>30</v>
      </c>
      <c r="C77" s="47">
        <v>-40651.47</v>
      </c>
      <c r="D77" s="47">
        <v>-44283.428</v>
      </c>
      <c r="E77" s="47">
        <v>-48465.733</v>
      </c>
      <c r="F77" s="47">
        <v>-53069.135000000002</v>
      </c>
      <c r="G77" s="47">
        <v>-50081.940999999999</v>
      </c>
      <c r="H77" s="47">
        <v>-57581.985999999997</v>
      </c>
      <c r="I77" s="47">
        <v>-65508.462</v>
      </c>
      <c r="J77" s="47">
        <v>-75034.396999999997</v>
      </c>
      <c r="K77" s="47">
        <v>-83422.857014641209</v>
      </c>
      <c r="L77" s="47">
        <v>-83502.79074818622</v>
      </c>
      <c r="P77" s="17" t="s">
        <v>78</v>
      </c>
      <c r="Q77" s="17" t="s">
        <v>30</v>
      </c>
      <c r="R77" s="47">
        <f>(C$43/100)*C77</f>
        <v>-15851.331618388072</v>
      </c>
      <c r="S77" s="47">
        <f t="shared" ref="S77" si="19">(D$43/100)*D77</f>
        <v>-16873.591856262108</v>
      </c>
      <c r="T77" s="47">
        <f t="shared" ref="T77" si="20">(E$43/100)*E77</f>
        <v>-18025.759992215801</v>
      </c>
      <c r="U77" s="47">
        <f t="shared" ref="U77" si="21">(F$43/100)*F77</f>
        <v>-18795.549799289151</v>
      </c>
      <c r="V77" s="47">
        <f t="shared" ref="V77" si="22">(G$43/100)*G77</f>
        <v>-16933.815167049772</v>
      </c>
      <c r="W77" s="47">
        <f t="shared" ref="W77" si="23">(H$43/100)*H77</f>
        <v>-19477.800155949753</v>
      </c>
      <c r="X77" s="47">
        <f t="shared" ref="X77" si="24">(I$43/100)*I77</f>
        <v>-21006.392857689272</v>
      </c>
      <c r="Y77" s="47">
        <f t="shared" ref="Y77" si="25">(J$43/100)*J77</f>
        <v>-23259.760129001203</v>
      </c>
      <c r="Z77" s="47">
        <f t="shared" ref="Z77" si="26">(K$43/100)*K77</f>
        <v>-25655.561469511085</v>
      </c>
      <c r="AA77" s="47">
        <f t="shared" ref="AA77" si="27">(L$43/100)*L77</f>
        <v>-25279.894039884701</v>
      </c>
      <c r="AB77" s="2"/>
      <c r="AN77" s="24"/>
      <c r="AO77" s="24"/>
      <c r="AP77" s="24"/>
      <c r="AQ77" s="24"/>
      <c r="AR77" s="24"/>
      <c r="AS77" s="24"/>
      <c r="AT77" s="24"/>
      <c r="AU77" s="24"/>
      <c r="AV77" s="24"/>
      <c r="AW77" s="24"/>
    </row>
    <row r="78" spans="1:49" x14ac:dyDescent="0.25">
      <c r="A78" s="17" t="s">
        <v>2</v>
      </c>
      <c r="B78" s="17" t="s">
        <v>30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P78" s="17" t="s">
        <v>2</v>
      </c>
      <c r="Q78" s="17" t="s">
        <v>30</v>
      </c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2"/>
      <c r="AN78" s="24"/>
      <c r="AO78" s="24"/>
      <c r="AP78" s="24"/>
      <c r="AQ78" s="24"/>
      <c r="AR78" s="24"/>
      <c r="AS78" s="24"/>
      <c r="AT78" s="24"/>
      <c r="AU78" s="24"/>
      <c r="AV78" s="24"/>
      <c r="AW78" s="24"/>
    </row>
    <row r="79" spans="1:49" x14ac:dyDescent="0.25">
      <c r="A79" s="17" t="s">
        <v>3</v>
      </c>
      <c r="B79" s="17" t="s">
        <v>30</v>
      </c>
      <c r="C79" s="47">
        <v>-19122.896921894626</v>
      </c>
      <c r="D79" s="47">
        <v>-23788.357430868982</v>
      </c>
      <c r="E79" s="47">
        <v>-25805.893783347747</v>
      </c>
      <c r="F79" s="47">
        <v>-31788.745186515283</v>
      </c>
      <c r="G79" s="47">
        <v>-44039.585443986245</v>
      </c>
      <c r="H79" s="47">
        <v>-42124.884257069818</v>
      </c>
      <c r="I79" s="47">
        <v>-49630.418827217167</v>
      </c>
      <c r="J79" s="47">
        <v>-54803.973565222128</v>
      </c>
      <c r="K79" s="47">
        <v>-60989.804540113619</v>
      </c>
      <c r="L79" s="47">
        <v>-66140.317635673084</v>
      </c>
      <c r="P79" s="17" t="s">
        <v>3</v>
      </c>
      <c r="Q79" s="17" t="s">
        <v>30</v>
      </c>
      <c r="R79" s="47">
        <f>(C$45/100)*C79</f>
        <v>-7872.7955711080704</v>
      </c>
      <c r="S79" s="47">
        <f t="shared" ref="S79" si="28">(D$45/100)*D79</f>
        <v>-9914.5933119159708</v>
      </c>
      <c r="T79" s="47">
        <f t="shared" ref="T79" si="29">(E$45/100)*E79</f>
        <v>-10797.249173783423</v>
      </c>
      <c r="U79" s="47">
        <f t="shared" ref="U79" si="30">(F$45/100)*F79</f>
        <v>-13343.380600221146</v>
      </c>
      <c r="V79" s="47">
        <f t="shared" ref="V79" si="31">(G$45/100)*G79</f>
        <v>-18375.745195662035</v>
      </c>
      <c r="W79" s="47">
        <f t="shared" ref="W79" si="32">(H$45/100)*H79</f>
        <v>-17557.149954401892</v>
      </c>
      <c r="X79" s="47">
        <f t="shared" ref="X79" si="33">(I$45/100)*I79</f>
        <v>-20798.028046226391</v>
      </c>
      <c r="Y79" s="47">
        <f t="shared" ref="Y79" si="34">(J$45/100)*J79</f>
        <v>-22123.103937710195</v>
      </c>
      <c r="Z79" s="47">
        <f t="shared" ref="Z79" si="35">(K$45/100)*K79</f>
        <v>-22006.937646284525</v>
      </c>
      <c r="AA79" s="47">
        <f t="shared" ref="AA79" si="36">(L$45/100)*L79</f>
        <v>-23720.246840681626</v>
      </c>
      <c r="AB79" s="2"/>
      <c r="AN79" s="24"/>
      <c r="AO79" s="24"/>
      <c r="AP79" s="24"/>
      <c r="AQ79" s="24"/>
      <c r="AR79" s="24"/>
      <c r="AS79" s="24"/>
      <c r="AT79" s="24"/>
      <c r="AU79" s="24"/>
      <c r="AV79" s="24"/>
      <c r="AW79" s="24"/>
    </row>
    <row r="80" spans="1:49" x14ac:dyDescent="0.25">
      <c r="A80" s="17" t="s">
        <v>4</v>
      </c>
      <c r="B80" s="17" t="s">
        <v>30</v>
      </c>
      <c r="C80" s="47">
        <v>-34688.041929069339</v>
      </c>
      <c r="D80" s="47">
        <v>-38924.931897317576</v>
      </c>
      <c r="E80" s="47">
        <v>-42642.721052440647</v>
      </c>
      <c r="F80" s="47">
        <v>-47123.266383670729</v>
      </c>
      <c r="G80" s="47">
        <v>-52082.600588811794</v>
      </c>
      <c r="H80" s="47">
        <v>-57832.637181117178</v>
      </c>
      <c r="I80" s="47">
        <v>-63951.238489684234</v>
      </c>
      <c r="J80" s="47">
        <v>-69194.885304465075</v>
      </c>
      <c r="K80" s="47">
        <v>-74460.760342543334</v>
      </c>
      <c r="L80" s="47">
        <v>-70160.827472643301</v>
      </c>
      <c r="P80" s="17" t="s">
        <v>4</v>
      </c>
      <c r="Q80" s="17" t="s">
        <v>30</v>
      </c>
      <c r="R80" s="47">
        <f>(C$46/100)*C80</f>
        <v>-13491.479039035608</v>
      </c>
      <c r="S80" s="47">
        <f t="shared" ref="S80" si="37">(D$46/100)*D80</f>
        <v>-15505.001721185959</v>
      </c>
      <c r="T80" s="47">
        <f t="shared" ref="T80" si="38">(E$46/100)*E80</f>
        <v>-17166.088478265774</v>
      </c>
      <c r="U80" s="47">
        <f t="shared" ref="U80" si="39">(F$46/100)*F80</f>
        <v>-18699.172443816398</v>
      </c>
      <c r="V80" s="47">
        <f t="shared" ref="V80" si="40">(G$46/100)*G80</f>
        <v>-20628.452967011999</v>
      </c>
      <c r="W80" s="47">
        <f t="shared" ref="W80" si="41">(H$46/100)*H80</f>
        <v>-23158.463571379398</v>
      </c>
      <c r="X80" s="47">
        <f t="shared" ref="X80" si="42">(I$46/100)*I80</f>
        <v>-25739.430417498828</v>
      </c>
      <c r="Y80" s="47">
        <f t="shared" ref="Y80" si="43">(J$46/100)*J80</f>
        <v>-27451.941367326053</v>
      </c>
      <c r="Z80" s="47">
        <f t="shared" ref="Z80" si="44">(K$46/100)*K80</f>
        <v>-29762.912471604206</v>
      </c>
      <c r="AA80" s="47">
        <f t="shared" ref="AA80" si="45">(L$46/100)*L80</f>
        <v>-26925.125469294555</v>
      </c>
      <c r="AB80" s="2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49" x14ac:dyDescent="0.25">
      <c r="A81" s="17" t="s">
        <v>10</v>
      </c>
      <c r="B81" s="17" t="s">
        <v>30</v>
      </c>
      <c r="C81" s="50">
        <v>-22146.099095084584</v>
      </c>
      <c r="D81" s="50">
        <v>-24117.911709681935</v>
      </c>
      <c r="E81" s="50">
        <v>-26790.781524534155</v>
      </c>
      <c r="F81" s="50">
        <v>-31660.255464834132</v>
      </c>
      <c r="G81" s="50">
        <v>-36739.588011213455</v>
      </c>
      <c r="H81" s="50">
        <v>-41904.999717362414</v>
      </c>
      <c r="I81" s="50">
        <v>-45468.503656468776</v>
      </c>
      <c r="J81" s="50">
        <v>-48106.452107839876</v>
      </c>
      <c r="K81" s="47">
        <v>-51346.506329027448</v>
      </c>
      <c r="L81" s="47">
        <v>-55311.609595055248</v>
      </c>
      <c r="P81" s="17" t="s">
        <v>10</v>
      </c>
      <c r="Q81" s="17" t="s">
        <v>30</v>
      </c>
      <c r="R81" s="47">
        <f>(C$47/100)*C81</f>
        <v>-8187.2313916476496</v>
      </c>
      <c r="S81" s="47">
        <f t="shared" ref="S81" si="46">(D$47/100)*D81</f>
        <v>-8972.0609822853494</v>
      </c>
      <c r="T81" s="47">
        <f t="shared" ref="T81" si="47">(E$47/100)*E81</f>
        <v>-9969.1808291667203</v>
      </c>
      <c r="U81" s="47">
        <f t="shared" ref="U81" si="48">(F$47/100)*F81</f>
        <v>-11672.391359890136</v>
      </c>
      <c r="V81" s="47">
        <f t="shared" ref="V81" si="49">(G$47/100)*G81</f>
        <v>-12783.894825244117</v>
      </c>
      <c r="W81" s="47">
        <f t="shared" ref="W81" si="50">(H$47/100)*H81</f>
        <v>-14755.543048243135</v>
      </c>
      <c r="X81" s="47">
        <f t="shared" ref="X81" si="51">(I$47/100)*I81</f>
        <v>-16278.419929187603</v>
      </c>
      <c r="Y81" s="47">
        <f t="shared" ref="Y81" si="52">(J$47/100)*J81</f>
        <v>-17696.735902321569</v>
      </c>
      <c r="Z81" s="47">
        <f t="shared" ref="Z81" si="53">(K$47/100)*K81</f>
        <v>-17761.40346019069</v>
      </c>
      <c r="AA81" s="47">
        <f t="shared" ref="AA81" si="54">(L$47/100)*L81</f>
        <v>-19574.65978952033</v>
      </c>
      <c r="AB81" s="2"/>
      <c r="AN81" s="24"/>
      <c r="AO81" s="24"/>
      <c r="AP81" s="24"/>
      <c r="AQ81" s="24"/>
      <c r="AR81" s="24"/>
      <c r="AS81" s="24"/>
      <c r="AT81" s="24"/>
      <c r="AU81" s="24"/>
      <c r="AV81" s="24"/>
      <c r="AW81" s="24"/>
    </row>
    <row r="82" spans="1:49" x14ac:dyDescent="0.25">
      <c r="A82" s="17" t="s">
        <v>5</v>
      </c>
      <c r="B82" s="17" t="s">
        <v>30</v>
      </c>
      <c r="C82" s="50">
        <v>-24914.346467596883</v>
      </c>
      <c r="D82" s="50">
        <v>-26541.207010957143</v>
      </c>
      <c r="E82" s="50">
        <v>-29669.12315035121</v>
      </c>
      <c r="F82" s="50">
        <v>-32522.801211333186</v>
      </c>
      <c r="G82" s="50">
        <v>-36926.078294581603</v>
      </c>
      <c r="H82" s="50">
        <v>-40114.923688853531</v>
      </c>
      <c r="I82" s="50">
        <v>-43246.635158575824</v>
      </c>
      <c r="J82" s="50">
        <v>-46975.284863905428</v>
      </c>
      <c r="K82" s="93">
        <v>-51807.877511959799</v>
      </c>
      <c r="L82" s="47">
        <v>-47208.031114947509</v>
      </c>
      <c r="P82" s="17" t="s">
        <v>5</v>
      </c>
      <c r="Q82" s="17" t="s">
        <v>30</v>
      </c>
      <c r="R82" s="47">
        <f>(C$48/100)*C82</f>
        <v>-4754.4637445207582</v>
      </c>
      <c r="S82" s="47">
        <f t="shared" ref="S82" si="55">(D$48/100)*D82</f>
        <v>-5016.9787525192824</v>
      </c>
      <c r="T82" s="47">
        <f t="shared" ref="T82" si="56">(E$48/100)*E82</f>
        <v>-5766.0257436417141</v>
      </c>
      <c r="U82" s="47">
        <f t="shared" ref="U82" si="57">(F$48/100)*F82</f>
        <v>-6208.8938015948315</v>
      </c>
      <c r="V82" s="47">
        <f t="shared" ref="V82" si="58">(G$48/100)*G82</f>
        <v>-6748.9152025475187</v>
      </c>
      <c r="W82" s="47">
        <f t="shared" ref="W82" si="59">(H$48/100)*H82</f>
        <v>-7529.678123804747</v>
      </c>
      <c r="X82" s="47">
        <f t="shared" ref="X82" si="60">(I$48/100)*I82</f>
        <v>-7978.179156911141</v>
      </c>
      <c r="Y82" s="47">
        <f t="shared" ref="Y82" si="61">(J$48/100)*J82</f>
        <v>-8716.8109672861428</v>
      </c>
      <c r="Z82" s="47">
        <f t="shared" ref="Z82" si="62">(K$48/100)*K82</f>
        <v>-9871.4650877516415</v>
      </c>
      <c r="AA82" s="47">
        <f t="shared" ref="AA82" si="63">(L$48/100)*L82</f>
        <v>-8904.9680277197822</v>
      </c>
      <c r="AB82" s="2"/>
      <c r="AN82" s="24"/>
      <c r="AO82" s="24"/>
      <c r="AP82" s="24"/>
      <c r="AQ82" s="24"/>
      <c r="AR82" s="24"/>
      <c r="AS82" s="24"/>
      <c r="AT82" s="24"/>
      <c r="AU82" s="24"/>
      <c r="AV82" s="24"/>
      <c r="AW82" s="24"/>
    </row>
    <row r="83" spans="1:49" x14ac:dyDescent="0.25">
      <c r="A83" s="17" t="s">
        <v>6</v>
      </c>
      <c r="B83" s="17" t="s">
        <v>30</v>
      </c>
      <c r="K83" s="47"/>
      <c r="L83" s="47"/>
      <c r="P83" s="17" t="s">
        <v>6</v>
      </c>
      <c r="Q83" s="17" t="s">
        <v>30</v>
      </c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N83" s="24"/>
      <c r="AO83" s="24"/>
      <c r="AP83" s="24"/>
      <c r="AQ83" s="24"/>
      <c r="AR83" s="24"/>
      <c r="AS83" s="24"/>
      <c r="AT83" s="24"/>
      <c r="AU83" s="24"/>
      <c r="AV83" s="24"/>
      <c r="AW83" s="24"/>
    </row>
    <row r="84" spans="1:49" x14ac:dyDescent="0.25">
      <c r="A84" s="17" t="s">
        <v>7</v>
      </c>
      <c r="B84" s="17" t="s">
        <v>30</v>
      </c>
      <c r="C84" s="50"/>
      <c r="D84" s="47"/>
      <c r="E84" s="47"/>
      <c r="F84" s="47"/>
      <c r="G84" s="47"/>
      <c r="H84" s="47"/>
      <c r="I84" s="47"/>
      <c r="J84" s="47"/>
      <c r="K84" s="47"/>
      <c r="L84" s="47"/>
      <c r="P84" s="17" t="s">
        <v>7</v>
      </c>
      <c r="Q84" s="17" t="s">
        <v>30</v>
      </c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2"/>
      <c r="AN84" s="24"/>
      <c r="AO84" s="24"/>
      <c r="AP84" s="24"/>
      <c r="AQ84" s="24"/>
      <c r="AR84" s="24"/>
      <c r="AS84" s="24"/>
      <c r="AT84" s="24"/>
      <c r="AU84" s="24"/>
      <c r="AV84" s="24"/>
      <c r="AW84" s="24"/>
    </row>
    <row r="85" spans="1:49" x14ac:dyDescent="0.25">
      <c r="A85" s="17" t="s">
        <v>8</v>
      </c>
      <c r="B85" s="17" t="s">
        <v>30</v>
      </c>
      <c r="C85" s="50">
        <v>-12102.240000889895</v>
      </c>
      <c r="D85" s="50">
        <v>-12777.809205888168</v>
      </c>
      <c r="E85" s="50">
        <v>-13408.991549497663</v>
      </c>
      <c r="F85" s="50">
        <v>-14378.81241990606</v>
      </c>
      <c r="G85" s="50">
        <v>-15219.225210381388</v>
      </c>
      <c r="H85" s="50">
        <v>-17134.614196378083</v>
      </c>
      <c r="I85" s="50">
        <v>-18368.818175941691</v>
      </c>
      <c r="J85" s="50">
        <v>-20098.4381850192</v>
      </c>
      <c r="K85" s="47">
        <v>-21396.582981822205</v>
      </c>
      <c r="L85" s="47">
        <v>-22948.63501244424</v>
      </c>
      <c r="P85" s="17" t="s">
        <v>8</v>
      </c>
      <c r="Q85" s="17" t="s">
        <v>30</v>
      </c>
      <c r="R85" s="47">
        <f>(C$51/100)*C85</f>
        <v>-829.93014198011053</v>
      </c>
      <c r="S85" s="47">
        <f t="shared" ref="S85" si="64">(D$51/100)*D85</f>
        <v>-844.97380854093262</v>
      </c>
      <c r="T85" s="47">
        <f t="shared" ref="T85" si="65">(E$51/100)*E85</f>
        <v>-890.88385279120303</v>
      </c>
      <c r="U85" s="47">
        <f t="shared" ref="U85" si="66">(F$51/100)*F85</f>
        <v>-979.72244385214117</v>
      </c>
      <c r="V85" s="47">
        <f t="shared" ref="V85" si="67">(G$51/100)*G85</f>
        <v>-1035.5869200912646</v>
      </c>
      <c r="W85" s="47">
        <f t="shared" ref="W85" si="68">(H$51/100)*H85</f>
        <v>-1170.2019225114882</v>
      </c>
      <c r="X85" s="47">
        <f t="shared" ref="X85" si="69">(I$51/100)*I85</f>
        <v>-1195.8152406946836</v>
      </c>
      <c r="Y85" s="47">
        <f t="shared" ref="Y85" si="70">(J$51/100)*J85</f>
        <v>-1269.959536304586</v>
      </c>
      <c r="Z85" s="47">
        <f t="shared" ref="Z85" si="71">(K$51/100)*K85</f>
        <v>-1226.3494751594085</v>
      </c>
      <c r="AA85" s="47">
        <f t="shared" ref="AA85" si="72">(L$51/100)*L85</f>
        <v>-1200.154235204089</v>
      </c>
      <c r="AB85" s="2"/>
      <c r="AN85" s="24"/>
      <c r="AO85" s="24"/>
      <c r="AP85" s="24"/>
      <c r="AQ85" s="24"/>
      <c r="AR85" s="24"/>
      <c r="AS85" s="24"/>
      <c r="AT85" s="24"/>
      <c r="AU85" s="24"/>
      <c r="AV85" s="24"/>
      <c r="AW85" s="24"/>
    </row>
    <row r="86" spans="1:49" x14ac:dyDescent="0.25">
      <c r="A86" s="17" t="s">
        <v>73</v>
      </c>
      <c r="B86" s="17" t="s">
        <v>30</v>
      </c>
      <c r="C86" s="50"/>
      <c r="D86" s="47"/>
      <c r="E86" s="47"/>
      <c r="F86" s="47"/>
      <c r="G86" s="47"/>
      <c r="H86" s="47"/>
      <c r="I86" s="47"/>
      <c r="J86" s="47"/>
      <c r="K86" s="47"/>
      <c r="L86" s="47"/>
      <c r="P86" s="17" t="s">
        <v>73</v>
      </c>
      <c r="Q86" s="17" t="s">
        <v>30</v>
      </c>
      <c r="R86" s="50"/>
      <c r="S86" s="47"/>
      <c r="T86" s="47"/>
      <c r="U86" s="47"/>
      <c r="V86" s="47"/>
      <c r="W86" s="47"/>
      <c r="X86" s="47"/>
      <c r="Y86" s="47"/>
      <c r="Z86" s="47"/>
      <c r="AA86" s="47"/>
      <c r="AB86" s="2"/>
      <c r="AN86" s="24"/>
      <c r="AO86" s="24"/>
      <c r="AP86" s="24"/>
      <c r="AQ86" s="24"/>
      <c r="AR86" s="24"/>
      <c r="AS86" s="24"/>
      <c r="AT86" s="24"/>
      <c r="AU86" s="24"/>
      <c r="AV86" s="24"/>
      <c r="AW86" s="24"/>
    </row>
    <row r="87" spans="1:49" x14ac:dyDescent="0.25">
      <c r="A87" s="17" t="s">
        <v>54</v>
      </c>
      <c r="B87" s="17" t="s">
        <v>30</v>
      </c>
      <c r="C87" s="50"/>
      <c r="D87" s="47"/>
      <c r="E87" s="47"/>
      <c r="F87" s="47"/>
      <c r="G87" s="47"/>
      <c r="H87" s="47"/>
      <c r="I87" s="47"/>
      <c r="J87" s="47"/>
      <c r="K87" s="47"/>
      <c r="L87" s="47"/>
      <c r="P87" s="17" t="s">
        <v>54</v>
      </c>
      <c r="Q87" s="17" t="s">
        <v>30</v>
      </c>
      <c r="R87" s="50"/>
      <c r="S87" s="47"/>
      <c r="T87" s="47"/>
      <c r="U87" s="47"/>
      <c r="V87" s="47"/>
      <c r="W87" s="47"/>
      <c r="X87" s="47"/>
      <c r="Y87" s="47"/>
      <c r="Z87" s="47"/>
      <c r="AA87" s="47"/>
      <c r="AB87" s="2"/>
      <c r="AN87" s="24"/>
      <c r="AO87" s="24"/>
      <c r="AP87" s="24"/>
      <c r="AQ87" s="24"/>
      <c r="AR87" s="24"/>
      <c r="AS87" s="24"/>
      <c r="AT87" s="24"/>
      <c r="AU87" s="24"/>
      <c r="AV87" s="24"/>
      <c r="AW87" s="24"/>
    </row>
    <row r="88" spans="1:49" x14ac:dyDescent="0.25">
      <c r="A88" s="17" t="s">
        <v>9</v>
      </c>
      <c r="B88" s="17" t="s">
        <v>30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P88" s="17" t="s">
        <v>9</v>
      </c>
      <c r="Q88" s="17" t="s">
        <v>30</v>
      </c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2"/>
      <c r="AN88" s="24"/>
      <c r="AO88" s="24"/>
      <c r="AP88" s="24"/>
      <c r="AQ88" s="24"/>
      <c r="AR88" s="24"/>
      <c r="AS88" s="24"/>
      <c r="AT88" s="24"/>
      <c r="AU88" s="24"/>
      <c r="AV88" s="24"/>
      <c r="AW88" s="24"/>
    </row>
    <row r="89" spans="1:49" x14ac:dyDescent="0.25"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49" s="23" customFormat="1" x14ac:dyDescent="0.25">
      <c r="A90" s="42" t="s">
        <v>153</v>
      </c>
      <c r="L90" s="92"/>
      <c r="P90" s="42" t="s">
        <v>156</v>
      </c>
      <c r="AA90" s="92"/>
    </row>
    <row r="91" spans="1:49" x14ac:dyDescent="0.25">
      <c r="A91" s="80" t="s">
        <v>100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P91" s="80" t="s">
        <v>100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49" x14ac:dyDescent="0.25">
      <c r="A92" s="2"/>
      <c r="B92" s="2"/>
      <c r="C92" s="2">
        <v>2006</v>
      </c>
      <c r="D92" s="2">
        <v>2007</v>
      </c>
      <c r="E92" s="2">
        <v>2008</v>
      </c>
      <c r="F92" s="2">
        <v>2009</v>
      </c>
      <c r="G92" s="2">
        <v>2010</v>
      </c>
      <c r="H92" s="2">
        <v>2011</v>
      </c>
      <c r="I92" s="2">
        <v>2012</v>
      </c>
      <c r="J92" s="2">
        <v>2013</v>
      </c>
      <c r="K92" s="2">
        <v>2014</v>
      </c>
      <c r="L92" s="2">
        <v>2015</v>
      </c>
      <c r="P92" s="2"/>
      <c r="Q92" s="2"/>
      <c r="R92" s="2">
        <v>2006</v>
      </c>
      <c r="S92" s="2">
        <v>2007</v>
      </c>
      <c r="T92" s="2">
        <v>2008</v>
      </c>
      <c r="U92" s="2">
        <v>2009</v>
      </c>
      <c r="V92" s="2">
        <v>2010</v>
      </c>
      <c r="W92" s="2">
        <v>2011</v>
      </c>
      <c r="X92" s="2">
        <v>2012</v>
      </c>
      <c r="Y92" s="2">
        <v>2013</v>
      </c>
      <c r="Z92" s="2">
        <v>2014</v>
      </c>
      <c r="AA92" s="2">
        <v>2015</v>
      </c>
      <c r="AB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x14ac:dyDescent="0.25">
      <c r="A93" s="17" t="s">
        <v>1</v>
      </c>
      <c r="B93" s="17" t="s">
        <v>30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P93" s="17" t="s">
        <v>1</v>
      </c>
      <c r="Q93" s="17" t="s">
        <v>30</v>
      </c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2"/>
      <c r="AN93" s="24"/>
      <c r="AO93" s="24"/>
      <c r="AP93" s="24"/>
      <c r="AQ93" s="24"/>
      <c r="AR93" s="24"/>
      <c r="AS93" s="24"/>
      <c r="AT93" s="24"/>
      <c r="AU93" s="24"/>
      <c r="AV93" s="24"/>
      <c r="AW93" s="24"/>
    </row>
    <row r="94" spans="1:49" x14ac:dyDescent="0.25">
      <c r="A94" s="17" t="s">
        <v>78</v>
      </c>
      <c r="B94" s="17" t="s">
        <v>30</v>
      </c>
      <c r="C94" s="47">
        <v>123311.99099999999</v>
      </c>
      <c r="D94" s="47">
        <v>198411.74100000001</v>
      </c>
      <c r="E94" s="47">
        <v>226429.87400000001</v>
      </c>
      <c r="F94" s="47">
        <v>335609.30800000002</v>
      </c>
      <c r="G94" s="47">
        <v>317411.55499999999</v>
      </c>
      <c r="H94" s="47">
        <v>356481.49200000003</v>
      </c>
      <c r="I94" s="47">
        <v>375601.511</v>
      </c>
      <c r="J94" s="47">
        <v>276231.38299999997</v>
      </c>
      <c r="K94" s="47">
        <v>117538.46053862512</v>
      </c>
      <c r="L94" s="47">
        <v>105920.1219131853</v>
      </c>
      <c r="P94" s="17" t="s">
        <v>78</v>
      </c>
      <c r="Q94" s="17" t="s">
        <v>30</v>
      </c>
      <c r="R94" s="47">
        <f>(C$43/100)*C94</f>
        <v>48083.359885009944</v>
      </c>
      <c r="S94" s="47">
        <f t="shared" ref="S94" si="73">(D$43/100)*D94</f>
        <v>75602.06804957347</v>
      </c>
      <c r="T94" s="47">
        <f t="shared" ref="T94" si="74">(E$43/100)*E94</f>
        <v>84215.595455693721</v>
      </c>
      <c r="U94" s="47">
        <f t="shared" ref="U94" si="75">(F$43/100)*F94</f>
        <v>118863.09173154924</v>
      </c>
      <c r="V94" s="47">
        <f t="shared" ref="V94" si="76">(G$43/100)*G94</f>
        <v>107323.88755171956</v>
      </c>
      <c r="W94" s="47">
        <f t="shared" ref="W94" si="77">(H$43/100)*H94</f>
        <v>120584.15735210665</v>
      </c>
      <c r="X94" s="47">
        <f t="shared" ref="X94" si="78">(I$43/100)*I94</f>
        <v>120442.95740003327</v>
      </c>
      <c r="Y94" s="47">
        <f t="shared" ref="Y94" si="79">(J$43/100)*J94</f>
        <v>85628.404645968709</v>
      </c>
      <c r="Z94" s="47">
        <f t="shared" ref="Z94" si="80">(K$43/100)*K94</f>
        <v>36147.349866609802</v>
      </c>
      <c r="AA94" s="47">
        <f t="shared" ref="AA94" si="81">(L$43/100)*L94</f>
        <v>32066.586453760599</v>
      </c>
      <c r="AB94" s="2"/>
      <c r="AN94" s="24"/>
      <c r="AO94" s="24"/>
      <c r="AP94" s="24"/>
      <c r="AQ94" s="24"/>
      <c r="AR94" s="24"/>
      <c r="AS94" s="24"/>
      <c r="AT94" s="24"/>
      <c r="AU94" s="24"/>
      <c r="AV94" s="24"/>
      <c r="AW94" s="24"/>
    </row>
    <row r="95" spans="1:49" x14ac:dyDescent="0.25">
      <c r="A95" s="17" t="s">
        <v>2</v>
      </c>
      <c r="B95" s="17" t="s">
        <v>30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P95" s="17" t="s">
        <v>2</v>
      </c>
      <c r="Q95" s="17" t="s">
        <v>30</v>
      </c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2"/>
      <c r="AN95" s="24"/>
      <c r="AO95" s="24"/>
      <c r="AP95" s="24"/>
      <c r="AQ95" s="24"/>
      <c r="AR95" s="24"/>
      <c r="AS95" s="24"/>
      <c r="AT95" s="24"/>
      <c r="AU95" s="24"/>
      <c r="AV95" s="24"/>
      <c r="AW95" s="24"/>
    </row>
    <row r="96" spans="1:49" x14ac:dyDescent="0.25">
      <c r="A96" s="17" t="s">
        <v>3</v>
      </c>
      <c r="B96" s="17" t="s">
        <v>30</v>
      </c>
      <c r="C96" s="47">
        <v>133553.54264626466</v>
      </c>
      <c r="D96" s="47">
        <v>180853.48711749082</v>
      </c>
      <c r="E96" s="47">
        <v>151855.09123231965</v>
      </c>
      <c r="F96" s="47">
        <v>252156.54749039109</v>
      </c>
      <c r="G96" s="47">
        <v>206821.02120003721</v>
      </c>
      <c r="H96" s="47">
        <v>263663.73018478643</v>
      </c>
      <c r="I96" s="47">
        <v>381455.99197524646</v>
      </c>
      <c r="J96" s="47">
        <v>303856.06917688518</v>
      </c>
      <c r="K96" s="47">
        <v>174489.12645528288</v>
      </c>
      <c r="L96" s="47">
        <v>131730.86011726261</v>
      </c>
      <c r="P96" s="17" t="s">
        <v>3</v>
      </c>
      <c r="Q96" s="17" t="s">
        <v>30</v>
      </c>
      <c r="R96" s="47">
        <f>(C$45/100)*C96</f>
        <v>54983.287487549373</v>
      </c>
      <c r="S96" s="47">
        <f t="shared" ref="S96" si="82">(D$45/100)*D96</f>
        <v>75376.737507943792</v>
      </c>
      <c r="T96" s="47">
        <f t="shared" ref="T96" si="83">(E$45/100)*E96</f>
        <v>63536.542160031531</v>
      </c>
      <c r="U96" s="47">
        <f t="shared" ref="U96" si="84">(F$45/100)*F96</f>
        <v>105843.14556175975</v>
      </c>
      <c r="V96" s="47">
        <f t="shared" ref="V96" si="85">(G$45/100)*G96</f>
        <v>86297.142635739088</v>
      </c>
      <c r="W96" s="47">
        <f t="shared" ref="W96" si="86">(H$45/100)*H96</f>
        <v>109891.9019015308</v>
      </c>
      <c r="X96" s="47">
        <f t="shared" ref="X96" si="87">(I$45/100)*I96</f>
        <v>159852.21577762629</v>
      </c>
      <c r="Y96" s="47">
        <f t="shared" ref="Y96" si="88">(J$45/100)*J96</f>
        <v>122659.70810500014</v>
      </c>
      <c r="Z96" s="47">
        <f t="shared" ref="Z96" si="89">(K$45/100)*K96</f>
        <v>62960.872801788981</v>
      </c>
      <c r="AA96" s="47">
        <f t="shared" ref="AA96" si="90">(L$45/100)*L96</f>
        <v>47243.324952395698</v>
      </c>
      <c r="AB96" s="2"/>
      <c r="AN96" s="24"/>
      <c r="AO96" s="24"/>
      <c r="AP96" s="24"/>
      <c r="AQ96" s="24"/>
      <c r="AR96" s="24"/>
      <c r="AS96" s="24"/>
      <c r="AT96" s="24"/>
      <c r="AU96" s="24"/>
      <c r="AV96" s="24"/>
      <c r="AW96" s="24"/>
    </row>
    <row r="97" spans="1:49" x14ac:dyDescent="0.25">
      <c r="A97" s="17" t="s">
        <v>4</v>
      </c>
      <c r="B97" s="17" t="s">
        <v>30</v>
      </c>
      <c r="C97" s="47">
        <v>148742.95554750488</v>
      </c>
      <c r="D97" s="47">
        <v>146953.45324439832</v>
      </c>
      <c r="E97" s="47">
        <v>148015.10291700094</v>
      </c>
      <c r="F97" s="47">
        <v>210145.04540925846</v>
      </c>
      <c r="G97" s="47">
        <v>290168.07696310466</v>
      </c>
      <c r="H97" s="47">
        <v>230906.02437936713</v>
      </c>
      <c r="I97" s="47">
        <v>232129.69317845962</v>
      </c>
      <c r="J97" s="47">
        <v>194383.34269530061</v>
      </c>
      <c r="K97" s="47">
        <v>212809.01233654172</v>
      </c>
      <c r="L97" s="47">
        <v>15001.303374446496</v>
      </c>
      <c r="P97" s="17" t="s">
        <v>4</v>
      </c>
      <c r="Q97" s="17" t="s">
        <v>30</v>
      </c>
      <c r="R97" s="47">
        <f>(C$46/100)*C97</f>
        <v>57851.707832826862</v>
      </c>
      <c r="S97" s="47">
        <f t="shared" ref="S97" si="91">(D$46/100)*D97</f>
        <v>58536.095875498111</v>
      </c>
      <c r="T97" s="47">
        <f t="shared" ref="T97" si="92">(E$46/100)*E97</f>
        <v>59584.386035502022</v>
      </c>
      <c r="U97" s="47">
        <f t="shared" ref="U97" si="93">(F$46/100)*F97</f>
        <v>83388.498800733068</v>
      </c>
      <c r="V97" s="47">
        <f t="shared" ref="V97" si="94">(G$46/100)*G97</f>
        <v>114927.41261939892</v>
      </c>
      <c r="W97" s="47">
        <f t="shared" ref="W97" si="95">(H$46/100)*H97</f>
        <v>92463.858033221346</v>
      </c>
      <c r="X97" s="47">
        <f t="shared" ref="X97" si="96">(I$46/100)*I97</f>
        <v>93428.778339704921</v>
      </c>
      <c r="Y97" s="47">
        <f t="shared" ref="Y97" si="97">(J$46/100)*J97</f>
        <v>77118.418550393922</v>
      </c>
      <c r="Z97" s="47">
        <f t="shared" ref="Z97" si="98">(K$46/100)*K97</f>
        <v>85062.467509107475</v>
      </c>
      <c r="AA97" s="47">
        <f t="shared" ref="AA97" si="99">(L$46/100)*L97</f>
        <v>5756.9442965508733</v>
      </c>
      <c r="AB97" s="2"/>
      <c r="AN97" s="24"/>
      <c r="AO97" s="24"/>
      <c r="AP97" s="24"/>
      <c r="AQ97" s="24"/>
      <c r="AR97" s="24"/>
      <c r="AS97" s="24"/>
      <c r="AT97" s="24"/>
      <c r="AU97" s="24"/>
      <c r="AV97" s="24"/>
      <c r="AW97" s="24"/>
    </row>
    <row r="98" spans="1:49" x14ac:dyDescent="0.25">
      <c r="A98" s="17" t="s">
        <v>10</v>
      </c>
      <c r="B98" s="17" t="s">
        <v>30</v>
      </c>
      <c r="C98" s="50">
        <v>62884.434727333472</v>
      </c>
      <c r="D98" s="50">
        <v>100886.18352328635</v>
      </c>
      <c r="E98" s="50">
        <v>168389.4943956816</v>
      </c>
      <c r="F98" s="50">
        <v>198313.10830478623</v>
      </c>
      <c r="G98" s="50">
        <v>139216.75340342423</v>
      </c>
      <c r="H98" s="50">
        <v>100868.5441201754</v>
      </c>
      <c r="I98" s="50">
        <v>111000.41643730088</v>
      </c>
      <c r="J98" s="50">
        <v>96102.267318772385</v>
      </c>
      <c r="K98" s="47">
        <v>135281.38837406263</v>
      </c>
      <c r="L98" s="47">
        <v>177187.26685070587</v>
      </c>
      <c r="P98" s="17" t="s">
        <v>10</v>
      </c>
      <c r="Q98" s="17" t="s">
        <v>30</v>
      </c>
      <c r="R98" s="47">
        <f>(C$47/100)*C98</f>
        <v>23247.860304206581</v>
      </c>
      <c r="S98" s="47">
        <f t="shared" ref="S98" si="100">(D$47/100)*D98</f>
        <v>37530.487785871977</v>
      </c>
      <c r="T98" s="47">
        <f t="shared" ref="T98" si="101">(E$47/100)*E98</f>
        <v>62659.811466313527</v>
      </c>
      <c r="U98" s="47">
        <f t="shared" ref="U98" si="102">(F$47/100)*F98</f>
        <v>73113.377575264327</v>
      </c>
      <c r="V98" s="47">
        <f t="shared" ref="V98" si="103">(G$47/100)*G98</f>
        <v>48441.81521246567</v>
      </c>
      <c r="W98" s="47">
        <f t="shared" ref="W98" si="104">(H$47/100)*H98</f>
        <v>35517.722348586169</v>
      </c>
      <c r="X98" s="47">
        <f t="shared" ref="X98" si="105">(I$47/100)*I98</f>
        <v>39739.847273905478</v>
      </c>
      <c r="Y98" s="47">
        <f t="shared" ref="Y98" si="106">(J$47/100)*J98</f>
        <v>35352.772234006894</v>
      </c>
      <c r="Z98" s="47">
        <f t="shared" ref="Z98" si="107">(K$47/100)*K98</f>
        <v>46795.536665522297</v>
      </c>
      <c r="AA98" s="47">
        <f t="shared" ref="AA98" si="108">(L$47/100)*L98</f>
        <v>62706.193022225612</v>
      </c>
      <c r="AB98" s="2"/>
      <c r="AN98" s="24"/>
      <c r="AO98" s="24"/>
      <c r="AP98" s="24"/>
      <c r="AQ98" s="24"/>
      <c r="AR98" s="24"/>
      <c r="AS98" s="24"/>
      <c r="AT98" s="24"/>
      <c r="AU98" s="24"/>
      <c r="AV98" s="24"/>
      <c r="AW98" s="24"/>
    </row>
    <row r="99" spans="1:49" x14ac:dyDescent="0.25">
      <c r="A99" s="17" t="s">
        <v>5</v>
      </c>
      <c r="B99" s="17" t="s">
        <v>30</v>
      </c>
      <c r="C99" s="50">
        <v>59524.782312736359</v>
      </c>
      <c r="D99" s="50">
        <v>144660.23478967216</v>
      </c>
      <c r="E99" s="50">
        <v>151344.40888558581</v>
      </c>
      <c r="F99" s="50">
        <v>104032.53313639457</v>
      </c>
      <c r="G99" s="50">
        <v>107038.93175966028</v>
      </c>
      <c r="H99" s="50">
        <v>105599.23995386713</v>
      </c>
      <c r="I99" s="50">
        <v>133752.3695468338</v>
      </c>
      <c r="J99" s="50">
        <v>117685.61857178595</v>
      </c>
      <c r="K99" s="93">
        <v>109190.27092471269</v>
      </c>
      <c r="L99" s="47">
        <v>74718.670339066739</v>
      </c>
      <c r="P99" s="17" t="s">
        <v>5</v>
      </c>
      <c r="Q99" s="17" t="s">
        <v>30</v>
      </c>
      <c r="R99" s="47">
        <f>(C$48/100)*C99</f>
        <v>11359.255189553969</v>
      </c>
      <c r="S99" s="47">
        <f t="shared" ref="S99" si="109">(D$48/100)*D99</f>
        <v>27344.548572136067</v>
      </c>
      <c r="T99" s="47">
        <f t="shared" ref="T99" si="110">(E$48/100)*E99</f>
        <v>29412.927148815837</v>
      </c>
      <c r="U99" s="47">
        <f t="shared" ref="U99" si="111">(F$48/100)*F99</f>
        <v>19860.74157504255</v>
      </c>
      <c r="V99" s="47">
        <f t="shared" ref="V99" si="112">(G$48/100)*G99</f>
        <v>19563.31966948192</v>
      </c>
      <c r="W99" s="47">
        <f t="shared" ref="W99" si="113">(H$48/100)*H99</f>
        <v>19821.258869600657</v>
      </c>
      <c r="X99" s="47">
        <f t="shared" ref="X99" si="114">(I$48/100)*I99</f>
        <v>24674.760544796267</v>
      </c>
      <c r="Y99" s="47">
        <f t="shared" ref="Y99" si="115">(J$48/100)*J99</f>
        <v>21837.936558137375</v>
      </c>
      <c r="Z99" s="47">
        <f t="shared" ref="Z99" si="116">(K$48/100)*K99</f>
        <v>20805.097585914802</v>
      </c>
      <c r="AA99" s="47">
        <f t="shared" ref="AA99" si="117">(L$48/100)*L99</f>
        <v>14094.368155770173</v>
      </c>
      <c r="AB99" s="2"/>
      <c r="AN99" s="24"/>
      <c r="AO99" s="24"/>
      <c r="AP99" s="24"/>
      <c r="AQ99" s="24"/>
      <c r="AR99" s="24"/>
      <c r="AS99" s="24"/>
      <c r="AT99" s="24"/>
      <c r="AU99" s="24"/>
      <c r="AV99" s="24"/>
      <c r="AW99" s="24"/>
    </row>
    <row r="100" spans="1:49" x14ac:dyDescent="0.25">
      <c r="A100" s="17" t="s">
        <v>6</v>
      </c>
      <c r="B100" s="17" t="s">
        <v>30</v>
      </c>
      <c r="C100" s="50"/>
      <c r="D100" s="47"/>
      <c r="E100" s="47"/>
      <c r="F100" s="47"/>
      <c r="G100" s="47"/>
      <c r="H100" s="47"/>
      <c r="I100" s="47"/>
      <c r="J100" s="47"/>
      <c r="K100" s="47"/>
      <c r="L100" s="47"/>
      <c r="P100" s="17" t="s">
        <v>6</v>
      </c>
      <c r="Q100" s="17" t="s">
        <v>30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</row>
    <row r="101" spans="1:49" x14ac:dyDescent="0.25">
      <c r="A101" s="17" t="s">
        <v>7</v>
      </c>
      <c r="B101" s="17" t="s">
        <v>30</v>
      </c>
      <c r="C101" s="50"/>
      <c r="D101" s="47"/>
      <c r="E101" s="47"/>
      <c r="F101" s="47"/>
      <c r="G101" s="47"/>
      <c r="H101" s="47"/>
      <c r="I101" s="47"/>
      <c r="J101" s="47"/>
      <c r="K101" s="47"/>
      <c r="L101" s="47"/>
      <c r="P101" s="17" t="s">
        <v>7</v>
      </c>
      <c r="Q101" s="17" t="s">
        <v>30</v>
      </c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2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</row>
    <row r="102" spans="1:49" x14ac:dyDescent="0.25">
      <c r="A102" s="17" t="s">
        <v>8</v>
      </c>
      <c r="B102" s="17" t="s">
        <v>30</v>
      </c>
      <c r="C102" s="50">
        <v>15364.0131882235</v>
      </c>
      <c r="D102" s="50">
        <v>16836.470301735833</v>
      </c>
      <c r="E102" s="50">
        <v>15597.378508367776</v>
      </c>
      <c r="F102" s="50">
        <v>21196.038360091767</v>
      </c>
      <c r="G102" s="50">
        <v>33121.494243795139</v>
      </c>
      <c r="H102" s="50">
        <v>43619.888336964235</v>
      </c>
      <c r="I102" s="50">
        <v>58907.846141001632</v>
      </c>
      <c r="J102" s="50">
        <v>44790.267333014512</v>
      </c>
      <c r="K102" s="47">
        <v>43475.734353227235</v>
      </c>
      <c r="L102" s="47">
        <v>38017.534063145024</v>
      </c>
      <c r="P102" s="17" t="s">
        <v>8</v>
      </c>
      <c r="Q102" s="17" t="s">
        <v>30</v>
      </c>
      <c r="R102" s="47">
        <f>(C$51/100)*C102</f>
        <v>1053.6113682879381</v>
      </c>
      <c r="S102" s="47">
        <f t="shared" ref="S102" si="118">(D$51/100)*D102</f>
        <v>1113.3658520028885</v>
      </c>
      <c r="T102" s="47">
        <f t="shared" ref="T102" si="119">(E$51/100)*E102</f>
        <v>1036.2787244427752</v>
      </c>
      <c r="U102" s="47">
        <f t="shared" ref="U102" si="120">(F$51/100)*F102</f>
        <v>1444.2245921077608</v>
      </c>
      <c r="V102" s="47">
        <f t="shared" ref="V102" si="121">(G$51/100)*G102</f>
        <v>2253.7406299339996</v>
      </c>
      <c r="W102" s="47">
        <f t="shared" ref="W102" si="122">(H$51/100)*H102</f>
        <v>2979.0035892632873</v>
      </c>
      <c r="X102" s="47">
        <f t="shared" ref="X102" si="123">(I$51/100)*I102</f>
        <v>3834.9173875632828</v>
      </c>
      <c r="Y102" s="47">
        <f t="shared" ref="Y102" si="124">(J$51/100)*J102</f>
        <v>2830.1615583041489</v>
      </c>
      <c r="Z102" s="47">
        <f t="shared" ref="Z102" si="125">(K$51/100)*K102</f>
        <v>2491.8204954289145</v>
      </c>
      <c r="AA102" s="47">
        <f t="shared" ref="AA102" si="126">(L$51/100)*L102</f>
        <v>1988.2186671737707</v>
      </c>
      <c r="AB102" s="2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</row>
    <row r="103" spans="1:49" x14ac:dyDescent="0.25">
      <c r="A103" s="17" t="s">
        <v>73</v>
      </c>
      <c r="B103" s="17" t="s">
        <v>30</v>
      </c>
      <c r="C103" s="50"/>
      <c r="D103" s="47"/>
      <c r="E103" s="47"/>
      <c r="F103" s="47"/>
      <c r="G103" s="47"/>
      <c r="H103" s="47"/>
      <c r="I103" s="47"/>
      <c r="J103" s="47"/>
      <c r="K103" s="47"/>
      <c r="L103" s="47"/>
      <c r="P103" s="17" t="s">
        <v>73</v>
      </c>
      <c r="Q103" s="17" t="s">
        <v>30</v>
      </c>
      <c r="R103" s="50"/>
      <c r="S103" s="47"/>
      <c r="T103" s="47"/>
      <c r="U103" s="47"/>
      <c r="V103" s="47"/>
      <c r="W103" s="47"/>
      <c r="X103" s="47"/>
      <c r="Y103" s="47"/>
      <c r="Z103" s="47"/>
      <c r="AA103" s="47"/>
      <c r="AB103" s="2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</row>
    <row r="104" spans="1:49" x14ac:dyDescent="0.25">
      <c r="A104" s="17" t="s">
        <v>54</v>
      </c>
      <c r="B104" s="17" t="s">
        <v>30</v>
      </c>
      <c r="C104" s="50"/>
      <c r="D104" s="47"/>
      <c r="E104" s="47"/>
      <c r="F104" s="47"/>
      <c r="G104" s="47"/>
      <c r="H104" s="47"/>
      <c r="I104" s="47"/>
      <c r="J104" s="47"/>
      <c r="K104" s="47"/>
      <c r="L104" s="47"/>
      <c r="P104" s="17" t="s">
        <v>54</v>
      </c>
      <c r="Q104" s="17" t="s">
        <v>30</v>
      </c>
      <c r="R104" s="50"/>
      <c r="S104" s="47"/>
      <c r="T104" s="47"/>
      <c r="U104" s="47"/>
      <c r="V104" s="47"/>
      <c r="W104" s="47"/>
      <c r="X104" s="47"/>
      <c r="Y104" s="47"/>
      <c r="Z104" s="47"/>
      <c r="AA104" s="47"/>
      <c r="AB104" s="2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</row>
    <row r="105" spans="1:49" ht="14.45" x14ac:dyDescent="0.35">
      <c r="A105" s="17" t="s">
        <v>9</v>
      </c>
      <c r="B105" s="17" t="s">
        <v>30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P105" s="17" t="s">
        <v>9</v>
      </c>
      <c r="Q105" s="17" t="s">
        <v>30</v>
      </c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2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</row>
    <row r="106" spans="1:49" x14ac:dyDescent="0.25"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80"/>
  <sheetViews>
    <sheetView topLeftCell="C1" workbookViewId="0">
      <selection activeCell="E7" sqref="E7"/>
    </sheetView>
  </sheetViews>
  <sheetFormatPr defaultRowHeight="15" x14ac:dyDescent="0.25"/>
  <cols>
    <col min="1" max="1" width="24.85546875" style="8" customWidth="1"/>
    <col min="2" max="2" width="23.85546875" style="8" bestFit="1" customWidth="1"/>
    <col min="3" max="3" width="9.140625" style="8" customWidth="1"/>
    <col min="4" max="4" width="17.140625" customWidth="1"/>
    <col min="5" max="5" width="36.5703125" customWidth="1"/>
  </cols>
  <sheetData>
    <row r="1" spans="1:15" ht="34.5" customHeight="1" x14ac:dyDescent="0.25">
      <c r="A1" s="1"/>
      <c r="B1" s="9" t="s">
        <v>20</v>
      </c>
      <c r="C1" s="9"/>
    </row>
    <row r="2" spans="1:15" x14ac:dyDescent="0.25">
      <c r="A2" s="5" t="s">
        <v>11</v>
      </c>
      <c r="B2" s="10" t="s">
        <v>21</v>
      </c>
      <c r="C2" s="10"/>
      <c r="D2" s="2"/>
      <c r="E2" s="2"/>
      <c r="F2" s="2">
        <v>2006</v>
      </c>
      <c r="G2" s="2">
        <v>2007</v>
      </c>
      <c r="H2" s="2">
        <v>2008</v>
      </c>
      <c r="I2" s="2">
        <v>2009</v>
      </c>
      <c r="J2" s="2">
        <v>2010</v>
      </c>
      <c r="K2" s="2">
        <v>2011</v>
      </c>
      <c r="L2" s="2">
        <v>2012</v>
      </c>
      <c r="M2" s="2">
        <v>2013</v>
      </c>
      <c r="N2" s="2">
        <v>2014</v>
      </c>
      <c r="O2" s="2">
        <v>2015</v>
      </c>
    </row>
    <row r="3" spans="1:15" x14ac:dyDescent="0.25">
      <c r="A3" s="5" t="s">
        <v>12</v>
      </c>
      <c r="B3" s="10" t="s">
        <v>22</v>
      </c>
      <c r="C3" s="10"/>
      <c r="D3" s="2" t="s">
        <v>0</v>
      </c>
      <c r="E3" s="2"/>
      <c r="F3" s="15">
        <f>CPI!B244</f>
        <v>86.6</v>
      </c>
      <c r="G3" s="15">
        <f>CPI!B248</f>
        <v>89.1</v>
      </c>
      <c r="H3" s="15">
        <f>CPI!B252</f>
        <v>92.4</v>
      </c>
      <c r="I3" s="15">
        <f>CPI!B256</f>
        <v>94.3</v>
      </c>
      <c r="J3" s="15">
        <f>CPI!B260</f>
        <v>96.9</v>
      </c>
      <c r="K3" s="15">
        <f>CPI!B264</f>
        <v>99.8</v>
      </c>
      <c r="L3" s="15">
        <f>CPI!B268</f>
        <v>102</v>
      </c>
      <c r="M3" s="15">
        <f>CPI!B272</f>
        <v>104.8</v>
      </c>
      <c r="N3" s="15">
        <f>CPI!B276</f>
        <v>106.6</v>
      </c>
      <c r="O3" s="15">
        <f>B280</f>
        <v>108.4</v>
      </c>
    </row>
    <row r="4" spans="1:15" x14ac:dyDescent="0.25">
      <c r="A4" s="5" t="s">
        <v>13</v>
      </c>
      <c r="B4" s="10" t="s">
        <v>23</v>
      </c>
      <c r="C4" s="10"/>
      <c r="D4" s="2" t="s">
        <v>27</v>
      </c>
      <c r="E4" s="2"/>
      <c r="F4" s="13">
        <f>CPI!B242</f>
        <v>85.9</v>
      </c>
      <c r="G4" s="13">
        <f>CPI!B246</f>
        <v>87.7</v>
      </c>
      <c r="H4" s="13">
        <f>CPI!B250</f>
        <v>91.6</v>
      </c>
      <c r="I4" s="13">
        <f>CPI!B254</f>
        <v>92.9</v>
      </c>
      <c r="J4" s="13">
        <f>CPI!B258</f>
        <v>95.8</v>
      </c>
      <c r="K4" s="13">
        <f>CPI!B262</f>
        <v>99.2</v>
      </c>
      <c r="L4" s="13">
        <f>CPI!B266</f>
        <v>100.4</v>
      </c>
      <c r="M4" s="13">
        <f>CPI!B270</f>
        <v>102.8</v>
      </c>
      <c r="N4" s="13">
        <f>CPI!B274</f>
        <v>105.9</v>
      </c>
      <c r="O4">
        <f>B278</f>
        <v>107.5</v>
      </c>
    </row>
    <row r="5" spans="1:15" x14ac:dyDescent="0.25">
      <c r="A5" s="5" t="s">
        <v>14</v>
      </c>
      <c r="B5" s="10" t="s">
        <v>24</v>
      </c>
      <c r="C5" s="10"/>
      <c r="D5" s="2" t="s">
        <v>26</v>
      </c>
      <c r="E5" s="2"/>
      <c r="F5" s="2">
        <f>CPI!B240</f>
        <v>83.8</v>
      </c>
      <c r="G5" s="2">
        <f>CPI!B244</f>
        <v>86.6</v>
      </c>
      <c r="H5" s="2">
        <f>CPI!B248</f>
        <v>89.1</v>
      </c>
      <c r="I5" s="2">
        <f>CPI!B252</f>
        <v>92.4</v>
      </c>
      <c r="J5" s="2">
        <f>CPI!B256</f>
        <v>94.3</v>
      </c>
      <c r="K5" s="2">
        <f>CPI!B260</f>
        <v>96.9</v>
      </c>
      <c r="L5" s="2">
        <f>CPI!B264</f>
        <v>99.8</v>
      </c>
      <c r="M5" s="2">
        <f>CPI!B268</f>
        <v>102</v>
      </c>
      <c r="N5" s="2">
        <f>CPI!B272</f>
        <v>104.8</v>
      </c>
      <c r="O5" s="46">
        <f>B276</f>
        <v>106.6</v>
      </c>
    </row>
    <row r="6" spans="1:15" x14ac:dyDescent="0.25">
      <c r="A6" s="5" t="s">
        <v>15</v>
      </c>
      <c r="B6" s="8">
        <v>3</v>
      </c>
      <c r="D6" s="14" t="str">
        <f>"Convert to real"</f>
        <v>Convert to real</v>
      </c>
      <c r="E6" s="82">
        <v>2015</v>
      </c>
      <c r="F6" s="13"/>
      <c r="G6" s="13"/>
      <c r="H6" s="13"/>
      <c r="I6" s="13"/>
      <c r="J6" s="13"/>
      <c r="K6" s="13"/>
      <c r="L6" s="13"/>
      <c r="M6" s="13"/>
      <c r="N6" s="2"/>
    </row>
    <row r="7" spans="1:15" x14ac:dyDescent="0.25">
      <c r="A7" s="6" t="s">
        <v>16</v>
      </c>
      <c r="B7" s="11">
        <v>17777</v>
      </c>
      <c r="C7" s="11"/>
      <c r="D7" s="2"/>
      <c r="E7" s="2">
        <f>MATCH(Real_year,F2:O2)</f>
        <v>10</v>
      </c>
      <c r="F7" s="13"/>
      <c r="G7" s="13"/>
      <c r="H7" s="13"/>
      <c r="I7" s="13"/>
      <c r="J7" s="13"/>
      <c r="K7" s="13"/>
      <c r="L7" s="13"/>
      <c r="M7" s="13"/>
      <c r="N7" s="2"/>
    </row>
    <row r="8" spans="1:15" ht="14.45" x14ac:dyDescent="0.35">
      <c r="A8" s="6" t="s">
        <v>17</v>
      </c>
      <c r="B8" s="11">
        <v>41699</v>
      </c>
      <c r="C8" s="11"/>
      <c r="D8" s="80" t="str">
        <f>CONCATENATE(D6, " ",Real_year)</f>
        <v>Convert to real 2015</v>
      </c>
      <c r="E8" s="2">
        <f>INDEX(F2:O5,2,$E$7)</f>
        <v>108.4</v>
      </c>
      <c r="F8" s="13"/>
      <c r="G8" s="13"/>
      <c r="H8" s="13"/>
      <c r="I8" s="13"/>
      <c r="J8" s="13"/>
      <c r="K8" s="13"/>
      <c r="L8" s="13"/>
      <c r="M8" s="13"/>
      <c r="N8" s="2"/>
    </row>
    <row r="9" spans="1:15" x14ac:dyDescent="0.25">
      <c r="A9" s="5" t="s">
        <v>18</v>
      </c>
      <c r="B9" s="8">
        <v>263</v>
      </c>
      <c r="D9" s="2" t="s">
        <v>29</v>
      </c>
      <c r="E9" s="2"/>
      <c r="F9" s="16">
        <f>$E$8/F4</f>
        <v>1.2619324796274738</v>
      </c>
      <c r="G9" s="16">
        <f t="shared" ref="G9:O9" si="0">$E$8/G4</f>
        <v>1.2360319270239453</v>
      </c>
      <c r="H9" s="16">
        <f t="shared" si="0"/>
        <v>1.1834061135371181</v>
      </c>
      <c r="I9" s="16">
        <f t="shared" si="0"/>
        <v>1.1668460710441335</v>
      </c>
      <c r="J9" s="16">
        <f t="shared" si="0"/>
        <v>1.1315240083507307</v>
      </c>
      <c r="K9" s="16">
        <f t="shared" si="0"/>
        <v>1.092741935483871</v>
      </c>
      <c r="L9" s="16">
        <f t="shared" si="0"/>
        <v>1.0796812749003983</v>
      </c>
      <c r="M9" s="16">
        <f t="shared" si="0"/>
        <v>1.0544747081712063</v>
      </c>
      <c r="N9" s="16">
        <f t="shared" si="0"/>
        <v>1.0236071765816808</v>
      </c>
      <c r="O9" s="16">
        <f t="shared" si="0"/>
        <v>1.0083720930232558</v>
      </c>
    </row>
    <row r="10" spans="1:15" x14ac:dyDescent="0.25">
      <c r="A10" s="5" t="s">
        <v>19</v>
      </c>
      <c r="B10" s="10" t="s">
        <v>25</v>
      </c>
      <c r="C10" s="10"/>
      <c r="D10" s="2" t="s">
        <v>28</v>
      </c>
      <c r="E10" s="2"/>
      <c r="F10" s="16">
        <f t="shared" ref="F10:O10" si="1">currency_base/F5</f>
        <v>1.2935560859188546</v>
      </c>
      <c r="G10" s="16">
        <f t="shared" si="1"/>
        <v>1.2517321016166283</v>
      </c>
      <c r="H10" s="16">
        <f t="shared" si="1"/>
        <v>1.2166105499438835</v>
      </c>
      <c r="I10" s="16">
        <f t="shared" si="1"/>
        <v>1.1731601731601731</v>
      </c>
      <c r="J10" s="16">
        <f t="shared" si="1"/>
        <v>1.1495227995758219</v>
      </c>
      <c r="K10" s="16">
        <f t="shared" si="1"/>
        <v>1.1186790505675954</v>
      </c>
      <c r="L10" s="16">
        <f t="shared" si="1"/>
        <v>1.086172344689379</v>
      </c>
      <c r="M10" s="16">
        <f t="shared" si="1"/>
        <v>1.0627450980392157</v>
      </c>
      <c r="N10" s="16">
        <f t="shared" si="1"/>
        <v>1.0343511450381679</v>
      </c>
      <c r="O10" s="16">
        <f t="shared" si="1"/>
        <v>1.0168855534709194</v>
      </c>
    </row>
    <row r="11" spans="1:15" x14ac:dyDescent="0.25">
      <c r="A11" s="7">
        <v>17777</v>
      </c>
      <c r="B11" s="12">
        <v>3.7</v>
      </c>
      <c r="C11" s="12"/>
      <c r="D11" s="74" t="s">
        <v>132</v>
      </c>
    </row>
    <row r="12" spans="1:15" x14ac:dyDescent="0.25">
      <c r="A12" s="7">
        <v>17868</v>
      </c>
      <c r="B12" s="12">
        <v>3.8</v>
      </c>
      <c r="C12" s="12"/>
    </row>
    <row r="13" spans="1:15" x14ac:dyDescent="0.25">
      <c r="A13" s="7">
        <v>17958</v>
      </c>
      <c r="B13" s="12">
        <v>3.9</v>
      </c>
      <c r="C13" s="12"/>
    </row>
    <row r="14" spans="1:15" x14ac:dyDescent="0.25">
      <c r="A14" s="7">
        <v>18050</v>
      </c>
      <c r="B14" s="12">
        <v>4</v>
      </c>
      <c r="C14" s="12"/>
    </row>
    <row r="15" spans="1:15" ht="14.45" x14ac:dyDescent="0.35">
      <c r="A15" s="7">
        <v>18142</v>
      </c>
      <c r="B15" s="12">
        <v>4.0999999999999996</v>
      </c>
      <c r="C15" s="12"/>
    </row>
    <row r="16" spans="1:15" ht="14.45" x14ac:dyDescent="0.35">
      <c r="A16" s="7">
        <v>18233</v>
      </c>
      <c r="B16" s="12">
        <v>4.0999999999999996</v>
      </c>
      <c r="C16" s="12"/>
    </row>
    <row r="17" spans="1:3" ht="14.45" x14ac:dyDescent="0.35">
      <c r="A17" s="7">
        <v>18323</v>
      </c>
      <c r="B17" s="12">
        <v>4.2</v>
      </c>
      <c r="C17" s="12"/>
    </row>
    <row r="18" spans="1:3" ht="14.45" x14ac:dyDescent="0.35">
      <c r="A18" s="7">
        <v>18415</v>
      </c>
      <c r="B18" s="12">
        <v>4.3</v>
      </c>
      <c r="C18" s="12"/>
    </row>
    <row r="19" spans="1:3" ht="14.45" x14ac:dyDescent="0.35">
      <c r="A19" s="7">
        <v>18507</v>
      </c>
      <c r="B19" s="12">
        <v>4.4000000000000004</v>
      </c>
      <c r="C19" s="12"/>
    </row>
    <row r="20" spans="1:3" ht="14.45" x14ac:dyDescent="0.35">
      <c r="A20" s="7">
        <v>18598</v>
      </c>
      <c r="B20" s="12">
        <v>4.5999999999999996</v>
      </c>
      <c r="C20" s="12"/>
    </row>
    <row r="21" spans="1:3" ht="14.45" x14ac:dyDescent="0.35">
      <c r="A21" s="7">
        <v>18688</v>
      </c>
      <c r="B21" s="12">
        <v>4.8</v>
      </c>
      <c r="C21" s="12"/>
    </row>
    <row r="22" spans="1:3" ht="14.45" x14ac:dyDescent="0.35">
      <c r="A22" s="7">
        <v>18780</v>
      </c>
      <c r="B22" s="12">
        <v>5.0999999999999996</v>
      </c>
      <c r="C22" s="12"/>
    </row>
    <row r="23" spans="1:3" ht="14.45" x14ac:dyDescent="0.35">
      <c r="A23" s="7">
        <v>18872</v>
      </c>
      <c r="B23" s="12">
        <v>5.3</v>
      </c>
      <c r="C23" s="12"/>
    </row>
    <row r="24" spans="1:3" ht="14.45" x14ac:dyDescent="0.35">
      <c r="A24" s="7">
        <v>18963</v>
      </c>
      <c r="B24" s="12">
        <v>5.7</v>
      </c>
      <c r="C24" s="12"/>
    </row>
    <row r="25" spans="1:3" ht="14.45" x14ac:dyDescent="0.35">
      <c r="A25" s="7">
        <v>19054</v>
      </c>
      <c r="B25" s="12">
        <v>5.9</v>
      </c>
      <c r="C25" s="12"/>
    </row>
    <row r="26" spans="1:3" ht="14.45" x14ac:dyDescent="0.35">
      <c r="A26" s="7">
        <v>19146</v>
      </c>
      <c r="B26" s="12">
        <v>6.1</v>
      </c>
      <c r="C26" s="12"/>
    </row>
    <row r="27" spans="1:3" ht="14.45" x14ac:dyDescent="0.35">
      <c r="A27" s="7">
        <v>19238</v>
      </c>
      <c r="B27" s="12">
        <v>6.2</v>
      </c>
      <c r="C27" s="12"/>
    </row>
    <row r="28" spans="1:3" ht="14.45" x14ac:dyDescent="0.35">
      <c r="A28" s="7">
        <v>19329</v>
      </c>
      <c r="B28" s="12">
        <v>6.3</v>
      </c>
      <c r="C28" s="12"/>
    </row>
    <row r="29" spans="1:3" ht="14.45" x14ac:dyDescent="0.35">
      <c r="A29" s="7">
        <v>19419</v>
      </c>
      <c r="B29" s="12">
        <v>6.3</v>
      </c>
      <c r="C29" s="12"/>
    </row>
    <row r="30" spans="1:3" ht="14.45" x14ac:dyDescent="0.35">
      <c r="A30" s="7">
        <v>19511</v>
      </c>
      <c r="B30" s="12">
        <v>6.4</v>
      </c>
      <c r="C30" s="12"/>
    </row>
    <row r="31" spans="1:3" ht="14.45" x14ac:dyDescent="0.35">
      <c r="A31" s="7">
        <v>19603</v>
      </c>
      <c r="B31" s="12">
        <v>6.5</v>
      </c>
      <c r="C31" s="12"/>
    </row>
    <row r="32" spans="1:3" x14ac:dyDescent="0.25">
      <c r="A32" s="7">
        <v>19694</v>
      </c>
      <c r="B32" s="12">
        <v>6.4</v>
      </c>
      <c r="C32" s="12"/>
    </row>
    <row r="33" spans="1:3" x14ac:dyDescent="0.25">
      <c r="A33" s="7">
        <v>19784</v>
      </c>
      <c r="B33" s="12">
        <v>6.5</v>
      </c>
      <c r="C33" s="12"/>
    </row>
    <row r="34" spans="1:3" x14ac:dyDescent="0.25">
      <c r="A34" s="7">
        <v>19876</v>
      </c>
      <c r="B34" s="12">
        <v>6.5</v>
      </c>
      <c r="C34" s="12"/>
    </row>
    <row r="35" spans="1:3" x14ac:dyDescent="0.25">
      <c r="A35" s="7">
        <v>19968</v>
      </c>
      <c r="B35" s="12">
        <v>6.5</v>
      </c>
      <c r="C35" s="12"/>
    </row>
    <row r="36" spans="1:3" x14ac:dyDescent="0.25">
      <c r="A36" s="7">
        <v>20059</v>
      </c>
      <c r="B36" s="12">
        <v>6.5</v>
      </c>
      <c r="C36" s="12"/>
    </row>
    <row r="37" spans="1:3" x14ac:dyDescent="0.25">
      <c r="A37" s="7">
        <v>20149</v>
      </c>
      <c r="B37" s="12">
        <v>6.5</v>
      </c>
      <c r="C37" s="12"/>
    </row>
    <row r="38" spans="1:3" x14ac:dyDescent="0.25">
      <c r="A38" s="7">
        <v>20241</v>
      </c>
      <c r="B38" s="12">
        <v>6.6</v>
      </c>
      <c r="C38" s="12"/>
    </row>
    <row r="39" spans="1:3" x14ac:dyDescent="0.25">
      <c r="A39" s="7">
        <v>20333</v>
      </c>
      <c r="B39" s="12">
        <v>6.6</v>
      </c>
      <c r="C39" s="12"/>
    </row>
    <row r="40" spans="1:3" x14ac:dyDescent="0.25">
      <c r="A40" s="7">
        <v>20424</v>
      </c>
      <c r="B40" s="12">
        <v>6.7</v>
      </c>
      <c r="C40" s="12"/>
    </row>
    <row r="41" spans="1:3" x14ac:dyDescent="0.25">
      <c r="A41" s="7">
        <v>20515</v>
      </c>
      <c r="B41" s="12">
        <v>6.7</v>
      </c>
      <c r="C41" s="12"/>
    </row>
    <row r="42" spans="1:3" x14ac:dyDescent="0.25">
      <c r="A42" s="7">
        <v>20607</v>
      </c>
      <c r="B42" s="12">
        <v>7</v>
      </c>
      <c r="C42" s="12"/>
    </row>
    <row r="43" spans="1:3" x14ac:dyDescent="0.25">
      <c r="A43" s="7">
        <v>20699</v>
      </c>
      <c r="B43" s="12">
        <v>7.1</v>
      </c>
      <c r="C43" s="12"/>
    </row>
    <row r="44" spans="1:3" x14ac:dyDescent="0.25">
      <c r="A44" s="7">
        <v>20790</v>
      </c>
      <c r="B44" s="12">
        <v>7.1</v>
      </c>
      <c r="C44" s="12"/>
    </row>
    <row r="45" spans="1:3" x14ac:dyDescent="0.25">
      <c r="A45" s="7">
        <v>20880</v>
      </c>
      <c r="B45" s="12">
        <v>7.1</v>
      </c>
      <c r="C45" s="12"/>
    </row>
    <row r="46" spans="1:3" x14ac:dyDescent="0.25">
      <c r="A46" s="7">
        <v>20972</v>
      </c>
      <c r="B46" s="12">
        <v>7.2</v>
      </c>
      <c r="C46" s="12"/>
    </row>
    <row r="47" spans="1:3" x14ac:dyDescent="0.25">
      <c r="A47" s="7">
        <v>21064</v>
      </c>
      <c r="B47" s="12">
        <v>7.2</v>
      </c>
      <c r="C47" s="12"/>
    </row>
    <row r="48" spans="1:3" x14ac:dyDescent="0.25">
      <c r="A48" s="7">
        <v>21155</v>
      </c>
      <c r="B48" s="12">
        <v>7.2</v>
      </c>
      <c r="C48" s="12"/>
    </row>
    <row r="49" spans="1:3" x14ac:dyDescent="0.25">
      <c r="A49" s="7">
        <v>21245</v>
      </c>
      <c r="B49" s="12">
        <v>7.2</v>
      </c>
      <c r="C49" s="12"/>
    </row>
    <row r="50" spans="1:3" x14ac:dyDescent="0.25">
      <c r="A50" s="7">
        <v>21337</v>
      </c>
      <c r="B50" s="12">
        <v>7.2</v>
      </c>
      <c r="C50" s="12"/>
    </row>
    <row r="51" spans="1:3" x14ac:dyDescent="0.25">
      <c r="A51" s="7">
        <v>21429</v>
      </c>
      <c r="B51" s="12">
        <v>7.2</v>
      </c>
      <c r="C51" s="12"/>
    </row>
    <row r="52" spans="1:3" x14ac:dyDescent="0.25">
      <c r="A52" s="7">
        <v>21520</v>
      </c>
      <c r="B52" s="12">
        <v>7.3</v>
      </c>
      <c r="C52" s="12"/>
    </row>
    <row r="53" spans="1:3" x14ac:dyDescent="0.25">
      <c r="A53" s="7">
        <v>21610</v>
      </c>
      <c r="B53" s="12">
        <v>7.3</v>
      </c>
      <c r="C53" s="12"/>
    </row>
    <row r="54" spans="1:3" x14ac:dyDescent="0.25">
      <c r="A54" s="7">
        <v>21702</v>
      </c>
      <c r="B54" s="12">
        <v>7.3</v>
      </c>
      <c r="C54" s="12"/>
    </row>
    <row r="55" spans="1:3" x14ac:dyDescent="0.25">
      <c r="A55" s="7">
        <v>21794</v>
      </c>
      <c r="B55" s="12">
        <v>7.4</v>
      </c>
      <c r="C55" s="12"/>
    </row>
    <row r="56" spans="1:3" x14ac:dyDescent="0.25">
      <c r="A56" s="7">
        <v>21885</v>
      </c>
      <c r="B56" s="12">
        <v>7.5</v>
      </c>
      <c r="C56" s="12"/>
    </row>
    <row r="57" spans="1:3" x14ac:dyDescent="0.25">
      <c r="A57" s="7">
        <v>21976</v>
      </c>
      <c r="B57" s="12">
        <v>7.5</v>
      </c>
      <c r="C57" s="12"/>
    </row>
    <row r="58" spans="1:3" x14ac:dyDescent="0.25">
      <c r="A58" s="7">
        <v>22068</v>
      </c>
      <c r="B58" s="12">
        <v>7.6</v>
      </c>
      <c r="C58" s="12"/>
    </row>
    <row r="59" spans="1:3" x14ac:dyDescent="0.25">
      <c r="A59" s="7">
        <v>22160</v>
      </c>
      <c r="B59" s="12">
        <v>7.7</v>
      </c>
      <c r="C59" s="12"/>
    </row>
    <row r="60" spans="1:3" x14ac:dyDescent="0.25">
      <c r="A60" s="7">
        <v>22251</v>
      </c>
      <c r="B60" s="12">
        <v>7.8</v>
      </c>
      <c r="C60" s="12"/>
    </row>
    <row r="61" spans="1:3" x14ac:dyDescent="0.25">
      <c r="A61" s="7">
        <v>22341</v>
      </c>
      <c r="B61" s="12">
        <v>7.8</v>
      </c>
      <c r="C61" s="12"/>
    </row>
    <row r="62" spans="1:3" x14ac:dyDescent="0.25">
      <c r="A62" s="7">
        <v>22433</v>
      </c>
      <c r="B62" s="12">
        <v>7.9</v>
      </c>
      <c r="C62" s="12"/>
    </row>
    <row r="63" spans="1:3" x14ac:dyDescent="0.25">
      <c r="A63" s="7">
        <v>22525</v>
      </c>
      <c r="B63" s="12">
        <v>7.8</v>
      </c>
      <c r="C63" s="12"/>
    </row>
    <row r="64" spans="1:3" x14ac:dyDescent="0.25">
      <c r="A64" s="7">
        <v>22616</v>
      </c>
      <c r="B64" s="12">
        <v>7.8</v>
      </c>
      <c r="C64" s="12"/>
    </row>
    <row r="65" spans="1:3" x14ac:dyDescent="0.25">
      <c r="A65" s="7">
        <v>22706</v>
      </c>
      <c r="B65" s="12">
        <v>7.8</v>
      </c>
      <c r="C65" s="12"/>
    </row>
    <row r="66" spans="1:3" x14ac:dyDescent="0.25">
      <c r="A66" s="7">
        <v>22798</v>
      </c>
      <c r="B66" s="12">
        <v>7.8</v>
      </c>
      <c r="C66" s="12"/>
    </row>
    <row r="67" spans="1:3" x14ac:dyDescent="0.25">
      <c r="A67" s="7">
        <v>22890</v>
      </c>
      <c r="B67" s="12">
        <v>7.8</v>
      </c>
      <c r="C67" s="12"/>
    </row>
    <row r="68" spans="1:3" x14ac:dyDescent="0.25">
      <c r="A68" s="7">
        <v>22981</v>
      </c>
      <c r="B68" s="12">
        <v>7.8</v>
      </c>
      <c r="C68" s="12"/>
    </row>
    <row r="69" spans="1:3" x14ac:dyDescent="0.25">
      <c r="A69" s="7">
        <v>23071</v>
      </c>
      <c r="B69" s="12">
        <v>7.8</v>
      </c>
      <c r="C69" s="12"/>
    </row>
    <row r="70" spans="1:3" x14ac:dyDescent="0.25">
      <c r="A70" s="7">
        <v>23163</v>
      </c>
      <c r="B70" s="12">
        <v>7.8</v>
      </c>
      <c r="C70" s="12"/>
    </row>
    <row r="71" spans="1:3" x14ac:dyDescent="0.25">
      <c r="A71" s="7">
        <v>23255</v>
      </c>
      <c r="B71" s="12">
        <v>7.9</v>
      </c>
      <c r="C71" s="12"/>
    </row>
    <row r="72" spans="1:3" x14ac:dyDescent="0.25">
      <c r="A72" s="7">
        <v>23346</v>
      </c>
      <c r="B72" s="12">
        <v>7.9</v>
      </c>
      <c r="C72" s="12"/>
    </row>
    <row r="73" spans="1:3" x14ac:dyDescent="0.25">
      <c r="A73" s="7">
        <v>23437</v>
      </c>
      <c r="B73" s="12">
        <v>8</v>
      </c>
      <c r="C73" s="12"/>
    </row>
    <row r="74" spans="1:3" x14ac:dyDescent="0.25">
      <c r="A74" s="7">
        <v>23529</v>
      </c>
      <c r="B74" s="12">
        <v>8</v>
      </c>
      <c r="C74" s="12"/>
    </row>
    <row r="75" spans="1:3" x14ac:dyDescent="0.25">
      <c r="A75" s="7">
        <v>23621</v>
      </c>
      <c r="B75" s="12">
        <v>8.1</v>
      </c>
      <c r="C75" s="12"/>
    </row>
    <row r="76" spans="1:3" x14ac:dyDescent="0.25">
      <c r="A76" s="7">
        <v>23712</v>
      </c>
      <c r="B76" s="12">
        <v>8.1999999999999993</v>
      </c>
      <c r="C76" s="12"/>
    </row>
    <row r="77" spans="1:3" x14ac:dyDescent="0.25">
      <c r="A77" s="7">
        <v>23802</v>
      </c>
      <c r="B77" s="12">
        <v>8.1999999999999993</v>
      </c>
      <c r="C77" s="12"/>
    </row>
    <row r="78" spans="1:3" x14ac:dyDescent="0.25">
      <c r="A78" s="7">
        <v>23894</v>
      </c>
      <c r="B78" s="12">
        <v>8.3000000000000007</v>
      </c>
      <c r="C78" s="12"/>
    </row>
    <row r="79" spans="1:3" x14ac:dyDescent="0.25">
      <c r="A79" s="7">
        <v>23986</v>
      </c>
      <c r="B79" s="12">
        <v>8.4</v>
      </c>
      <c r="C79" s="12"/>
    </row>
    <row r="80" spans="1:3" x14ac:dyDescent="0.25">
      <c r="A80" s="7">
        <v>24077</v>
      </c>
      <c r="B80" s="12">
        <v>8.5</v>
      </c>
      <c r="C80" s="12"/>
    </row>
    <row r="81" spans="1:3" x14ac:dyDescent="0.25">
      <c r="A81" s="7">
        <v>24167</v>
      </c>
      <c r="B81" s="12">
        <v>8.6</v>
      </c>
      <c r="C81" s="12"/>
    </row>
    <row r="82" spans="1:3" x14ac:dyDescent="0.25">
      <c r="A82" s="7">
        <v>24259</v>
      </c>
      <c r="B82" s="12">
        <v>8.6</v>
      </c>
      <c r="C82" s="12"/>
    </row>
    <row r="83" spans="1:3" x14ac:dyDescent="0.25">
      <c r="A83" s="7">
        <v>24351</v>
      </c>
      <c r="B83" s="12">
        <v>8.6</v>
      </c>
      <c r="C83" s="12"/>
    </row>
    <row r="84" spans="1:3" x14ac:dyDescent="0.25">
      <c r="A84" s="7">
        <v>24442</v>
      </c>
      <c r="B84" s="12">
        <v>8.6999999999999993</v>
      </c>
      <c r="C84" s="12"/>
    </row>
    <row r="85" spans="1:3" x14ac:dyDescent="0.25">
      <c r="A85" s="7">
        <v>24532</v>
      </c>
      <c r="B85" s="12">
        <v>8.8000000000000007</v>
      </c>
      <c r="C85" s="12"/>
    </row>
    <row r="86" spans="1:3" x14ac:dyDescent="0.25">
      <c r="A86" s="7">
        <v>24624</v>
      </c>
      <c r="B86" s="12">
        <v>8.9</v>
      </c>
      <c r="C86" s="12"/>
    </row>
    <row r="87" spans="1:3" x14ac:dyDescent="0.25">
      <c r="A87" s="7">
        <v>24716</v>
      </c>
      <c r="B87" s="12">
        <v>9</v>
      </c>
      <c r="C87" s="12"/>
    </row>
    <row r="88" spans="1:3" x14ac:dyDescent="0.25">
      <c r="A88" s="7">
        <v>24807</v>
      </c>
      <c r="B88" s="12">
        <v>9</v>
      </c>
      <c r="C88" s="12"/>
    </row>
    <row r="89" spans="1:3" x14ac:dyDescent="0.25">
      <c r="A89" s="7">
        <v>24898</v>
      </c>
      <c r="B89" s="12">
        <v>9.1</v>
      </c>
      <c r="C89" s="12"/>
    </row>
    <row r="90" spans="1:3" x14ac:dyDescent="0.25">
      <c r="A90" s="7">
        <v>24990</v>
      </c>
      <c r="B90" s="12">
        <v>9.1</v>
      </c>
      <c r="C90" s="12"/>
    </row>
    <row r="91" spans="1:3" x14ac:dyDescent="0.25">
      <c r="A91" s="7">
        <v>25082</v>
      </c>
      <c r="B91" s="12">
        <v>9.1999999999999993</v>
      </c>
      <c r="C91" s="12"/>
    </row>
    <row r="92" spans="1:3" x14ac:dyDescent="0.25">
      <c r="A92" s="7">
        <v>25173</v>
      </c>
      <c r="B92" s="12">
        <v>9.1999999999999993</v>
      </c>
      <c r="C92" s="12"/>
    </row>
    <row r="93" spans="1:3" x14ac:dyDescent="0.25">
      <c r="A93" s="7">
        <v>25263</v>
      </c>
      <c r="B93" s="12">
        <v>9.4</v>
      </c>
      <c r="C93" s="12"/>
    </row>
    <row r="94" spans="1:3" x14ac:dyDescent="0.25">
      <c r="A94" s="7">
        <v>25355</v>
      </c>
      <c r="B94" s="12">
        <v>9.4</v>
      </c>
      <c r="C94" s="12"/>
    </row>
    <row r="95" spans="1:3" x14ac:dyDescent="0.25">
      <c r="A95" s="7">
        <v>25447</v>
      </c>
      <c r="B95" s="12">
        <v>9.5</v>
      </c>
      <c r="C95" s="12"/>
    </row>
    <row r="96" spans="1:3" x14ac:dyDescent="0.25">
      <c r="A96" s="7">
        <v>25538</v>
      </c>
      <c r="B96" s="12">
        <v>9.5</v>
      </c>
      <c r="C96" s="12"/>
    </row>
    <row r="97" spans="1:3" x14ac:dyDescent="0.25">
      <c r="A97" s="7">
        <v>25628</v>
      </c>
      <c r="B97" s="12">
        <v>9.6</v>
      </c>
      <c r="C97" s="12"/>
    </row>
    <row r="98" spans="1:3" x14ac:dyDescent="0.25">
      <c r="A98" s="7">
        <v>25720</v>
      </c>
      <c r="B98" s="12">
        <v>9.6999999999999993</v>
      </c>
      <c r="C98" s="12"/>
    </row>
    <row r="99" spans="1:3" x14ac:dyDescent="0.25">
      <c r="A99" s="7">
        <v>25812</v>
      </c>
      <c r="B99" s="12">
        <v>9.8000000000000007</v>
      </c>
      <c r="C99" s="12"/>
    </row>
    <row r="100" spans="1:3" x14ac:dyDescent="0.25">
      <c r="A100" s="7">
        <v>25903</v>
      </c>
      <c r="B100" s="12">
        <v>10</v>
      </c>
      <c r="C100" s="12"/>
    </row>
    <row r="101" spans="1:3" x14ac:dyDescent="0.25">
      <c r="A101" s="7">
        <v>25993</v>
      </c>
      <c r="B101" s="12">
        <v>10.1</v>
      </c>
      <c r="C101" s="12"/>
    </row>
    <row r="102" spans="1:3" x14ac:dyDescent="0.25">
      <c r="A102" s="7">
        <v>26085</v>
      </c>
      <c r="B102" s="12">
        <v>10.199999999999999</v>
      </c>
      <c r="C102" s="12"/>
    </row>
    <row r="103" spans="1:3" x14ac:dyDescent="0.25">
      <c r="A103" s="7">
        <v>26177</v>
      </c>
      <c r="B103" s="12">
        <v>10.5</v>
      </c>
      <c r="C103" s="12"/>
    </row>
    <row r="104" spans="1:3" x14ac:dyDescent="0.25">
      <c r="A104" s="7">
        <v>26268</v>
      </c>
      <c r="B104" s="12">
        <v>10.7</v>
      </c>
      <c r="C104" s="12"/>
    </row>
    <row r="105" spans="1:3" x14ac:dyDescent="0.25">
      <c r="A105" s="7">
        <v>26359</v>
      </c>
      <c r="B105" s="12">
        <v>10.8</v>
      </c>
      <c r="C105" s="12"/>
    </row>
    <row r="106" spans="1:3" x14ac:dyDescent="0.25">
      <c r="A106" s="7">
        <v>26451</v>
      </c>
      <c r="B106" s="12">
        <v>10.9</v>
      </c>
      <c r="C106" s="12"/>
    </row>
    <row r="107" spans="1:3" x14ac:dyDescent="0.25">
      <c r="A107" s="7">
        <v>26543</v>
      </c>
      <c r="B107" s="12">
        <v>11.1</v>
      </c>
      <c r="C107" s="12"/>
    </row>
    <row r="108" spans="1:3" x14ac:dyDescent="0.25">
      <c r="A108" s="7">
        <v>26634</v>
      </c>
      <c r="B108" s="12">
        <v>11.2</v>
      </c>
      <c r="C108" s="12"/>
    </row>
    <row r="109" spans="1:3" x14ac:dyDescent="0.25">
      <c r="A109" s="7">
        <v>26724</v>
      </c>
      <c r="B109" s="12">
        <v>11.4</v>
      </c>
      <c r="C109" s="12"/>
    </row>
    <row r="110" spans="1:3" x14ac:dyDescent="0.25">
      <c r="A110" s="7">
        <v>26816</v>
      </c>
      <c r="B110" s="12">
        <v>11.8</v>
      </c>
      <c r="C110" s="12"/>
    </row>
    <row r="111" spans="1:3" x14ac:dyDescent="0.25">
      <c r="A111" s="7">
        <v>26908</v>
      </c>
      <c r="B111" s="12">
        <v>12.2</v>
      </c>
      <c r="C111" s="12"/>
    </row>
    <row r="112" spans="1:3" x14ac:dyDescent="0.25">
      <c r="A112" s="7">
        <v>26999</v>
      </c>
      <c r="B112" s="12">
        <v>12.6</v>
      </c>
      <c r="C112" s="12"/>
    </row>
    <row r="113" spans="1:3" x14ac:dyDescent="0.25">
      <c r="A113" s="7">
        <v>27089</v>
      </c>
      <c r="B113" s="12">
        <v>13</v>
      </c>
      <c r="C113" s="12"/>
    </row>
    <row r="114" spans="1:3" x14ac:dyDescent="0.25">
      <c r="A114" s="7">
        <v>27181</v>
      </c>
      <c r="B114" s="12">
        <v>13.5</v>
      </c>
      <c r="C114" s="12"/>
    </row>
    <row r="115" spans="1:3" x14ac:dyDescent="0.25">
      <c r="A115" s="7">
        <v>27273</v>
      </c>
      <c r="B115" s="12">
        <v>14.2</v>
      </c>
      <c r="C115" s="12"/>
    </row>
    <row r="116" spans="1:3" x14ac:dyDescent="0.25">
      <c r="A116" s="7">
        <v>27364</v>
      </c>
      <c r="B116" s="12">
        <v>14.7</v>
      </c>
      <c r="C116" s="12"/>
    </row>
    <row r="117" spans="1:3" x14ac:dyDescent="0.25">
      <c r="A117" s="7">
        <v>27454</v>
      </c>
      <c r="B117" s="12">
        <v>15.3</v>
      </c>
      <c r="C117" s="12"/>
    </row>
    <row r="118" spans="1:3" x14ac:dyDescent="0.25">
      <c r="A118" s="7">
        <v>27546</v>
      </c>
      <c r="B118" s="12">
        <v>15.8</v>
      </c>
      <c r="C118" s="12"/>
    </row>
    <row r="119" spans="1:3" x14ac:dyDescent="0.25">
      <c r="A119" s="7">
        <v>27638</v>
      </c>
      <c r="B119" s="12">
        <v>15.9</v>
      </c>
      <c r="C119" s="12"/>
    </row>
    <row r="120" spans="1:3" x14ac:dyDescent="0.25">
      <c r="A120" s="7">
        <v>27729</v>
      </c>
      <c r="B120" s="12">
        <v>16.8</v>
      </c>
      <c r="C120" s="12"/>
    </row>
    <row r="121" spans="1:3" x14ac:dyDescent="0.25">
      <c r="A121" s="7">
        <v>27820</v>
      </c>
      <c r="B121" s="12">
        <v>17.3</v>
      </c>
      <c r="C121" s="12"/>
    </row>
    <row r="122" spans="1:3" x14ac:dyDescent="0.25">
      <c r="A122" s="7">
        <v>27912</v>
      </c>
      <c r="B122" s="12">
        <v>17.7</v>
      </c>
      <c r="C122" s="12"/>
    </row>
    <row r="123" spans="1:3" x14ac:dyDescent="0.25">
      <c r="A123" s="7">
        <v>28004</v>
      </c>
      <c r="B123" s="12">
        <v>18.100000000000001</v>
      </c>
      <c r="C123" s="12"/>
    </row>
    <row r="124" spans="1:3" x14ac:dyDescent="0.25">
      <c r="A124" s="7">
        <v>28095</v>
      </c>
      <c r="B124" s="12">
        <v>19.2</v>
      </c>
      <c r="C124" s="12"/>
    </row>
    <row r="125" spans="1:3" x14ac:dyDescent="0.25">
      <c r="A125" s="7">
        <v>28185</v>
      </c>
      <c r="B125" s="12">
        <v>19.600000000000001</v>
      </c>
      <c r="C125" s="12"/>
    </row>
    <row r="126" spans="1:3" x14ac:dyDescent="0.25">
      <c r="A126" s="7">
        <v>28277</v>
      </c>
      <c r="B126" s="12">
        <v>20.100000000000001</v>
      </c>
      <c r="C126" s="12"/>
    </row>
    <row r="127" spans="1:3" x14ac:dyDescent="0.25">
      <c r="A127" s="7">
        <v>28369</v>
      </c>
      <c r="B127" s="12">
        <v>20.5</v>
      </c>
      <c r="C127" s="12"/>
    </row>
    <row r="128" spans="1:3" x14ac:dyDescent="0.25">
      <c r="A128" s="7">
        <v>28460</v>
      </c>
      <c r="B128" s="12">
        <v>21</v>
      </c>
      <c r="C128" s="12"/>
    </row>
    <row r="129" spans="1:3" x14ac:dyDescent="0.25">
      <c r="A129" s="7">
        <v>28550</v>
      </c>
      <c r="B129" s="12">
        <v>21.3</v>
      </c>
      <c r="C129" s="12"/>
    </row>
    <row r="130" spans="1:3" x14ac:dyDescent="0.25">
      <c r="A130" s="7">
        <v>28642</v>
      </c>
      <c r="B130" s="12">
        <v>21.7</v>
      </c>
      <c r="C130" s="12"/>
    </row>
    <row r="131" spans="1:3" x14ac:dyDescent="0.25">
      <c r="A131" s="7">
        <v>28734</v>
      </c>
      <c r="B131" s="12">
        <v>22.1</v>
      </c>
      <c r="C131" s="12"/>
    </row>
    <row r="132" spans="1:3" x14ac:dyDescent="0.25">
      <c r="A132" s="7">
        <v>28825</v>
      </c>
      <c r="B132" s="12">
        <v>22.6</v>
      </c>
      <c r="C132" s="12"/>
    </row>
    <row r="133" spans="1:3" x14ac:dyDescent="0.25">
      <c r="A133" s="7">
        <v>28915</v>
      </c>
      <c r="B133" s="12">
        <v>23</v>
      </c>
      <c r="C133" s="12"/>
    </row>
    <row r="134" spans="1:3" x14ac:dyDescent="0.25">
      <c r="A134" s="7">
        <v>29007</v>
      </c>
      <c r="B134" s="12">
        <v>23.6</v>
      </c>
      <c r="C134" s="12"/>
    </row>
    <row r="135" spans="1:3" x14ac:dyDescent="0.25">
      <c r="A135" s="7">
        <v>29099</v>
      </c>
      <c r="B135" s="12">
        <v>24.2</v>
      </c>
      <c r="C135" s="12"/>
    </row>
    <row r="136" spans="1:3" x14ac:dyDescent="0.25">
      <c r="A136" s="7">
        <v>29190</v>
      </c>
      <c r="B136" s="12">
        <v>24.9</v>
      </c>
      <c r="C136" s="12"/>
    </row>
    <row r="137" spans="1:3" x14ac:dyDescent="0.25">
      <c r="A137" s="7">
        <v>29281</v>
      </c>
      <c r="B137" s="12">
        <v>25.4</v>
      </c>
      <c r="C137" s="12"/>
    </row>
    <row r="138" spans="1:3" x14ac:dyDescent="0.25">
      <c r="A138" s="7">
        <v>29373</v>
      </c>
      <c r="B138" s="12">
        <v>26.2</v>
      </c>
      <c r="C138" s="12"/>
    </row>
    <row r="139" spans="1:3" x14ac:dyDescent="0.25">
      <c r="A139" s="7">
        <v>29465</v>
      </c>
      <c r="B139" s="12">
        <v>26.6</v>
      </c>
      <c r="C139" s="12"/>
    </row>
    <row r="140" spans="1:3" x14ac:dyDescent="0.25">
      <c r="A140" s="7">
        <v>29556</v>
      </c>
      <c r="B140" s="12">
        <v>27.2</v>
      </c>
      <c r="C140" s="12"/>
    </row>
    <row r="141" spans="1:3" x14ac:dyDescent="0.25">
      <c r="A141" s="7">
        <v>29646</v>
      </c>
      <c r="B141" s="12">
        <v>27.8</v>
      </c>
      <c r="C141" s="12"/>
    </row>
    <row r="142" spans="1:3" x14ac:dyDescent="0.25">
      <c r="A142" s="7">
        <v>29738</v>
      </c>
      <c r="B142" s="12">
        <v>28.4</v>
      </c>
      <c r="C142" s="12"/>
    </row>
    <row r="143" spans="1:3" x14ac:dyDescent="0.25">
      <c r="A143" s="7">
        <v>29830</v>
      </c>
      <c r="B143" s="12">
        <v>29</v>
      </c>
      <c r="C143" s="12"/>
    </row>
    <row r="144" spans="1:3" x14ac:dyDescent="0.25">
      <c r="A144" s="7">
        <v>29921</v>
      </c>
      <c r="B144" s="12">
        <v>30.2</v>
      </c>
      <c r="C144" s="12"/>
    </row>
    <row r="145" spans="1:3" x14ac:dyDescent="0.25">
      <c r="A145" s="7">
        <v>30011</v>
      </c>
      <c r="B145" s="12">
        <v>30.8</v>
      </c>
      <c r="C145" s="12"/>
    </row>
    <row r="146" spans="1:3" x14ac:dyDescent="0.25">
      <c r="A146" s="7">
        <v>30103</v>
      </c>
      <c r="B146" s="12">
        <v>31.5</v>
      </c>
      <c r="C146" s="12"/>
    </row>
    <row r="147" spans="1:3" x14ac:dyDescent="0.25">
      <c r="A147" s="7">
        <v>30195</v>
      </c>
      <c r="B147" s="12">
        <v>32.6</v>
      </c>
      <c r="C147" s="12"/>
    </row>
    <row r="148" spans="1:3" x14ac:dyDescent="0.25">
      <c r="A148" s="7">
        <v>30286</v>
      </c>
      <c r="B148" s="12">
        <v>33.6</v>
      </c>
      <c r="C148" s="12"/>
    </row>
    <row r="149" spans="1:3" x14ac:dyDescent="0.25">
      <c r="A149" s="7">
        <v>30376</v>
      </c>
      <c r="B149" s="12">
        <v>34.299999999999997</v>
      </c>
      <c r="C149" s="12"/>
    </row>
    <row r="150" spans="1:3" x14ac:dyDescent="0.25">
      <c r="A150" s="7">
        <v>30468</v>
      </c>
      <c r="B150" s="12">
        <v>35</v>
      </c>
      <c r="C150" s="12"/>
    </row>
    <row r="151" spans="1:3" x14ac:dyDescent="0.25">
      <c r="A151" s="7">
        <v>30560</v>
      </c>
      <c r="B151" s="12">
        <v>35.6</v>
      </c>
      <c r="C151" s="12"/>
    </row>
    <row r="152" spans="1:3" x14ac:dyDescent="0.25">
      <c r="A152" s="7">
        <v>30651</v>
      </c>
      <c r="B152" s="12">
        <v>36.5</v>
      </c>
      <c r="C152" s="12"/>
    </row>
    <row r="153" spans="1:3" x14ac:dyDescent="0.25">
      <c r="A153" s="7">
        <v>30742</v>
      </c>
      <c r="B153" s="12">
        <v>36.299999999999997</v>
      </c>
      <c r="C153" s="12"/>
    </row>
    <row r="154" spans="1:3" x14ac:dyDescent="0.25">
      <c r="A154" s="7">
        <v>30834</v>
      </c>
      <c r="B154" s="12">
        <v>36.4</v>
      </c>
      <c r="C154" s="12"/>
    </row>
    <row r="155" spans="1:3" x14ac:dyDescent="0.25">
      <c r="A155" s="7">
        <v>30926</v>
      </c>
      <c r="B155" s="12">
        <v>36.9</v>
      </c>
      <c r="C155" s="12"/>
    </row>
    <row r="156" spans="1:3" x14ac:dyDescent="0.25">
      <c r="A156" s="7">
        <v>31017</v>
      </c>
      <c r="B156" s="12">
        <v>37.4</v>
      </c>
      <c r="C156" s="12"/>
    </row>
    <row r="157" spans="1:3" x14ac:dyDescent="0.25">
      <c r="A157" s="7">
        <v>31107</v>
      </c>
      <c r="B157" s="12">
        <v>37.9</v>
      </c>
      <c r="C157" s="12"/>
    </row>
    <row r="158" spans="1:3" x14ac:dyDescent="0.25">
      <c r="A158" s="7">
        <v>31199</v>
      </c>
      <c r="B158" s="12">
        <v>38.799999999999997</v>
      </c>
      <c r="C158" s="12"/>
    </row>
    <row r="159" spans="1:3" x14ac:dyDescent="0.25">
      <c r="A159" s="7">
        <v>31291</v>
      </c>
      <c r="B159" s="12">
        <v>39.700000000000003</v>
      </c>
      <c r="C159" s="12"/>
    </row>
    <row r="160" spans="1:3" x14ac:dyDescent="0.25">
      <c r="A160" s="7">
        <v>31382</v>
      </c>
      <c r="B160" s="12">
        <v>40.5</v>
      </c>
      <c r="C160" s="12"/>
    </row>
    <row r="161" spans="1:3" x14ac:dyDescent="0.25">
      <c r="A161" s="7">
        <v>31472</v>
      </c>
      <c r="B161" s="12">
        <v>41.4</v>
      </c>
      <c r="C161" s="12"/>
    </row>
    <row r="162" spans="1:3" x14ac:dyDescent="0.25">
      <c r="A162" s="7">
        <v>31564</v>
      </c>
      <c r="B162" s="12">
        <v>42.1</v>
      </c>
      <c r="C162" s="12"/>
    </row>
    <row r="163" spans="1:3" x14ac:dyDescent="0.25">
      <c r="A163" s="7">
        <v>31656</v>
      </c>
      <c r="B163" s="12">
        <v>43.2</v>
      </c>
      <c r="C163" s="12"/>
    </row>
    <row r="164" spans="1:3" x14ac:dyDescent="0.25">
      <c r="A164" s="7">
        <v>31747</v>
      </c>
      <c r="B164" s="12">
        <v>44.4</v>
      </c>
      <c r="C164" s="12"/>
    </row>
    <row r="165" spans="1:3" x14ac:dyDescent="0.25">
      <c r="A165" s="7">
        <v>31837</v>
      </c>
      <c r="B165" s="12">
        <v>45.3</v>
      </c>
      <c r="C165" s="12"/>
    </row>
    <row r="166" spans="1:3" x14ac:dyDescent="0.25">
      <c r="A166" s="7">
        <v>31929</v>
      </c>
      <c r="B166" s="12">
        <v>46</v>
      </c>
      <c r="C166" s="12"/>
    </row>
    <row r="167" spans="1:3" x14ac:dyDescent="0.25">
      <c r="A167" s="7">
        <v>32021</v>
      </c>
      <c r="B167" s="12">
        <v>46.8</v>
      </c>
      <c r="C167" s="12"/>
    </row>
    <row r="168" spans="1:3" x14ac:dyDescent="0.25">
      <c r="A168" s="7">
        <v>32112</v>
      </c>
      <c r="B168" s="12">
        <v>47.6</v>
      </c>
      <c r="C168" s="12"/>
    </row>
    <row r="169" spans="1:3" x14ac:dyDescent="0.25">
      <c r="A169" s="7">
        <v>32203</v>
      </c>
      <c r="B169" s="12">
        <v>48.4</v>
      </c>
      <c r="C169" s="12"/>
    </row>
    <row r="170" spans="1:3" x14ac:dyDescent="0.25">
      <c r="A170" s="7">
        <v>32295</v>
      </c>
      <c r="B170" s="12">
        <v>49.3</v>
      </c>
      <c r="C170" s="12"/>
    </row>
    <row r="171" spans="1:3" x14ac:dyDescent="0.25">
      <c r="A171" s="7">
        <v>32387</v>
      </c>
      <c r="B171" s="12">
        <v>50.2</v>
      </c>
      <c r="C171" s="12"/>
    </row>
    <row r="172" spans="1:3" x14ac:dyDescent="0.25">
      <c r="A172" s="7">
        <v>32478</v>
      </c>
      <c r="B172" s="12">
        <v>51.2</v>
      </c>
      <c r="C172" s="12"/>
    </row>
    <row r="173" spans="1:3" x14ac:dyDescent="0.25">
      <c r="A173" s="7">
        <v>32568</v>
      </c>
      <c r="B173" s="12">
        <v>51.7</v>
      </c>
      <c r="C173" s="12"/>
    </row>
    <row r="174" spans="1:3" x14ac:dyDescent="0.25">
      <c r="A174" s="7">
        <v>32660</v>
      </c>
      <c r="B174" s="12">
        <v>53</v>
      </c>
      <c r="C174" s="12"/>
    </row>
    <row r="175" spans="1:3" x14ac:dyDescent="0.25">
      <c r="A175" s="7">
        <v>32752</v>
      </c>
      <c r="B175" s="12">
        <v>54.2</v>
      </c>
      <c r="C175" s="12"/>
    </row>
    <row r="176" spans="1:3" x14ac:dyDescent="0.25">
      <c r="A176" s="7">
        <v>32843</v>
      </c>
      <c r="B176" s="12">
        <v>55.2</v>
      </c>
      <c r="C176" s="12"/>
    </row>
    <row r="177" spans="1:3" x14ac:dyDescent="0.25">
      <c r="A177" s="7">
        <v>32933</v>
      </c>
      <c r="B177" s="12">
        <v>56.2</v>
      </c>
      <c r="C177" s="12"/>
    </row>
    <row r="178" spans="1:3" x14ac:dyDescent="0.25">
      <c r="A178" s="7">
        <v>33025</v>
      </c>
      <c r="B178" s="12">
        <v>57.1</v>
      </c>
      <c r="C178" s="12"/>
    </row>
    <row r="179" spans="1:3" x14ac:dyDescent="0.25">
      <c r="A179" s="7">
        <v>33117</v>
      </c>
      <c r="B179" s="12">
        <v>57.5</v>
      </c>
      <c r="C179" s="12"/>
    </row>
    <row r="180" spans="1:3" x14ac:dyDescent="0.25">
      <c r="A180" s="7">
        <v>33208</v>
      </c>
      <c r="B180" s="12">
        <v>59</v>
      </c>
      <c r="C180" s="12"/>
    </row>
    <row r="181" spans="1:3" x14ac:dyDescent="0.25">
      <c r="A181" s="7">
        <v>33298</v>
      </c>
      <c r="B181" s="12">
        <v>58.9</v>
      </c>
      <c r="C181" s="12"/>
    </row>
    <row r="182" spans="1:3" x14ac:dyDescent="0.25">
      <c r="A182" s="7">
        <v>33390</v>
      </c>
      <c r="B182" s="12">
        <v>59</v>
      </c>
      <c r="C182" s="12"/>
    </row>
    <row r="183" spans="1:3" x14ac:dyDescent="0.25">
      <c r="A183" s="7">
        <v>33482</v>
      </c>
      <c r="B183" s="12">
        <v>59.3</v>
      </c>
      <c r="C183" s="12"/>
    </row>
    <row r="184" spans="1:3" x14ac:dyDescent="0.25">
      <c r="A184" s="7">
        <v>33573</v>
      </c>
      <c r="B184" s="12">
        <v>59.9</v>
      </c>
      <c r="C184" s="12"/>
    </row>
    <row r="185" spans="1:3" x14ac:dyDescent="0.25">
      <c r="A185" s="7">
        <v>33664</v>
      </c>
      <c r="B185" s="12">
        <v>59.9</v>
      </c>
      <c r="C185" s="12"/>
    </row>
    <row r="186" spans="1:3" x14ac:dyDescent="0.25">
      <c r="A186" s="7">
        <v>33756</v>
      </c>
      <c r="B186" s="12">
        <v>59.7</v>
      </c>
      <c r="C186" s="12"/>
    </row>
    <row r="187" spans="1:3" x14ac:dyDescent="0.25">
      <c r="A187" s="7">
        <v>33848</v>
      </c>
      <c r="B187" s="12">
        <v>59.8</v>
      </c>
      <c r="C187" s="12"/>
    </row>
    <row r="188" spans="1:3" x14ac:dyDescent="0.25">
      <c r="A188" s="7">
        <v>33939</v>
      </c>
      <c r="B188" s="12">
        <v>60.1</v>
      </c>
      <c r="C188" s="12"/>
    </row>
    <row r="189" spans="1:3" x14ac:dyDescent="0.25">
      <c r="A189" s="7">
        <v>34029</v>
      </c>
      <c r="B189" s="12">
        <v>60.6</v>
      </c>
      <c r="C189" s="12"/>
    </row>
    <row r="190" spans="1:3" x14ac:dyDescent="0.25">
      <c r="A190" s="7">
        <v>34121</v>
      </c>
      <c r="B190" s="12">
        <v>60.8</v>
      </c>
      <c r="C190" s="12"/>
    </row>
    <row r="191" spans="1:3" x14ac:dyDescent="0.25">
      <c r="A191" s="7">
        <v>34213</v>
      </c>
      <c r="B191" s="12">
        <v>61.1</v>
      </c>
      <c r="C191" s="12"/>
    </row>
    <row r="192" spans="1:3" x14ac:dyDescent="0.25">
      <c r="A192" s="7">
        <v>34304</v>
      </c>
      <c r="B192" s="12">
        <v>61.2</v>
      </c>
      <c r="C192" s="12"/>
    </row>
    <row r="193" spans="1:3" x14ac:dyDescent="0.25">
      <c r="A193" s="7">
        <v>34394</v>
      </c>
      <c r="B193" s="12">
        <v>61.5</v>
      </c>
      <c r="C193" s="12"/>
    </row>
    <row r="194" spans="1:3" x14ac:dyDescent="0.25">
      <c r="A194" s="7">
        <v>34486</v>
      </c>
      <c r="B194" s="12">
        <v>61.9</v>
      </c>
      <c r="C194" s="12"/>
    </row>
    <row r="195" spans="1:3" x14ac:dyDescent="0.25">
      <c r="A195" s="7">
        <v>34578</v>
      </c>
      <c r="B195" s="12">
        <v>62.3</v>
      </c>
      <c r="C195" s="12"/>
    </row>
    <row r="196" spans="1:3" x14ac:dyDescent="0.25">
      <c r="A196" s="7">
        <v>34669</v>
      </c>
      <c r="B196" s="12">
        <v>62.8</v>
      </c>
      <c r="C196" s="12"/>
    </row>
    <row r="197" spans="1:3" x14ac:dyDescent="0.25">
      <c r="A197" s="7">
        <v>34759</v>
      </c>
      <c r="B197" s="12">
        <v>63.8</v>
      </c>
      <c r="C197" s="12"/>
    </row>
    <row r="198" spans="1:3" x14ac:dyDescent="0.25">
      <c r="A198" s="7">
        <v>34851</v>
      </c>
      <c r="B198" s="12">
        <v>64.7</v>
      </c>
      <c r="C198" s="12"/>
    </row>
    <row r="199" spans="1:3" x14ac:dyDescent="0.25">
      <c r="A199" s="7">
        <v>34943</v>
      </c>
      <c r="B199" s="12">
        <v>65.5</v>
      </c>
      <c r="C199" s="12"/>
    </row>
    <row r="200" spans="1:3" x14ac:dyDescent="0.25">
      <c r="A200" s="7">
        <v>35034</v>
      </c>
      <c r="B200" s="12">
        <v>66</v>
      </c>
      <c r="C200" s="12"/>
    </row>
    <row r="201" spans="1:3" x14ac:dyDescent="0.25">
      <c r="A201" s="7">
        <v>35125</v>
      </c>
      <c r="B201" s="12">
        <v>66.2</v>
      </c>
      <c r="C201" s="12"/>
    </row>
    <row r="202" spans="1:3" x14ac:dyDescent="0.25">
      <c r="A202" s="7">
        <v>35217</v>
      </c>
      <c r="B202" s="12">
        <v>66.7</v>
      </c>
      <c r="C202" s="12"/>
    </row>
    <row r="203" spans="1:3" x14ac:dyDescent="0.25">
      <c r="A203" s="7">
        <v>35309</v>
      </c>
      <c r="B203" s="12">
        <v>66.900000000000006</v>
      </c>
      <c r="C203" s="12"/>
    </row>
    <row r="204" spans="1:3" x14ac:dyDescent="0.25">
      <c r="A204" s="7">
        <v>35400</v>
      </c>
      <c r="B204" s="12">
        <v>67</v>
      </c>
      <c r="C204" s="12"/>
    </row>
    <row r="205" spans="1:3" x14ac:dyDescent="0.25">
      <c r="A205" s="7">
        <v>35490</v>
      </c>
      <c r="B205" s="12">
        <v>67.099999999999994</v>
      </c>
      <c r="C205" s="12"/>
    </row>
    <row r="206" spans="1:3" x14ac:dyDescent="0.25">
      <c r="A206" s="7">
        <v>35582</v>
      </c>
      <c r="B206" s="12">
        <v>66.900000000000006</v>
      </c>
      <c r="C206" s="12"/>
    </row>
    <row r="207" spans="1:3" x14ac:dyDescent="0.25">
      <c r="A207" s="7">
        <v>35674</v>
      </c>
      <c r="B207" s="12">
        <v>66.599999999999994</v>
      </c>
      <c r="C207" s="12"/>
    </row>
    <row r="208" spans="1:3" x14ac:dyDescent="0.25">
      <c r="A208" s="7">
        <v>35765</v>
      </c>
      <c r="B208" s="12">
        <v>66.8</v>
      </c>
      <c r="C208" s="12"/>
    </row>
    <row r="209" spans="1:3" x14ac:dyDescent="0.25">
      <c r="A209" s="7">
        <v>35855</v>
      </c>
      <c r="B209" s="12">
        <v>67</v>
      </c>
      <c r="C209" s="12"/>
    </row>
    <row r="210" spans="1:3" x14ac:dyDescent="0.25">
      <c r="A210" s="7">
        <v>35947</v>
      </c>
      <c r="B210" s="12">
        <v>67.400000000000006</v>
      </c>
      <c r="C210" s="12"/>
    </row>
    <row r="211" spans="1:3" x14ac:dyDescent="0.25">
      <c r="A211" s="7">
        <v>36039</v>
      </c>
      <c r="B211" s="12">
        <v>67.5</v>
      </c>
      <c r="C211" s="12"/>
    </row>
    <row r="212" spans="1:3" x14ac:dyDescent="0.25">
      <c r="A212" s="7">
        <v>36130</v>
      </c>
      <c r="B212" s="12">
        <v>67.8</v>
      </c>
      <c r="C212" s="12"/>
    </row>
    <row r="213" spans="1:3" x14ac:dyDescent="0.25">
      <c r="A213" s="7">
        <v>36220</v>
      </c>
      <c r="B213" s="12">
        <v>67.8</v>
      </c>
      <c r="C213" s="12"/>
    </row>
    <row r="214" spans="1:3" x14ac:dyDescent="0.25">
      <c r="A214" s="7">
        <v>36312</v>
      </c>
      <c r="B214" s="12">
        <v>68.099999999999994</v>
      </c>
      <c r="C214" s="12"/>
    </row>
    <row r="215" spans="1:3" x14ac:dyDescent="0.25">
      <c r="A215" s="7">
        <v>36404</v>
      </c>
      <c r="B215" s="12">
        <v>68.7</v>
      </c>
      <c r="C215" s="12"/>
    </row>
    <row r="216" spans="1:3" x14ac:dyDescent="0.25">
      <c r="A216" s="7">
        <v>36495</v>
      </c>
      <c r="B216" s="12">
        <v>69.099999999999994</v>
      </c>
      <c r="C216" s="12"/>
    </row>
    <row r="217" spans="1:3" x14ac:dyDescent="0.25">
      <c r="A217" s="7">
        <v>36586</v>
      </c>
      <c r="B217" s="12">
        <v>69.7</v>
      </c>
      <c r="C217" s="12"/>
    </row>
    <row r="218" spans="1:3" x14ac:dyDescent="0.25">
      <c r="A218" s="7">
        <v>36678</v>
      </c>
      <c r="B218" s="12">
        <v>70.2</v>
      </c>
      <c r="C218" s="12"/>
    </row>
    <row r="219" spans="1:3" x14ac:dyDescent="0.25">
      <c r="A219" s="7">
        <v>36770</v>
      </c>
      <c r="B219" s="12">
        <v>72.900000000000006</v>
      </c>
      <c r="C219" s="12"/>
    </row>
    <row r="220" spans="1:3" x14ac:dyDescent="0.25">
      <c r="A220" s="7">
        <v>36861</v>
      </c>
      <c r="B220" s="12">
        <v>73.099999999999994</v>
      </c>
      <c r="C220" s="12"/>
    </row>
    <row r="221" spans="1:3" x14ac:dyDescent="0.25">
      <c r="A221" s="7">
        <v>36951</v>
      </c>
      <c r="B221" s="12">
        <v>73.900000000000006</v>
      </c>
      <c r="C221" s="12"/>
    </row>
    <row r="222" spans="1:3" x14ac:dyDescent="0.25">
      <c r="A222" s="7">
        <v>37043</v>
      </c>
      <c r="B222" s="12">
        <v>74.5</v>
      </c>
      <c r="C222" s="12"/>
    </row>
    <row r="223" spans="1:3" x14ac:dyDescent="0.25">
      <c r="A223" s="7">
        <v>37135</v>
      </c>
      <c r="B223" s="12">
        <v>74.7</v>
      </c>
      <c r="C223" s="12"/>
    </row>
    <row r="224" spans="1:3" x14ac:dyDescent="0.25">
      <c r="A224" s="7">
        <v>37226</v>
      </c>
      <c r="B224" s="12">
        <v>75.400000000000006</v>
      </c>
      <c r="C224" s="12"/>
    </row>
    <row r="225" spans="1:3" x14ac:dyDescent="0.25">
      <c r="A225" s="7">
        <v>37316</v>
      </c>
      <c r="B225" s="12">
        <v>76.099999999999994</v>
      </c>
      <c r="C225" s="12"/>
    </row>
    <row r="226" spans="1:3" x14ac:dyDescent="0.25">
      <c r="A226" s="7">
        <v>37408</v>
      </c>
      <c r="B226" s="12">
        <v>76.599999999999994</v>
      </c>
      <c r="C226" s="12"/>
    </row>
    <row r="227" spans="1:3" x14ac:dyDescent="0.25">
      <c r="A227" s="7">
        <v>37500</v>
      </c>
      <c r="B227" s="12">
        <v>77.099999999999994</v>
      </c>
      <c r="C227" s="12"/>
    </row>
    <row r="228" spans="1:3" x14ac:dyDescent="0.25">
      <c r="A228" s="7">
        <v>37591</v>
      </c>
      <c r="B228" s="12">
        <v>77.599999999999994</v>
      </c>
      <c r="C228" s="12"/>
    </row>
    <row r="229" spans="1:3" x14ac:dyDescent="0.25">
      <c r="A229" s="7">
        <v>37681</v>
      </c>
      <c r="B229" s="12">
        <v>78.599999999999994</v>
      </c>
      <c r="C229" s="12"/>
    </row>
    <row r="230" spans="1:3" x14ac:dyDescent="0.25">
      <c r="A230" s="7">
        <v>37773</v>
      </c>
      <c r="B230" s="12">
        <v>78.599999999999994</v>
      </c>
      <c r="C230" s="12"/>
    </row>
    <row r="231" spans="1:3" x14ac:dyDescent="0.25">
      <c r="A231" s="7">
        <v>37865</v>
      </c>
      <c r="B231" s="12">
        <v>79.099999999999994</v>
      </c>
      <c r="C231" s="12"/>
    </row>
    <row r="232" spans="1:3" x14ac:dyDescent="0.25">
      <c r="A232" s="7">
        <v>37956</v>
      </c>
      <c r="B232" s="12">
        <v>79.5</v>
      </c>
      <c r="C232" s="12"/>
    </row>
    <row r="233" spans="1:3" x14ac:dyDescent="0.25">
      <c r="A233" s="7">
        <v>38047</v>
      </c>
      <c r="B233" s="12">
        <v>80.2</v>
      </c>
      <c r="C233" s="12"/>
    </row>
    <row r="234" spans="1:3" x14ac:dyDescent="0.25">
      <c r="A234" s="7">
        <v>38139</v>
      </c>
      <c r="B234" s="12">
        <v>80.599999999999994</v>
      </c>
      <c r="C234" s="12"/>
    </row>
    <row r="235" spans="1:3" x14ac:dyDescent="0.25">
      <c r="A235" s="7">
        <v>38231</v>
      </c>
      <c r="B235" s="12">
        <v>80.900000000000006</v>
      </c>
      <c r="C235" s="12"/>
    </row>
    <row r="236" spans="1:3" x14ac:dyDescent="0.25">
      <c r="A236" s="7">
        <v>38322</v>
      </c>
      <c r="B236" s="12">
        <v>81.5</v>
      </c>
      <c r="C236" s="12"/>
    </row>
    <row r="237" spans="1:3" x14ac:dyDescent="0.25">
      <c r="A237" s="7">
        <v>38412</v>
      </c>
      <c r="B237" s="12">
        <v>82.1</v>
      </c>
      <c r="C237" s="12"/>
    </row>
    <row r="238" spans="1:3" x14ac:dyDescent="0.25">
      <c r="A238" s="7">
        <v>38504</v>
      </c>
      <c r="B238" s="12">
        <v>82.6</v>
      </c>
      <c r="C238" s="12"/>
    </row>
    <row r="239" spans="1:3" x14ac:dyDescent="0.25">
      <c r="A239" s="7">
        <v>38596</v>
      </c>
      <c r="B239" s="12">
        <v>83.4</v>
      </c>
      <c r="C239" s="12"/>
    </row>
    <row r="240" spans="1:3" x14ac:dyDescent="0.25">
      <c r="A240" s="7">
        <v>38687</v>
      </c>
      <c r="B240" s="12">
        <v>83.8</v>
      </c>
      <c r="C240" s="12"/>
    </row>
    <row r="241" spans="1:3" x14ac:dyDescent="0.25">
      <c r="A241" s="7">
        <v>38777</v>
      </c>
      <c r="B241" s="12">
        <v>84.5</v>
      </c>
      <c r="C241" s="12"/>
    </row>
    <row r="242" spans="1:3" x14ac:dyDescent="0.25">
      <c r="A242" s="7">
        <v>38869</v>
      </c>
      <c r="B242" s="12">
        <v>85.9</v>
      </c>
      <c r="C242" s="12"/>
    </row>
    <row r="243" spans="1:3" x14ac:dyDescent="0.25">
      <c r="A243" s="7">
        <v>38961</v>
      </c>
      <c r="B243" s="12">
        <v>86.7</v>
      </c>
      <c r="C243" s="12"/>
    </row>
    <row r="244" spans="1:3" x14ac:dyDescent="0.25">
      <c r="A244" s="7">
        <v>39052</v>
      </c>
      <c r="B244" s="12">
        <v>86.6</v>
      </c>
      <c r="C244" s="12"/>
    </row>
    <row r="245" spans="1:3" x14ac:dyDescent="0.25">
      <c r="A245" s="7">
        <v>39142</v>
      </c>
      <c r="B245" s="12">
        <v>86.6</v>
      </c>
      <c r="C245" s="12"/>
    </row>
    <row r="246" spans="1:3" x14ac:dyDescent="0.25">
      <c r="A246" s="7">
        <v>39234</v>
      </c>
      <c r="B246" s="12">
        <v>87.7</v>
      </c>
      <c r="C246" s="12"/>
    </row>
    <row r="247" spans="1:3" x14ac:dyDescent="0.25">
      <c r="A247" s="7">
        <v>39326</v>
      </c>
      <c r="B247" s="12">
        <v>88.3</v>
      </c>
      <c r="C247" s="12"/>
    </row>
    <row r="248" spans="1:3" x14ac:dyDescent="0.25">
      <c r="A248" s="7">
        <v>39417</v>
      </c>
      <c r="B248" s="12">
        <v>89.1</v>
      </c>
      <c r="C248" s="12"/>
    </row>
    <row r="249" spans="1:3" x14ac:dyDescent="0.25">
      <c r="A249" s="7">
        <v>39508</v>
      </c>
      <c r="B249" s="12">
        <v>90.3</v>
      </c>
      <c r="C249" s="12"/>
    </row>
    <row r="250" spans="1:3" x14ac:dyDescent="0.25">
      <c r="A250" s="7">
        <v>39600</v>
      </c>
      <c r="B250" s="12">
        <v>91.6</v>
      </c>
      <c r="C250" s="12"/>
    </row>
    <row r="251" spans="1:3" x14ac:dyDescent="0.25">
      <c r="A251" s="7">
        <v>39692</v>
      </c>
      <c r="B251" s="12">
        <v>92.7</v>
      </c>
      <c r="C251" s="12"/>
    </row>
    <row r="252" spans="1:3" x14ac:dyDescent="0.25">
      <c r="A252" s="7">
        <v>39783</v>
      </c>
      <c r="B252" s="12">
        <v>92.4</v>
      </c>
      <c r="C252" s="12"/>
    </row>
    <row r="253" spans="1:3" x14ac:dyDescent="0.25">
      <c r="A253" s="7">
        <v>39873</v>
      </c>
      <c r="B253" s="12">
        <v>92.5</v>
      </c>
      <c r="C253" s="12"/>
    </row>
    <row r="254" spans="1:3" x14ac:dyDescent="0.25">
      <c r="A254" s="7">
        <v>39965</v>
      </c>
      <c r="B254" s="12">
        <v>92.9</v>
      </c>
      <c r="C254" s="12"/>
    </row>
    <row r="255" spans="1:3" x14ac:dyDescent="0.25">
      <c r="A255" s="7">
        <v>40057</v>
      </c>
      <c r="B255" s="12">
        <v>93.8</v>
      </c>
      <c r="C255" s="12"/>
    </row>
    <row r="256" spans="1:3" x14ac:dyDescent="0.25">
      <c r="A256" s="7">
        <v>40148</v>
      </c>
      <c r="B256" s="12">
        <v>94.3</v>
      </c>
      <c r="C256" s="12"/>
    </row>
    <row r="257" spans="1:3" x14ac:dyDescent="0.25">
      <c r="A257" s="7">
        <v>40238</v>
      </c>
      <c r="B257" s="12">
        <v>95.2</v>
      </c>
      <c r="C257" s="12"/>
    </row>
    <row r="258" spans="1:3" x14ac:dyDescent="0.25">
      <c r="A258" s="7">
        <v>40330</v>
      </c>
      <c r="B258" s="12">
        <v>95.8</v>
      </c>
      <c r="C258" s="12"/>
    </row>
    <row r="259" spans="1:3" x14ac:dyDescent="0.25">
      <c r="A259" s="7">
        <v>40422</v>
      </c>
      <c r="B259" s="12">
        <v>96.5</v>
      </c>
      <c r="C259" s="12"/>
    </row>
    <row r="260" spans="1:3" x14ac:dyDescent="0.25">
      <c r="A260" s="7">
        <v>40513</v>
      </c>
      <c r="B260" s="12">
        <v>96.9</v>
      </c>
      <c r="C260" s="12"/>
    </row>
    <row r="261" spans="1:3" x14ac:dyDescent="0.25">
      <c r="A261" s="7">
        <v>40603</v>
      </c>
      <c r="B261" s="12">
        <v>98.3</v>
      </c>
      <c r="C261" s="12"/>
    </row>
    <row r="262" spans="1:3" x14ac:dyDescent="0.25">
      <c r="A262" s="7">
        <v>40695</v>
      </c>
      <c r="B262" s="12">
        <v>99.2</v>
      </c>
      <c r="C262" s="12"/>
    </row>
    <row r="263" spans="1:3" x14ac:dyDescent="0.25">
      <c r="A263" s="7">
        <v>40787</v>
      </c>
      <c r="B263" s="12">
        <v>99.8</v>
      </c>
      <c r="C263" s="12"/>
    </row>
    <row r="264" spans="1:3" x14ac:dyDescent="0.25">
      <c r="A264" s="7">
        <v>40878</v>
      </c>
      <c r="B264" s="12">
        <v>99.8</v>
      </c>
      <c r="C264" s="12"/>
    </row>
    <row r="265" spans="1:3" x14ac:dyDescent="0.25">
      <c r="A265" s="7">
        <v>40969</v>
      </c>
      <c r="B265" s="12">
        <v>99.9</v>
      </c>
      <c r="C265" s="12"/>
    </row>
    <row r="266" spans="1:3" x14ac:dyDescent="0.25">
      <c r="A266" s="7">
        <v>41061</v>
      </c>
      <c r="B266" s="12">
        <v>100.4</v>
      </c>
      <c r="C266" s="12"/>
    </row>
    <row r="267" spans="1:3" x14ac:dyDescent="0.25">
      <c r="A267" s="7">
        <v>41153</v>
      </c>
      <c r="B267" s="12">
        <v>101.8</v>
      </c>
      <c r="C267" s="12"/>
    </row>
    <row r="268" spans="1:3" x14ac:dyDescent="0.25">
      <c r="A268" s="7">
        <v>41244</v>
      </c>
      <c r="B268" s="12">
        <v>102</v>
      </c>
      <c r="C268" s="12"/>
    </row>
    <row r="269" spans="1:3" x14ac:dyDescent="0.25">
      <c r="A269" s="7">
        <v>41334</v>
      </c>
      <c r="B269" s="12">
        <v>102.4</v>
      </c>
      <c r="C269" s="12"/>
    </row>
    <row r="270" spans="1:3" x14ac:dyDescent="0.25">
      <c r="A270" s="7">
        <v>41426</v>
      </c>
      <c r="B270" s="12">
        <v>102.8</v>
      </c>
      <c r="C270" s="12"/>
    </row>
    <row r="271" spans="1:3" x14ac:dyDescent="0.25">
      <c r="A271" s="7">
        <v>41518</v>
      </c>
      <c r="B271" s="12">
        <v>104</v>
      </c>
      <c r="C271" s="12"/>
    </row>
    <row r="272" spans="1:3" x14ac:dyDescent="0.25">
      <c r="A272" s="7">
        <v>41609</v>
      </c>
      <c r="B272" s="12">
        <v>104.8</v>
      </c>
      <c r="C272" s="12"/>
    </row>
    <row r="273" spans="1:3" x14ac:dyDescent="0.25">
      <c r="A273" s="31">
        <v>41699</v>
      </c>
      <c r="B273" s="12">
        <v>105.4</v>
      </c>
      <c r="C273" s="12"/>
    </row>
    <row r="274" spans="1:3" x14ac:dyDescent="0.25">
      <c r="A274" s="31">
        <v>41791</v>
      </c>
      <c r="B274" s="32">
        <v>105.9</v>
      </c>
      <c r="C274" s="32"/>
    </row>
    <row r="275" spans="1:3" x14ac:dyDescent="0.25">
      <c r="A275" s="31">
        <v>41883</v>
      </c>
      <c r="B275" s="32">
        <v>106.4</v>
      </c>
      <c r="C275" s="32"/>
    </row>
    <row r="276" spans="1:3" x14ac:dyDescent="0.25">
      <c r="A276" s="31">
        <v>41974</v>
      </c>
      <c r="B276" s="32">
        <v>106.6</v>
      </c>
      <c r="C276" s="32"/>
    </row>
    <row r="277" spans="1:3" x14ac:dyDescent="0.25">
      <c r="A277" s="31">
        <v>42064</v>
      </c>
      <c r="B277" s="32">
        <v>106.8</v>
      </c>
      <c r="C277" s="32"/>
    </row>
    <row r="278" spans="1:3" x14ac:dyDescent="0.25">
      <c r="A278" s="45">
        <v>42156</v>
      </c>
      <c r="B278" s="8">
        <v>107.5</v>
      </c>
    </row>
    <row r="279" spans="1:3" x14ac:dyDescent="0.25">
      <c r="A279" s="45">
        <v>42248</v>
      </c>
      <c r="B279" s="8">
        <v>108</v>
      </c>
    </row>
    <row r="280" spans="1:3" x14ac:dyDescent="0.25">
      <c r="A280" s="45">
        <v>42339</v>
      </c>
      <c r="B280" s="8">
        <v>108.4</v>
      </c>
    </row>
  </sheetData>
  <dataValidations count="1">
    <dataValidation type="list" allowBlank="1" showInputMessage="1" showErrorMessage="1" sqref="E6">
      <formula1>$F$2:$O$2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46"/>
  <sheetViews>
    <sheetView zoomScale="79" zoomScaleNormal="79" workbookViewId="0">
      <selection activeCell="M31" sqref="M31"/>
    </sheetView>
  </sheetViews>
  <sheetFormatPr defaultRowHeight="15" x14ac:dyDescent="0.25"/>
  <cols>
    <col min="1" max="1" width="20" customWidth="1"/>
    <col min="2" max="2" width="18.42578125" customWidth="1"/>
    <col min="3" max="12" width="9.42578125" customWidth="1"/>
  </cols>
  <sheetData>
    <row r="1" spans="1:23" x14ac:dyDescent="0.25">
      <c r="C1">
        <v>2006</v>
      </c>
      <c r="D1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  <c r="J1" s="2">
        <v>2013</v>
      </c>
      <c r="K1" s="2">
        <v>2014</v>
      </c>
      <c r="L1" s="2">
        <v>2015</v>
      </c>
      <c r="M1" s="79" t="s">
        <v>134</v>
      </c>
    </row>
    <row r="2" spans="1:23" x14ac:dyDescent="0.25">
      <c r="A2" s="23" t="s">
        <v>36</v>
      </c>
      <c r="L2" s="2"/>
    </row>
    <row r="3" spans="1:23" x14ac:dyDescent="0.25">
      <c r="A3" s="17" t="s">
        <v>1</v>
      </c>
      <c r="B3" s="17" t="s">
        <v>102</v>
      </c>
      <c r="C3" s="4">
        <v>35</v>
      </c>
      <c r="D3" s="4">
        <v>44.3</v>
      </c>
      <c r="E3" s="4">
        <v>25.6</v>
      </c>
      <c r="F3" s="4">
        <v>29.9</v>
      </c>
      <c r="G3" s="4">
        <v>25.8</v>
      </c>
      <c r="H3" s="4">
        <v>47.7</v>
      </c>
      <c r="I3" s="4">
        <v>32.5</v>
      </c>
      <c r="J3" s="4">
        <v>28.7</v>
      </c>
      <c r="K3" s="49">
        <v>26.806000000000001</v>
      </c>
      <c r="L3" s="49">
        <v>32.869999999999997</v>
      </c>
      <c r="M3" s="75">
        <f>AVERAGE(H3:L3)</f>
        <v>33.715200000000003</v>
      </c>
      <c r="O3" s="75"/>
      <c r="P3" s="75"/>
      <c r="Q3" s="75"/>
      <c r="R3" s="75"/>
      <c r="S3" s="75"/>
      <c r="T3" s="75"/>
      <c r="U3" s="75"/>
      <c r="V3" s="75"/>
      <c r="W3" s="75"/>
    </row>
    <row r="4" spans="1:23" x14ac:dyDescent="0.25">
      <c r="A4" s="17" t="s">
        <v>78</v>
      </c>
      <c r="B4" s="17" t="s">
        <v>102</v>
      </c>
      <c r="C4" s="34">
        <v>86.99</v>
      </c>
      <c r="D4" s="34">
        <v>85.5</v>
      </c>
      <c r="E4" s="34">
        <v>97.03</v>
      </c>
      <c r="F4" s="34">
        <v>106.5</v>
      </c>
      <c r="G4" s="34">
        <v>78.94</v>
      </c>
      <c r="H4" s="34">
        <v>89.33</v>
      </c>
      <c r="I4" s="34">
        <v>79.27</v>
      </c>
      <c r="J4" s="34">
        <v>67.62</v>
      </c>
      <c r="K4" s="49">
        <v>76.52</v>
      </c>
      <c r="L4" s="49">
        <v>71.400000000000006</v>
      </c>
      <c r="M4" s="75">
        <f t="shared" ref="M4:M15" si="0">AVERAGE(H4:L4)</f>
        <v>76.828000000000003</v>
      </c>
      <c r="O4" s="75"/>
      <c r="P4" s="75"/>
      <c r="Q4" s="75"/>
      <c r="R4" s="75"/>
      <c r="S4" s="75"/>
      <c r="T4" s="75"/>
      <c r="U4" s="75"/>
      <c r="V4" s="75"/>
      <c r="W4" s="75"/>
    </row>
    <row r="5" spans="1:23" x14ac:dyDescent="0.25">
      <c r="A5" s="17" t="s">
        <v>2</v>
      </c>
      <c r="B5" s="17" t="s">
        <v>102</v>
      </c>
      <c r="C5" s="34">
        <v>24.725570762254232</v>
      </c>
      <c r="D5" s="34">
        <v>21.906217701678496</v>
      </c>
      <c r="E5" s="34">
        <v>16.601113307461898</v>
      </c>
      <c r="F5" s="34">
        <v>29.618728230424427</v>
      </c>
      <c r="G5" s="34">
        <v>30.021198669582894</v>
      </c>
      <c r="H5" s="34">
        <v>22.710519896521433</v>
      </c>
      <c r="I5" s="34">
        <v>29.14513647014126</v>
      </c>
      <c r="J5" s="34">
        <v>26.9238056540968</v>
      </c>
      <c r="K5" s="49">
        <v>34.507169219613324</v>
      </c>
      <c r="L5" s="49">
        <v>26.380737345617302</v>
      </c>
      <c r="M5" s="75">
        <f t="shared" si="0"/>
        <v>27.933473717198023</v>
      </c>
      <c r="O5" s="75"/>
      <c r="P5" s="75"/>
      <c r="Q5" s="75"/>
      <c r="R5" s="75"/>
      <c r="S5" s="75"/>
      <c r="T5" s="75"/>
      <c r="U5" s="75"/>
      <c r="V5" s="75"/>
      <c r="W5" s="75"/>
    </row>
    <row r="6" spans="1:23" x14ac:dyDescent="0.25">
      <c r="A6" s="17" t="s">
        <v>3</v>
      </c>
      <c r="B6" s="17" t="s">
        <v>102</v>
      </c>
      <c r="C6" s="34">
        <v>99.3</v>
      </c>
      <c r="D6" s="34">
        <v>96</v>
      </c>
      <c r="E6" s="34">
        <v>101.7</v>
      </c>
      <c r="F6" s="34">
        <v>96.3</v>
      </c>
      <c r="G6" s="34">
        <v>79.400000000000006</v>
      </c>
      <c r="H6" s="34">
        <v>76.900000000000006</v>
      </c>
      <c r="I6" s="34">
        <v>93.3</v>
      </c>
      <c r="J6" s="34">
        <v>104.3</v>
      </c>
      <c r="K6" s="49">
        <v>82.6</v>
      </c>
      <c r="L6" s="49">
        <v>91.321908440356268</v>
      </c>
      <c r="M6" s="75">
        <f t="shared" si="0"/>
        <v>89.684381688071255</v>
      </c>
      <c r="O6" s="75"/>
      <c r="P6" s="75"/>
      <c r="Q6" s="75"/>
      <c r="R6" s="75"/>
      <c r="S6" s="75"/>
      <c r="T6" s="75"/>
      <c r="U6" s="75"/>
      <c r="V6" s="75"/>
      <c r="W6" s="75"/>
    </row>
    <row r="7" spans="1:23" x14ac:dyDescent="0.25">
      <c r="A7" s="17" t="s">
        <v>4</v>
      </c>
      <c r="B7" s="17" t="s">
        <v>102</v>
      </c>
      <c r="C7" s="34">
        <v>128.22244078912925</v>
      </c>
      <c r="D7" s="34">
        <v>88.220873930035282</v>
      </c>
      <c r="E7" s="34">
        <v>100.34512508466591</v>
      </c>
      <c r="F7" s="34">
        <v>90.789053875531593</v>
      </c>
      <c r="G7" s="34">
        <v>87.675284727806371</v>
      </c>
      <c r="H7" s="34">
        <v>78.77865093964239</v>
      </c>
      <c r="I7" s="34">
        <v>64.171918977412147</v>
      </c>
      <c r="J7" s="34">
        <v>67.30305820281967</v>
      </c>
      <c r="K7" s="49">
        <v>70.043999999999997</v>
      </c>
      <c r="L7" s="49">
        <v>84.462000000000003</v>
      </c>
      <c r="M7" s="75">
        <f t="shared" si="0"/>
        <v>72.951925623974844</v>
      </c>
      <c r="O7" s="75"/>
      <c r="P7" s="75"/>
      <c r="Q7" s="75"/>
      <c r="R7" s="75"/>
      <c r="S7" s="75"/>
      <c r="T7" s="75"/>
      <c r="U7" s="75"/>
      <c r="V7" s="75"/>
      <c r="W7" s="75"/>
    </row>
    <row r="8" spans="1:23" x14ac:dyDescent="0.25">
      <c r="A8" s="17" t="s">
        <v>10</v>
      </c>
      <c r="B8" s="17" t="s">
        <v>102</v>
      </c>
      <c r="C8" s="49">
        <v>380.488</v>
      </c>
      <c r="D8" s="49">
        <v>264.065</v>
      </c>
      <c r="E8" s="49">
        <v>316.66800000000001</v>
      </c>
      <c r="F8" s="49">
        <v>352.06400000000002</v>
      </c>
      <c r="G8" s="49">
        <v>352.245</v>
      </c>
      <c r="H8" s="49">
        <v>324.96300000000002</v>
      </c>
      <c r="I8" s="49">
        <v>295.80200000000002</v>
      </c>
      <c r="J8" s="49">
        <v>264.10500000000002</v>
      </c>
      <c r="K8" s="49">
        <v>228.05540000000002</v>
      </c>
      <c r="L8" s="49">
        <v>281.05220000000003</v>
      </c>
      <c r="M8" s="75">
        <f t="shared" si="0"/>
        <v>278.79552000000001</v>
      </c>
      <c r="O8" s="75"/>
      <c r="P8" s="75"/>
      <c r="Q8" s="75"/>
      <c r="R8" s="75"/>
      <c r="S8" s="75"/>
      <c r="T8" s="75"/>
      <c r="U8" s="75"/>
      <c r="V8" s="75"/>
      <c r="W8" s="75"/>
    </row>
    <row r="9" spans="1:23" x14ac:dyDescent="0.25">
      <c r="A9" s="17" t="s">
        <v>5</v>
      </c>
      <c r="B9" s="17" t="s">
        <v>102</v>
      </c>
      <c r="C9" s="49">
        <v>297</v>
      </c>
      <c r="D9" s="49">
        <v>222.3</v>
      </c>
      <c r="E9" s="49">
        <v>218.4</v>
      </c>
      <c r="F9" s="49">
        <v>261</v>
      </c>
      <c r="G9" s="49">
        <v>196.5</v>
      </c>
      <c r="H9" s="49">
        <v>222.5</v>
      </c>
      <c r="I9" s="49">
        <v>237.5</v>
      </c>
      <c r="J9" s="49">
        <v>232.5</v>
      </c>
      <c r="K9" s="49">
        <v>181.2</v>
      </c>
      <c r="L9" s="49">
        <v>221.568489267991</v>
      </c>
      <c r="M9" s="75">
        <f t="shared" si="0"/>
        <v>219.05369785359821</v>
      </c>
      <c r="O9" s="75"/>
      <c r="P9" s="75"/>
      <c r="Q9" s="75"/>
      <c r="R9" s="75"/>
      <c r="S9" s="75"/>
      <c r="T9" s="75"/>
      <c r="U9" s="75"/>
      <c r="V9" s="75"/>
      <c r="W9" s="75"/>
    </row>
    <row r="10" spans="1:23" x14ac:dyDescent="0.25">
      <c r="A10" s="17" t="s">
        <v>6</v>
      </c>
      <c r="B10" s="17" t="s">
        <v>102</v>
      </c>
      <c r="C10" s="49">
        <v>69.021352361721284</v>
      </c>
      <c r="D10" s="49">
        <v>67.811222289456708</v>
      </c>
      <c r="E10" s="49">
        <v>62.878306039097502</v>
      </c>
      <c r="F10" s="49">
        <v>71.279554322294047</v>
      </c>
      <c r="G10" s="49">
        <v>62.346781955955791</v>
      </c>
      <c r="H10" s="49">
        <v>55.23865369764043</v>
      </c>
      <c r="I10" s="49">
        <v>50.241946065289383</v>
      </c>
      <c r="J10" s="49">
        <v>59.791650722955808</v>
      </c>
      <c r="K10" s="34">
        <v>58.621416391095032</v>
      </c>
      <c r="L10" s="49">
        <v>46.948210580025325</v>
      </c>
      <c r="M10" s="75">
        <f t="shared" si="0"/>
        <v>54.168375491401193</v>
      </c>
      <c r="O10" s="75"/>
      <c r="P10" s="75"/>
      <c r="Q10" s="75"/>
      <c r="R10" s="75"/>
      <c r="S10" s="75"/>
      <c r="T10" s="75"/>
      <c r="U10" s="75"/>
      <c r="V10" s="75"/>
      <c r="W10" s="75"/>
    </row>
    <row r="11" spans="1:23" x14ac:dyDescent="0.25">
      <c r="A11" s="17" t="s">
        <v>7</v>
      </c>
      <c r="B11" s="17" t="s">
        <v>102</v>
      </c>
      <c r="C11" s="49">
        <v>121.15573509668673</v>
      </c>
      <c r="D11" s="49">
        <v>140.60759218572258</v>
      </c>
      <c r="E11" s="49">
        <v>118.90660700838622</v>
      </c>
      <c r="F11" s="49">
        <v>170.26821726930939</v>
      </c>
      <c r="G11" s="49">
        <v>149.94903693856875</v>
      </c>
      <c r="H11" s="49">
        <v>125.11566741846536</v>
      </c>
      <c r="I11" s="49">
        <v>129.5445426218773</v>
      </c>
      <c r="J11" s="49">
        <v>139.15164793268386</v>
      </c>
      <c r="K11" s="49">
        <v>166.22700974925019</v>
      </c>
      <c r="L11" s="49">
        <v>134.397081776752</v>
      </c>
      <c r="M11" s="75">
        <f t="shared" si="0"/>
        <v>138.88718989980572</v>
      </c>
      <c r="O11" s="75"/>
      <c r="P11" s="75"/>
      <c r="Q11" s="75"/>
      <c r="R11" s="75"/>
      <c r="S11" s="75"/>
      <c r="T11" s="75"/>
      <c r="U11" s="75"/>
      <c r="V11" s="75"/>
      <c r="W11" s="75"/>
    </row>
    <row r="12" spans="1:23" x14ac:dyDescent="0.25">
      <c r="A12" s="17" t="s">
        <v>8</v>
      </c>
      <c r="B12" s="17" t="s">
        <v>102</v>
      </c>
      <c r="C12" s="49">
        <v>156.4</v>
      </c>
      <c r="D12" s="49">
        <v>180.2</v>
      </c>
      <c r="E12" s="49">
        <v>129.6</v>
      </c>
      <c r="F12" s="49">
        <v>136.4</v>
      </c>
      <c r="G12" s="49">
        <v>180.6</v>
      </c>
      <c r="H12" s="49">
        <v>161.69999999999999</v>
      </c>
      <c r="I12" s="49">
        <v>130.1</v>
      </c>
      <c r="J12" s="49">
        <v>143.30000000000001</v>
      </c>
      <c r="K12" s="49">
        <v>167.6</v>
      </c>
      <c r="L12" s="49">
        <v>123.7</v>
      </c>
      <c r="M12" s="75">
        <f t="shared" si="0"/>
        <v>145.28</v>
      </c>
      <c r="O12" s="75"/>
      <c r="P12" s="75"/>
      <c r="Q12" s="75"/>
      <c r="R12" s="75"/>
      <c r="S12" s="75"/>
      <c r="T12" s="75"/>
      <c r="U12" s="75"/>
      <c r="V12" s="75"/>
      <c r="W12" s="75"/>
    </row>
    <row r="13" spans="1:23" x14ac:dyDescent="0.25">
      <c r="A13" s="17" t="s">
        <v>73</v>
      </c>
      <c r="B13" s="17" t="s">
        <v>102</v>
      </c>
      <c r="C13" s="49">
        <v>189.54499999999999</v>
      </c>
      <c r="D13" s="49">
        <v>177.20099999999999</v>
      </c>
      <c r="E13" s="49">
        <v>132.11000000000001</v>
      </c>
      <c r="F13" s="49">
        <v>178.12799999999999</v>
      </c>
      <c r="G13" s="49">
        <v>129.86500000000001</v>
      </c>
      <c r="H13" s="49">
        <v>145.46899999999999</v>
      </c>
      <c r="I13" s="49">
        <v>125.602</v>
      </c>
      <c r="J13" s="49">
        <v>133.12319361918364</v>
      </c>
      <c r="K13" s="49">
        <v>157.29265598174266</v>
      </c>
      <c r="L13" s="49">
        <v>136.76303017287816</v>
      </c>
      <c r="M13" s="75">
        <f t="shared" si="0"/>
        <v>139.64997595476092</v>
      </c>
      <c r="O13" s="75"/>
      <c r="P13" s="75"/>
      <c r="Q13" s="75"/>
      <c r="R13" s="75"/>
      <c r="S13" s="75"/>
      <c r="T13" s="75"/>
      <c r="U13" s="75"/>
      <c r="V13" s="75"/>
      <c r="W13" s="75"/>
    </row>
    <row r="14" spans="1:23" x14ac:dyDescent="0.25">
      <c r="A14" s="17" t="s">
        <v>54</v>
      </c>
      <c r="B14" s="17" t="s">
        <v>102</v>
      </c>
      <c r="C14" s="49">
        <v>132</v>
      </c>
      <c r="D14" s="49">
        <v>173</v>
      </c>
      <c r="E14" s="49">
        <v>175</v>
      </c>
      <c r="F14" s="49">
        <v>201</v>
      </c>
      <c r="G14" s="49">
        <v>205</v>
      </c>
      <c r="H14" s="49">
        <v>139</v>
      </c>
      <c r="I14" s="49">
        <v>160</v>
      </c>
      <c r="J14" s="49">
        <v>137</v>
      </c>
      <c r="K14" s="49">
        <v>184.84198609109285</v>
      </c>
      <c r="L14" s="49">
        <v>141.25800000000001</v>
      </c>
      <c r="M14" s="75">
        <f t="shared" si="0"/>
        <v>152.41999721821858</v>
      </c>
      <c r="O14" s="75"/>
      <c r="P14" s="75"/>
      <c r="Q14" s="75"/>
      <c r="R14" s="75"/>
      <c r="S14" s="75"/>
      <c r="T14" s="75"/>
      <c r="U14" s="75"/>
      <c r="V14" s="75"/>
      <c r="W14" s="75"/>
    </row>
    <row r="15" spans="1:23" x14ac:dyDescent="0.25">
      <c r="A15" s="17" t="s">
        <v>9</v>
      </c>
      <c r="B15" s="17" t="s">
        <v>102</v>
      </c>
      <c r="C15" s="49">
        <v>50.549709226702717</v>
      </c>
      <c r="D15" s="49">
        <v>60.651178067563961</v>
      </c>
      <c r="E15" s="49">
        <v>62.644852531264149</v>
      </c>
      <c r="F15" s="49">
        <v>61.490683590337625</v>
      </c>
      <c r="G15" s="49">
        <v>56.715930330065632</v>
      </c>
      <c r="H15" s="49">
        <v>60.974539338844608</v>
      </c>
      <c r="I15" s="49">
        <v>78.651145419293556</v>
      </c>
      <c r="J15" s="49">
        <v>73.56</v>
      </c>
      <c r="K15" s="49">
        <v>77.940148650234065</v>
      </c>
      <c r="L15" s="49">
        <v>66.302000000000007</v>
      </c>
      <c r="M15" s="75">
        <f t="shared" si="0"/>
        <v>71.485566681674442</v>
      </c>
      <c r="O15" s="75"/>
      <c r="P15" s="75"/>
      <c r="Q15" s="75"/>
      <c r="R15" s="75"/>
      <c r="S15" s="75"/>
      <c r="T15" s="75"/>
      <c r="U15" s="75"/>
      <c r="V15" s="75"/>
      <c r="W15" s="75"/>
    </row>
    <row r="16" spans="1:23" x14ac:dyDescent="0.25">
      <c r="L16" s="2"/>
      <c r="O16" s="75"/>
      <c r="P16" s="75"/>
      <c r="Q16" s="75"/>
      <c r="R16" s="75"/>
      <c r="S16" s="75"/>
      <c r="T16" s="75"/>
      <c r="U16" s="75"/>
      <c r="V16" s="75"/>
      <c r="W16" s="75"/>
    </row>
    <row r="17" spans="1:23" x14ac:dyDescent="0.25">
      <c r="A17" s="23" t="s">
        <v>37</v>
      </c>
      <c r="L17" s="2"/>
      <c r="O17" s="75"/>
      <c r="P17" s="75"/>
      <c r="Q17" s="75"/>
      <c r="R17" s="75"/>
      <c r="S17" s="75"/>
      <c r="T17" s="75"/>
      <c r="U17" s="75"/>
      <c r="V17" s="75"/>
      <c r="W17" s="75"/>
    </row>
    <row r="18" spans="1:23" x14ac:dyDescent="0.25">
      <c r="A18" s="17" t="s">
        <v>1</v>
      </c>
      <c r="B18" s="17" t="s">
        <v>103</v>
      </c>
      <c r="C18" s="4">
        <v>0.71</v>
      </c>
      <c r="D18" s="4">
        <v>0.64</v>
      </c>
      <c r="E18" s="4">
        <v>0.56000000000000005</v>
      </c>
      <c r="F18" s="4">
        <v>0.59</v>
      </c>
      <c r="G18" s="4">
        <v>0.62</v>
      </c>
      <c r="H18" s="4">
        <v>0.8</v>
      </c>
      <c r="I18" s="4">
        <v>0.63</v>
      </c>
      <c r="J18" s="4">
        <v>0.59</v>
      </c>
      <c r="K18" s="49">
        <v>0.498</v>
      </c>
      <c r="L18" s="52">
        <v>0.60499999999999998</v>
      </c>
      <c r="M18" s="75">
        <f>AVERAGE(H18:L18)</f>
        <v>0.62459999999999993</v>
      </c>
      <c r="O18" s="75"/>
      <c r="P18" s="75"/>
      <c r="Q18" s="75"/>
      <c r="R18" s="75"/>
      <c r="S18" s="75"/>
      <c r="T18" s="75"/>
      <c r="U18" s="75"/>
      <c r="V18" s="75"/>
      <c r="W18" s="75"/>
    </row>
    <row r="19" spans="1:23" x14ac:dyDescent="0.25">
      <c r="A19" s="17" t="s">
        <v>78</v>
      </c>
      <c r="B19" s="17" t="s">
        <v>103</v>
      </c>
      <c r="C19" s="34">
        <v>1.155</v>
      </c>
      <c r="D19" s="34">
        <v>1.0429999999999999</v>
      </c>
      <c r="E19" s="34">
        <v>1.151</v>
      </c>
      <c r="F19" s="34">
        <v>1.3009999999999999</v>
      </c>
      <c r="G19" s="34">
        <v>1.06</v>
      </c>
      <c r="H19" s="34">
        <v>1.032</v>
      </c>
      <c r="I19" s="34">
        <v>0.8831</v>
      </c>
      <c r="J19" s="34">
        <v>0.73250000000000004</v>
      </c>
      <c r="K19" s="49">
        <v>0.82499999999999996</v>
      </c>
      <c r="L19" s="49">
        <v>0.68500000000000005</v>
      </c>
      <c r="M19" s="75">
        <f t="shared" ref="M19:M30" si="1">AVERAGE(H19:L19)</f>
        <v>0.83152000000000004</v>
      </c>
      <c r="O19" s="75"/>
      <c r="P19" s="75"/>
      <c r="Q19" s="75"/>
      <c r="R19" s="75"/>
      <c r="S19" s="75"/>
      <c r="T19" s="75"/>
      <c r="U19" s="75"/>
      <c r="V19" s="75"/>
      <c r="W19" s="75"/>
    </row>
    <row r="20" spans="1:23" x14ac:dyDescent="0.25">
      <c r="A20" s="17" t="s">
        <v>2</v>
      </c>
      <c r="B20" s="17" t="s">
        <v>103</v>
      </c>
      <c r="C20" s="34">
        <v>0.53116918957042869</v>
      </c>
      <c r="D20" s="34">
        <v>0.46830098593350739</v>
      </c>
      <c r="E20" s="34">
        <v>0.30723715961154247</v>
      </c>
      <c r="F20" s="34">
        <v>0.5459891504699973</v>
      </c>
      <c r="G20" s="34">
        <v>0.43566630861019201</v>
      </c>
      <c r="H20" s="34">
        <v>0.40297597267960433</v>
      </c>
      <c r="I20" s="34">
        <v>0.46894750174147937</v>
      </c>
      <c r="J20" s="34">
        <v>0.39452718435981182</v>
      </c>
      <c r="K20" s="49">
        <v>0.41583952847700179</v>
      </c>
      <c r="L20" s="49">
        <v>0.39037790116430998</v>
      </c>
      <c r="M20" s="75">
        <f t="shared" si="1"/>
        <v>0.41453361768444141</v>
      </c>
      <c r="O20" s="75"/>
      <c r="P20" s="75"/>
      <c r="Q20" s="75"/>
      <c r="R20" s="75"/>
      <c r="S20" s="75"/>
      <c r="T20" s="75"/>
      <c r="U20" s="75"/>
      <c r="V20" s="75"/>
      <c r="W20" s="75"/>
    </row>
    <row r="21" spans="1:23" x14ac:dyDescent="0.25">
      <c r="A21" s="17" t="s">
        <v>3</v>
      </c>
      <c r="B21" s="17" t="s">
        <v>103</v>
      </c>
      <c r="C21" s="34">
        <v>1.212</v>
      </c>
      <c r="D21" s="34">
        <v>1.22</v>
      </c>
      <c r="E21" s="34">
        <v>1.232</v>
      </c>
      <c r="F21" s="34">
        <v>1.1020000000000001</v>
      </c>
      <c r="G21" s="34">
        <v>0.97299999999999998</v>
      </c>
      <c r="H21" s="34">
        <v>0.89800000000000002</v>
      </c>
      <c r="I21" s="34">
        <v>1.0129999999999999</v>
      </c>
      <c r="J21" s="34">
        <v>1.216</v>
      </c>
      <c r="K21" s="49">
        <v>0.98</v>
      </c>
      <c r="L21" s="49">
        <v>1.0922912325560177</v>
      </c>
      <c r="M21" s="75">
        <f t="shared" si="1"/>
        <v>1.0398582465112034</v>
      </c>
      <c r="O21" s="75"/>
      <c r="P21" s="75"/>
      <c r="Q21" s="75"/>
      <c r="R21" s="75"/>
      <c r="S21" s="75"/>
      <c r="T21" s="75"/>
      <c r="U21" s="75"/>
      <c r="V21" s="75"/>
      <c r="W21" s="75"/>
    </row>
    <row r="22" spans="1:23" x14ac:dyDescent="0.25">
      <c r="A22" s="17" t="s">
        <v>4</v>
      </c>
      <c r="B22" s="17" t="s">
        <v>103</v>
      </c>
      <c r="C22" s="34">
        <v>1.716266337308054</v>
      </c>
      <c r="D22" s="34">
        <v>1.2549291133505334</v>
      </c>
      <c r="E22" s="34">
        <v>1.3765181505089055</v>
      </c>
      <c r="F22" s="34">
        <v>1.2971883730919729</v>
      </c>
      <c r="G22" s="34">
        <v>1.3827279444217415</v>
      </c>
      <c r="H22" s="34">
        <v>1.1003184196552347</v>
      </c>
      <c r="I22" s="34">
        <v>0.84748513441479567</v>
      </c>
      <c r="J22" s="34">
        <v>0.88238290580541878</v>
      </c>
      <c r="K22" s="49">
        <v>0.89290000000000003</v>
      </c>
      <c r="L22" s="49">
        <v>0.91400000000000003</v>
      </c>
      <c r="M22" s="75">
        <f t="shared" si="1"/>
        <v>0.92741729197508982</v>
      </c>
      <c r="O22" s="75"/>
      <c r="P22" s="75"/>
      <c r="Q22" s="75"/>
      <c r="R22" s="75"/>
      <c r="S22" s="75"/>
      <c r="T22" s="75"/>
      <c r="U22" s="75"/>
      <c r="V22" s="75"/>
      <c r="W22" s="75"/>
    </row>
    <row r="23" spans="1:23" x14ac:dyDescent="0.25">
      <c r="A23" s="17" t="s">
        <v>10</v>
      </c>
      <c r="B23" s="17" t="s">
        <v>103</v>
      </c>
      <c r="C23" s="49">
        <v>3.9460000000000002</v>
      </c>
      <c r="D23" s="49">
        <v>2.7490000000000001</v>
      </c>
      <c r="E23" s="49">
        <v>2.9390000000000001</v>
      </c>
      <c r="F23" s="49">
        <v>3.423</v>
      </c>
      <c r="G23" s="49">
        <v>3.2730000000000001</v>
      </c>
      <c r="H23" s="49">
        <v>2.831</v>
      </c>
      <c r="I23" s="49">
        <v>2.71</v>
      </c>
      <c r="J23" s="49">
        <v>2.4220000000000002</v>
      </c>
      <c r="K23" s="49">
        <v>2.3170000000000002</v>
      </c>
      <c r="L23" s="49">
        <v>2.5192000000000001</v>
      </c>
      <c r="M23" s="75">
        <f t="shared" si="1"/>
        <v>2.5598400000000003</v>
      </c>
      <c r="O23" s="75"/>
      <c r="P23" s="75"/>
      <c r="Q23" s="75"/>
      <c r="R23" s="75"/>
      <c r="S23" s="75"/>
      <c r="T23" s="75"/>
      <c r="U23" s="75"/>
      <c r="V23" s="75"/>
      <c r="W23" s="75"/>
    </row>
    <row r="24" spans="1:23" x14ac:dyDescent="0.25">
      <c r="A24" s="17" t="s">
        <v>5</v>
      </c>
      <c r="B24" s="17" t="s">
        <v>103</v>
      </c>
      <c r="C24" s="49">
        <v>2.637</v>
      </c>
      <c r="D24" s="49">
        <v>2.2989999999999999</v>
      </c>
      <c r="E24" s="49">
        <v>2.2549999999999999</v>
      </c>
      <c r="F24" s="49">
        <v>2.3370000000000002</v>
      </c>
      <c r="G24" s="49">
        <v>1.996</v>
      </c>
      <c r="H24" s="49">
        <v>1.8660000000000001</v>
      </c>
      <c r="I24" s="49">
        <v>2.121</v>
      </c>
      <c r="J24" s="49">
        <v>1.847</v>
      </c>
      <c r="K24" s="49">
        <v>1.726</v>
      </c>
      <c r="L24" s="49">
        <v>1.96816573822055</v>
      </c>
      <c r="M24" s="75">
        <f t="shared" si="1"/>
        <v>1.9056331476441097</v>
      </c>
      <c r="O24" s="75"/>
      <c r="P24" s="75"/>
      <c r="Q24" s="75"/>
      <c r="R24" s="75"/>
      <c r="S24" s="75"/>
      <c r="T24" s="75"/>
      <c r="U24" s="75"/>
      <c r="V24" s="75"/>
      <c r="W24" s="75"/>
    </row>
    <row r="25" spans="1:23" x14ac:dyDescent="0.25">
      <c r="A25" s="17" t="s">
        <v>6</v>
      </c>
      <c r="B25" s="17" t="s">
        <v>103</v>
      </c>
      <c r="C25" s="49">
        <v>1.1893913553633313</v>
      </c>
      <c r="D25" s="49">
        <v>1.3185788933501383</v>
      </c>
      <c r="E25" s="49">
        <v>1.0038463063563186</v>
      </c>
      <c r="F25" s="49">
        <v>1.17244949106122</v>
      </c>
      <c r="G25" s="49">
        <v>0.93637878797666652</v>
      </c>
      <c r="H25" s="49">
        <v>0.9028535687160536</v>
      </c>
      <c r="I25" s="49">
        <v>0.92303737580823209</v>
      </c>
      <c r="J25" s="49">
        <v>1.1120691277483299</v>
      </c>
      <c r="K25" s="77">
        <v>0.9563105119194546</v>
      </c>
      <c r="L25" s="49">
        <v>0.77269092798451855</v>
      </c>
      <c r="M25" s="75">
        <f t="shared" si="1"/>
        <v>0.93339230243531779</v>
      </c>
      <c r="O25" s="75"/>
      <c r="P25" s="75"/>
      <c r="Q25" s="75"/>
      <c r="R25" s="75"/>
      <c r="S25" s="75"/>
      <c r="T25" s="75"/>
      <c r="U25" s="75"/>
      <c r="V25" s="75"/>
      <c r="W25" s="75"/>
    </row>
    <row r="26" spans="1:23" x14ac:dyDescent="0.25">
      <c r="A26" s="17" t="s">
        <v>7</v>
      </c>
      <c r="B26" s="17" t="s">
        <v>103</v>
      </c>
      <c r="C26" s="49">
        <v>1.8943911242300253</v>
      </c>
      <c r="D26" s="49">
        <v>1.7331809061082342</v>
      </c>
      <c r="E26" s="49">
        <v>1.4981115522120945</v>
      </c>
      <c r="F26" s="49">
        <v>1.8116852906586625</v>
      </c>
      <c r="G26" s="49">
        <v>1.7668429686616296</v>
      </c>
      <c r="H26" s="49">
        <v>1.351228016770367</v>
      </c>
      <c r="I26" s="49">
        <v>1.3730259960714726</v>
      </c>
      <c r="J26" s="49">
        <v>1.4363829921479709</v>
      </c>
      <c r="K26" s="49">
        <v>1.6008364060207474</v>
      </c>
      <c r="L26" s="49">
        <v>1.3803508909186999</v>
      </c>
      <c r="M26" s="75">
        <f t="shared" si="1"/>
        <v>1.4283648603858514</v>
      </c>
      <c r="O26" s="75"/>
      <c r="P26" s="75"/>
      <c r="Q26" s="75"/>
      <c r="R26" s="75"/>
      <c r="S26" s="75"/>
      <c r="T26" s="75"/>
      <c r="U26" s="75"/>
      <c r="V26" s="75"/>
      <c r="W26" s="75"/>
    </row>
    <row r="27" spans="1:23" x14ac:dyDescent="0.25">
      <c r="A27" s="17" t="s">
        <v>8</v>
      </c>
      <c r="B27" s="17" t="s">
        <v>103</v>
      </c>
      <c r="C27" s="49">
        <v>1.663</v>
      </c>
      <c r="D27" s="49">
        <v>1.736</v>
      </c>
      <c r="E27" s="49">
        <v>1.353</v>
      </c>
      <c r="F27" s="49">
        <v>1.3740000000000001</v>
      </c>
      <c r="G27" s="49">
        <v>1.649</v>
      </c>
      <c r="H27" s="49">
        <v>1.546</v>
      </c>
      <c r="I27" s="49">
        <v>1.3080000000000001</v>
      </c>
      <c r="J27" s="49">
        <v>1.3260000000000001</v>
      </c>
      <c r="K27" s="49">
        <v>1.446</v>
      </c>
      <c r="L27" s="49">
        <v>1.123</v>
      </c>
      <c r="M27" s="75">
        <f t="shared" si="1"/>
        <v>1.3497999999999999</v>
      </c>
      <c r="O27" s="75"/>
      <c r="P27" s="75"/>
      <c r="Q27" s="75"/>
      <c r="R27" s="75"/>
      <c r="S27" s="75"/>
      <c r="T27" s="75"/>
      <c r="U27" s="75"/>
      <c r="V27" s="75"/>
      <c r="W27" s="75"/>
    </row>
    <row r="28" spans="1:23" x14ac:dyDescent="0.25">
      <c r="A28" s="17" t="s">
        <v>73</v>
      </c>
      <c r="B28" s="17" t="s">
        <v>103</v>
      </c>
      <c r="C28" s="49">
        <v>2.4910000000000001</v>
      </c>
      <c r="D28" s="49">
        <v>2.327</v>
      </c>
      <c r="E28" s="49">
        <v>1.956</v>
      </c>
      <c r="F28" s="49">
        <v>2.1840000000000002</v>
      </c>
      <c r="G28" s="49">
        <v>1.91</v>
      </c>
      <c r="H28" s="49">
        <v>1.9410000000000001</v>
      </c>
      <c r="I28" s="49">
        <v>1.655</v>
      </c>
      <c r="J28" s="49">
        <v>1.8993122083398335</v>
      </c>
      <c r="K28" s="49">
        <v>1.8036305870244551</v>
      </c>
      <c r="L28" s="49">
        <v>1.7261785833911745</v>
      </c>
      <c r="M28" s="75">
        <f t="shared" si="1"/>
        <v>1.8050242757510926</v>
      </c>
      <c r="O28" s="75"/>
      <c r="P28" s="75"/>
      <c r="Q28" s="75"/>
      <c r="R28" s="75"/>
      <c r="S28" s="75"/>
      <c r="T28" s="75"/>
      <c r="U28" s="75"/>
      <c r="V28" s="75"/>
      <c r="W28" s="75"/>
    </row>
    <row r="29" spans="1:23" x14ac:dyDescent="0.25">
      <c r="A29" s="17" t="s">
        <v>54</v>
      </c>
      <c r="B29" s="17" t="s">
        <v>103</v>
      </c>
      <c r="C29" s="49">
        <v>2.04</v>
      </c>
      <c r="D29" s="49">
        <v>1.77</v>
      </c>
      <c r="E29" s="49">
        <v>1.77</v>
      </c>
      <c r="F29" s="49">
        <v>1.72</v>
      </c>
      <c r="G29" s="49">
        <v>1.84</v>
      </c>
      <c r="H29" s="49">
        <v>1.45</v>
      </c>
      <c r="I29" s="49">
        <v>1.73</v>
      </c>
      <c r="J29" s="49">
        <v>1.46</v>
      </c>
      <c r="K29" s="49">
        <v>1.8184398931432033</v>
      </c>
      <c r="L29" s="49">
        <v>1.298</v>
      </c>
      <c r="M29" s="75">
        <f t="shared" si="1"/>
        <v>1.5512879786286407</v>
      </c>
      <c r="O29" s="75"/>
      <c r="P29" s="75"/>
      <c r="Q29" s="75"/>
      <c r="R29" s="75"/>
      <c r="S29" s="75"/>
      <c r="T29" s="75"/>
      <c r="U29" s="75"/>
      <c r="V29" s="75"/>
      <c r="W29" s="75"/>
    </row>
    <row r="30" spans="1:23" x14ac:dyDescent="0.25">
      <c r="A30" s="17" t="s">
        <v>9</v>
      </c>
      <c r="B30" s="17" t="s">
        <v>103</v>
      </c>
      <c r="C30" s="49">
        <v>0.92048660031994323</v>
      </c>
      <c r="D30" s="49">
        <v>1.0668538396157832</v>
      </c>
      <c r="E30" s="49">
        <v>1.3045296038769671</v>
      </c>
      <c r="F30" s="49">
        <v>1.3012188970088399</v>
      </c>
      <c r="G30" s="49">
        <v>0.98301365450156131</v>
      </c>
      <c r="H30" s="49">
        <v>0.95967116572529565</v>
      </c>
      <c r="I30" s="49">
        <v>1.0918057254938589</v>
      </c>
      <c r="J30" s="49">
        <v>1.01</v>
      </c>
      <c r="K30" s="49">
        <v>1.0003570592197448</v>
      </c>
      <c r="L30" s="49">
        <v>0.90800000000000003</v>
      </c>
      <c r="M30" s="75">
        <f t="shared" si="1"/>
        <v>0.99396679008777988</v>
      </c>
      <c r="O30" s="75"/>
      <c r="P30" s="75"/>
      <c r="Q30" s="75"/>
      <c r="R30" s="75"/>
      <c r="S30" s="75"/>
      <c r="T30" s="75"/>
      <c r="U30" s="75"/>
      <c r="V30" s="75"/>
      <c r="W30" s="75"/>
    </row>
    <row r="31" spans="1:23" x14ac:dyDescent="0.25">
      <c r="K31" s="2"/>
      <c r="L31" s="2"/>
      <c r="O31" s="75"/>
      <c r="P31" s="75"/>
      <c r="Q31" s="75"/>
      <c r="R31" s="75"/>
      <c r="S31" s="75"/>
      <c r="T31" s="75"/>
      <c r="U31" s="75"/>
      <c r="V31" s="75"/>
      <c r="W31" s="75"/>
    </row>
    <row r="32" spans="1:23" x14ac:dyDescent="0.25">
      <c r="A32" s="23" t="s">
        <v>50</v>
      </c>
      <c r="L32" s="2"/>
      <c r="O32" s="75"/>
      <c r="P32" s="75"/>
      <c r="Q32" s="75"/>
      <c r="R32" s="75"/>
      <c r="S32" s="75"/>
      <c r="T32" s="75"/>
      <c r="U32" s="75"/>
      <c r="V32" s="75"/>
      <c r="W32" s="75"/>
    </row>
    <row r="33" spans="1:23" x14ac:dyDescent="0.25">
      <c r="A33" s="17" t="s">
        <v>1</v>
      </c>
      <c r="B33" s="17" t="s">
        <v>104</v>
      </c>
      <c r="C33" s="4">
        <f t="shared" ref="C33:L33" si="2">C3/C18</f>
        <v>49.295774647887328</v>
      </c>
      <c r="D33" s="4">
        <f t="shared" si="2"/>
        <v>69.21875</v>
      </c>
      <c r="E33" s="4">
        <f t="shared" si="2"/>
        <v>45.714285714285715</v>
      </c>
      <c r="F33" s="4">
        <f t="shared" si="2"/>
        <v>50.677966101694913</v>
      </c>
      <c r="G33" s="4">
        <f t="shared" si="2"/>
        <v>41.612903225806456</v>
      </c>
      <c r="H33" s="4">
        <f t="shared" si="2"/>
        <v>59.625</v>
      </c>
      <c r="I33" s="4">
        <f t="shared" si="2"/>
        <v>51.587301587301589</v>
      </c>
      <c r="J33" s="4">
        <f t="shared" si="2"/>
        <v>48.644067796610173</v>
      </c>
      <c r="K33" s="4">
        <f t="shared" si="2"/>
        <v>53.827309236947791</v>
      </c>
      <c r="L33" s="4">
        <f t="shared" si="2"/>
        <v>54.330578512396691</v>
      </c>
      <c r="M33" s="101">
        <f t="shared" ref="M33:M45" si="3">AVERAGE(H33:L33)</f>
        <v>53.602851426651249</v>
      </c>
      <c r="O33" s="75"/>
      <c r="P33" s="75"/>
      <c r="Q33" s="75"/>
      <c r="R33" s="75"/>
      <c r="S33" s="75"/>
      <c r="T33" s="75"/>
      <c r="U33" s="75"/>
      <c r="V33" s="75"/>
      <c r="W33" s="75"/>
    </row>
    <row r="34" spans="1:23" x14ac:dyDescent="0.25">
      <c r="A34" s="17" t="s">
        <v>78</v>
      </c>
      <c r="B34" s="17" t="s">
        <v>104</v>
      </c>
      <c r="C34" s="4">
        <f t="shared" ref="C34:L34" si="4">C4/C19</f>
        <v>75.316017316017309</v>
      </c>
      <c r="D34" s="4">
        <f t="shared" si="4"/>
        <v>81.975071907957826</v>
      </c>
      <c r="E34" s="4">
        <f t="shared" si="4"/>
        <v>84.300608166811472</v>
      </c>
      <c r="F34" s="4">
        <f t="shared" si="4"/>
        <v>81.860107609531127</v>
      </c>
      <c r="G34" s="4">
        <f t="shared" si="4"/>
        <v>74.471698113207538</v>
      </c>
      <c r="H34" s="4">
        <f t="shared" si="4"/>
        <v>86.560077519379846</v>
      </c>
      <c r="I34" s="4">
        <f t="shared" si="4"/>
        <v>89.763333710791528</v>
      </c>
      <c r="J34" s="4">
        <f t="shared" si="4"/>
        <v>92.313993174061437</v>
      </c>
      <c r="K34" s="4">
        <f t="shared" si="4"/>
        <v>92.75151515151515</v>
      </c>
      <c r="L34" s="4">
        <f t="shared" si="4"/>
        <v>104.23357664233576</v>
      </c>
      <c r="M34" s="101">
        <f t="shared" si="3"/>
        <v>93.124499239616753</v>
      </c>
      <c r="O34" s="75"/>
      <c r="P34" s="75"/>
      <c r="Q34" s="75"/>
      <c r="R34" s="75"/>
      <c r="S34" s="75"/>
      <c r="T34" s="75"/>
      <c r="U34" s="75"/>
      <c r="V34" s="75"/>
      <c r="W34" s="75"/>
    </row>
    <row r="35" spans="1:23" x14ac:dyDescent="0.25">
      <c r="A35" s="17" t="s">
        <v>2</v>
      </c>
      <c r="B35" s="17" t="s">
        <v>104</v>
      </c>
      <c r="C35" s="4">
        <f t="shared" ref="C35:L35" si="5">C5/C20</f>
        <v>46.549331639981773</v>
      </c>
      <c r="D35" s="4">
        <f t="shared" si="5"/>
        <v>46.778072990836911</v>
      </c>
      <c r="E35" s="4">
        <f t="shared" si="5"/>
        <v>54.033546360250291</v>
      </c>
      <c r="F35" s="4">
        <f t="shared" si="5"/>
        <v>54.247832955889493</v>
      </c>
      <c r="G35" s="4">
        <f t="shared" si="5"/>
        <v>68.908699333103712</v>
      </c>
      <c r="H35" s="4">
        <f t="shared" si="5"/>
        <v>56.357007455077166</v>
      </c>
      <c r="I35" s="4">
        <f t="shared" si="5"/>
        <v>62.150104994499671</v>
      </c>
      <c r="J35" s="4">
        <f t="shared" si="5"/>
        <v>68.243220547109587</v>
      </c>
      <c r="K35" s="4">
        <f t="shared" si="5"/>
        <v>82.981936195422946</v>
      </c>
      <c r="L35" s="4">
        <f t="shared" si="5"/>
        <v>67.577435267048216</v>
      </c>
      <c r="M35" s="101">
        <f t="shared" si="3"/>
        <v>67.461940891831517</v>
      </c>
      <c r="O35" s="75"/>
      <c r="P35" s="75"/>
      <c r="Q35" s="75"/>
      <c r="R35" s="75"/>
      <c r="S35" s="75"/>
      <c r="T35" s="75"/>
      <c r="U35" s="75"/>
      <c r="V35" s="75"/>
      <c r="W35" s="75"/>
    </row>
    <row r="36" spans="1:23" x14ac:dyDescent="0.25">
      <c r="A36" s="17" t="s">
        <v>3</v>
      </c>
      <c r="B36" s="17" t="s">
        <v>104</v>
      </c>
      <c r="C36" s="4">
        <f t="shared" ref="C36:L36" si="6">C6/C21</f>
        <v>81.930693069306926</v>
      </c>
      <c r="D36" s="4">
        <f t="shared" si="6"/>
        <v>78.688524590163937</v>
      </c>
      <c r="E36" s="4">
        <f t="shared" si="6"/>
        <v>82.548701298701303</v>
      </c>
      <c r="F36" s="4">
        <f t="shared" si="6"/>
        <v>87.386569872958248</v>
      </c>
      <c r="G36" s="4">
        <f t="shared" si="6"/>
        <v>81.603288797533409</v>
      </c>
      <c r="H36" s="4">
        <f t="shared" si="6"/>
        <v>85.634743875278403</v>
      </c>
      <c r="I36" s="4">
        <f t="shared" si="6"/>
        <v>92.102665350444227</v>
      </c>
      <c r="J36" s="4">
        <f t="shared" si="6"/>
        <v>85.77302631578948</v>
      </c>
      <c r="K36" s="4">
        <f t="shared" si="6"/>
        <v>84.285714285714278</v>
      </c>
      <c r="L36" s="4">
        <f t="shared" si="6"/>
        <v>83.605823903445881</v>
      </c>
      <c r="M36" s="101">
        <f t="shared" si="3"/>
        <v>86.280394746134448</v>
      </c>
      <c r="O36" s="75"/>
      <c r="P36" s="75"/>
      <c r="Q36" s="75"/>
      <c r="R36" s="75"/>
      <c r="S36" s="75"/>
      <c r="T36" s="75"/>
      <c r="U36" s="75"/>
      <c r="V36" s="75"/>
      <c r="W36" s="75"/>
    </row>
    <row r="37" spans="1:23" x14ac:dyDescent="0.25">
      <c r="A37" s="17" t="s">
        <v>4</v>
      </c>
      <c r="B37" s="17" t="s">
        <v>104</v>
      </c>
      <c r="C37" s="4">
        <f t="shared" ref="C37:L37" si="7">C7/C22</f>
        <v>74.710106468815809</v>
      </c>
      <c r="D37" s="4">
        <f t="shared" si="7"/>
        <v>70.299487828834017</v>
      </c>
      <c r="E37" s="4">
        <f t="shared" si="7"/>
        <v>72.897785654019771</v>
      </c>
      <c r="F37" s="4">
        <f t="shared" si="7"/>
        <v>69.989105482904677</v>
      </c>
      <c r="G37" s="4">
        <f t="shared" si="7"/>
        <v>63.407472946149419</v>
      </c>
      <c r="H37" s="4">
        <f t="shared" si="7"/>
        <v>71.596230266077242</v>
      </c>
      <c r="I37" s="4">
        <f t="shared" si="7"/>
        <v>75.720406614239977</v>
      </c>
      <c r="J37" s="4">
        <f t="shared" si="7"/>
        <v>76.274209031040769</v>
      </c>
      <c r="K37" s="4">
        <f t="shared" si="7"/>
        <v>78.445514615298464</v>
      </c>
      <c r="L37" s="4">
        <f t="shared" si="7"/>
        <v>92.409190371991244</v>
      </c>
      <c r="M37" s="101">
        <f t="shared" si="3"/>
        <v>78.889110179729542</v>
      </c>
      <c r="O37" s="75"/>
      <c r="P37" s="75"/>
      <c r="Q37" s="75"/>
      <c r="R37" s="75"/>
      <c r="S37" s="75"/>
      <c r="T37" s="75"/>
      <c r="U37" s="75"/>
      <c r="V37" s="75"/>
      <c r="W37" s="75"/>
    </row>
    <row r="38" spans="1:23" x14ac:dyDescent="0.25">
      <c r="A38" s="17" t="s">
        <v>10</v>
      </c>
      <c r="B38" s="17" t="s">
        <v>104</v>
      </c>
      <c r="C38" s="4">
        <f t="shared" ref="C38:L38" si="8">C8/C23</f>
        <v>96.423720223010633</v>
      </c>
      <c r="D38" s="4">
        <f t="shared" si="8"/>
        <v>96.05856675154601</v>
      </c>
      <c r="E38" s="4">
        <f t="shared" si="8"/>
        <v>107.74685267097652</v>
      </c>
      <c r="F38" s="4">
        <f t="shared" si="8"/>
        <v>102.85246859479989</v>
      </c>
      <c r="G38" s="4">
        <f t="shared" si="8"/>
        <v>107.62144821264894</v>
      </c>
      <c r="H38" s="4">
        <f t="shared" si="8"/>
        <v>114.7873542917697</v>
      </c>
      <c r="I38" s="4">
        <f t="shared" si="8"/>
        <v>109.15202952029522</v>
      </c>
      <c r="J38" s="4">
        <f t="shared" si="8"/>
        <v>109.04417836498762</v>
      </c>
      <c r="K38" s="4">
        <f t="shared" si="8"/>
        <v>98.427017695295646</v>
      </c>
      <c r="L38" s="4">
        <f t="shared" si="8"/>
        <v>111.56406795808194</v>
      </c>
      <c r="M38" s="101">
        <f t="shared" si="3"/>
        <v>108.59492956608604</v>
      </c>
      <c r="O38" s="75"/>
      <c r="P38" s="75"/>
      <c r="Q38" s="75"/>
      <c r="R38" s="75"/>
      <c r="S38" s="75"/>
      <c r="T38" s="75"/>
      <c r="U38" s="75"/>
      <c r="V38" s="75"/>
      <c r="W38" s="75"/>
    </row>
    <row r="39" spans="1:23" x14ac:dyDescent="0.25">
      <c r="A39" s="17" t="s">
        <v>5</v>
      </c>
      <c r="B39" s="17" t="s">
        <v>104</v>
      </c>
      <c r="C39" s="4">
        <f t="shared" ref="C39:L39" si="9">C9/C24</f>
        <v>112.62798634812286</v>
      </c>
      <c r="D39" s="4">
        <f t="shared" si="9"/>
        <v>96.694214876033072</v>
      </c>
      <c r="E39" s="4">
        <f t="shared" si="9"/>
        <v>96.851441241685151</v>
      </c>
      <c r="F39" s="4">
        <f t="shared" si="9"/>
        <v>111.68164313222078</v>
      </c>
      <c r="G39" s="4">
        <f t="shared" si="9"/>
        <v>98.446893787575149</v>
      </c>
      <c r="H39" s="4">
        <f t="shared" si="9"/>
        <v>119.2390139335477</v>
      </c>
      <c r="I39" s="4">
        <f t="shared" si="9"/>
        <v>111.97548326261197</v>
      </c>
      <c r="J39" s="4">
        <f t="shared" si="9"/>
        <v>125.87980508933406</v>
      </c>
      <c r="K39" s="4">
        <f t="shared" si="9"/>
        <v>104.98261877172654</v>
      </c>
      <c r="L39" s="4">
        <f t="shared" si="9"/>
        <v>112.57613368898221</v>
      </c>
      <c r="M39" s="101">
        <f t="shared" si="3"/>
        <v>114.93061094924049</v>
      </c>
      <c r="O39" s="75"/>
      <c r="P39" s="75"/>
      <c r="Q39" s="75"/>
      <c r="R39" s="75"/>
      <c r="S39" s="75"/>
      <c r="T39" s="75"/>
      <c r="U39" s="75"/>
      <c r="V39" s="75"/>
      <c r="W39" s="75"/>
    </row>
    <row r="40" spans="1:23" x14ac:dyDescent="0.25">
      <c r="A40" s="17" t="s">
        <v>6</v>
      </c>
      <c r="B40" s="17" t="s">
        <v>104</v>
      </c>
      <c r="C40" s="4">
        <f t="shared" ref="C40:L40" si="10">C10/C25</f>
        <v>58.030817233102283</v>
      </c>
      <c r="D40" s="4">
        <f t="shared" si="10"/>
        <v>51.427504741235055</v>
      </c>
      <c r="E40" s="4">
        <f t="shared" si="10"/>
        <v>62.637383472902513</v>
      </c>
      <c r="F40" s="4">
        <f t="shared" si="10"/>
        <v>60.795415807444918</v>
      </c>
      <c r="G40" s="4">
        <f t="shared" si="10"/>
        <v>66.582864495120745</v>
      </c>
      <c r="H40" s="4">
        <f t="shared" si="10"/>
        <v>61.182295348508418</v>
      </c>
      <c r="I40" s="4">
        <f t="shared" si="10"/>
        <v>54.431106889140231</v>
      </c>
      <c r="J40" s="4">
        <f t="shared" si="10"/>
        <v>53.766127690298703</v>
      </c>
      <c r="K40" s="77">
        <f t="shared" si="10"/>
        <v>61.299562914385731</v>
      </c>
      <c r="L40" s="4">
        <f t="shared" si="10"/>
        <v>60.759365588107393</v>
      </c>
      <c r="M40" s="101">
        <f t="shared" si="3"/>
        <v>58.287691686088102</v>
      </c>
      <c r="O40" s="75"/>
      <c r="P40" s="75"/>
      <c r="Q40" s="75"/>
      <c r="R40" s="75"/>
      <c r="S40" s="75"/>
      <c r="T40" s="75"/>
      <c r="U40" s="75"/>
      <c r="V40" s="75"/>
      <c r="W40" s="75"/>
    </row>
    <row r="41" spans="1:23" x14ac:dyDescent="0.25">
      <c r="A41" s="17" t="s">
        <v>7</v>
      </c>
      <c r="B41" s="17" t="s">
        <v>104</v>
      </c>
      <c r="C41" s="4">
        <f t="shared" ref="C41:L41" si="11">C11/C26</f>
        <v>63.954974000382542</v>
      </c>
      <c r="D41" s="4">
        <f t="shared" si="11"/>
        <v>81.126898923349827</v>
      </c>
      <c r="E41" s="4">
        <f t="shared" si="11"/>
        <v>79.370996660969652</v>
      </c>
      <c r="F41" s="4">
        <f t="shared" si="11"/>
        <v>93.983330409116533</v>
      </c>
      <c r="G41" s="4">
        <f t="shared" si="11"/>
        <v>84.868344045398686</v>
      </c>
      <c r="H41" s="4">
        <f t="shared" si="11"/>
        <v>92.594044724968143</v>
      </c>
      <c r="I41" s="4">
        <f t="shared" si="11"/>
        <v>94.349664895298815</v>
      </c>
      <c r="J41" s="4">
        <f t="shared" si="11"/>
        <v>96.876424110672673</v>
      </c>
      <c r="K41" s="4">
        <f t="shared" si="11"/>
        <v>103.83759959735437</v>
      </c>
      <c r="L41" s="4">
        <f t="shared" si="11"/>
        <v>97.364432957552779</v>
      </c>
      <c r="M41" s="101">
        <f t="shared" si="3"/>
        <v>97.004433257169353</v>
      </c>
      <c r="O41" s="75"/>
      <c r="P41" s="75"/>
      <c r="Q41" s="75"/>
      <c r="R41" s="75"/>
      <c r="S41" s="75"/>
      <c r="T41" s="75"/>
      <c r="U41" s="75"/>
      <c r="V41" s="75"/>
      <c r="W41" s="75"/>
    </row>
    <row r="42" spans="1:23" x14ac:dyDescent="0.25">
      <c r="A42" s="17" t="s">
        <v>8</v>
      </c>
      <c r="B42" s="17" t="s">
        <v>104</v>
      </c>
      <c r="C42" s="4">
        <f t="shared" ref="C42:L42" si="12">C12/C27</f>
        <v>94.046903187011424</v>
      </c>
      <c r="D42" s="4">
        <f t="shared" si="12"/>
        <v>103.80184331797234</v>
      </c>
      <c r="E42" s="4">
        <f t="shared" si="12"/>
        <v>95.787139689578709</v>
      </c>
      <c r="F42" s="4">
        <f t="shared" si="12"/>
        <v>99.272197962154294</v>
      </c>
      <c r="G42" s="4">
        <f t="shared" si="12"/>
        <v>109.52092177077016</v>
      </c>
      <c r="H42" s="4">
        <f t="shared" si="12"/>
        <v>104.59249676584734</v>
      </c>
      <c r="I42" s="4">
        <f t="shared" si="12"/>
        <v>99.464831804281332</v>
      </c>
      <c r="J42" s="4">
        <f t="shared" si="12"/>
        <v>108.06938159879337</v>
      </c>
      <c r="K42" s="4">
        <f t="shared" si="12"/>
        <v>115.90594744121715</v>
      </c>
      <c r="L42" s="4">
        <f t="shared" si="12"/>
        <v>110.15138023152271</v>
      </c>
      <c r="M42" s="101">
        <f t="shared" si="3"/>
        <v>107.63680756833239</v>
      </c>
      <c r="O42" s="75"/>
      <c r="P42" s="75"/>
      <c r="Q42" s="75"/>
      <c r="R42" s="75"/>
      <c r="S42" s="75"/>
      <c r="T42" s="75"/>
      <c r="U42" s="75"/>
      <c r="V42" s="75"/>
      <c r="W42" s="75"/>
    </row>
    <row r="43" spans="1:23" x14ac:dyDescent="0.25">
      <c r="A43" s="17" t="s">
        <v>73</v>
      </c>
      <c r="B43" s="17" t="s">
        <v>104</v>
      </c>
      <c r="C43" s="4">
        <f t="shared" ref="C43:L43" si="13">C13/C28</f>
        <v>76.091930951425127</v>
      </c>
      <c r="D43" s="4">
        <f t="shared" si="13"/>
        <v>76.149978513107001</v>
      </c>
      <c r="E43" s="4">
        <f t="shared" si="13"/>
        <v>67.540899795501034</v>
      </c>
      <c r="F43" s="4">
        <f t="shared" si="13"/>
        <v>81.560439560439548</v>
      </c>
      <c r="G43" s="4">
        <f t="shared" si="13"/>
        <v>67.992146596858646</v>
      </c>
      <c r="H43" s="4">
        <f t="shared" si="13"/>
        <v>74.945388974755275</v>
      </c>
      <c r="I43" s="4">
        <f t="shared" si="13"/>
        <v>75.892447129909371</v>
      </c>
      <c r="J43" s="4">
        <f t="shared" si="13"/>
        <v>70.090211095702401</v>
      </c>
      <c r="K43" s="4">
        <f t="shared" si="13"/>
        <v>87.208909137672521</v>
      </c>
      <c r="L43" s="4">
        <f t="shared" si="13"/>
        <v>79.228784025462488</v>
      </c>
      <c r="M43" s="101">
        <f t="shared" si="3"/>
        <v>77.473148072700411</v>
      </c>
      <c r="O43" s="75"/>
      <c r="P43" s="75"/>
      <c r="Q43" s="75"/>
      <c r="R43" s="75"/>
      <c r="S43" s="75"/>
      <c r="T43" s="75"/>
      <c r="U43" s="75"/>
      <c r="V43" s="75"/>
      <c r="W43" s="75"/>
    </row>
    <row r="44" spans="1:23" x14ac:dyDescent="0.25">
      <c r="A44" s="17" t="s">
        <v>54</v>
      </c>
      <c r="B44" s="17" t="s">
        <v>104</v>
      </c>
      <c r="C44" s="4">
        <f t="shared" ref="C44:L44" si="14">C14/C29</f>
        <v>64.705882352941174</v>
      </c>
      <c r="D44" s="4">
        <f t="shared" si="14"/>
        <v>97.740112994350284</v>
      </c>
      <c r="E44" s="4">
        <f t="shared" si="14"/>
        <v>98.870056497175142</v>
      </c>
      <c r="F44" s="4">
        <f t="shared" si="14"/>
        <v>116.86046511627907</v>
      </c>
      <c r="G44" s="4">
        <f t="shared" si="14"/>
        <v>111.41304347826086</v>
      </c>
      <c r="H44" s="4">
        <f t="shared" si="14"/>
        <v>95.862068965517238</v>
      </c>
      <c r="I44" s="4">
        <f t="shared" si="14"/>
        <v>92.48554913294798</v>
      </c>
      <c r="J44" s="4">
        <f t="shared" si="14"/>
        <v>93.835616438356169</v>
      </c>
      <c r="K44" s="4">
        <f t="shared" si="14"/>
        <v>101.64866421380056</v>
      </c>
      <c r="L44" s="4">
        <f t="shared" si="14"/>
        <v>108.82742681047766</v>
      </c>
      <c r="M44" s="101">
        <f t="shared" si="3"/>
        <v>98.531865112219919</v>
      </c>
      <c r="O44" s="75"/>
      <c r="P44" s="75"/>
      <c r="Q44" s="75"/>
      <c r="R44" s="75"/>
      <c r="S44" s="75"/>
      <c r="T44" s="75"/>
      <c r="U44" s="75"/>
      <c r="V44" s="75"/>
      <c r="W44" s="75"/>
    </row>
    <row r="45" spans="1:23" x14ac:dyDescent="0.25">
      <c r="A45" s="17" t="s">
        <v>9</v>
      </c>
      <c r="B45" s="17" t="s">
        <v>104</v>
      </c>
      <c r="C45" s="4">
        <f t="shared" ref="C45:L45" si="15">C12/C30</f>
        <v>169.91013225574213</v>
      </c>
      <c r="D45" s="4">
        <f t="shared" si="15"/>
        <v>168.90786095394026</v>
      </c>
      <c r="E45" s="4">
        <f t="shared" si="15"/>
        <v>99.346154824572949</v>
      </c>
      <c r="F45" s="4">
        <f t="shared" si="15"/>
        <v>104.82479182676163</v>
      </c>
      <c r="G45" s="4">
        <f t="shared" si="15"/>
        <v>183.72074403338124</v>
      </c>
      <c r="H45" s="4">
        <f t="shared" si="15"/>
        <v>168.49521562710612</v>
      </c>
      <c r="I45" s="4">
        <f t="shared" si="15"/>
        <v>119.16039361412176</v>
      </c>
      <c r="J45" s="4">
        <f t="shared" si="15"/>
        <v>141.88118811881188</v>
      </c>
      <c r="K45" s="4">
        <f t="shared" si="15"/>
        <v>167.54017823468362</v>
      </c>
      <c r="L45" s="4">
        <f t="shared" si="15"/>
        <v>136.23348017621146</v>
      </c>
      <c r="M45" s="101">
        <f t="shared" si="3"/>
        <v>146.66209115418695</v>
      </c>
      <c r="O45" s="75"/>
      <c r="P45" s="75"/>
      <c r="Q45" s="75"/>
      <c r="R45" s="75"/>
      <c r="S45" s="75"/>
      <c r="T45" s="75"/>
      <c r="U45" s="75"/>
      <c r="V45" s="75"/>
      <c r="W45" s="75"/>
    </row>
    <row r="46" spans="1:23" x14ac:dyDescent="0.25">
      <c r="M46" s="3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Y195"/>
  <sheetViews>
    <sheetView topLeftCell="A124" zoomScale="75" zoomScaleNormal="75" workbookViewId="0">
      <selection activeCell="C139" sqref="C139"/>
    </sheetView>
  </sheetViews>
  <sheetFormatPr defaultRowHeight="15" x14ac:dyDescent="0.25"/>
  <cols>
    <col min="1" max="1" width="19.28515625" customWidth="1"/>
    <col min="2" max="2" width="12.85546875" customWidth="1"/>
    <col min="3" max="12" width="15.85546875" customWidth="1"/>
    <col min="13" max="13" width="15.28515625" hidden="1" customWidth="1"/>
    <col min="14" max="14" width="15.140625" hidden="1" customWidth="1"/>
    <col min="16" max="16" width="11.140625" customWidth="1"/>
    <col min="17" max="17" width="14.85546875" customWidth="1"/>
  </cols>
  <sheetData>
    <row r="2" spans="1:17" x14ac:dyDescent="0.25">
      <c r="A2" s="23" t="s">
        <v>31</v>
      </c>
      <c r="B2" s="84" t="s">
        <v>139</v>
      </c>
      <c r="C2" s="33">
        <v>2006</v>
      </c>
      <c r="D2" s="33">
        <v>2007</v>
      </c>
      <c r="E2" s="33">
        <v>2008</v>
      </c>
      <c r="F2" s="33">
        <v>2009</v>
      </c>
      <c r="G2" s="33">
        <v>2010</v>
      </c>
      <c r="H2" s="33">
        <v>2011</v>
      </c>
      <c r="I2" s="33">
        <v>2012</v>
      </c>
      <c r="J2" s="33">
        <v>2013</v>
      </c>
      <c r="K2" s="33">
        <v>2014</v>
      </c>
      <c r="L2" s="33">
        <v>2015</v>
      </c>
      <c r="M2" s="33" t="s">
        <v>82</v>
      </c>
      <c r="N2" s="33" t="s">
        <v>133</v>
      </c>
      <c r="O2" s="35"/>
      <c r="P2" s="35" t="s">
        <v>134</v>
      </c>
      <c r="Q2" s="35"/>
    </row>
    <row r="3" spans="1:17" x14ac:dyDescent="0.25">
      <c r="A3" s="17" t="s">
        <v>1</v>
      </c>
      <c r="B3" s="17" t="s">
        <v>33</v>
      </c>
      <c r="C3" s="47">
        <v>3810.181</v>
      </c>
      <c r="D3" s="47">
        <v>3809.5540000000001</v>
      </c>
      <c r="E3" s="47">
        <v>3835.902</v>
      </c>
      <c r="F3" s="47">
        <v>3868.9319999999998</v>
      </c>
      <c r="G3" s="47">
        <v>3906.538</v>
      </c>
      <c r="H3" s="47">
        <v>3955.8760000000002</v>
      </c>
      <c r="I3" s="47">
        <v>4015.212</v>
      </c>
      <c r="J3" s="47">
        <v>4086.7759999999998</v>
      </c>
      <c r="K3" s="93">
        <v>4058</v>
      </c>
      <c r="L3" s="93">
        <v>4074</v>
      </c>
      <c r="M3" s="47">
        <f t="shared" ref="M3:M15" si="0">AVERAGE(G3:K3)</f>
        <v>4004.4804000000004</v>
      </c>
      <c r="N3" s="47">
        <f>AVERAGE(H3:L3)</f>
        <v>4037.9728000000005</v>
      </c>
      <c r="O3" s="35"/>
      <c r="P3" s="102">
        <f>AVERAGE(H3:L3)</f>
        <v>4037.9728000000005</v>
      </c>
      <c r="Q3" s="35"/>
    </row>
    <row r="4" spans="1:17" x14ac:dyDescent="0.25">
      <c r="A4" s="17" t="s">
        <v>78</v>
      </c>
      <c r="B4" s="17" t="s">
        <v>33</v>
      </c>
      <c r="C4" s="47">
        <v>34573.595000000001</v>
      </c>
      <c r="D4" s="47">
        <v>34930.440199999997</v>
      </c>
      <c r="E4" s="47">
        <v>35177.806199999999</v>
      </c>
      <c r="F4" s="47">
        <v>35468.306199999999</v>
      </c>
      <c r="G4" s="47">
        <v>35718.575499999999</v>
      </c>
      <c r="H4" s="47">
        <v>36202.722999999998</v>
      </c>
      <c r="I4" s="47">
        <v>36609.593000000001</v>
      </c>
      <c r="J4" s="47">
        <v>36951.606</v>
      </c>
      <c r="K4" s="47">
        <v>37333.766380699737</v>
      </c>
      <c r="L4" s="47">
        <v>38686.992329176544</v>
      </c>
      <c r="M4" s="47">
        <f t="shared" si="0"/>
        <v>36563.252776139947</v>
      </c>
      <c r="N4" s="47">
        <f t="shared" ref="N4:N15" si="1">AVERAGE(H4:L4)</f>
        <v>37156.936141975253</v>
      </c>
      <c r="O4" s="35"/>
      <c r="P4" s="102">
        <f t="shared" ref="P4:P15" si="2">AVERAGE(H4:L4)</f>
        <v>37156.936141975253</v>
      </c>
      <c r="Q4" s="35"/>
    </row>
    <row r="5" spans="1:17" x14ac:dyDescent="0.25">
      <c r="A5" s="17" t="s">
        <v>2</v>
      </c>
      <c r="B5" s="17" t="s">
        <v>33</v>
      </c>
      <c r="C5" s="47">
        <v>2845.6754906194865</v>
      </c>
      <c r="D5" s="47">
        <v>2932.7604912907145</v>
      </c>
      <c r="E5" s="47">
        <v>2899.041974367226</v>
      </c>
      <c r="F5" s="47">
        <v>2921.4818156414794</v>
      </c>
      <c r="G5" s="47">
        <v>2940.3415642628752</v>
      </c>
      <c r="H5" s="47">
        <v>3068.8208138593104</v>
      </c>
      <c r="I5" s="47">
        <v>3082.5602833357207</v>
      </c>
      <c r="J5" s="47">
        <v>3112.9464161883607</v>
      </c>
      <c r="K5" s="47">
        <v>3186</v>
      </c>
      <c r="L5" s="47">
        <v>3202.6543830676301</v>
      </c>
      <c r="M5" s="47">
        <f t="shared" si="0"/>
        <v>3078.1338155292533</v>
      </c>
      <c r="N5" s="47">
        <f t="shared" si="1"/>
        <v>3130.5963792902048</v>
      </c>
      <c r="O5" s="35"/>
      <c r="P5" s="102">
        <f t="shared" si="2"/>
        <v>3130.5963792902048</v>
      </c>
      <c r="Q5" s="35"/>
    </row>
    <row r="6" spans="1:17" x14ac:dyDescent="0.25">
      <c r="A6" s="17" t="s">
        <v>3</v>
      </c>
      <c r="B6" s="17" t="s">
        <v>33</v>
      </c>
      <c r="C6" s="47">
        <v>25674.3</v>
      </c>
      <c r="D6" s="47">
        <v>25991</v>
      </c>
      <c r="E6" s="47">
        <v>26360.6</v>
      </c>
      <c r="F6" s="47">
        <v>26582.3</v>
      </c>
      <c r="G6" s="47">
        <v>26770.7</v>
      </c>
      <c r="H6" s="47">
        <v>27051.7</v>
      </c>
      <c r="I6" s="47">
        <v>27350.2</v>
      </c>
      <c r="J6" s="47">
        <v>27730.2</v>
      </c>
      <c r="K6" s="47">
        <v>28090</v>
      </c>
      <c r="L6" s="47">
        <v>28221</v>
      </c>
      <c r="M6" s="47">
        <f t="shared" si="0"/>
        <v>27398.559999999998</v>
      </c>
      <c r="N6" s="47">
        <f t="shared" si="1"/>
        <v>27688.620000000003</v>
      </c>
      <c r="O6" s="35"/>
      <c r="P6" s="102">
        <f>AVERAGE(H6:L6)</f>
        <v>27688.620000000003</v>
      </c>
      <c r="Q6" s="35"/>
    </row>
    <row r="7" spans="1:17" x14ac:dyDescent="0.25">
      <c r="A7" s="17" t="s">
        <v>4</v>
      </c>
      <c r="B7" s="17" t="s">
        <v>33</v>
      </c>
      <c r="C7" s="47">
        <v>37863</v>
      </c>
      <c r="D7" s="47">
        <v>38739</v>
      </c>
      <c r="E7" s="47">
        <v>39599</v>
      </c>
      <c r="F7" s="47">
        <v>40484</v>
      </c>
      <c r="G7" s="47">
        <v>41131</v>
      </c>
      <c r="H7" s="47">
        <v>41689</v>
      </c>
      <c r="I7" s="47">
        <v>42178</v>
      </c>
      <c r="J7" s="47">
        <v>42587</v>
      </c>
      <c r="K7" s="47">
        <v>42833</v>
      </c>
      <c r="L7" s="47">
        <v>43085.163999999997</v>
      </c>
      <c r="M7" s="47">
        <f t="shared" si="0"/>
        <v>42083.6</v>
      </c>
      <c r="N7" s="47">
        <f t="shared" si="1"/>
        <v>42474.432799999995</v>
      </c>
      <c r="O7" s="35"/>
      <c r="P7" s="102">
        <f t="shared" si="2"/>
        <v>42474.432799999995</v>
      </c>
      <c r="Q7" s="35"/>
    </row>
    <row r="8" spans="1:17" x14ac:dyDescent="0.25">
      <c r="A8" s="17" t="s">
        <v>10</v>
      </c>
      <c r="B8" s="17" t="s">
        <v>33</v>
      </c>
      <c r="C8" s="47">
        <v>137464.93799999999</v>
      </c>
      <c r="D8" s="47">
        <v>139118.03700000001</v>
      </c>
      <c r="E8" s="47">
        <v>139627.552</v>
      </c>
      <c r="F8" s="47">
        <v>140872.02799999999</v>
      </c>
      <c r="G8" s="47">
        <v>141675.837</v>
      </c>
      <c r="H8" s="47">
        <v>141326.28099999999</v>
      </c>
      <c r="I8" s="47">
        <v>142404.592</v>
      </c>
      <c r="J8" s="47">
        <v>141446.783</v>
      </c>
      <c r="K8" s="47">
        <v>141844.50049999999</v>
      </c>
      <c r="L8" s="47">
        <v>140013.02800000002</v>
      </c>
      <c r="M8" s="47">
        <f t="shared" si="0"/>
        <v>141739.5987</v>
      </c>
      <c r="N8" s="47">
        <f t="shared" si="1"/>
        <v>141407.03690000001</v>
      </c>
      <c r="O8" s="35"/>
      <c r="P8" s="102">
        <f t="shared" si="2"/>
        <v>141407.03690000001</v>
      </c>
      <c r="Q8" s="35"/>
    </row>
    <row r="9" spans="1:17" x14ac:dyDescent="0.25">
      <c r="A9" s="17" t="s">
        <v>5</v>
      </c>
      <c r="B9" s="17" t="s">
        <v>33</v>
      </c>
      <c r="C9" s="47">
        <v>189519.30006014908</v>
      </c>
      <c r="D9" s="47">
        <v>179841.54272824817</v>
      </c>
      <c r="E9" s="47">
        <v>176400.00583690053</v>
      </c>
      <c r="F9" s="47">
        <v>178225.55710529207</v>
      </c>
      <c r="G9" s="47">
        <v>180726.38791515975</v>
      </c>
      <c r="H9" s="47">
        <v>180344</v>
      </c>
      <c r="I9" s="47">
        <v>180416</v>
      </c>
      <c r="J9" s="47">
        <v>180741</v>
      </c>
      <c r="K9" s="47">
        <v>180741</v>
      </c>
      <c r="L9" s="47">
        <v>181384.05900000001</v>
      </c>
      <c r="M9" s="47">
        <f t="shared" si="0"/>
        <v>180593.67758303197</v>
      </c>
      <c r="N9" s="47">
        <f t="shared" si="1"/>
        <v>180725.21179999999</v>
      </c>
      <c r="O9" s="35"/>
      <c r="P9" s="102">
        <f t="shared" si="2"/>
        <v>180725.21179999999</v>
      </c>
      <c r="Q9" s="35"/>
    </row>
    <row r="10" spans="1:17" x14ac:dyDescent="0.25">
      <c r="A10" s="17" t="s">
        <v>6</v>
      </c>
      <c r="B10" s="17" t="s">
        <v>33</v>
      </c>
      <c r="C10" s="47">
        <v>4061.8365097925425</v>
      </c>
      <c r="D10" s="47">
        <v>4096.2416794572973</v>
      </c>
      <c r="E10" s="47">
        <v>4163.0765337687144</v>
      </c>
      <c r="F10" s="47">
        <v>4202.67561458616</v>
      </c>
      <c r="G10" s="47">
        <v>4232.0720100870267</v>
      </c>
      <c r="H10" s="47">
        <v>4279.6911179924782</v>
      </c>
      <c r="I10" s="47">
        <v>4319.8792326594175</v>
      </c>
      <c r="J10" s="47">
        <v>4340.3851949999998</v>
      </c>
      <c r="K10" s="47">
        <v>4475.5042117941766</v>
      </c>
      <c r="L10" s="47">
        <v>4485</v>
      </c>
      <c r="M10" s="47">
        <f t="shared" si="0"/>
        <v>4329.5063535066201</v>
      </c>
      <c r="N10" s="47">
        <f t="shared" si="1"/>
        <v>4380.0919514892139</v>
      </c>
      <c r="O10" s="35"/>
      <c r="P10" s="102">
        <f t="shared" si="2"/>
        <v>4380.0919514892139</v>
      </c>
      <c r="Q10" s="35"/>
    </row>
    <row r="11" spans="1:17" x14ac:dyDescent="0.25">
      <c r="A11" s="17" t="s">
        <v>7</v>
      </c>
      <c r="B11" s="17" t="s">
        <v>33</v>
      </c>
      <c r="C11" s="47">
        <v>64783.822472879117</v>
      </c>
      <c r="D11" s="47">
        <v>65013.415822291761</v>
      </c>
      <c r="E11" s="47">
        <v>65186.309286985103</v>
      </c>
      <c r="F11" s="47">
        <v>65985.544849508558</v>
      </c>
      <c r="G11" s="47">
        <v>66521.546676126571</v>
      </c>
      <c r="H11" s="47">
        <v>66216.546006737946</v>
      </c>
      <c r="I11" s="47">
        <v>66542.324039862317</v>
      </c>
      <c r="J11" s="47">
        <v>66836.138240359753</v>
      </c>
      <c r="K11" s="47">
        <v>67006</v>
      </c>
      <c r="L11" s="47">
        <v>67339.856520849105</v>
      </c>
      <c r="M11" s="47">
        <f t="shared" si="0"/>
        <v>66624.510992617317</v>
      </c>
      <c r="N11" s="47">
        <f t="shared" si="1"/>
        <v>66788.172961561824</v>
      </c>
      <c r="O11" s="35"/>
      <c r="P11" s="102">
        <f t="shared" si="2"/>
        <v>66788.172961561824</v>
      </c>
      <c r="Q11" s="35"/>
    </row>
    <row r="12" spans="1:17" x14ac:dyDescent="0.25">
      <c r="A12" s="17" t="s">
        <v>8</v>
      </c>
      <c r="B12" s="17" t="s">
        <v>33</v>
      </c>
      <c r="C12" s="47">
        <v>81040.914379351118</v>
      </c>
      <c r="D12" s="47">
        <v>80991.544399345978</v>
      </c>
      <c r="E12" s="47">
        <v>80942.174419340823</v>
      </c>
      <c r="F12" s="47">
        <v>81117.562635689028</v>
      </c>
      <c r="G12" s="47">
        <v>81331.445701122968</v>
      </c>
      <c r="H12" s="47">
        <v>81037.644511795268</v>
      </c>
      <c r="I12" s="47">
        <v>81131.289501052743</v>
      </c>
      <c r="J12" s="47">
        <v>81137</v>
      </c>
      <c r="K12" s="47">
        <v>81203</v>
      </c>
      <c r="L12" s="47">
        <v>81225.790999999997</v>
      </c>
      <c r="M12" s="47">
        <f t="shared" si="0"/>
        <v>81168.075942794196</v>
      </c>
      <c r="N12" s="47">
        <f t="shared" si="1"/>
        <v>81146.945002569613</v>
      </c>
      <c r="O12" s="35"/>
      <c r="P12" s="102">
        <f t="shared" si="2"/>
        <v>81146.945002569613</v>
      </c>
      <c r="Q12" s="35"/>
    </row>
    <row r="13" spans="1:17" x14ac:dyDescent="0.25">
      <c r="A13" s="17" t="s">
        <v>73</v>
      </c>
      <c r="B13" s="17" t="s">
        <v>33</v>
      </c>
      <c r="C13" s="47">
        <v>35052.744983445111</v>
      </c>
      <c r="D13" s="47">
        <v>35474.049102024757</v>
      </c>
      <c r="E13" s="47">
        <v>35808.446924356896</v>
      </c>
      <c r="F13" s="47">
        <v>36492.484945668111</v>
      </c>
      <c r="G13" s="47">
        <v>36813.688788960724</v>
      </c>
      <c r="H13" s="47">
        <v>37189.18932794327</v>
      </c>
      <c r="I13" s="47">
        <v>37739.672510546159</v>
      </c>
      <c r="J13" s="47">
        <v>37953.007642697215</v>
      </c>
      <c r="K13" s="47">
        <v>38460.334063763054</v>
      </c>
      <c r="L13" s="47">
        <v>38586.474786906576</v>
      </c>
      <c r="M13" s="47">
        <f t="shared" si="0"/>
        <v>37631.17846678209</v>
      </c>
      <c r="N13" s="47">
        <f t="shared" si="1"/>
        <v>37985.735666371256</v>
      </c>
      <c r="O13" s="35"/>
      <c r="P13" s="102">
        <f t="shared" si="2"/>
        <v>37985.735666371256</v>
      </c>
      <c r="Q13" s="35"/>
    </row>
    <row r="14" spans="1:17" x14ac:dyDescent="0.25">
      <c r="A14" s="17" t="s">
        <v>54</v>
      </c>
      <c r="B14" s="17" t="s">
        <v>33</v>
      </c>
      <c r="C14" s="47">
        <v>20126</v>
      </c>
      <c r="D14" s="47">
        <v>20126</v>
      </c>
      <c r="E14" s="47">
        <v>20126</v>
      </c>
      <c r="F14" s="47">
        <v>20126</v>
      </c>
      <c r="G14" s="47">
        <v>20127</v>
      </c>
      <c r="H14" s="47">
        <v>20189</v>
      </c>
      <c r="I14" s="47">
        <v>20250</v>
      </c>
      <c r="J14" s="47">
        <v>20301</v>
      </c>
      <c r="K14" s="47">
        <v>20361</v>
      </c>
      <c r="L14" s="47">
        <v>20427</v>
      </c>
      <c r="M14" s="47">
        <f t="shared" si="0"/>
        <v>20245.599999999999</v>
      </c>
      <c r="N14" s="47">
        <f t="shared" si="1"/>
        <v>20305.599999999999</v>
      </c>
      <c r="O14" s="35"/>
      <c r="P14" s="102">
        <f t="shared" si="2"/>
        <v>20305.599999999999</v>
      </c>
      <c r="Q14" s="35"/>
    </row>
    <row r="15" spans="1:17" x14ac:dyDescent="0.25">
      <c r="A15" s="17" t="s">
        <v>9</v>
      </c>
      <c r="B15" s="17" t="s">
        <v>33</v>
      </c>
      <c r="C15" s="47">
        <v>7421.8924719887709</v>
      </c>
      <c r="D15" s="47">
        <v>7458.2793121613504</v>
      </c>
      <c r="E15" s="47">
        <v>7486.7323474809236</v>
      </c>
      <c r="F15" s="47">
        <v>7424.9178722391944</v>
      </c>
      <c r="G15" s="47">
        <v>7450.0880774901916</v>
      </c>
      <c r="H15" s="47">
        <v>7437.1441929725379</v>
      </c>
      <c r="I15" s="47">
        <v>7477.8138505855222</v>
      </c>
      <c r="J15" s="47">
        <v>7447</v>
      </c>
      <c r="K15" s="47">
        <v>7469.1070020000043</v>
      </c>
      <c r="L15" s="47">
        <v>7425.259</v>
      </c>
      <c r="M15" s="47">
        <f t="shared" si="0"/>
        <v>7456.2306246096514</v>
      </c>
      <c r="N15" s="47">
        <f t="shared" si="1"/>
        <v>7451.2648091116134</v>
      </c>
      <c r="O15" s="35"/>
      <c r="P15" s="102">
        <f t="shared" si="2"/>
        <v>7451.2648091116134</v>
      </c>
      <c r="Q15" s="35"/>
    </row>
    <row r="16" spans="1:17" x14ac:dyDescent="0.25"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x14ac:dyDescent="0.25">
      <c r="A17" s="23" t="s">
        <v>32</v>
      </c>
      <c r="B17" s="79" t="s">
        <v>140</v>
      </c>
      <c r="C17" s="33">
        <v>2006</v>
      </c>
      <c r="D17" s="33">
        <v>2007</v>
      </c>
      <c r="E17" s="33">
        <v>2008</v>
      </c>
      <c r="F17" s="33">
        <v>2009</v>
      </c>
      <c r="G17" s="33">
        <v>2010</v>
      </c>
      <c r="H17" s="33">
        <v>2011</v>
      </c>
      <c r="I17" s="33">
        <v>2012</v>
      </c>
      <c r="J17" s="33">
        <v>2013</v>
      </c>
      <c r="K17" s="33">
        <v>2014</v>
      </c>
      <c r="L17" s="33">
        <v>2015</v>
      </c>
      <c r="M17" s="33" t="s">
        <v>82</v>
      </c>
      <c r="N17" s="33" t="s">
        <v>133</v>
      </c>
      <c r="O17" s="35"/>
      <c r="P17" s="35" t="s">
        <v>134</v>
      </c>
      <c r="Q17" s="35"/>
    </row>
    <row r="18" spans="1:17" x14ac:dyDescent="0.25">
      <c r="A18" s="17" t="s">
        <v>1</v>
      </c>
      <c r="B18" s="17" t="s">
        <v>34</v>
      </c>
      <c r="C18" s="47">
        <v>154510</v>
      </c>
      <c r="D18" s="47">
        <v>156360</v>
      </c>
      <c r="E18" s="47">
        <v>158455</v>
      </c>
      <c r="F18" s="47">
        <v>161092</v>
      </c>
      <c r="G18" s="47">
        <v>164900</v>
      </c>
      <c r="H18" s="47">
        <v>168937</v>
      </c>
      <c r="I18" s="47">
        <v>173186</v>
      </c>
      <c r="J18" s="47">
        <v>177255</v>
      </c>
      <c r="K18" s="47">
        <v>178710</v>
      </c>
      <c r="L18" s="47">
        <v>181851</v>
      </c>
      <c r="M18" s="47">
        <f t="shared" ref="M18:M30" si="3">AVERAGE(G18:K18)</f>
        <v>172597.6</v>
      </c>
      <c r="N18" s="47">
        <f>AVERAGE(H18:L18)</f>
        <v>175987.8</v>
      </c>
      <c r="O18" s="35"/>
      <c r="P18" s="102">
        <f>AVERAGE(H18:L18)</f>
        <v>175987.8</v>
      </c>
      <c r="Q18" s="35"/>
    </row>
    <row r="19" spans="1:17" x14ac:dyDescent="0.25">
      <c r="A19" s="17" t="s">
        <v>78</v>
      </c>
      <c r="B19" s="17" t="s">
        <v>34</v>
      </c>
      <c r="C19" s="47">
        <v>1546194.5</v>
      </c>
      <c r="D19" s="47">
        <v>1561614</v>
      </c>
      <c r="E19" s="47">
        <v>1574318</v>
      </c>
      <c r="F19" s="47">
        <v>1586138</v>
      </c>
      <c r="G19" s="47">
        <v>1596897.5</v>
      </c>
      <c r="H19" s="47">
        <v>1608734.5</v>
      </c>
      <c r="I19" s="47">
        <v>1621658.5</v>
      </c>
      <c r="J19" s="47">
        <v>1635052.5</v>
      </c>
      <c r="K19" s="47">
        <v>1651159.5</v>
      </c>
      <c r="L19" s="47">
        <v>1669558.4999999998</v>
      </c>
      <c r="M19" s="47">
        <f t="shared" si="3"/>
        <v>1622700.5</v>
      </c>
      <c r="N19" s="47">
        <f t="shared" ref="N19:N30" si="4">AVERAGE(H19:L19)</f>
        <v>1637232.7</v>
      </c>
      <c r="O19" s="35"/>
      <c r="P19" s="102">
        <f t="shared" ref="P19:P30" si="5">AVERAGE(H19:L19)</f>
        <v>1637232.7</v>
      </c>
      <c r="Q19" s="35"/>
    </row>
    <row r="20" spans="1:17" x14ac:dyDescent="0.25">
      <c r="A20" s="17" t="s">
        <v>2</v>
      </c>
      <c r="B20" s="17" t="s">
        <v>34</v>
      </c>
      <c r="C20" s="47">
        <v>294971.65817284817</v>
      </c>
      <c r="D20" s="47">
        <v>299951.29418559512</v>
      </c>
      <c r="E20" s="47">
        <v>303151.80398687738</v>
      </c>
      <c r="F20" s="47">
        <v>305984.98426974035</v>
      </c>
      <c r="G20" s="47">
        <v>310174.96273258881</v>
      </c>
      <c r="H20" s="47">
        <v>314439.61807555537</v>
      </c>
      <c r="I20" s="47">
        <v>318643.22002329014</v>
      </c>
      <c r="J20" s="47">
        <v>322735.81579787645</v>
      </c>
      <c r="K20" s="47">
        <v>325917.15180561459</v>
      </c>
      <c r="L20" s="47">
        <v>327907.17472153297</v>
      </c>
      <c r="M20" s="47">
        <f t="shared" si="3"/>
        <v>318382.15368698508</v>
      </c>
      <c r="N20" s="47">
        <f t="shared" si="4"/>
        <v>321928.59608477389</v>
      </c>
      <c r="O20" s="35"/>
      <c r="P20" s="102">
        <f t="shared" si="5"/>
        <v>321928.59608477389</v>
      </c>
      <c r="Q20" s="35"/>
    </row>
    <row r="21" spans="1:17" x14ac:dyDescent="0.25">
      <c r="A21" s="17" t="s">
        <v>3</v>
      </c>
      <c r="B21" s="17" t="s">
        <v>34</v>
      </c>
      <c r="C21" s="47">
        <v>849548.29330195289</v>
      </c>
      <c r="D21" s="47">
        <v>859722.30529925239</v>
      </c>
      <c r="E21" s="47">
        <v>869654.53679641755</v>
      </c>
      <c r="F21" s="47">
        <v>878612.20779662021</v>
      </c>
      <c r="G21" s="47">
        <v>886064.29272155382</v>
      </c>
      <c r="H21" s="47">
        <v>895088.26980019733</v>
      </c>
      <c r="I21" s="47">
        <v>903746.68839345104</v>
      </c>
      <c r="J21" s="47">
        <v>919384.82389900391</v>
      </c>
      <c r="K21" s="47">
        <v>940028.5</v>
      </c>
      <c r="L21" s="47">
        <v>955832.5</v>
      </c>
      <c r="M21" s="47">
        <f t="shared" si="3"/>
        <v>908862.51496284117</v>
      </c>
      <c r="N21" s="47">
        <f t="shared" si="4"/>
        <v>922816.1564185305</v>
      </c>
      <c r="O21" s="35"/>
      <c r="P21" s="102">
        <f t="shared" si="5"/>
        <v>922816.1564185305</v>
      </c>
      <c r="Q21" s="35"/>
    </row>
    <row r="22" spans="1:17" x14ac:dyDescent="0.25">
      <c r="A22" s="17" t="s">
        <v>4</v>
      </c>
      <c r="B22" s="17" t="s">
        <v>34</v>
      </c>
      <c r="C22" s="47">
        <v>1212063.5623809525</v>
      </c>
      <c r="D22" s="47">
        <v>1236100.9766666668</v>
      </c>
      <c r="E22" s="47">
        <v>1263762.9433333334</v>
      </c>
      <c r="F22" s="47">
        <v>1287435.6833333333</v>
      </c>
      <c r="G22" s="47">
        <v>1307554.3333333333</v>
      </c>
      <c r="H22" s="47">
        <v>1326563.5</v>
      </c>
      <c r="I22" s="47">
        <v>1343864.5</v>
      </c>
      <c r="J22" s="47">
        <v>1359711.5</v>
      </c>
      <c r="K22" s="47">
        <v>1376483</v>
      </c>
      <c r="L22" s="47">
        <v>1397191</v>
      </c>
      <c r="M22" s="47">
        <f t="shared" si="3"/>
        <v>1342835.3666666667</v>
      </c>
      <c r="N22" s="47">
        <f t="shared" si="4"/>
        <v>1360762.7</v>
      </c>
      <c r="O22" s="35"/>
      <c r="P22" s="102">
        <f t="shared" si="5"/>
        <v>1360762.7</v>
      </c>
      <c r="Q22" s="35"/>
    </row>
    <row r="23" spans="1:17" x14ac:dyDescent="0.25">
      <c r="A23" s="17" t="s">
        <v>10</v>
      </c>
      <c r="B23" s="17" t="s">
        <v>34</v>
      </c>
      <c r="C23" s="103">
        <v>624130</v>
      </c>
      <c r="D23" s="103">
        <v>635123</v>
      </c>
      <c r="E23" s="103">
        <v>647729</v>
      </c>
      <c r="F23" s="103">
        <v>663216</v>
      </c>
      <c r="G23" s="103">
        <v>676960</v>
      </c>
      <c r="H23" s="103">
        <v>688959</v>
      </c>
      <c r="I23" s="103">
        <v>699264</v>
      </c>
      <c r="J23" s="103">
        <v>710431</v>
      </c>
      <c r="K23" s="47">
        <v>721930</v>
      </c>
      <c r="L23" s="47">
        <v>728290.5</v>
      </c>
      <c r="M23" s="47">
        <f t="shared" si="3"/>
        <v>699508.8</v>
      </c>
      <c r="N23" s="47">
        <f t="shared" si="4"/>
        <v>709774.9</v>
      </c>
      <c r="O23" s="35"/>
      <c r="P23" s="102">
        <f t="shared" si="5"/>
        <v>709774.9</v>
      </c>
      <c r="Q23" s="35"/>
    </row>
    <row r="24" spans="1:17" x14ac:dyDescent="0.25">
      <c r="A24" s="17" t="s">
        <v>5</v>
      </c>
      <c r="B24" s="17" t="s">
        <v>34</v>
      </c>
      <c r="C24" s="103">
        <v>799028</v>
      </c>
      <c r="D24" s="103">
        <v>805190</v>
      </c>
      <c r="E24" s="103">
        <v>814865</v>
      </c>
      <c r="F24" s="103">
        <v>821578</v>
      </c>
      <c r="G24" s="103">
        <v>825215</v>
      </c>
      <c r="H24" s="103">
        <v>834416</v>
      </c>
      <c r="I24" s="103">
        <v>838385</v>
      </c>
      <c r="J24" s="103">
        <v>844244</v>
      </c>
      <c r="K24" s="47">
        <v>854231</v>
      </c>
      <c r="L24" s="47">
        <v>867001</v>
      </c>
      <c r="M24" s="47">
        <f t="shared" si="3"/>
        <v>839298.2</v>
      </c>
      <c r="N24" s="47">
        <f t="shared" si="4"/>
        <v>847655.4</v>
      </c>
      <c r="O24" s="35"/>
      <c r="P24" s="102">
        <f t="shared" si="5"/>
        <v>847655.4</v>
      </c>
      <c r="Q24" s="35"/>
    </row>
    <row r="25" spans="1:17" x14ac:dyDescent="0.25">
      <c r="A25" s="17" t="s">
        <v>6</v>
      </c>
      <c r="B25" s="17" t="s">
        <v>34</v>
      </c>
      <c r="C25" s="47">
        <v>293175.49999999994</v>
      </c>
      <c r="D25" s="47">
        <v>299118.49999999994</v>
      </c>
      <c r="E25" s="47">
        <v>302627.5</v>
      </c>
      <c r="F25" s="47">
        <v>305243</v>
      </c>
      <c r="G25" s="47">
        <v>309598</v>
      </c>
      <c r="H25" s="47">
        <v>313362.00000000006</v>
      </c>
      <c r="I25" s="47">
        <v>317050.00000000006</v>
      </c>
      <c r="J25" s="47">
        <v>318830</v>
      </c>
      <c r="K25" s="47">
        <v>318429</v>
      </c>
      <c r="L25" s="47">
        <v>321417</v>
      </c>
      <c r="M25" s="47">
        <f t="shared" si="3"/>
        <v>315453.8</v>
      </c>
      <c r="N25" s="47">
        <f t="shared" si="4"/>
        <v>317817.59999999998</v>
      </c>
      <c r="O25" s="35"/>
      <c r="P25" s="102">
        <f t="shared" si="5"/>
        <v>317817.59999999998</v>
      </c>
      <c r="Q25" s="35"/>
    </row>
    <row r="26" spans="1:17" x14ac:dyDescent="0.25">
      <c r="A26" s="17" t="s">
        <v>7</v>
      </c>
      <c r="B26" s="17" t="s">
        <v>34</v>
      </c>
      <c r="C26" s="47">
        <v>663966.3573024238</v>
      </c>
      <c r="D26" s="47">
        <v>675821.59009513049</v>
      </c>
      <c r="E26" s="47">
        <v>688356.4318822237</v>
      </c>
      <c r="F26" s="47">
        <v>701004.54183504835</v>
      </c>
      <c r="G26" s="47">
        <v>715219.69663430494</v>
      </c>
      <c r="H26" s="47">
        <v>731281.52706414193</v>
      </c>
      <c r="I26" s="47">
        <v>743561.51547834044</v>
      </c>
      <c r="J26" s="47">
        <v>753913.41676783864</v>
      </c>
      <c r="K26" s="47">
        <v>765240.73900240555</v>
      </c>
      <c r="L26" s="47">
        <v>777161.00874878757</v>
      </c>
      <c r="M26" s="47">
        <f t="shared" si="3"/>
        <v>741843.37898940628</v>
      </c>
      <c r="N26" s="47">
        <f t="shared" si="4"/>
        <v>754231.64141230285</v>
      </c>
      <c r="O26" s="35"/>
      <c r="P26" s="102">
        <f t="shared" si="5"/>
        <v>754231.64141230285</v>
      </c>
      <c r="Q26" s="35"/>
    </row>
    <row r="27" spans="1:17" x14ac:dyDescent="0.25">
      <c r="A27" s="17" t="s">
        <v>8</v>
      </c>
      <c r="B27" s="17" t="s">
        <v>34</v>
      </c>
      <c r="C27" s="47">
        <v>778839</v>
      </c>
      <c r="D27" s="47">
        <v>779426</v>
      </c>
      <c r="E27" s="47">
        <v>781110</v>
      </c>
      <c r="F27" s="47">
        <v>814467</v>
      </c>
      <c r="G27" s="47">
        <v>826964</v>
      </c>
      <c r="H27" s="47">
        <v>836055</v>
      </c>
      <c r="I27" s="47">
        <v>844153</v>
      </c>
      <c r="J27" s="47">
        <v>847766</v>
      </c>
      <c r="K27" s="47">
        <v>851766.5</v>
      </c>
      <c r="L27" s="47">
        <v>853939</v>
      </c>
      <c r="M27" s="47">
        <f t="shared" si="3"/>
        <v>841340.9</v>
      </c>
      <c r="N27" s="47">
        <f t="shared" si="4"/>
        <v>846735.9</v>
      </c>
      <c r="O27" s="35"/>
      <c r="P27" s="102">
        <f t="shared" si="5"/>
        <v>846735.9</v>
      </c>
      <c r="Q27" s="35"/>
    </row>
    <row r="28" spans="1:17" x14ac:dyDescent="0.25">
      <c r="A28" s="17" t="s">
        <v>73</v>
      </c>
      <c r="B28" s="17" t="s">
        <v>34</v>
      </c>
      <c r="C28" s="47">
        <v>605408</v>
      </c>
      <c r="D28" s="47">
        <v>616585.5</v>
      </c>
      <c r="E28" s="47">
        <v>627552.50000000012</v>
      </c>
      <c r="F28" s="47">
        <v>638613.50000000023</v>
      </c>
      <c r="G28" s="47">
        <v>645694.5</v>
      </c>
      <c r="H28" s="47">
        <v>654640.99999999988</v>
      </c>
      <c r="I28" s="47">
        <v>668703</v>
      </c>
      <c r="J28" s="47">
        <v>681299.00000000012</v>
      </c>
      <c r="K28" s="47">
        <v>685194.00000000012</v>
      </c>
      <c r="L28" s="47">
        <v>706424</v>
      </c>
      <c r="M28" s="47">
        <f t="shared" si="3"/>
        <v>667106.30000000005</v>
      </c>
      <c r="N28" s="47">
        <f t="shared" si="4"/>
        <v>679252.2</v>
      </c>
      <c r="O28" s="35"/>
      <c r="P28" s="102">
        <f t="shared" si="5"/>
        <v>679252.2</v>
      </c>
      <c r="Q28" s="35"/>
    </row>
    <row r="29" spans="1:17" x14ac:dyDescent="0.25">
      <c r="A29" s="17" t="s">
        <v>54</v>
      </c>
      <c r="B29" s="17" t="s">
        <v>34</v>
      </c>
      <c r="C29" s="47">
        <v>250642.52420131132</v>
      </c>
      <c r="D29" s="47">
        <v>255484.38545676047</v>
      </c>
      <c r="E29" s="47">
        <v>260424.25945125124</v>
      </c>
      <c r="F29" s="47">
        <v>265464.13023523602</v>
      </c>
      <c r="G29" s="47">
        <v>270606.02202186675</v>
      </c>
      <c r="H29" s="47">
        <v>275852</v>
      </c>
      <c r="I29" s="47">
        <v>278392</v>
      </c>
      <c r="J29" s="47">
        <v>279868</v>
      </c>
      <c r="K29" s="47">
        <v>280750</v>
      </c>
      <c r="L29" s="47">
        <v>283059</v>
      </c>
      <c r="M29" s="47">
        <f t="shared" si="3"/>
        <v>277093.60440437339</v>
      </c>
      <c r="N29" s="47">
        <f t="shared" si="4"/>
        <v>279584.2</v>
      </c>
      <c r="O29" s="35"/>
      <c r="P29" s="102">
        <f t="shared" si="5"/>
        <v>279584.2</v>
      </c>
      <c r="Q29" s="35"/>
    </row>
    <row r="30" spans="1:17" x14ac:dyDescent="0.25">
      <c r="A30" s="17" t="s">
        <v>9</v>
      </c>
      <c r="B30" s="17" t="s">
        <v>34</v>
      </c>
      <c r="C30" s="47">
        <v>612728</v>
      </c>
      <c r="D30" s="47">
        <v>618250</v>
      </c>
      <c r="E30" s="47">
        <v>624094</v>
      </c>
      <c r="F30" s="47">
        <v>628120</v>
      </c>
      <c r="G30" s="47">
        <v>633823</v>
      </c>
      <c r="H30" s="47">
        <v>641129.77419354848</v>
      </c>
      <c r="I30" s="47">
        <v>647892</v>
      </c>
      <c r="J30" s="47">
        <v>656516</v>
      </c>
      <c r="K30" s="47">
        <v>658453</v>
      </c>
      <c r="L30" s="47">
        <v>664549</v>
      </c>
      <c r="M30" s="47">
        <f t="shared" si="3"/>
        <v>647562.75483870972</v>
      </c>
      <c r="N30" s="47">
        <f t="shared" si="4"/>
        <v>653707.95483870967</v>
      </c>
      <c r="O30" s="35"/>
      <c r="P30" s="102">
        <f t="shared" si="5"/>
        <v>653707.95483870967</v>
      </c>
      <c r="Q30" s="35"/>
    </row>
    <row r="31" spans="1:17" x14ac:dyDescent="0.25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7" x14ac:dyDescent="0.25">
      <c r="A32" s="23" t="s">
        <v>35</v>
      </c>
      <c r="B32" s="79" t="s">
        <v>141</v>
      </c>
      <c r="C32" s="33">
        <v>2006</v>
      </c>
      <c r="D32" s="33">
        <v>2007</v>
      </c>
      <c r="E32" s="33">
        <v>2008</v>
      </c>
      <c r="F32" s="33">
        <v>2009</v>
      </c>
      <c r="G32" s="33">
        <v>2010</v>
      </c>
      <c r="H32" s="33">
        <v>2011</v>
      </c>
      <c r="I32" s="33">
        <v>2012</v>
      </c>
      <c r="J32" s="33">
        <v>2013</v>
      </c>
      <c r="K32" s="33">
        <v>2014</v>
      </c>
      <c r="L32" s="33">
        <v>2015</v>
      </c>
      <c r="M32" s="33" t="s">
        <v>82</v>
      </c>
      <c r="N32" s="33" t="s">
        <v>133</v>
      </c>
      <c r="O32" s="35"/>
      <c r="P32" s="35" t="s">
        <v>134</v>
      </c>
      <c r="Q32" s="35"/>
    </row>
    <row r="33" spans="1:17" x14ac:dyDescent="0.25">
      <c r="A33" s="17" t="s">
        <v>1</v>
      </c>
      <c r="B33" s="17" t="s">
        <v>40</v>
      </c>
      <c r="C33" s="47">
        <v>2758259.992773226</v>
      </c>
      <c r="D33" s="47">
        <v>2820838.4251741935</v>
      </c>
      <c r="E33" s="47">
        <v>2847302.6528387093</v>
      </c>
      <c r="F33" s="47">
        <v>2872918.9710000004</v>
      </c>
      <c r="G33" s="47">
        <v>2896443.0109999999</v>
      </c>
      <c r="H33" s="47">
        <v>2909890.7379999999</v>
      </c>
      <c r="I33" s="47">
        <v>2891139.6340000001</v>
      </c>
      <c r="J33" s="47">
        <v>2903924.452</v>
      </c>
      <c r="K33" s="47">
        <v>2829771.9999999995</v>
      </c>
      <c r="L33" s="102">
        <v>2856060</v>
      </c>
      <c r="M33" s="47">
        <f t="shared" ref="M33:M45" si="6">AVERAGE(G33:K33)</f>
        <v>2886233.9669999997</v>
      </c>
      <c r="N33" s="47">
        <f>AVERAGE(H33:L33)</f>
        <v>2878157.3647999996</v>
      </c>
      <c r="O33" s="35"/>
      <c r="P33" s="102">
        <f>AVERAGE(H33:L33)</f>
        <v>2878157.3647999996</v>
      </c>
      <c r="Q33" s="35"/>
    </row>
    <row r="34" spans="1:17" x14ac:dyDescent="0.25">
      <c r="A34" s="17" t="s">
        <v>78</v>
      </c>
      <c r="B34" s="17" t="s">
        <v>40</v>
      </c>
      <c r="C34" s="47">
        <v>30120253.331129856</v>
      </c>
      <c r="D34" s="47">
        <v>30441837.283128783</v>
      </c>
      <c r="E34" s="47">
        <v>30555278.457618408</v>
      </c>
      <c r="F34" s="47">
        <v>30707253.764586236</v>
      </c>
      <c r="G34" s="47">
        <v>30533414.655190561</v>
      </c>
      <c r="H34" s="47">
        <v>30569629.007553309</v>
      </c>
      <c r="I34" s="47">
        <v>29344733.929410949</v>
      </c>
      <c r="J34" s="47">
        <v>26338085.908875003</v>
      </c>
      <c r="K34" s="47">
        <v>25523446.190067999</v>
      </c>
      <c r="L34" s="47">
        <v>25630065.756235223</v>
      </c>
      <c r="M34" s="47">
        <f t="shared" si="6"/>
        <v>28461861.938219566</v>
      </c>
      <c r="N34" s="47">
        <f t="shared" ref="N34:N45" si="7">AVERAGE(H34:L34)</f>
        <v>27481192.158428498</v>
      </c>
      <c r="O34" s="35"/>
      <c r="P34" s="102">
        <f t="shared" ref="P34:P45" si="8">AVERAGE(H34:L34)</f>
        <v>27481192.158428498</v>
      </c>
      <c r="Q34" s="35"/>
    </row>
    <row r="35" spans="1:17" x14ac:dyDescent="0.25">
      <c r="A35" s="17" t="s">
        <v>2</v>
      </c>
      <c r="B35" s="17" t="s">
        <v>40</v>
      </c>
      <c r="C35" s="47">
        <v>5974992.6469298303</v>
      </c>
      <c r="D35" s="47">
        <v>6079298.2329258369</v>
      </c>
      <c r="E35" s="47">
        <v>6099596.8399551138</v>
      </c>
      <c r="F35" s="47">
        <v>6096471.9590413049</v>
      </c>
      <c r="G35" s="47">
        <v>6209711.0590538876</v>
      </c>
      <c r="H35" s="47">
        <v>6105050.5741951484</v>
      </c>
      <c r="I35" s="47">
        <v>6085130.1230161088</v>
      </c>
      <c r="J35" s="47">
        <v>5981354.9492096296</v>
      </c>
      <c r="K35" s="47">
        <v>5919402.0721637094</v>
      </c>
      <c r="L35" s="47">
        <v>5944173.0622223001</v>
      </c>
      <c r="M35" s="47">
        <f t="shared" si="6"/>
        <v>6060129.7555276966</v>
      </c>
      <c r="N35" s="47">
        <f t="shared" si="7"/>
        <v>6007022.15616138</v>
      </c>
      <c r="O35" s="35"/>
      <c r="P35" s="102">
        <f t="shared" si="8"/>
        <v>6007022.15616138</v>
      </c>
      <c r="Q35" s="35"/>
    </row>
    <row r="36" spans="1:17" x14ac:dyDescent="0.25">
      <c r="A36" s="17" t="s">
        <v>3</v>
      </c>
      <c r="B36" s="17" t="s">
        <v>40</v>
      </c>
      <c r="C36" s="47">
        <v>17196000</v>
      </c>
      <c r="D36" s="47">
        <v>17482559.368937191</v>
      </c>
      <c r="E36" s="47">
        <v>18111697</v>
      </c>
      <c r="F36" s="47">
        <v>17425962</v>
      </c>
      <c r="G36" s="47">
        <v>17410773</v>
      </c>
      <c r="H36" s="47">
        <v>17501186.278246015</v>
      </c>
      <c r="I36" s="47">
        <v>16505800.201592276</v>
      </c>
      <c r="J36" s="47">
        <v>16000807.428106314</v>
      </c>
      <c r="K36" s="47">
        <v>15636951.096853025</v>
      </c>
      <c r="L36" s="47">
        <v>16127500.730873365</v>
      </c>
      <c r="M36" s="47">
        <f t="shared" si="6"/>
        <v>16611103.600959528</v>
      </c>
      <c r="N36" s="47">
        <f t="shared" si="7"/>
        <v>16354449.1471342</v>
      </c>
      <c r="O36" s="35"/>
      <c r="P36" s="102">
        <f t="shared" si="8"/>
        <v>16354449.1471342</v>
      </c>
      <c r="Q36" s="35"/>
    </row>
    <row r="37" spans="1:17" x14ac:dyDescent="0.25">
      <c r="A37" s="17" t="s">
        <v>4</v>
      </c>
      <c r="B37" s="17" t="s">
        <v>40</v>
      </c>
      <c r="C37" s="47">
        <v>20618000</v>
      </c>
      <c r="D37" s="47">
        <v>20707000</v>
      </c>
      <c r="E37" s="47">
        <v>21155000</v>
      </c>
      <c r="F37" s="47">
        <v>21994000</v>
      </c>
      <c r="G37" s="47">
        <v>22193000</v>
      </c>
      <c r="H37" s="47">
        <v>21454000</v>
      </c>
      <c r="I37" s="47">
        <v>21210000</v>
      </c>
      <c r="J37" s="47">
        <v>21055000</v>
      </c>
      <c r="K37" s="47">
        <v>20838067.203162998</v>
      </c>
      <c r="L37" s="47">
        <v>21154470.97101</v>
      </c>
      <c r="M37" s="47">
        <f t="shared" si="6"/>
        <v>21350013.4406326</v>
      </c>
      <c r="N37" s="47">
        <f t="shared" si="7"/>
        <v>21142307.634834599</v>
      </c>
      <c r="O37" s="35"/>
      <c r="P37" s="102">
        <f t="shared" si="8"/>
        <v>21142307.634834599</v>
      </c>
      <c r="Q37" s="35"/>
    </row>
    <row r="38" spans="1:17" x14ac:dyDescent="0.25">
      <c r="A38" s="17" t="s">
        <v>10</v>
      </c>
      <c r="B38" s="17" t="s">
        <v>40</v>
      </c>
      <c r="C38" s="103">
        <v>13486171</v>
      </c>
      <c r="D38" s="103">
        <v>13576440</v>
      </c>
      <c r="E38" s="103">
        <v>13813451</v>
      </c>
      <c r="F38" s="103">
        <v>14130074.000000002</v>
      </c>
      <c r="G38" s="103">
        <v>14256528</v>
      </c>
      <c r="H38" s="103">
        <v>13227153</v>
      </c>
      <c r="I38" s="103">
        <v>13691726</v>
      </c>
      <c r="J38" s="103">
        <v>13495528</v>
      </c>
      <c r="K38" s="47">
        <v>13716244.895035559</v>
      </c>
      <c r="L38" s="47">
        <v>13656127.58507303</v>
      </c>
      <c r="M38" s="47">
        <f t="shared" si="6"/>
        <v>13677435.979007114</v>
      </c>
      <c r="N38" s="47">
        <f t="shared" si="7"/>
        <v>13557355.896021718</v>
      </c>
      <c r="O38" s="35"/>
      <c r="P38" s="102">
        <f t="shared" si="8"/>
        <v>13557355.896021718</v>
      </c>
      <c r="Q38" s="35"/>
    </row>
    <row r="39" spans="1:17" x14ac:dyDescent="0.25">
      <c r="A39" s="17" t="s">
        <v>5</v>
      </c>
      <c r="B39" s="17" t="s">
        <v>40</v>
      </c>
      <c r="C39" s="103">
        <v>11964840.000000002</v>
      </c>
      <c r="D39" s="103">
        <v>11974120</v>
      </c>
      <c r="E39" s="103">
        <v>12036900.000000002</v>
      </c>
      <c r="F39" s="103">
        <v>12121430.283</v>
      </c>
      <c r="G39" s="103">
        <v>12103520.000000002</v>
      </c>
      <c r="H39" s="103">
        <v>11943293</v>
      </c>
      <c r="I39" s="103">
        <v>11853304.757472308</v>
      </c>
      <c r="J39" s="103">
        <v>12291140.578126164</v>
      </c>
      <c r="K39" s="47">
        <v>12029802.982677164</v>
      </c>
      <c r="L39" s="47">
        <v>12270657.441472903</v>
      </c>
      <c r="M39" s="47">
        <f t="shared" si="6"/>
        <v>12044212.263655126</v>
      </c>
      <c r="N39" s="47">
        <f t="shared" si="7"/>
        <v>12077639.751949707</v>
      </c>
      <c r="O39" s="35"/>
      <c r="P39" s="102">
        <f t="shared" si="8"/>
        <v>12077639.751949707</v>
      </c>
      <c r="Q39" s="35"/>
    </row>
    <row r="40" spans="1:17" x14ac:dyDescent="0.25">
      <c r="A40" s="17" t="s">
        <v>6</v>
      </c>
      <c r="B40" s="17" t="s">
        <v>40</v>
      </c>
      <c r="C40" s="47">
        <v>4278000</v>
      </c>
      <c r="D40" s="47">
        <v>4379000</v>
      </c>
      <c r="E40" s="47">
        <v>4490000</v>
      </c>
      <c r="F40" s="47">
        <v>4376000</v>
      </c>
      <c r="G40" s="47">
        <v>4450000</v>
      </c>
      <c r="H40" s="47">
        <v>4415000</v>
      </c>
      <c r="I40" s="47">
        <v>4365000</v>
      </c>
      <c r="J40" s="47">
        <v>4254000</v>
      </c>
      <c r="K40" s="47">
        <v>4135521.8560000001</v>
      </c>
      <c r="L40" s="47">
        <v>4212017.7640000004</v>
      </c>
      <c r="M40" s="47">
        <f t="shared" si="6"/>
        <v>4323904.3711999999</v>
      </c>
      <c r="N40" s="47">
        <f t="shared" si="7"/>
        <v>4276307.9239999996</v>
      </c>
      <c r="O40" s="35"/>
      <c r="P40" s="102">
        <f t="shared" si="8"/>
        <v>4276307.9239999996</v>
      </c>
      <c r="Q40" s="35"/>
    </row>
    <row r="41" spans="1:17" x14ac:dyDescent="0.25">
      <c r="A41" s="17" t="s">
        <v>7</v>
      </c>
      <c r="B41" s="17" t="s">
        <v>40</v>
      </c>
      <c r="C41" s="47">
        <v>10147799.590551468</v>
      </c>
      <c r="D41" s="47">
        <v>10299201.244249921</v>
      </c>
      <c r="E41" s="47">
        <v>10510327.417061565</v>
      </c>
      <c r="F41" s="47">
        <v>10490717.127596529</v>
      </c>
      <c r="G41" s="47">
        <v>10678105.955435442</v>
      </c>
      <c r="H41" s="47">
        <v>10470676.58658709</v>
      </c>
      <c r="I41" s="47">
        <v>10743806.137023682</v>
      </c>
      <c r="J41" s="47">
        <v>10555881.312208893</v>
      </c>
      <c r="K41" s="47">
        <v>10332961.914579492</v>
      </c>
      <c r="L41" s="47">
        <v>10712655.019176399</v>
      </c>
      <c r="M41" s="47">
        <f t="shared" si="6"/>
        <v>10556286.38116692</v>
      </c>
      <c r="N41" s="47">
        <f t="shared" si="7"/>
        <v>10563196.193915112</v>
      </c>
      <c r="O41" s="35"/>
      <c r="P41" s="102">
        <f t="shared" si="8"/>
        <v>10563196.193915112</v>
      </c>
      <c r="Q41" s="35"/>
    </row>
    <row r="42" spans="1:17" x14ac:dyDescent="0.25">
      <c r="A42" s="17" t="s">
        <v>8</v>
      </c>
      <c r="B42" s="17" t="s">
        <v>40</v>
      </c>
      <c r="C42" s="47">
        <v>10954500</v>
      </c>
      <c r="D42" s="47">
        <v>11258599.999999998</v>
      </c>
      <c r="E42" s="47">
        <v>11344299.999999998</v>
      </c>
      <c r="F42" s="47">
        <v>11266700.000000002</v>
      </c>
      <c r="G42" s="47">
        <v>11503500</v>
      </c>
      <c r="H42" s="47">
        <v>11258900</v>
      </c>
      <c r="I42" s="47">
        <v>11018600</v>
      </c>
      <c r="J42" s="47">
        <v>11008100</v>
      </c>
      <c r="K42" s="47">
        <v>10603245</v>
      </c>
      <c r="L42" s="47">
        <v>10342495.546872092</v>
      </c>
      <c r="M42" s="47">
        <f t="shared" si="6"/>
        <v>11078469</v>
      </c>
      <c r="N42" s="47">
        <f t="shared" si="7"/>
        <v>10846268.109374419</v>
      </c>
      <c r="O42" s="35"/>
      <c r="P42" s="102">
        <f t="shared" si="8"/>
        <v>10846268.109374419</v>
      </c>
      <c r="Q42" s="35"/>
    </row>
    <row r="43" spans="1:17" x14ac:dyDescent="0.25">
      <c r="A43" s="17" t="s">
        <v>73</v>
      </c>
      <c r="B43" s="17" t="s">
        <v>40</v>
      </c>
      <c r="C43" s="47">
        <v>7397903</v>
      </c>
      <c r="D43" s="47">
        <v>7499952</v>
      </c>
      <c r="E43" s="47">
        <v>7885814</v>
      </c>
      <c r="F43" s="47">
        <v>7750028</v>
      </c>
      <c r="G43" s="47">
        <v>7909096</v>
      </c>
      <c r="H43" s="47">
        <v>7629531</v>
      </c>
      <c r="I43" s="47">
        <v>7594743</v>
      </c>
      <c r="J43" s="47">
        <v>7501000</v>
      </c>
      <c r="K43" s="47">
        <v>7447648.9589325637</v>
      </c>
      <c r="L43" s="47">
        <v>7686280.9510714468</v>
      </c>
      <c r="M43" s="47">
        <f t="shared" si="6"/>
        <v>7616403.7917865124</v>
      </c>
      <c r="N43" s="47">
        <f t="shared" si="7"/>
        <v>7571840.7820008025</v>
      </c>
      <c r="O43" s="35"/>
      <c r="P43" s="102">
        <f t="shared" si="8"/>
        <v>7571840.7820008025</v>
      </c>
      <c r="Q43" s="35"/>
    </row>
    <row r="44" spans="1:17" ht="14.45" x14ac:dyDescent="0.35">
      <c r="A44" s="17" t="s">
        <v>54</v>
      </c>
      <c r="B44" s="17" t="s">
        <v>40</v>
      </c>
      <c r="C44" s="47">
        <v>4448672.0436592735</v>
      </c>
      <c r="D44" s="47">
        <v>4417073.6412828732</v>
      </c>
      <c r="E44" s="47">
        <v>4441049.6229999997</v>
      </c>
      <c r="F44" s="47">
        <v>4586050.3100572936</v>
      </c>
      <c r="G44" s="47">
        <v>4545226.7016629204</v>
      </c>
      <c r="H44" s="47">
        <v>4444815.7984202122</v>
      </c>
      <c r="I44" s="47">
        <v>4317994.3187365001</v>
      </c>
      <c r="J44" s="47">
        <v>4247662.0063958997</v>
      </c>
      <c r="K44" s="47">
        <v>4111747.7722760304</v>
      </c>
      <c r="L44" s="47">
        <v>4185726.622</v>
      </c>
      <c r="M44" s="47">
        <f t="shared" si="6"/>
        <v>4333489.3194983127</v>
      </c>
      <c r="N44" s="47">
        <f t="shared" si="7"/>
        <v>4261589.3035657285</v>
      </c>
      <c r="O44" s="35"/>
      <c r="P44" s="102">
        <f t="shared" si="8"/>
        <v>4261589.3035657285</v>
      </c>
      <c r="Q44" s="35"/>
    </row>
    <row r="45" spans="1:17" ht="14.45" x14ac:dyDescent="0.35">
      <c r="A45" s="17" t="s">
        <v>9</v>
      </c>
      <c r="B45" s="17" t="s">
        <v>40</v>
      </c>
      <c r="C45" s="47">
        <v>7915339.9999999981</v>
      </c>
      <c r="D45" s="47">
        <v>7972746.5784395067</v>
      </c>
      <c r="E45" s="47">
        <v>7895859.6747079464</v>
      </c>
      <c r="F45" s="47">
        <v>8013413.584371075</v>
      </c>
      <c r="G45" s="47">
        <v>8163283.2633727873</v>
      </c>
      <c r="H45" s="47">
        <v>8022526.835151705</v>
      </c>
      <c r="I45" s="47">
        <v>8120628.8165099472</v>
      </c>
      <c r="J45" s="47">
        <v>7856271.2131410539</v>
      </c>
      <c r="K45" s="47">
        <v>7696308.8217114089</v>
      </c>
      <c r="L45" s="47">
        <v>7604017.3143628919</v>
      </c>
      <c r="M45" s="47">
        <f t="shared" si="6"/>
        <v>7971803.789977381</v>
      </c>
      <c r="N45" s="47">
        <f t="shared" si="7"/>
        <v>7859950.6001754012</v>
      </c>
      <c r="O45" s="35"/>
      <c r="P45" s="102">
        <f t="shared" si="8"/>
        <v>7859950.6001754012</v>
      </c>
      <c r="Q45" s="35"/>
    </row>
    <row r="46" spans="1:17" ht="14.45" x14ac:dyDescent="0.35"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4.45" x14ac:dyDescent="0.35">
      <c r="A47" s="23" t="s">
        <v>43</v>
      </c>
      <c r="B47" s="79" t="s">
        <v>142</v>
      </c>
      <c r="C47" s="33">
        <v>2006</v>
      </c>
      <c r="D47" s="33">
        <v>2007</v>
      </c>
      <c r="E47" s="33">
        <v>2008</v>
      </c>
      <c r="F47" s="33">
        <v>2009</v>
      </c>
      <c r="G47" s="33">
        <v>2010</v>
      </c>
      <c r="H47" s="33">
        <v>2011</v>
      </c>
      <c r="I47" s="33">
        <v>2012</v>
      </c>
      <c r="J47" s="33">
        <v>2013</v>
      </c>
      <c r="K47" s="33">
        <v>2014</v>
      </c>
      <c r="L47" s="33">
        <v>2015</v>
      </c>
      <c r="M47" s="33" t="s">
        <v>82</v>
      </c>
      <c r="N47" s="33" t="s">
        <v>133</v>
      </c>
      <c r="O47" s="35"/>
      <c r="P47" s="35" t="s">
        <v>134</v>
      </c>
      <c r="Q47" s="35"/>
    </row>
    <row r="48" spans="1:17" ht="14.45" x14ac:dyDescent="0.35">
      <c r="A48" s="17" t="s">
        <v>1</v>
      </c>
      <c r="B48" s="17" t="s">
        <v>39</v>
      </c>
      <c r="C48" s="47">
        <v>630.12</v>
      </c>
      <c r="D48" s="47">
        <v>610.67999999999995</v>
      </c>
      <c r="E48" s="47">
        <v>625.12800000000004</v>
      </c>
      <c r="F48" s="47">
        <v>615.16800000000001</v>
      </c>
      <c r="G48" s="47">
        <v>617.76</v>
      </c>
      <c r="H48" s="47">
        <v>620.80999999999995</v>
      </c>
      <c r="I48" s="47">
        <v>701.69200000000001</v>
      </c>
      <c r="J48" s="47">
        <v>697.803</v>
      </c>
      <c r="K48" s="104">
        <v>669.9</v>
      </c>
      <c r="L48" s="102">
        <v>723.98900000000003</v>
      </c>
      <c r="M48" s="47">
        <f t="shared" ref="M48:M60" si="9">AVERAGE(G48:K48)</f>
        <v>661.59300000000007</v>
      </c>
      <c r="N48" s="47">
        <f>AVERAGE(H48:L48)</f>
        <v>682.83879999999999</v>
      </c>
      <c r="O48" s="35"/>
      <c r="P48" s="102">
        <f>AVERAGE(H48:L48)</f>
        <v>682.83879999999999</v>
      </c>
      <c r="Q48" s="35"/>
    </row>
    <row r="49" spans="1:17" ht="14.45" x14ac:dyDescent="0.35">
      <c r="A49" s="17" t="s">
        <v>78</v>
      </c>
      <c r="B49" s="17" t="s">
        <v>39</v>
      </c>
      <c r="C49" s="47">
        <v>6109.7635599999994</v>
      </c>
      <c r="D49" s="47">
        <v>6019.4088400000019</v>
      </c>
      <c r="E49" s="47">
        <v>6280.2569099999992</v>
      </c>
      <c r="F49" s="47">
        <v>6372.643</v>
      </c>
      <c r="G49" s="47">
        <v>6305.1046800000004</v>
      </c>
      <c r="H49" s="47">
        <v>6555.2656999999999</v>
      </c>
      <c r="I49" s="47">
        <v>5958.1553700000004</v>
      </c>
      <c r="J49" s="47">
        <v>6004.7919040678617</v>
      </c>
      <c r="K49" s="104">
        <v>5165.4497899999997</v>
      </c>
      <c r="L49" s="47">
        <v>5367.3402900000001</v>
      </c>
      <c r="M49" s="47">
        <f t="shared" si="9"/>
        <v>5997.7534888135724</v>
      </c>
      <c r="N49" s="47">
        <f t="shared" ref="N49:N60" si="10">AVERAGE(H49:L49)</f>
        <v>5810.200610813572</v>
      </c>
      <c r="O49" s="35"/>
      <c r="P49" s="102">
        <f t="shared" ref="P49:P60" si="11">AVERAGE(H49:L49)</f>
        <v>5810.200610813572</v>
      </c>
      <c r="Q49" s="35"/>
    </row>
    <row r="50" spans="1:17" ht="14.45" x14ac:dyDescent="0.35">
      <c r="A50" s="17" t="s">
        <v>2</v>
      </c>
      <c r="B50" s="17" t="s">
        <v>39</v>
      </c>
      <c r="C50" s="47">
        <v>1311.96</v>
      </c>
      <c r="D50" s="47">
        <v>1348.64</v>
      </c>
      <c r="E50" s="47">
        <v>1410.96</v>
      </c>
      <c r="F50" s="47">
        <v>1448.8</v>
      </c>
      <c r="G50" s="47">
        <v>1389.2</v>
      </c>
      <c r="H50" s="47">
        <v>1432.5</v>
      </c>
      <c r="I50" s="47">
        <v>1358.8</v>
      </c>
      <c r="J50" s="47">
        <v>1447.9</v>
      </c>
      <c r="K50" s="104">
        <v>1439.3200000000002</v>
      </c>
      <c r="L50" s="47">
        <v>1244.1674392</v>
      </c>
      <c r="M50" s="47">
        <f t="shared" si="9"/>
        <v>1413.5439999999999</v>
      </c>
      <c r="N50" s="47">
        <f t="shared" si="10"/>
        <v>1384.5374878400003</v>
      </c>
      <c r="O50" s="35"/>
      <c r="P50" s="102">
        <f t="shared" si="11"/>
        <v>1384.5374878400003</v>
      </c>
      <c r="Q50" s="35"/>
    </row>
    <row r="51" spans="1:17" ht="14.45" x14ac:dyDescent="0.35">
      <c r="A51" s="17" t="s">
        <v>3</v>
      </c>
      <c r="B51" s="17" t="s">
        <v>39</v>
      </c>
      <c r="C51" s="47">
        <v>3779.0286552165171</v>
      </c>
      <c r="D51" s="47">
        <v>3704.4117377395846</v>
      </c>
      <c r="E51" s="47">
        <v>3690.1265355056503</v>
      </c>
      <c r="F51" s="47">
        <v>4004.2594068622934</v>
      </c>
      <c r="G51" s="47">
        <v>3928.5643727093911</v>
      </c>
      <c r="H51" s="47">
        <v>4162.0593220702658</v>
      </c>
      <c r="I51" s="47">
        <v>3377.3132282157821</v>
      </c>
      <c r="J51" s="47">
        <v>3825.0089998997355</v>
      </c>
      <c r="K51" s="104">
        <v>3361.1572785849503</v>
      </c>
      <c r="L51" s="47">
        <v>3592.95984146705</v>
      </c>
      <c r="M51" s="47">
        <f t="shared" si="9"/>
        <v>3730.820640296025</v>
      </c>
      <c r="N51" s="47">
        <f t="shared" si="10"/>
        <v>3663.6997340475564</v>
      </c>
      <c r="O51" s="35"/>
      <c r="P51" s="102">
        <f t="shared" si="11"/>
        <v>3663.6997340475564</v>
      </c>
      <c r="Q51" s="35"/>
    </row>
    <row r="52" spans="1:17" ht="14.45" x14ac:dyDescent="0.35">
      <c r="A52" s="17" t="s">
        <v>4</v>
      </c>
      <c r="B52" s="17" t="s">
        <v>39</v>
      </c>
      <c r="C52" s="47">
        <v>4225.3853993415833</v>
      </c>
      <c r="D52" s="47">
        <v>4618</v>
      </c>
      <c r="E52" s="47">
        <v>4796.7614080429075</v>
      </c>
      <c r="F52" s="47">
        <v>5027.5095144271854</v>
      </c>
      <c r="G52" s="47">
        <v>5297.7098321914673</v>
      </c>
      <c r="H52" s="47">
        <v>5048.767879486084</v>
      </c>
      <c r="I52" s="47">
        <v>4633.7388401031494</v>
      </c>
      <c r="J52" s="47">
        <v>4685.886848449707</v>
      </c>
      <c r="K52" s="104">
        <v>4518.2367792129517</v>
      </c>
      <c r="L52" s="47">
        <v>4744.3609999999999</v>
      </c>
      <c r="M52" s="47">
        <f t="shared" si="9"/>
        <v>4836.8680358886722</v>
      </c>
      <c r="N52" s="47">
        <f t="shared" si="10"/>
        <v>4726.1982694503786</v>
      </c>
      <c r="O52" s="35"/>
      <c r="P52" s="102">
        <f t="shared" si="11"/>
        <v>4726.1982694503786</v>
      </c>
      <c r="Q52" s="35"/>
    </row>
    <row r="53" spans="1:17" ht="14.45" x14ac:dyDescent="0.35">
      <c r="A53" s="17" t="s">
        <v>10</v>
      </c>
      <c r="B53" s="17" t="s">
        <v>39</v>
      </c>
      <c r="C53" s="103">
        <v>2804.212</v>
      </c>
      <c r="D53" s="103">
        <v>2851.5990000000002</v>
      </c>
      <c r="E53" s="103">
        <v>3078.596</v>
      </c>
      <c r="F53" s="103">
        <v>3040.864</v>
      </c>
      <c r="G53" s="103">
        <v>3238.0459999999998</v>
      </c>
      <c r="H53" s="103">
        <v>3057.3649999999998</v>
      </c>
      <c r="I53" s="103">
        <v>3212.5889999999999</v>
      </c>
      <c r="J53" s="103">
        <v>3149.4879999999998</v>
      </c>
      <c r="K53" s="104">
        <v>3083.3670000000006</v>
      </c>
      <c r="L53" s="47">
        <v>3113.0050005912781</v>
      </c>
      <c r="M53" s="47">
        <f t="shared" si="9"/>
        <v>3148.1709999999998</v>
      </c>
      <c r="N53" s="47">
        <f t="shared" si="10"/>
        <v>3123.1628001182553</v>
      </c>
      <c r="O53" s="35"/>
      <c r="P53" s="102">
        <f t="shared" si="11"/>
        <v>3123.1628001182553</v>
      </c>
      <c r="Q53" s="35"/>
    </row>
    <row r="54" spans="1:17" ht="14.45" x14ac:dyDescent="0.35">
      <c r="A54" s="17" t="s">
        <v>5</v>
      </c>
      <c r="B54" s="17" t="s">
        <v>39</v>
      </c>
      <c r="C54" s="103">
        <v>2473.7940716784001</v>
      </c>
      <c r="D54" s="103">
        <v>2586.2495781620114</v>
      </c>
      <c r="E54" s="103">
        <v>2558.2119877434948</v>
      </c>
      <c r="F54" s="103">
        <v>2589.0927531859411</v>
      </c>
      <c r="G54" s="103">
        <v>2589.9727824338265</v>
      </c>
      <c r="H54" s="103">
        <v>2541.7860612408399</v>
      </c>
      <c r="I54" s="103">
        <v>2462.9661823770557</v>
      </c>
      <c r="J54" s="103">
        <v>2562.8678676928703</v>
      </c>
      <c r="K54" s="104">
        <v>2967.8844979999994</v>
      </c>
      <c r="L54" s="47">
        <v>2724.0675079999996</v>
      </c>
      <c r="M54" s="47">
        <f t="shared" si="9"/>
        <v>2625.0954783489187</v>
      </c>
      <c r="N54" s="47">
        <f t="shared" si="10"/>
        <v>2651.9144234621531</v>
      </c>
      <c r="O54" s="35"/>
      <c r="P54" s="102">
        <f t="shared" si="11"/>
        <v>2651.9144234621531</v>
      </c>
      <c r="Q54" s="35"/>
    </row>
    <row r="55" spans="1:17" ht="14.45" x14ac:dyDescent="0.35">
      <c r="A55" s="17" t="s">
        <v>6</v>
      </c>
      <c r="B55" s="17" t="s">
        <v>39</v>
      </c>
      <c r="C55" s="47">
        <v>836.98500799999988</v>
      </c>
      <c r="D55" s="47">
        <v>901.72535600000003</v>
      </c>
      <c r="E55" s="47">
        <v>958.34431600000005</v>
      </c>
      <c r="F55" s="47">
        <v>1019.66512</v>
      </c>
      <c r="G55" s="47">
        <v>993.45596399999999</v>
      </c>
      <c r="H55" s="47">
        <v>1017.0411079999999</v>
      </c>
      <c r="I55" s="47">
        <v>892.44925200000012</v>
      </c>
      <c r="J55" s="47">
        <v>977</v>
      </c>
      <c r="K55" s="104">
        <v>1013.292990106</v>
      </c>
      <c r="L55" s="47">
        <v>876.42929976799996</v>
      </c>
      <c r="M55" s="47">
        <f t="shared" si="9"/>
        <v>978.64786282120008</v>
      </c>
      <c r="N55" s="47">
        <f t="shared" si="10"/>
        <v>955.24252997479994</v>
      </c>
      <c r="O55" s="35"/>
      <c r="P55" s="102">
        <f t="shared" si="11"/>
        <v>955.24252997479994</v>
      </c>
      <c r="Q55" s="35"/>
    </row>
    <row r="56" spans="1:17" ht="14.45" x14ac:dyDescent="0.35">
      <c r="A56" s="17" t="s">
        <v>7</v>
      </c>
      <c r="B56" s="17" t="s">
        <v>39</v>
      </c>
      <c r="C56" s="47">
        <v>2069.6999999999998</v>
      </c>
      <c r="D56" s="47">
        <v>2183.549</v>
      </c>
      <c r="E56" s="47">
        <v>2313.63</v>
      </c>
      <c r="F56" s="47">
        <v>2516.69</v>
      </c>
      <c r="G56" s="47">
        <v>2446.64</v>
      </c>
      <c r="H56" s="47">
        <v>2383.48</v>
      </c>
      <c r="I56" s="47">
        <v>2267.0300000000002</v>
      </c>
      <c r="J56" s="47">
        <v>2413.48</v>
      </c>
      <c r="K56" s="104">
        <v>2571.31</v>
      </c>
      <c r="L56" s="47">
        <v>2301.43869</v>
      </c>
      <c r="M56" s="47">
        <f t="shared" si="9"/>
        <v>2416.3879999999999</v>
      </c>
      <c r="N56" s="47">
        <f t="shared" si="10"/>
        <v>2387.3477379999995</v>
      </c>
      <c r="O56" s="35"/>
      <c r="P56" s="102">
        <f t="shared" si="11"/>
        <v>2387.3477379999995</v>
      </c>
      <c r="Q56" s="35"/>
    </row>
    <row r="57" spans="1:17" ht="14.45" x14ac:dyDescent="0.35">
      <c r="A57" s="17" t="s">
        <v>8</v>
      </c>
      <c r="B57" s="17" t="s">
        <v>39</v>
      </c>
      <c r="C57" s="47">
        <v>2765.2886759999997</v>
      </c>
      <c r="D57" s="47">
        <v>2746.0278239999989</v>
      </c>
      <c r="E57" s="47">
        <v>2959.9079359999992</v>
      </c>
      <c r="F57" s="47">
        <v>3192.7919959999999</v>
      </c>
      <c r="G57" s="47">
        <v>3096.2725459999997</v>
      </c>
      <c r="H57" s="47">
        <v>3096.3392140000005</v>
      </c>
      <c r="I57" s="47">
        <v>2768.2162320000007</v>
      </c>
      <c r="J57" s="47">
        <v>2902.2357060000004</v>
      </c>
      <c r="K57" s="104">
        <v>3048.9762520000008</v>
      </c>
      <c r="L57" s="47">
        <v>2746.4357560000008</v>
      </c>
      <c r="M57" s="47">
        <f t="shared" si="9"/>
        <v>2982.4079900000006</v>
      </c>
      <c r="N57" s="47">
        <f t="shared" si="10"/>
        <v>2912.4406320000007</v>
      </c>
      <c r="O57" s="35"/>
      <c r="P57" s="102">
        <f t="shared" si="11"/>
        <v>2912.4406320000007</v>
      </c>
      <c r="Q57" s="35"/>
    </row>
    <row r="58" spans="1:17" ht="14.45" x14ac:dyDescent="0.35">
      <c r="A58" s="17" t="s">
        <v>73</v>
      </c>
      <c r="B58" s="17" t="s">
        <v>39</v>
      </c>
      <c r="C58" s="47">
        <v>1616.768</v>
      </c>
      <c r="D58" s="47">
        <v>1689.1969999999999</v>
      </c>
      <c r="E58" s="47">
        <v>1801.394</v>
      </c>
      <c r="F58" s="47">
        <v>1930.9923280742942</v>
      </c>
      <c r="G58" s="47">
        <v>1937.7042640000002</v>
      </c>
      <c r="H58" s="47">
        <v>1838.4723519999998</v>
      </c>
      <c r="I58" s="47">
        <v>1793.2554840000003</v>
      </c>
      <c r="J58" s="47">
        <v>1881.4148680000001</v>
      </c>
      <c r="K58" s="104">
        <v>1942.955156</v>
      </c>
      <c r="L58" s="47">
        <v>1816.759</v>
      </c>
      <c r="M58" s="47">
        <f t="shared" si="9"/>
        <v>1878.7604248</v>
      </c>
      <c r="N58" s="47">
        <f t="shared" si="10"/>
        <v>1854.5713719999999</v>
      </c>
      <c r="O58" s="35"/>
      <c r="P58" s="102">
        <f t="shared" si="11"/>
        <v>1854.5713719999999</v>
      </c>
      <c r="Q58" s="35"/>
    </row>
    <row r="59" spans="1:17" ht="14.45" x14ac:dyDescent="0.35">
      <c r="A59" s="17" t="s">
        <v>54</v>
      </c>
      <c r="B59" s="17" t="s">
        <v>39</v>
      </c>
      <c r="C59" s="47">
        <v>1063</v>
      </c>
      <c r="D59" s="47">
        <v>1148</v>
      </c>
      <c r="E59" s="47">
        <v>1154</v>
      </c>
      <c r="F59" s="47">
        <v>1134</v>
      </c>
      <c r="G59" s="47">
        <v>1111</v>
      </c>
      <c r="H59" s="47">
        <v>1082</v>
      </c>
      <c r="I59" s="47">
        <v>1042</v>
      </c>
      <c r="J59" s="47">
        <v>1022</v>
      </c>
      <c r="K59" s="104">
        <v>1052.3589992046859</v>
      </c>
      <c r="L59" s="47">
        <v>1044.2505460000002</v>
      </c>
      <c r="M59" s="47">
        <f t="shared" si="9"/>
        <v>1061.871799840937</v>
      </c>
      <c r="N59" s="47">
        <f t="shared" si="10"/>
        <v>1048.5219090409371</v>
      </c>
      <c r="O59" s="35"/>
      <c r="P59" s="102">
        <f t="shared" si="11"/>
        <v>1048.5219090409371</v>
      </c>
      <c r="Q59" s="35"/>
    </row>
    <row r="60" spans="1:17" ht="14.45" x14ac:dyDescent="0.35">
      <c r="A60" s="17" t="s">
        <v>9</v>
      </c>
      <c r="B60" s="17" t="s">
        <v>39</v>
      </c>
      <c r="C60" s="47">
        <v>1724.0199811842649</v>
      </c>
      <c r="D60" s="47">
        <v>1819.6447694965107</v>
      </c>
      <c r="E60" s="47">
        <v>1949.339970447654</v>
      </c>
      <c r="F60" s="47">
        <v>2136.7421945133965</v>
      </c>
      <c r="G60" s="47">
        <v>2038.7711396030913</v>
      </c>
      <c r="H60" s="47">
        <v>1975.2444353678161</v>
      </c>
      <c r="I60" s="47">
        <v>1814.848504</v>
      </c>
      <c r="J60" s="47">
        <v>2037.0437320000003</v>
      </c>
      <c r="K60" s="104">
        <v>2142.611222</v>
      </c>
      <c r="L60" s="47">
        <v>1823.9849107887967</v>
      </c>
      <c r="M60" s="47">
        <f t="shared" si="9"/>
        <v>2001.7038065941815</v>
      </c>
      <c r="N60" s="47">
        <f t="shared" si="10"/>
        <v>1958.7465608313225</v>
      </c>
      <c r="O60" s="35"/>
      <c r="P60" s="102">
        <f t="shared" si="11"/>
        <v>1958.7465608313225</v>
      </c>
      <c r="Q60" s="35"/>
    </row>
    <row r="61" spans="1:17" ht="14.45" x14ac:dyDescent="0.35"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35"/>
      <c r="P61" s="35"/>
      <c r="Q61" s="35"/>
    </row>
    <row r="62" spans="1:17" ht="14.45" x14ac:dyDescent="0.35">
      <c r="A62" s="23" t="s">
        <v>77</v>
      </c>
      <c r="B62" s="79" t="s">
        <v>143</v>
      </c>
      <c r="C62" s="33">
        <v>2006</v>
      </c>
      <c r="D62" s="33">
        <v>2007</v>
      </c>
      <c r="E62" s="33">
        <v>2008</v>
      </c>
      <c r="F62" s="33">
        <v>2009</v>
      </c>
      <c r="G62" s="33">
        <v>2010</v>
      </c>
      <c r="H62" s="33">
        <v>2011</v>
      </c>
      <c r="I62" s="33">
        <v>2012</v>
      </c>
      <c r="J62" s="33">
        <v>2013</v>
      </c>
      <c r="K62" s="33">
        <v>2014</v>
      </c>
      <c r="L62" s="33">
        <v>2015</v>
      </c>
      <c r="M62" s="33" t="s">
        <v>82</v>
      </c>
      <c r="N62" s="33" t="s">
        <v>133</v>
      </c>
      <c r="O62" s="35"/>
      <c r="P62" s="35" t="s">
        <v>134</v>
      </c>
      <c r="Q62" s="35"/>
    </row>
    <row r="63" spans="1:17" ht="14.45" x14ac:dyDescent="0.35">
      <c r="A63" s="17" t="s">
        <v>1</v>
      </c>
      <c r="B63" s="17" t="s">
        <v>101</v>
      </c>
      <c r="C63" s="47">
        <v>1682</v>
      </c>
      <c r="D63" s="47">
        <v>1752</v>
      </c>
      <c r="E63" s="47">
        <v>1811</v>
      </c>
      <c r="F63" s="47">
        <v>1882</v>
      </c>
      <c r="G63" s="47">
        <v>1937</v>
      </c>
      <c r="H63" s="47">
        <v>1971</v>
      </c>
      <c r="I63" s="47">
        <v>1993</v>
      </c>
      <c r="J63" s="47">
        <v>2052.4</v>
      </c>
      <c r="K63" s="47">
        <v>2100.0740000000001</v>
      </c>
      <c r="L63" s="47">
        <v>2151.0149999999999</v>
      </c>
      <c r="M63" s="47">
        <f t="shared" ref="M63:M75" si="12">AVERAGE(G63:K63)</f>
        <v>2010.6948</v>
      </c>
      <c r="N63" s="47">
        <f t="shared" ref="N63:N75" si="13">AVERAGE(H63:L63)</f>
        <v>2053.4978000000001</v>
      </c>
      <c r="O63" s="35"/>
      <c r="P63" s="102">
        <f>AVERAGE(H63:L63)</f>
        <v>2053.4978000000001</v>
      </c>
      <c r="Q63" s="35"/>
    </row>
    <row r="64" spans="1:17" ht="14.45" x14ac:dyDescent="0.35">
      <c r="A64" s="17" t="s">
        <v>78</v>
      </c>
      <c r="B64" s="17" t="s">
        <v>101</v>
      </c>
      <c r="C64" s="47">
        <v>12608.59430979979</v>
      </c>
      <c r="D64" s="47">
        <v>13215.375131717597</v>
      </c>
      <c r="E64" s="47">
        <v>13725.693361433088</v>
      </c>
      <c r="F64" s="47">
        <v>13932.714680189674</v>
      </c>
      <c r="G64" s="47">
        <v>14139.735998946258</v>
      </c>
      <c r="H64" s="47">
        <v>14150.844463294696</v>
      </c>
      <c r="I64" s="47">
        <v>14544.714546891466</v>
      </c>
      <c r="J64" s="47">
        <v>14765</v>
      </c>
      <c r="K64" s="47">
        <v>15179.44</v>
      </c>
      <c r="L64" s="47">
        <v>15296.409</v>
      </c>
      <c r="M64" s="47">
        <f t="shared" si="12"/>
        <v>14555.947001826484</v>
      </c>
      <c r="N64" s="47">
        <f t="shared" si="13"/>
        <v>14787.281602037232</v>
      </c>
      <c r="O64" s="35"/>
      <c r="P64" s="102">
        <f t="shared" ref="P64:P75" si="14">AVERAGE(H64:L64)</f>
        <v>14787.281602037232</v>
      </c>
      <c r="Q64" s="35"/>
    </row>
    <row r="65" spans="1:25" ht="14.45" x14ac:dyDescent="0.35">
      <c r="A65" s="17" t="s">
        <v>2</v>
      </c>
      <c r="B65" s="17" t="s">
        <v>101</v>
      </c>
      <c r="C65" s="47">
        <v>3400.21</v>
      </c>
      <c r="D65" s="47">
        <v>3467.06</v>
      </c>
      <c r="E65" s="47">
        <v>3691.91</v>
      </c>
      <c r="F65" s="47">
        <v>3775.44</v>
      </c>
      <c r="G65" s="47">
        <v>3873.29</v>
      </c>
      <c r="H65" s="47">
        <v>3919.49</v>
      </c>
      <c r="I65" s="47">
        <v>3967.91</v>
      </c>
      <c r="J65" s="47">
        <v>4080.51</v>
      </c>
      <c r="K65" s="47">
        <v>4170.99</v>
      </c>
      <c r="L65" s="47">
        <v>4252.6000000000004</v>
      </c>
      <c r="M65" s="47">
        <f t="shared" si="12"/>
        <v>4002.4379999999996</v>
      </c>
      <c r="N65" s="47">
        <f t="shared" si="13"/>
        <v>4078.3</v>
      </c>
      <c r="O65" s="35"/>
      <c r="P65" s="102">
        <f t="shared" si="14"/>
        <v>4078.3</v>
      </c>
      <c r="Q65" s="35"/>
    </row>
    <row r="66" spans="1:25" ht="14.45" x14ac:dyDescent="0.35">
      <c r="A66" s="17" t="s">
        <v>3</v>
      </c>
      <c r="B66" s="17" t="s">
        <v>101</v>
      </c>
      <c r="C66" s="47">
        <v>7393.9449999999997</v>
      </c>
      <c r="D66" s="47">
        <v>7717.0170000000007</v>
      </c>
      <c r="E66" s="47">
        <v>8055.5770000000002</v>
      </c>
      <c r="F66" s="47">
        <v>8305.107</v>
      </c>
      <c r="G66" s="47">
        <v>8534.1590000000015</v>
      </c>
      <c r="H66" s="47">
        <v>8791.93</v>
      </c>
      <c r="I66" s="47">
        <v>9007.5589999999993</v>
      </c>
      <c r="J66" s="47">
        <v>9222.1629999999986</v>
      </c>
      <c r="K66" s="47">
        <v>9439.9030000000002</v>
      </c>
      <c r="L66" s="47">
        <v>9597.2309999999998</v>
      </c>
      <c r="M66" s="47">
        <f t="shared" si="12"/>
        <v>8999.1427999999996</v>
      </c>
      <c r="N66" s="47">
        <f t="shared" si="13"/>
        <v>9211.7572</v>
      </c>
      <c r="O66" s="35"/>
      <c r="P66" s="102">
        <f t="shared" si="14"/>
        <v>9211.7572</v>
      </c>
      <c r="Q66" s="35"/>
    </row>
    <row r="67" spans="1:25" ht="14.45" x14ac:dyDescent="0.35">
      <c r="A67" s="17" t="s">
        <v>4</v>
      </c>
      <c r="B67" s="17" t="s">
        <v>101</v>
      </c>
      <c r="C67" s="47">
        <v>9564</v>
      </c>
      <c r="D67" s="47">
        <v>10375</v>
      </c>
      <c r="E67" s="47">
        <v>11157</v>
      </c>
      <c r="F67" s="47">
        <v>12011</v>
      </c>
      <c r="G67" s="47">
        <v>12591</v>
      </c>
      <c r="H67" s="47">
        <v>13018</v>
      </c>
      <c r="I67" s="47">
        <v>13451.5</v>
      </c>
      <c r="J67" s="47">
        <v>13708.4</v>
      </c>
      <c r="K67" s="47">
        <v>13939.081</v>
      </c>
      <c r="L67" s="47">
        <v>14222.976000000001</v>
      </c>
      <c r="M67" s="47">
        <f t="shared" si="12"/>
        <v>13341.5962</v>
      </c>
      <c r="N67" s="47">
        <f t="shared" si="13"/>
        <v>13667.991399999999</v>
      </c>
      <c r="O67" s="35"/>
      <c r="P67" s="102">
        <f t="shared" si="14"/>
        <v>13667.991399999999</v>
      </c>
      <c r="Q67" s="35"/>
    </row>
    <row r="68" spans="1:25" ht="14.45" x14ac:dyDescent="0.35">
      <c r="A68" s="17" t="s">
        <v>10</v>
      </c>
      <c r="B68" s="17" t="s">
        <v>101</v>
      </c>
      <c r="C68" s="103">
        <v>6380.24</v>
      </c>
      <c r="D68" s="103">
        <v>6540.28</v>
      </c>
      <c r="E68" s="103">
        <v>6700.32</v>
      </c>
      <c r="F68" s="103">
        <v>6860.36</v>
      </c>
      <c r="G68" s="103">
        <v>7020.4</v>
      </c>
      <c r="H68" s="103">
        <v>7180.44</v>
      </c>
      <c r="I68" s="103">
        <v>7340.48</v>
      </c>
      <c r="J68" s="103">
        <v>7500.52</v>
      </c>
      <c r="K68" s="47">
        <v>8213</v>
      </c>
      <c r="L68" s="47">
        <v>8344.1679999999997</v>
      </c>
      <c r="M68" s="47">
        <f t="shared" si="12"/>
        <v>7450.9679999999989</v>
      </c>
      <c r="N68" s="47">
        <f t="shared" si="13"/>
        <v>7715.7215999999999</v>
      </c>
      <c r="O68" s="35"/>
      <c r="P68" s="102">
        <f t="shared" si="14"/>
        <v>7715.7215999999999</v>
      </c>
      <c r="Q68" s="35"/>
    </row>
    <row r="69" spans="1:25" ht="14.45" x14ac:dyDescent="0.35">
      <c r="A69" s="17" t="s">
        <v>5</v>
      </c>
      <c r="B69" s="17" t="s">
        <v>101</v>
      </c>
      <c r="C69" s="103">
        <v>7944.6590000000015</v>
      </c>
      <c r="D69" s="103">
        <v>8407.4790000000012</v>
      </c>
      <c r="E69" s="103">
        <v>8854.3875000000025</v>
      </c>
      <c r="F69" s="103">
        <v>9235.853000000001</v>
      </c>
      <c r="G69" s="103">
        <v>9637.1270000000004</v>
      </c>
      <c r="H69" s="104">
        <f t="shared" ref="H69:J69" si="15">I69</f>
        <v>9661.4609999999993</v>
      </c>
      <c r="I69" s="104">
        <f t="shared" si="15"/>
        <v>9661.4609999999993</v>
      </c>
      <c r="J69" s="104">
        <f t="shared" si="15"/>
        <v>9661.4609999999993</v>
      </c>
      <c r="K69" s="104">
        <f>L69</f>
        <v>9661.4609999999993</v>
      </c>
      <c r="L69" s="47">
        <v>9661.4609999999993</v>
      </c>
      <c r="M69" s="47">
        <f t="shared" si="12"/>
        <v>9656.5941999999977</v>
      </c>
      <c r="N69" s="47">
        <f t="shared" si="13"/>
        <v>9661.4609999999993</v>
      </c>
      <c r="O69" s="35"/>
      <c r="P69" s="102">
        <f t="shared" si="14"/>
        <v>9661.4609999999993</v>
      </c>
      <c r="Q69" s="35"/>
    </row>
    <row r="70" spans="1:25" ht="14.45" x14ac:dyDescent="0.35">
      <c r="A70" s="17" t="s">
        <v>6</v>
      </c>
      <c r="B70" s="17" t="s">
        <v>101</v>
      </c>
      <c r="C70" s="47">
        <v>1825.61</v>
      </c>
      <c r="D70" s="47">
        <v>1864.4365</v>
      </c>
      <c r="E70" s="47">
        <v>2007.2629999999999</v>
      </c>
      <c r="F70" s="47">
        <v>2122.2860000000001</v>
      </c>
      <c r="G70" s="47">
        <v>2084.4229999999998</v>
      </c>
      <c r="H70" s="47">
        <v>2376.16</v>
      </c>
      <c r="I70" s="47">
        <v>2384.1860000000001</v>
      </c>
      <c r="J70" s="47">
        <v>2463.049</v>
      </c>
      <c r="K70" s="47">
        <v>2527.13</v>
      </c>
      <c r="L70" s="47">
        <v>2612</v>
      </c>
      <c r="M70" s="47">
        <f t="shared" si="12"/>
        <v>2366.9895999999999</v>
      </c>
      <c r="N70" s="47">
        <f t="shared" si="13"/>
        <v>2472.5050000000001</v>
      </c>
      <c r="O70" s="35"/>
      <c r="P70" s="102">
        <f t="shared" si="14"/>
        <v>2472.5050000000001</v>
      </c>
      <c r="Q70" s="35"/>
    </row>
    <row r="71" spans="1:25" ht="14.45" x14ac:dyDescent="0.35">
      <c r="A71" s="17" t="s">
        <v>7</v>
      </c>
      <c r="B71" s="17" t="s">
        <v>101</v>
      </c>
      <c r="C71" s="47">
        <v>5229.0730000000003</v>
      </c>
      <c r="D71" s="47">
        <v>5374.2036811351909</v>
      </c>
      <c r="E71" s="47">
        <v>5651.232</v>
      </c>
      <c r="F71" s="47">
        <v>5851.8450000000003</v>
      </c>
      <c r="G71" s="47">
        <v>6070.5140000000001</v>
      </c>
      <c r="H71" s="47">
        <v>6261.7740000000003</v>
      </c>
      <c r="I71" s="47">
        <v>6405.6720000000014</v>
      </c>
      <c r="J71" s="47">
        <v>6598.3270000000002</v>
      </c>
      <c r="K71" s="47">
        <v>6757.59</v>
      </c>
      <c r="L71" s="47">
        <v>6913.93</v>
      </c>
      <c r="M71" s="47">
        <f t="shared" si="12"/>
        <v>6418.7754000000004</v>
      </c>
      <c r="N71" s="47">
        <f t="shared" si="13"/>
        <v>6587.4586000000008</v>
      </c>
      <c r="O71" s="35"/>
      <c r="P71" s="102">
        <f t="shared" si="14"/>
        <v>6587.4586000000008</v>
      </c>
      <c r="Q71" s="35"/>
    </row>
    <row r="72" spans="1:25" ht="14.45" x14ac:dyDescent="0.35">
      <c r="A72" s="17" t="s">
        <v>8</v>
      </c>
      <c r="B72" s="17" t="s">
        <v>101</v>
      </c>
      <c r="C72" s="47">
        <v>6580</v>
      </c>
      <c r="D72" s="47">
        <v>6970.1</v>
      </c>
      <c r="E72" s="47">
        <v>7240.6</v>
      </c>
      <c r="F72" s="47">
        <v>7445.2</v>
      </c>
      <c r="G72" s="47">
        <v>7750.4000000000005</v>
      </c>
      <c r="H72" s="47">
        <v>8049.8</v>
      </c>
      <c r="I72" s="47">
        <v>8346.7000000000007</v>
      </c>
      <c r="J72" s="47">
        <v>8498.0999999999985</v>
      </c>
      <c r="K72" s="47">
        <v>8653.0889999999999</v>
      </c>
      <c r="L72" s="47">
        <v>8852.7000000000007</v>
      </c>
      <c r="M72" s="47">
        <f t="shared" si="12"/>
        <v>8259.6178</v>
      </c>
      <c r="N72" s="47">
        <f t="shared" si="13"/>
        <v>8480.0777999999991</v>
      </c>
      <c r="O72" s="35"/>
      <c r="P72" s="102">
        <f t="shared" si="14"/>
        <v>8480.0777999999991</v>
      </c>
      <c r="Q72" s="35"/>
    </row>
    <row r="73" spans="1:25" ht="14.45" x14ac:dyDescent="0.35">
      <c r="A73" s="17" t="s">
        <v>73</v>
      </c>
      <c r="B73" s="17" t="s">
        <v>101</v>
      </c>
      <c r="C73" s="47">
        <v>3924.4810000000002</v>
      </c>
      <c r="D73" s="47">
        <v>4307.33</v>
      </c>
      <c r="E73" s="47">
        <v>4336.7079999999996</v>
      </c>
      <c r="F73" s="47">
        <v>4973.5190000000002</v>
      </c>
      <c r="G73" s="47">
        <v>4715.4440000000004</v>
      </c>
      <c r="H73" s="47">
        <v>5047.7969999999996</v>
      </c>
      <c r="I73" s="47">
        <v>5031.8050000000003</v>
      </c>
      <c r="J73" s="47">
        <v>5139.9849999999997</v>
      </c>
      <c r="K73" s="47">
        <v>5256.2330000000002</v>
      </c>
      <c r="L73" s="47">
        <v>5253.4840000000004</v>
      </c>
      <c r="M73" s="47">
        <f t="shared" si="12"/>
        <v>5038.2528000000002</v>
      </c>
      <c r="N73" s="47">
        <f t="shared" si="13"/>
        <v>5145.8608000000004</v>
      </c>
      <c r="O73" s="35"/>
      <c r="P73" s="102">
        <f t="shared" si="14"/>
        <v>5145.8608000000004</v>
      </c>
      <c r="Q73" s="35"/>
    </row>
    <row r="74" spans="1:25" ht="14.45" x14ac:dyDescent="0.35">
      <c r="A74" s="17" t="s">
        <v>54</v>
      </c>
      <c r="B74" s="17" t="s">
        <v>101</v>
      </c>
      <c r="C74" s="47">
        <v>1194.895</v>
      </c>
      <c r="D74" s="47">
        <v>2155.2800000000002</v>
      </c>
      <c r="E74" s="47">
        <v>2609.0480000000002</v>
      </c>
      <c r="F74" s="47">
        <v>3132.6779999999999</v>
      </c>
      <c r="G74" s="47">
        <v>3220.1959999999999</v>
      </c>
      <c r="H74" s="47">
        <v>3305.8050000000003</v>
      </c>
      <c r="I74" s="47">
        <v>3414.6370000000002</v>
      </c>
      <c r="J74" s="47">
        <v>3445.922</v>
      </c>
      <c r="K74" s="47">
        <v>3542.5630000000001</v>
      </c>
      <c r="L74" s="47">
        <v>3602.9690000000001</v>
      </c>
      <c r="M74" s="47">
        <f t="shared" si="12"/>
        <v>3385.8245999999999</v>
      </c>
      <c r="N74" s="47">
        <f t="shared" si="13"/>
        <v>3462.3792000000003</v>
      </c>
      <c r="O74" s="35"/>
      <c r="P74" s="102">
        <f t="shared" si="14"/>
        <v>3462.3792000000003</v>
      </c>
      <c r="Q74" s="35"/>
    </row>
    <row r="75" spans="1:25" ht="14.45" x14ac:dyDescent="0.35">
      <c r="A75" s="17" t="s">
        <v>9</v>
      </c>
      <c r="B75" s="17" t="s">
        <v>101</v>
      </c>
      <c r="C75" s="47">
        <v>3446</v>
      </c>
      <c r="D75" s="47">
        <v>3543</v>
      </c>
      <c r="E75" s="47">
        <v>3662</v>
      </c>
      <c r="F75" s="47">
        <v>3949</v>
      </c>
      <c r="G75" s="47">
        <v>4150</v>
      </c>
      <c r="H75" s="47">
        <v>4202</v>
      </c>
      <c r="I75" s="47">
        <v>4480</v>
      </c>
      <c r="J75" s="47">
        <v>4619</v>
      </c>
      <c r="K75" s="47">
        <v>4640.1180000000004</v>
      </c>
      <c r="L75" s="47">
        <v>4687.8959999999997</v>
      </c>
      <c r="M75" s="47">
        <f t="shared" si="12"/>
        <v>4418.2236000000003</v>
      </c>
      <c r="N75" s="47">
        <f t="shared" si="13"/>
        <v>4525.8028000000004</v>
      </c>
      <c r="O75" s="35"/>
      <c r="P75" s="102">
        <f t="shared" si="14"/>
        <v>4525.8028000000004</v>
      </c>
      <c r="Q75" s="35"/>
    </row>
    <row r="76" spans="1:25" ht="14.45" x14ac:dyDescent="0.35"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25" ht="14.45" x14ac:dyDescent="0.35">
      <c r="A77" s="23" t="s">
        <v>79</v>
      </c>
      <c r="B77" s="79" t="s">
        <v>145</v>
      </c>
      <c r="C77" s="33">
        <v>2006</v>
      </c>
      <c r="D77" s="33">
        <v>2007</v>
      </c>
      <c r="E77" s="33">
        <v>2008</v>
      </c>
      <c r="F77" s="33">
        <v>2009</v>
      </c>
      <c r="G77" s="33">
        <v>2010</v>
      </c>
      <c r="H77" s="33">
        <v>2011</v>
      </c>
      <c r="I77" s="33">
        <v>2012</v>
      </c>
      <c r="J77" s="33">
        <v>2013</v>
      </c>
      <c r="K77" s="33">
        <v>2014</v>
      </c>
      <c r="L77" s="33">
        <v>2015</v>
      </c>
      <c r="M77" s="33" t="s">
        <v>82</v>
      </c>
      <c r="N77" s="33" t="s">
        <v>133</v>
      </c>
      <c r="O77" s="35"/>
      <c r="P77" s="35" t="s">
        <v>134</v>
      </c>
      <c r="Q77" s="35"/>
    </row>
    <row r="78" spans="1:25" ht="14.45" x14ac:dyDescent="0.35">
      <c r="A78" s="17" t="s">
        <v>1</v>
      </c>
      <c r="B78" s="17" t="s">
        <v>33</v>
      </c>
      <c r="C78" s="47">
        <v>4648.9298843987908</v>
      </c>
      <c r="D78" s="47">
        <v>4696.5790899999993</v>
      </c>
      <c r="E78" s="47">
        <v>4686.5790899999993</v>
      </c>
      <c r="F78" s="47">
        <v>4765.5790899999993</v>
      </c>
      <c r="G78" s="47">
        <v>4846.5790899999993</v>
      </c>
      <c r="H78" s="47">
        <v>4938.5790899999993</v>
      </c>
      <c r="I78" s="47">
        <v>5018.0259299999998</v>
      </c>
      <c r="J78" s="47">
        <v>5170.8114179603508</v>
      </c>
      <c r="K78" s="47">
        <f t="shared" ref="K78:L78" si="16">K93+K108</f>
        <v>5219.8147170618195</v>
      </c>
      <c r="L78" s="47">
        <f t="shared" si="16"/>
        <v>5272.084028609941</v>
      </c>
      <c r="M78" s="47">
        <f t="shared" ref="M78:N90" si="17">AVERAGE(G78:K78)</f>
        <v>5038.7620490044337</v>
      </c>
      <c r="N78" s="47">
        <f t="shared" si="17"/>
        <v>5123.8630367264223</v>
      </c>
      <c r="O78" s="35"/>
      <c r="P78" s="102">
        <f>AVERAGE(H78:L78)</f>
        <v>5123.8630367264223</v>
      </c>
      <c r="Q78" s="102"/>
      <c r="R78" s="24"/>
      <c r="S78" s="24"/>
      <c r="T78" s="24"/>
      <c r="U78" s="24"/>
      <c r="V78" s="24"/>
      <c r="W78" s="24"/>
      <c r="X78" s="24"/>
      <c r="Y78" s="24"/>
    </row>
    <row r="79" spans="1:25" ht="14.45" x14ac:dyDescent="0.35">
      <c r="A79" s="17" t="s">
        <v>78</v>
      </c>
      <c r="B79" s="17" t="s">
        <v>33</v>
      </c>
      <c r="C79" s="47">
        <f>C94+C109</f>
        <v>38742.394999999997</v>
      </c>
      <c r="D79" s="47">
        <f t="shared" ref="D79:K79" si="18">D94+D109</f>
        <v>38874.940199999997</v>
      </c>
      <c r="E79" s="47">
        <f t="shared" si="18"/>
        <v>39223.906199999998</v>
      </c>
      <c r="F79" s="47">
        <f t="shared" si="18"/>
        <v>39462.306199999992</v>
      </c>
      <c r="G79" s="47">
        <f t="shared" si="18"/>
        <v>39745.275499999996</v>
      </c>
      <c r="H79" s="47">
        <f t="shared" si="18"/>
        <v>40272.423000000003</v>
      </c>
      <c r="I79" s="47">
        <f t="shared" si="18"/>
        <v>40626.292999999998</v>
      </c>
      <c r="J79" s="47">
        <f t="shared" si="18"/>
        <v>40963.506000000001</v>
      </c>
      <c r="K79" s="47">
        <f t="shared" si="18"/>
        <v>41271.487999999998</v>
      </c>
      <c r="L79" s="47">
        <f>L94+L109</f>
        <v>41370.329480349785</v>
      </c>
      <c r="M79" s="47">
        <f t="shared" si="17"/>
        <v>40575.797100000003</v>
      </c>
      <c r="N79" s="47">
        <f t="shared" si="17"/>
        <v>40900.807896069964</v>
      </c>
      <c r="O79" s="35"/>
      <c r="P79" s="102">
        <f t="shared" ref="P79:P90" si="19">AVERAGE(H79:L79)</f>
        <v>40900.807896069964</v>
      </c>
      <c r="Q79" s="35"/>
    </row>
    <row r="80" spans="1:25" ht="14.45" x14ac:dyDescent="0.35">
      <c r="A80" s="17" t="s">
        <v>2</v>
      </c>
      <c r="B80" s="17" t="s">
        <v>33</v>
      </c>
      <c r="C80" s="47">
        <f t="shared" ref="C80:K90" si="20">C95+C110</f>
        <v>3951.6253540420007</v>
      </c>
      <c r="D80" s="47">
        <f t="shared" si="20"/>
        <v>4075.7738425337579</v>
      </c>
      <c r="E80" s="47">
        <f t="shared" si="20"/>
        <v>4036.3645048787043</v>
      </c>
      <c r="F80" s="47">
        <f t="shared" si="20"/>
        <v>4069.7536800785088</v>
      </c>
      <c r="G80" s="47">
        <f t="shared" si="20"/>
        <v>4099.4109698497468</v>
      </c>
      <c r="H80" s="47">
        <f t="shared" si="20"/>
        <v>4284</v>
      </c>
      <c r="I80" s="47">
        <f t="shared" si="20"/>
        <v>4303</v>
      </c>
      <c r="J80" s="47">
        <f t="shared" si="20"/>
        <v>4347</v>
      </c>
      <c r="K80" s="47">
        <f t="shared" ref="K80:L80" si="21">K95+K110</f>
        <v>4481.4749609999999</v>
      </c>
      <c r="L80" s="47">
        <f t="shared" si="21"/>
        <v>4505.4781200000998</v>
      </c>
      <c r="M80" s="47">
        <f t="shared" si="17"/>
        <v>4302.9771861699501</v>
      </c>
      <c r="N80" s="47">
        <f t="shared" si="17"/>
        <v>4384.1906162000205</v>
      </c>
      <c r="O80" s="35"/>
      <c r="P80" s="102">
        <f t="shared" si="19"/>
        <v>4384.1906162000205</v>
      </c>
      <c r="Q80" s="35"/>
    </row>
    <row r="81" spans="1:17" ht="14.45" x14ac:dyDescent="0.35">
      <c r="A81" s="17" t="s">
        <v>3</v>
      </c>
      <c r="B81" s="17" t="s">
        <v>33</v>
      </c>
      <c r="C81" s="47">
        <f t="shared" si="20"/>
        <v>32432</v>
      </c>
      <c r="D81" s="47">
        <f t="shared" si="20"/>
        <v>32832</v>
      </c>
      <c r="E81" s="47">
        <f t="shared" si="20"/>
        <v>33299</v>
      </c>
      <c r="F81" s="47">
        <f t="shared" si="20"/>
        <v>33579</v>
      </c>
      <c r="G81" s="47">
        <f t="shared" si="20"/>
        <v>33817</v>
      </c>
      <c r="H81" s="47">
        <f t="shared" si="20"/>
        <v>34172</v>
      </c>
      <c r="I81" s="47">
        <f t="shared" si="20"/>
        <v>34568</v>
      </c>
      <c r="J81" s="47">
        <f t="shared" si="20"/>
        <v>35029</v>
      </c>
      <c r="K81" s="47">
        <f t="shared" ref="K81:L81" si="22">K96+K111</f>
        <v>35491.988999999994</v>
      </c>
      <c r="L81" s="47">
        <f t="shared" si="22"/>
        <v>36005.181619000003</v>
      </c>
      <c r="M81" s="47">
        <f t="shared" si="17"/>
        <v>34615.597800000003</v>
      </c>
      <c r="N81" s="47">
        <f t="shared" si="17"/>
        <v>35053.234123800001</v>
      </c>
      <c r="O81" s="35"/>
      <c r="P81" s="102">
        <f t="shared" si="19"/>
        <v>35053.234123800001</v>
      </c>
      <c r="Q81" s="35"/>
    </row>
    <row r="82" spans="1:17" ht="14.45" x14ac:dyDescent="0.35">
      <c r="A82" s="17" t="s">
        <v>4</v>
      </c>
      <c r="B82" s="17" t="s">
        <v>33</v>
      </c>
      <c r="C82" s="47">
        <f t="shared" si="20"/>
        <v>46658</v>
      </c>
      <c r="D82" s="47">
        <f t="shared" si="20"/>
        <v>47645</v>
      </c>
      <c r="E82" s="47">
        <f t="shared" si="20"/>
        <v>48486</v>
      </c>
      <c r="F82" s="47">
        <f t="shared" si="20"/>
        <v>49427</v>
      </c>
      <c r="G82" s="47">
        <f t="shared" si="20"/>
        <v>50117</v>
      </c>
      <c r="H82" s="47">
        <f t="shared" si="20"/>
        <v>50771</v>
      </c>
      <c r="I82" s="47">
        <f t="shared" si="20"/>
        <v>51342</v>
      </c>
      <c r="J82" s="47">
        <f t="shared" si="20"/>
        <v>51781</v>
      </c>
      <c r="K82" s="47">
        <f t="shared" ref="K82:L82" si="23">K97+K112</f>
        <v>52097.040999999997</v>
      </c>
      <c r="L82" s="47">
        <f t="shared" si="23"/>
        <v>52564.71</v>
      </c>
      <c r="M82" s="47">
        <f t="shared" si="17"/>
        <v>51221.608200000002</v>
      </c>
      <c r="N82" s="47">
        <f t="shared" si="17"/>
        <v>51711.150199999996</v>
      </c>
      <c r="O82" s="35"/>
      <c r="P82" s="102">
        <f t="shared" si="19"/>
        <v>51711.150199999996</v>
      </c>
      <c r="Q82" s="35"/>
    </row>
    <row r="83" spans="1:17" ht="14.45" x14ac:dyDescent="0.35">
      <c r="A83" s="17" t="s">
        <v>10</v>
      </c>
      <c r="B83" s="17" t="s">
        <v>33</v>
      </c>
      <c r="C83" s="47">
        <f t="shared" si="20"/>
        <v>148353.43893726001</v>
      </c>
      <c r="D83" s="47">
        <f t="shared" si="20"/>
        <v>150136.49844103999</v>
      </c>
      <c r="E83" s="47">
        <f t="shared" si="20"/>
        <v>150660.03925174003</v>
      </c>
      <c r="F83" s="47">
        <f t="shared" si="20"/>
        <v>151770.05533772003</v>
      </c>
      <c r="G83" s="47">
        <f t="shared" si="20"/>
        <v>152579.65545786</v>
      </c>
      <c r="H83" s="47">
        <f t="shared" si="20"/>
        <v>152729.53246680001</v>
      </c>
      <c r="I83" s="47">
        <f t="shared" si="20"/>
        <v>153747.85140545998</v>
      </c>
      <c r="J83" s="47">
        <f t="shared" si="20"/>
        <v>150472.37732780748</v>
      </c>
      <c r="K83" s="47">
        <f t="shared" ref="K83:L83" si="24">K98+K113</f>
        <v>151121.81083481963</v>
      </c>
      <c r="L83" s="47">
        <f t="shared" si="24"/>
        <v>152459.50017616479</v>
      </c>
      <c r="M83" s="47">
        <f t="shared" si="17"/>
        <v>152130.24549854943</v>
      </c>
      <c r="N83" s="47">
        <f t="shared" si="17"/>
        <v>152106.21444221036</v>
      </c>
      <c r="O83" s="35"/>
      <c r="P83" s="102">
        <f t="shared" si="19"/>
        <v>152106.21444221036</v>
      </c>
      <c r="Q83" s="35"/>
    </row>
    <row r="84" spans="1:17" ht="14.45" x14ac:dyDescent="0.35">
      <c r="A84" s="17" t="s">
        <v>5</v>
      </c>
      <c r="B84" s="17" t="s">
        <v>33</v>
      </c>
      <c r="C84" s="47">
        <f t="shared" si="20"/>
        <v>199551</v>
      </c>
      <c r="D84" s="47">
        <f t="shared" si="20"/>
        <v>189452</v>
      </c>
      <c r="E84" s="47">
        <f t="shared" si="20"/>
        <v>185829</v>
      </c>
      <c r="F84" s="47">
        <f t="shared" si="20"/>
        <v>187750</v>
      </c>
      <c r="G84" s="47">
        <f t="shared" si="20"/>
        <v>188634</v>
      </c>
      <c r="H84" s="47">
        <f t="shared" si="20"/>
        <v>190592</v>
      </c>
      <c r="I84" s="47">
        <f t="shared" si="20"/>
        <v>190819</v>
      </c>
      <c r="J84" s="47">
        <f t="shared" si="20"/>
        <v>191107</v>
      </c>
      <c r="K84" s="47">
        <f t="shared" ref="K84:L85" si="25">K99+K114</f>
        <v>191156.07200000001</v>
      </c>
      <c r="L84" s="47">
        <f t="shared" si="25"/>
        <v>191475.29249708584</v>
      </c>
      <c r="M84" s="47">
        <f t="shared" si="17"/>
        <v>190461.61440000002</v>
      </c>
      <c r="N84" s="47">
        <f t="shared" si="17"/>
        <v>191029.87289941718</v>
      </c>
      <c r="O84" s="35"/>
      <c r="P84" s="102">
        <f t="shared" si="19"/>
        <v>191029.87289941718</v>
      </c>
      <c r="Q84" s="35"/>
    </row>
    <row r="85" spans="1:17" ht="14.45" x14ac:dyDescent="0.35">
      <c r="A85" s="17" t="s">
        <v>6</v>
      </c>
      <c r="B85" s="17" t="s">
        <v>33</v>
      </c>
      <c r="C85" s="47">
        <f t="shared" si="20"/>
        <v>5718.7325857356282</v>
      </c>
      <c r="D85" s="47">
        <f t="shared" si="20"/>
        <v>5769.8560802295833</v>
      </c>
      <c r="E85" s="47">
        <f t="shared" si="20"/>
        <v>5868.0882146803324</v>
      </c>
      <c r="F85" s="47">
        <f t="shared" si="20"/>
        <v>5926.7301500000012</v>
      </c>
      <c r="G85" s="47">
        <f t="shared" si="20"/>
        <v>5970.9719999999998</v>
      </c>
      <c r="H85" s="47">
        <f t="shared" si="20"/>
        <v>6041.5939481495589</v>
      </c>
      <c r="I85" s="47">
        <f t="shared" si="20"/>
        <v>6102.4391066561348</v>
      </c>
      <c r="J85" s="47">
        <f t="shared" si="20"/>
        <v>6134.8447602493761</v>
      </c>
      <c r="K85" s="47">
        <f t="shared" ref="K85" si="26">K100+K115</f>
        <v>6160.5729462129366</v>
      </c>
      <c r="L85" s="47">
        <f t="shared" si="25"/>
        <v>6246.3146799999995</v>
      </c>
      <c r="M85" s="47">
        <f t="shared" si="17"/>
        <v>6082.084552253601</v>
      </c>
      <c r="N85" s="47">
        <f t="shared" si="17"/>
        <v>6137.1530882536017</v>
      </c>
      <c r="O85" s="35"/>
      <c r="P85" s="102">
        <f t="shared" si="19"/>
        <v>6137.1530882536017</v>
      </c>
      <c r="Q85" s="35"/>
    </row>
    <row r="86" spans="1:17" ht="14.45" x14ac:dyDescent="0.35">
      <c r="A86" s="17" t="s">
        <v>7</v>
      </c>
      <c r="B86" s="17" t="s">
        <v>33</v>
      </c>
      <c r="C86" s="47">
        <f t="shared" si="20"/>
        <v>71676.861903062207</v>
      </c>
      <c r="D86" s="47">
        <f t="shared" si="20"/>
        <v>71930.5</v>
      </c>
      <c r="E86" s="47">
        <f t="shared" si="20"/>
        <v>72120.5</v>
      </c>
      <c r="F86" s="47">
        <f t="shared" si="20"/>
        <v>72939.230183327629</v>
      </c>
      <c r="G86" s="47">
        <f t="shared" si="20"/>
        <v>73498.507812622323</v>
      </c>
      <c r="H86" s="47">
        <f t="shared" si="20"/>
        <v>73133</v>
      </c>
      <c r="I86" s="47">
        <f t="shared" si="20"/>
        <v>73597</v>
      </c>
      <c r="J86" s="47">
        <f t="shared" si="20"/>
        <v>73889</v>
      </c>
      <c r="K86" s="47">
        <f t="shared" ref="K86:L86" si="27">K101+K116</f>
        <v>74181.439138999995</v>
      </c>
      <c r="L86" s="47">
        <f t="shared" si="27"/>
        <v>74451.769539998146</v>
      </c>
      <c r="M86" s="47">
        <f t="shared" si="17"/>
        <v>73659.789390324469</v>
      </c>
      <c r="N86" s="47">
        <f t="shared" si="17"/>
        <v>73850.441735799628</v>
      </c>
      <c r="O86" s="35"/>
      <c r="P86" s="102">
        <f t="shared" si="19"/>
        <v>73850.441735799628</v>
      </c>
      <c r="Q86" s="35"/>
    </row>
    <row r="87" spans="1:17" ht="14.45" x14ac:dyDescent="0.35">
      <c r="A87" s="17" t="s">
        <v>8</v>
      </c>
      <c r="B87" s="17" t="s">
        <v>33</v>
      </c>
      <c r="C87" s="47">
        <f t="shared" si="20"/>
        <v>84830.405693445078</v>
      </c>
      <c r="D87" s="47">
        <f t="shared" si="20"/>
        <v>85326.120621562557</v>
      </c>
      <c r="E87" s="47">
        <f t="shared" si="20"/>
        <v>85821.835549680036</v>
      </c>
      <c r="F87" s="47">
        <f t="shared" si="20"/>
        <v>86624.718035020574</v>
      </c>
      <c r="G87" s="47">
        <f t="shared" si="20"/>
        <v>87208.550876580557</v>
      </c>
      <c r="H87" s="47">
        <f t="shared" si="20"/>
        <v>87193.681406010772</v>
      </c>
      <c r="I87" s="47">
        <f t="shared" si="20"/>
        <v>87647.697035597783</v>
      </c>
      <c r="J87" s="47">
        <f t="shared" si="20"/>
        <v>87882.26999999999</v>
      </c>
      <c r="K87" s="47">
        <f t="shared" ref="K87:L87" si="28">K102+K117</f>
        <v>88082.642999999996</v>
      </c>
      <c r="L87" s="47">
        <f t="shared" si="28"/>
        <v>88201</v>
      </c>
      <c r="M87" s="47">
        <f t="shared" si="17"/>
        <v>87602.968463637822</v>
      </c>
      <c r="N87" s="47">
        <f t="shared" si="17"/>
        <v>87801.458288321708</v>
      </c>
      <c r="O87" s="35"/>
      <c r="P87" s="102">
        <f t="shared" si="19"/>
        <v>87801.458288321708</v>
      </c>
      <c r="Q87" s="35"/>
    </row>
    <row r="88" spans="1:17" ht="14.45" x14ac:dyDescent="0.35">
      <c r="A88" s="17" t="s">
        <v>73</v>
      </c>
      <c r="B88" s="17" t="s">
        <v>33</v>
      </c>
      <c r="C88" s="47">
        <f t="shared" si="20"/>
        <v>41507.072</v>
      </c>
      <c r="D88" s="47">
        <f t="shared" si="20"/>
        <v>41835.892999999996</v>
      </c>
      <c r="E88" s="47">
        <f t="shared" si="20"/>
        <v>42110.843000000001</v>
      </c>
      <c r="F88" s="47">
        <f t="shared" si="20"/>
        <v>42711.531000000003</v>
      </c>
      <c r="G88" s="47">
        <f t="shared" si="20"/>
        <v>42968.714999999997</v>
      </c>
      <c r="H88" s="47">
        <f t="shared" si="20"/>
        <v>43213.931000000004</v>
      </c>
      <c r="I88" s="47">
        <f t="shared" si="20"/>
        <v>43702.13</v>
      </c>
      <c r="J88" s="47">
        <f t="shared" si="20"/>
        <v>43821.926999999996</v>
      </c>
      <c r="K88" s="47">
        <f t="shared" ref="K88:L88" si="29">K103+K118</f>
        <v>44255.045294220996</v>
      </c>
      <c r="L88" s="47">
        <f t="shared" si="29"/>
        <v>44349.203981000675</v>
      </c>
      <c r="M88" s="47">
        <f t="shared" si="17"/>
        <v>43592.349658844199</v>
      </c>
      <c r="N88" s="47">
        <f t="shared" si="17"/>
        <v>43868.447455044326</v>
      </c>
      <c r="O88" s="35"/>
      <c r="P88" s="102">
        <f t="shared" si="19"/>
        <v>43868.447455044326</v>
      </c>
      <c r="Q88" s="35"/>
    </row>
    <row r="89" spans="1:17" ht="14.45" x14ac:dyDescent="0.35">
      <c r="A89" s="17" t="s">
        <v>54</v>
      </c>
      <c r="B89" s="17" t="s">
        <v>33</v>
      </c>
      <c r="C89" s="47">
        <f t="shared" si="20"/>
        <v>21209.899999999994</v>
      </c>
      <c r="D89" s="47">
        <f t="shared" si="20"/>
        <v>21210.099999999995</v>
      </c>
      <c r="E89" s="47">
        <f t="shared" si="20"/>
        <v>21210.099999999995</v>
      </c>
      <c r="F89" s="47">
        <f t="shared" si="20"/>
        <v>21267.799999999996</v>
      </c>
      <c r="G89" s="47">
        <f t="shared" si="20"/>
        <v>21631.699999999997</v>
      </c>
      <c r="H89" s="47">
        <f t="shared" si="20"/>
        <v>22027.1</v>
      </c>
      <c r="I89" s="47">
        <f t="shared" si="20"/>
        <v>22222.099999999995</v>
      </c>
      <c r="J89" s="47">
        <f t="shared" si="20"/>
        <v>22335.899999999998</v>
      </c>
      <c r="K89" s="47">
        <f t="shared" ref="K89:L89" si="30">K104+K119</f>
        <v>22495.899999999998</v>
      </c>
      <c r="L89" s="47">
        <f t="shared" si="30"/>
        <v>22629.245000000003</v>
      </c>
      <c r="M89" s="47">
        <f t="shared" si="17"/>
        <v>22142.539999999997</v>
      </c>
      <c r="N89" s="47">
        <f t="shared" si="17"/>
        <v>22342.048999999999</v>
      </c>
      <c r="O89" s="35"/>
      <c r="P89" s="102">
        <f t="shared" si="19"/>
        <v>22342.048999999999</v>
      </c>
      <c r="Q89" s="35"/>
    </row>
    <row r="90" spans="1:17" ht="14.45" x14ac:dyDescent="0.35">
      <c r="A90" s="17" t="s">
        <v>9</v>
      </c>
      <c r="B90" s="17" t="s">
        <v>33</v>
      </c>
      <c r="C90" s="47">
        <f t="shared" si="20"/>
        <v>12384</v>
      </c>
      <c r="D90" s="47">
        <f t="shared" si="20"/>
        <v>12476.199999999999</v>
      </c>
      <c r="E90" s="47">
        <f t="shared" si="20"/>
        <v>12582.800000000001</v>
      </c>
      <c r="F90" s="47">
        <f t="shared" si="20"/>
        <v>12537.5</v>
      </c>
      <c r="G90" s="47">
        <f t="shared" si="20"/>
        <v>12644.400000000001</v>
      </c>
      <c r="H90" s="47">
        <f t="shared" si="20"/>
        <v>12725.4</v>
      </c>
      <c r="I90" s="47">
        <f t="shared" si="20"/>
        <v>12817.6</v>
      </c>
      <c r="J90" s="47">
        <f t="shared" si="20"/>
        <v>12834.7</v>
      </c>
      <c r="K90" s="47">
        <f t="shared" si="20"/>
        <v>12823.415000000001</v>
      </c>
      <c r="L90" s="47">
        <f t="shared" ref="L90" si="31">L105+L120</f>
        <v>12873.221765499999</v>
      </c>
      <c r="M90" s="47">
        <f t="shared" si="17"/>
        <v>12769.103000000001</v>
      </c>
      <c r="N90" s="47">
        <f t="shared" si="17"/>
        <v>12814.867353099999</v>
      </c>
      <c r="O90" s="35"/>
      <c r="P90" s="102">
        <f t="shared" si="19"/>
        <v>12814.867353099999</v>
      </c>
      <c r="Q90" s="35"/>
    </row>
    <row r="91" spans="1:17" ht="14.45" x14ac:dyDescent="0.35"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1:17" ht="14.45" x14ac:dyDescent="0.35">
      <c r="A92" s="23" t="s">
        <v>75</v>
      </c>
      <c r="B92" s="79" t="s">
        <v>144</v>
      </c>
      <c r="C92" s="33">
        <v>2006</v>
      </c>
      <c r="D92" s="33">
        <v>2007</v>
      </c>
      <c r="E92" s="33">
        <v>2008</v>
      </c>
      <c r="F92" s="33">
        <v>2009</v>
      </c>
      <c r="G92" s="33">
        <v>2010</v>
      </c>
      <c r="H92" s="33">
        <v>2011</v>
      </c>
      <c r="I92" s="33">
        <v>2012</v>
      </c>
      <c r="J92" s="33">
        <v>2013</v>
      </c>
      <c r="K92" s="33">
        <v>2014</v>
      </c>
      <c r="L92" s="33">
        <v>2015</v>
      </c>
      <c r="M92" s="33" t="s">
        <v>82</v>
      </c>
      <c r="N92" s="33" t="s">
        <v>133</v>
      </c>
      <c r="O92" s="35"/>
      <c r="P92" s="35" t="s">
        <v>134</v>
      </c>
      <c r="Q92" s="35"/>
    </row>
    <row r="93" spans="1:17" ht="14.45" x14ac:dyDescent="0.35">
      <c r="A93" s="17" t="s">
        <v>1</v>
      </c>
      <c r="B93" s="17" t="s">
        <v>33</v>
      </c>
      <c r="C93" s="47">
        <v>2422.2457566666694</v>
      </c>
      <c r="D93" s="47">
        <v>2413.5790899999997</v>
      </c>
      <c r="E93" s="47">
        <v>2403.5790899999997</v>
      </c>
      <c r="F93" s="47">
        <v>2395.5790899999997</v>
      </c>
      <c r="G93" s="47">
        <v>2390.5790899999997</v>
      </c>
      <c r="H93" s="47">
        <v>2403.5790899999997</v>
      </c>
      <c r="I93" s="47">
        <v>2404.0259299999998</v>
      </c>
      <c r="J93" s="47">
        <v>2395.0259299999998</v>
      </c>
      <c r="K93" s="47">
        <v>2365.2939799999999</v>
      </c>
      <c r="L93" s="47">
        <v>2368.4579799999997</v>
      </c>
      <c r="M93" s="47">
        <f t="shared" ref="M93:N105" si="32">AVERAGE(G93:K93)</f>
        <v>2391.7008039999996</v>
      </c>
      <c r="N93" s="47">
        <f t="shared" si="32"/>
        <v>2387.2765819999995</v>
      </c>
      <c r="O93" s="35"/>
      <c r="P93" s="102">
        <f>AVERAGE(H93:L93)</f>
        <v>2387.2765819999995</v>
      </c>
      <c r="Q93" s="35"/>
    </row>
    <row r="94" spans="1:17" ht="14.45" x14ac:dyDescent="0.35">
      <c r="A94" s="17" t="s">
        <v>78</v>
      </c>
      <c r="B94" s="17" t="s">
        <v>33</v>
      </c>
      <c r="C94" s="47">
        <v>26108.799999999999</v>
      </c>
      <c r="D94" s="47">
        <v>25884.499999999996</v>
      </c>
      <c r="E94" s="47">
        <v>25986.1</v>
      </c>
      <c r="F94" s="47">
        <v>25933.999999999996</v>
      </c>
      <c r="G94" s="47">
        <v>25966.699999999997</v>
      </c>
      <c r="H94" s="47">
        <v>26138.7</v>
      </c>
      <c r="I94" s="47">
        <v>26084.699999999997</v>
      </c>
      <c r="J94" s="47">
        <v>26071.899999999998</v>
      </c>
      <c r="K94" s="47">
        <v>26044.1</v>
      </c>
      <c r="L94" s="47">
        <v>26005.772004570954</v>
      </c>
      <c r="M94" s="47">
        <f t="shared" si="32"/>
        <v>26061.219999999994</v>
      </c>
      <c r="N94" s="47">
        <f t="shared" si="32"/>
        <v>26069.034400914192</v>
      </c>
      <c r="O94" s="35"/>
      <c r="P94" s="102">
        <f t="shared" ref="P94:P105" si="33">AVERAGE(H94:L94)</f>
        <v>26069.034400914192</v>
      </c>
      <c r="Q94" s="35"/>
    </row>
    <row r="95" spans="1:17" ht="14.45" x14ac:dyDescent="0.35">
      <c r="A95" s="17" t="s">
        <v>2</v>
      </c>
      <c r="B95" s="17" t="s">
        <v>33</v>
      </c>
      <c r="C95" s="47">
        <v>2260.873677399999</v>
      </c>
      <c r="D95" s="47">
        <v>2292.1840148999991</v>
      </c>
      <c r="E95" s="47">
        <v>2193.0273165597982</v>
      </c>
      <c r="F95" s="47">
        <v>2192.0000000000005</v>
      </c>
      <c r="G95" s="47">
        <v>2185.2934951813377</v>
      </c>
      <c r="H95" s="47">
        <v>2223</v>
      </c>
      <c r="I95" s="47">
        <v>2230</v>
      </c>
      <c r="J95" s="47">
        <v>2233</v>
      </c>
      <c r="K95" s="47">
        <v>2270.3383899999999</v>
      </c>
      <c r="L95" s="47">
        <v>2272.2336600000899</v>
      </c>
      <c r="M95" s="47">
        <f t="shared" si="32"/>
        <v>2228.3263770362673</v>
      </c>
      <c r="N95" s="47">
        <f t="shared" si="32"/>
        <v>2245.7144100000178</v>
      </c>
      <c r="O95" s="35"/>
      <c r="P95" s="102">
        <f t="shared" si="33"/>
        <v>2245.7144100000178</v>
      </c>
      <c r="Q95" s="35"/>
    </row>
    <row r="96" spans="1:17" ht="14.45" x14ac:dyDescent="0.35">
      <c r="A96" s="17" t="s">
        <v>3</v>
      </c>
      <c r="B96" s="17" t="s">
        <v>33</v>
      </c>
      <c r="C96" s="47">
        <v>23387</v>
      </c>
      <c r="D96" s="47">
        <v>23409</v>
      </c>
      <c r="E96" s="47">
        <v>23440</v>
      </c>
      <c r="F96" s="47">
        <v>23443</v>
      </c>
      <c r="G96" s="47">
        <v>23431</v>
      </c>
      <c r="H96" s="47">
        <v>23411</v>
      </c>
      <c r="I96" s="47">
        <v>23417</v>
      </c>
      <c r="J96" s="47">
        <v>23412</v>
      </c>
      <c r="K96" s="47">
        <v>23387.318999999996</v>
      </c>
      <c r="L96" s="47">
        <v>23369.325000000001</v>
      </c>
      <c r="M96" s="47">
        <f t="shared" si="32"/>
        <v>23411.663799999998</v>
      </c>
      <c r="N96" s="47">
        <f t="shared" si="32"/>
        <v>23399.328799999996</v>
      </c>
      <c r="O96" s="35"/>
      <c r="P96" s="102">
        <f t="shared" si="33"/>
        <v>23399.328799999996</v>
      </c>
      <c r="Q96" s="35"/>
    </row>
    <row r="97" spans="1:17" ht="14.45" x14ac:dyDescent="0.35">
      <c r="A97" s="17" t="s">
        <v>4</v>
      </c>
      <c r="B97" s="17" t="s">
        <v>33</v>
      </c>
      <c r="C97" s="47">
        <v>34457</v>
      </c>
      <c r="D97" s="47">
        <v>34623</v>
      </c>
      <c r="E97" s="47">
        <v>34659</v>
      </c>
      <c r="F97" s="47">
        <v>34731</v>
      </c>
      <c r="G97" s="47">
        <v>34780</v>
      </c>
      <c r="H97" s="47">
        <v>34900</v>
      </c>
      <c r="I97" s="47">
        <v>34992</v>
      </c>
      <c r="J97" s="47">
        <v>35033</v>
      </c>
      <c r="K97" s="47">
        <v>35102.33</v>
      </c>
      <c r="L97" s="47">
        <v>35122.369999999995</v>
      </c>
      <c r="M97" s="47">
        <f t="shared" si="32"/>
        <v>34961.466</v>
      </c>
      <c r="N97" s="47">
        <f t="shared" si="32"/>
        <v>35029.94</v>
      </c>
      <c r="O97" s="35"/>
      <c r="P97" s="102">
        <f t="shared" si="33"/>
        <v>35029.94</v>
      </c>
      <c r="Q97" s="35"/>
    </row>
    <row r="98" spans="1:17" ht="14.45" x14ac:dyDescent="0.35">
      <c r="A98" s="17" t="s">
        <v>10</v>
      </c>
      <c r="B98" s="17" t="s">
        <v>33</v>
      </c>
      <c r="C98" s="47">
        <v>144395.92893726</v>
      </c>
      <c r="D98" s="47">
        <v>145654.05244104</v>
      </c>
      <c r="E98" s="47">
        <v>145367.16225174002</v>
      </c>
      <c r="F98" s="47">
        <v>145424.03933772002</v>
      </c>
      <c r="G98" s="47">
        <v>145684.85145786</v>
      </c>
      <c r="H98" s="47">
        <v>145390.19746680002</v>
      </c>
      <c r="I98" s="47">
        <v>146022.96540545998</v>
      </c>
      <c r="J98" s="47">
        <v>142293.05232780747</v>
      </c>
      <c r="K98" s="47">
        <v>142618.25783042065</v>
      </c>
      <c r="L98" s="47">
        <v>143546.25526403662</v>
      </c>
      <c r="M98" s="47">
        <f t="shared" si="32"/>
        <v>144401.86489766961</v>
      </c>
      <c r="N98" s="47">
        <f t="shared" si="32"/>
        <v>143974.14565890495</v>
      </c>
      <c r="O98" s="35"/>
      <c r="P98" s="102">
        <f t="shared" si="33"/>
        <v>143974.14565890495</v>
      </c>
      <c r="Q98" s="35"/>
    </row>
    <row r="99" spans="1:17" ht="14.45" x14ac:dyDescent="0.35">
      <c r="A99" s="17" t="s">
        <v>5</v>
      </c>
      <c r="B99" s="17" t="s">
        <v>33</v>
      </c>
      <c r="C99" s="47">
        <v>194385</v>
      </c>
      <c r="D99" s="47">
        <v>183413</v>
      </c>
      <c r="E99" s="47">
        <v>179875</v>
      </c>
      <c r="F99" s="47">
        <v>181761</v>
      </c>
      <c r="G99" s="47">
        <v>182431</v>
      </c>
      <c r="H99" s="47">
        <v>183526</v>
      </c>
      <c r="I99" s="47">
        <v>183454</v>
      </c>
      <c r="J99" s="47">
        <v>183500</v>
      </c>
      <c r="K99" s="47">
        <v>183490.17200000002</v>
      </c>
      <c r="L99" s="47">
        <v>183529.79100000003</v>
      </c>
      <c r="M99" s="47">
        <f t="shared" si="32"/>
        <v>183280.23440000002</v>
      </c>
      <c r="N99" s="47">
        <f t="shared" si="32"/>
        <v>183499.9926</v>
      </c>
      <c r="O99" s="35"/>
      <c r="P99" s="102">
        <f t="shared" si="33"/>
        <v>183499.9926</v>
      </c>
      <c r="Q99" s="35"/>
    </row>
    <row r="100" spans="1:17" ht="14.45" x14ac:dyDescent="0.35">
      <c r="A100" s="17" t="s">
        <v>6</v>
      </c>
      <c r="B100" s="17" t="s">
        <v>33</v>
      </c>
      <c r="C100" s="47">
        <v>4417.8421802475241</v>
      </c>
      <c r="D100" s="47">
        <v>4425.5257642176875</v>
      </c>
      <c r="E100" s="47">
        <v>4452.411925837373</v>
      </c>
      <c r="F100" s="47">
        <v>4463.4639300000008</v>
      </c>
      <c r="G100" s="47">
        <v>4463.8128199999992</v>
      </c>
      <c r="H100" s="47">
        <v>4475.9594627931192</v>
      </c>
      <c r="I100" s="47">
        <v>4472.4291066561345</v>
      </c>
      <c r="J100" s="47">
        <v>4455.5649999999996</v>
      </c>
      <c r="K100" s="47">
        <v>4435.5072043394539</v>
      </c>
      <c r="L100" s="47">
        <v>4450.8945199999998</v>
      </c>
      <c r="M100" s="47">
        <f t="shared" si="32"/>
        <v>4460.6547187577407</v>
      </c>
      <c r="N100" s="47">
        <f t="shared" si="32"/>
        <v>4458.0710587577414</v>
      </c>
      <c r="O100" s="35"/>
      <c r="P100" s="102">
        <f t="shared" si="33"/>
        <v>4458.0710587577414</v>
      </c>
      <c r="Q100" s="35"/>
    </row>
    <row r="101" spans="1:17" ht="14.45" x14ac:dyDescent="0.35">
      <c r="A101" s="17" t="s">
        <v>7</v>
      </c>
      <c r="B101" s="17" t="s">
        <v>33</v>
      </c>
      <c r="C101" s="47">
        <v>68353.062800743457</v>
      </c>
      <c r="D101" s="47">
        <v>68418</v>
      </c>
      <c r="E101" s="47">
        <v>68579</v>
      </c>
      <c r="F101" s="47">
        <v>68354.524061887831</v>
      </c>
      <c r="G101" s="47">
        <v>68369.845763600315</v>
      </c>
      <c r="H101" s="47">
        <v>68445</v>
      </c>
      <c r="I101" s="47">
        <v>68767</v>
      </c>
      <c r="J101" s="47">
        <v>68824</v>
      </c>
      <c r="K101" s="47">
        <v>68933.032789999997</v>
      </c>
      <c r="L101" s="47">
        <v>68875.0469999981</v>
      </c>
      <c r="M101" s="47">
        <f t="shared" si="32"/>
        <v>68667.77571072006</v>
      </c>
      <c r="N101" s="47">
        <f t="shared" si="32"/>
        <v>68768.815957999614</v>
      </c>
      <c r="O101" s="35"/>
      <c r="P101" s="102">
        <f t="shared" si="33"/>
        <v>68768.815957999614</v>
      </c>
      <c r="Q101" s="35"/>
    </row>
    <row r="102" spans="1:17" ht="14.45" x14ac:dyDescent="0.35">
      <c r="A102" s="17" t="s">
        <v>8</v>
      </c>
      <c r="B102" s="17" t="s">
        <v>33</v>
      </c>
      <c r="C102" s="47">
        <v>71068.558037262672</v>
      </c>
      <c r="D102" s="47">
        <v>71025.263198894114</v>
      </c>
      <c r="E102" s="47">
        <v>70981.968360525556</v>
      </c>
      <c r="F102" s="47">
        <v>71135.774468564356</v>
      </c>
      <c r="G102" s="47">
        <v>71323.338505389343</v>
      </c>
      <c r="H102" s="47">
        <v>71065.690537877366</v>
      </c>
      <c r="I102" s="47">
        <v>71147.812197102365</v>
      </c>
      <c r="J102" s="47">
        <v>71152.819999999992</v>
      </c>
      <c r="K102" s="47">
        <v>71159.671999999991</v>
      </c>
      <c r="L102" s="47">
        <v>71230</v>
      </c>
      <c r="M102" s="47">
        <f t="shared" si="32"/>
        <v>71169.866648073817</v>
      </c>
      <c r="N102" s="47">
        <f t="shared" si="32"/>
        <v>71151.198946995937</v>
      </c>
      <c r="O102" s="35"/>
      <c r="P102" s="102">
        <f t="shared" si="33"/>
        <v>71151.198946995937</v>
      </c>
      <c r="Q102" s="35"/>
    </row>
    <row r="103" spans="1:17" ht="14.45" x14ac:dyDescent="0.35">
      <c r="A103" s="17" t="s">
        <v>73</v>
      </c>
      <c r="B103" s="17" t="s">
        <v>33</v>
      </c>
      <c r="C103" s="47">
        <v>37642.311999999998</v>
      </c>
      <c r="D103" s="47">
        <v>37724.491999999998</v>
      </c>
      <c r="E103" s="47">
        <v>37820.120999999999</v>
      </c>
      <c r="F103" s="47">
        <v>38099.014999999999</v>
      </c>
      <c r="G103" s="47">
        <v>38175.800999999999</v>
      </c>
      <c r="H103" s="47">
        <v>38144.855000000003</v>
      </c>
      <c r="I103" s="47">
        <v>38379.735999999997</v>
      </c>
      <c r="J103" s="47">
        <v>38319.654999999999</v>
      </c>
      <c r="K103" s="47">
        <v>38526.894499999995</v>
      </c>
      <c r="L103" s="47">
        <v>38383.26915600057</v>
      </c>
      <c r="M103" s="47">
        <f t="shared" si="32"/>
        <v>38309.388299999999</v>
      </c>
      <c r="N103" s="47">
        <f t="shared" si="32"/>
        <v>38350.881931200114</v>
      </c>
      <c r="O103" s="35"/>
      <c r="P103" s="102">
        <f t="shared" si="33"/>
        <v>38350.881931200114</v>
      </c>
      <c r="Q103" s="35"/>
    </row>
    <row r="104" spans="1:17" ht="14.45" x14ac:dyDescent="0.35">
      <c r="A104" s="17" t="s">
        <v>54</v>
      </c>
      <c r="B104" s="17" t="s">
        <v>33</v>
      </c>
      <c r="C104" s="47">
        <v>19307.599999999995</v>
      </c>
      <c r="D104" s="47">
        <v>19307.599999999995</v>
      </c>
      <c r="E104" s="47">
        <v>19307.599999999995</v>
      </c>
      <c r="F104" s="47">
        <v>19337.199999999997</v>
      </c>
      <c r="G104" s="47">
        <v>19536.499999999996</v>
      </c>
      <c r="H104" s="47">
        <v>19752.199999999997</v>
      </c>
      <c r="I104" s="47">
        <v>19882.799999999996</v>
      </c>
      <c r="J104" s="47">
        <v>19962.199999999997</v>
      </c>
      <c r="K104" s="47">
        <v>20063.099999999999</v>
      </c>
      <c r="L104" s="47">
        <v>20163.956000000002</v>
      </c>
      <c r="M104" s="47">
        <f t="shared" si="32"/>
        <v>19839.359999999997</v>
      </c>
      <c r="N104" s="47">
        <f t="shared" si="32"/>
        <v>19964.851199999997</v>
      </c>
      <c r="O104" s="35"/>
      <c r="P104" s="102">
        <f t="shared" si="33"/>
        <v>19964.851199999997</v>
      </c>
      <c r="Q104" s="35"/>
    </row>
    <row r="105" spans="1:17" ht="14.45" x14ac:dyDescent="0.35">
      <c r="A105" s="17" t="s">
        <v>9</v>
      </c>
      <c r="B105" s="17" t="s">
        <v>33</v>
      </c>
      <c r="C105" s="47">
        <v>10108</v>
      </c>
      <c r="D105" s="47">
        <v>10157.799999999999</v>
      </c>
      <c r="E105" s="47">
        <v>10196.700000000001</v>
      </c>
      <c r="F105" s="47">
        <v>10113.200000000001</v>
      </c>
      <c r="G105" s="47">
        <v>10147.6</v>
      </c>
      <c r="H105" s="47">
        <v>10130</v>
      </c>
      <c r="I105" s="47">
        <v>10185.700000000001</v>
      </c>
      <c r="J105" s="47">
        <v>10143.9</v>
      </c>
      <c r="K105" s="47">
        <v>10085.317000000001</v>
      </c>
      <c r="L105" s="47">
        <v>10080.0742228</v>
      </c>
      <c r="M105" s="47">
        <f t="shared" si="32"/>
        <v>10138.5034</v>
      </c>
      <c r="N105" s="47">
        <f t="shared" si="32"/>
        <v>10124.99824456</v>
      </c>
      <c r="O105" s="35"/>
      <c r="P105" s="102">
        <f t="shared" si="33"/>
        <v>10124.99824456</v>
      </c>
      <c r="Q105" s="35"/>
    </row>
    <row r="106" spans="1:17" ht="14.45" x14ac:dyDescent="0.35"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1:17" ht="14.45" x14ac:dyDescent="0.35">
      <c r="A107" s="23" t="s">
        <v>76</v>
      </c>
      <c r="B107" s="79" t="str">
        <f>"DPA02"</f>
        <v>DPA02</v>
      </c>
      <c r="C107" s="33">
        <v>2006</v>
      </c>
      <c r="D107" s="33">
        <v>2007</v>
      </c>
      <c r="E107" s="33">
        <v>2008</v>
      </c>
      <c r="F107" s="33">
        <v>2009</v>
      </c>
      <c r="G107" s="33">
        <v>2010</v>
      </c>
      <c r="H107" s="33">
        <v>2011</v>
      </c>
      <c r="I107" s="33">
        <v>2012</v>
      </c>
      <c r="J107" s="33">
        <v>2013</v>
      </c>
      <c r="K107" s="33">
        <v>2014</v>
      </c>
      <c r="L107" s="33">
        <v>2015</v>
      </c>
      <c r="M107" s="33" t="s">
        <v>82</v>
      </c>
      <c r="N107" s="33" t="s">
        <v>133</v>
      </c>
      <c r="O107" s="35"/>
      <c r="P107" s="35" t="s">
        <v>134</v>
      </c>
      <c r="Q107" s="35"/>
    </row>
    <row r="108" spans="1:17" ht="14.45" x14ac:dyDescent="0.35">
      <c r="A108" s="17" t="s">
        <v>1</v>
      </c>
      <c r="B108" s="17" t="s">
        <v>33</v>
      </c>
      <c r="C108" s="47">
        <v>2226.6841277321209</v>
      </c>
      <c r="D108" s="47">
        <v>2283</v>
      </c>
      <c r="E108" s="47">
        <v>2283</v>
      </c>
      <c r="F108" s="47">
        <v>2370</v>
      </c>
      <c r="G108" s="47">
        <v>2456</v>
      </c>
      <c r="H108" s="47">
        <v>2535</v>
      </c>
      <c r="I108" s="47">
        <v>2614</v>
      </c>
      <c r="J108" s="47">
        <v>2775.785487960351</v>
      </c>
      <c r="K108" s="47">
        <v>2854.5207370618195</v>
      </c>
      <c r="L108" s="102">
        <v>2903.6260486099413</v>
      </c>
      <c r="M108" s="47">
        <f t="shared" ref="M108:N120" si="34">AVERAGE(G108:K108)</f>
        <v>2647.0612450044341</v>
      </c>
      <c r="N108" s="47">
        <f t="shared" si="34"/>
        <v>2736.5864547264223</v>
      </c>
      <c r="O108" s="35"/>
      <c r="P108" s="102">
        <f>AVERAGE(H108:L108)</f>
        <v>2736.5864547264223</v>
      </c>
      <c r="Q108" s="35"/>
    </row>
    <row r="109" spans="1:17" ht="14.45" x14ac:dyDescent="0.35">
      <c r="A109" s="17" t="s">
        <v>78</v>
      </c>
      <c r="B109" s="17" t="s">
        <v>33</v>
      </c>
      <c r="C109" s="47">
        <v>12633.594999999999</v>
      </c>
      <c r="D109" s="47">
        <v>12990.440200000001</v>
      </c>
      <c r="E109" s="47">
        <v>13237.806200000001</v>
      </c>
      <c r="F109" s="47">
        <v>13528.306199999999</v>
      </c>
      <c r="G109" s="47">
        <v>13778.575500000001</v>
      </c>
      <c r="H109" s="47">
        <v>14133.723</v>
      </c>
      <c r="I109" s="47">
        <v>14541.592999999999</v>
      </c>
      <c r="J109" s="47">
        <v>14891.606000000002</v>
      </c>
      <c r="K109" s="47">
        <v>15227.388000000001</v>
      </c>
      <c r="L109" s="47">
        <v>15364.557475778833</v>
      </c>
      <c r="M109" s="47">
        <f t="shared" si="34"/>
        <v>14514.5771</v>
      </c>
      <c r="N109" s="47">
        <f t="shared" si="34"/>
        <v>14831.773495155765</v>
      </c>
      <c r="O109" s="35"/>
      <c r="P109" s="102">
        <f t="shared" ref="P109:P120" si="35">AVERAGE(H109:L109)</f>
        <v>14831.773495155765</v>
      </c>
      <c r="Q109" s="35"/>
    </row>
    <row r="110" spans="1:17" ht="14.45" x14ac:dyDescent="0.35">
      <c r="A110" s="17" t="s">
        <v>2</v>
      </c>
      <c r="B110" s="17" t="s">
        <v>33</v>
      </c>
      <c r="C110" s="47">
        <v>1690.7516766420017</v>
      </c>
      <c r="D110" s="47">
        <v>1783.5898276337589</v>
      </c>
      <c r="E110" s="47">
        <v>1843.3371883189061</v>
      </c>
      <c r="F110" s="47">
        <v>1877.7536800785083</v>
      </c>
      <c r="G110" s="47">
        <v>1914.1174746684087</v>
      </c>
      <c r="H110" s="47">
        <v>2061</v>
      </c>
      <c r="I110" s="47">
        <v>2073</v>
      </c>
      <c r="J110" s="47">
        <v>2114</v>
      </c>
      <c r="K110" s="47">
        <v>2211.136571</v>
      </c>
      <c r="L110" s="47">
        <v>2233.2444600000103</v>
      </c>
      <c r="M110" s="47">
        <f t="shared" si="34"/>
        <v>2074.6508091336814</v>
      </c>
      <c r="N110" s="47">
        <f t="shared" si="34"/>
        <v>2138.4762062000018</v>
      </c>
      <c r="O110" s="35"/>
      <c r="P110" s="102">
        <f t="shared" si="35"/>
        <v>2138.4762062000018</v>
      </c>
      <c r="Q110" s="35"/>
    </row>
    <row r="111" spans="1:17" ht="14.45" x14ac:dyDescent="0.35">
      <c r="A111" s="17" t="s">
        <v>3</v>
      </c>
      <c r="B111" s="17" t="s">
        <v>33</v>
      </c>
      <c r="C111" s="47">
        <v>9045</v>
      </c>
      <c r="D111" s="47">
        <v>9423</v>
      </c>
      <c r="E111" s="47">
        <v>9859</v>
      </c>
      <c r="F111" s="47">
        <v>10136</v>
      </c>
      <c r="G111" s="47">
        <v>10386</v>
      </c>
      <c r="H111" s="47">
        <v>10761</v>
      </c>
      <c r="I111" s="47">
        <v>11151</v>
      </c>
      <c r="J111" s="47">
        <v>11617</v>
      </c>
      <c r="K111" s="47">
        <v>12104.67</v>
      </c>
      <c r="L111" s="47">
        <v>12635.856619000002</v>
      </c>
      <c r="M111" s="47">
        <f t="shared" si="34"/>
        <v>11203.933999999999</v>
      </c>
      <c r="N111" s="47">
        <f t="shared" si="34"/>
        <v>11653.9053238</v>
      </c>
      <c r="O111" s="35"/>
      <c r="P111" s="102">
        <f t="shared" si="35"/>
        <v>11653.9053238</v>
      </c>
      <c r="Q111" s="35"/>
    </row>
    <row r="112" spans="1:17" ht="14.45" x14ac:dyDescent="0.35">
      <c r="A112" s="17" t="s">
        <v>4</v>
      </c>
      <c r="B112" s="17" t="s">
        <v>33</v>
      </c>
      <c r="C112" s="47">
        <v>12201</v>
      </c>
      <c r="D112" s="47">
        <v>13022</v>
      </c>
      <c r="E112" s="47">
        <v>13827</v>
      </c>
      <c r="F112" s="47">
        <v>14696</v>
      </c>
      <c r="G112" s="47">
        <v>15337</v>
      </c>
      <c r="H112" s="47">
        <v>15871</v>
      </c>
      <c r="I112" s="47">
        <v>16350</v>
      </c>
      <c r="J112" s="47">
        <v>16748</v>
      </c>
      <c r="K112" s="47">
        <v>16994.710999999996</v>
      </c>
      <c r="L112" s="47">
        <v>17442.340000000004</v>
      </c>
      <c r="M112" s="47">
        <f t="shared" si="34"/>
        <v>16260.142199999998</v>
      </c>
      <c r="N112" s="47">
        <f t="shared" si="34"/>
        <v>16681.210200000001</v>
      </c>
      <c r="O112" s="35"/>
      <c r="P112" s="102">
        <f t="shared" si="35"/>
        <v>16681.210200000001</v>
      </c>
      <c r="Q112" s="35"/>
    </row>
    <row r="113" spans="1:17" ht="14.45" x14ac:dyDescent="0.35">
      <c r="A113" s="17" t="s">
        <v>10</v>
      </c>
      <c r="B113" s="17" t="s">
        <v>33</v>
      </c>
      <c r="C113" s="47">
        <v>3957.51</v>
      </c>
      <c r="D113" s="47">
        <v>4482.4459999999999</v>
      </c>
      <c r="E113" s="47">
        <v>5292.8770000000004</v>
      </c>
      <c r="F113" s="47">
        <v>6346.0159999999996</v>
      </c>
      <c r="G113" s="47">
        <v>6894.8040000000001</v>
      </c>
      <c r="H113" s="47">
        <v>7339.335</v>
      </c>
      <c r="I113" s="47">
        <v>7724.8860000000004</v>
      </c>
      <c r="J113" s="47">
        <v>8179.3249999999998</v>
      </c>
      <c r="K113" s="47">
        <v>8503.553004398982</v>
      </c>
      <c r="L113" s="47">
        <v>8913.2449121281679</v>
      </c>
      <c r="M113" s="47">
        <f t="shared" si="34"/>
        <v>7728.3806008797965</v>
      </c>
      <c r="N113" s="47">
        <f t="shared" si="34"/>
        <v>8132.0687833054308</v>
      </c>
      <c r="O113" s="35"/>
      <c r="P113" s="102">
        <f t="shared" si="35"/>
        <v>8132.0687833054308</v>
      </c>
      <c r="Q113" s="35"/>
    </row>
    <row r="114" spans="1:17" ht="14.45" x14ac:dyDescent="0.35">
      <c r="A114" s="17" t="s">
        <v>5</v>
      </c>
      <c r="B114" s="17" t="s">
        <v>33</v>
      </c>
      <c r="C114" s="47">
        <v>5166</v>
      </c>
      <c r="D114" s="47">
        <v>6039</v>
      </c>
      <c r="E114" s="47">
        <v>5954</v>
      </c>
      <c r="F114" s="47">
        <v>5989</v>
      </c>
      <c r="G114" s="47">
        <v>6203</v>
      </c>
      <c r="H114" s="47">
        <v>7066</v>
      </c>
      <c r="I114" s="47">
        <v>7365</v>
      </c>
      <c r="J114" s="47">
        <v>7607</v>
      </c>
      <c r="K114" s="47">
        <v>7665.9</v>
      </c>
      <c r="L114" s="47">
        <v>7945.5014970858138</v>
      </c>
      <c r="M114" s="47">
        <f t="shared" si="34"/>
        <v>7181.38</v>
      </c>
      <c r="N114" s="47">
        <f t="shared" si="34"/>
        <v>7529.880299417162</v>
      </c>
      <c r="O114" s="35"/>
      <c r="P114" s="102">
        <f t="shared" si="35"/>
        <v>7529.880299417162</v>
      </c>
      <c r="Q114" s="35"/>
    </row>
    <row r="115" spans="1:17" ht="14.45" x14ac:dyDescent="0.35">
      <c r="A115" s="17" t="s">
        <v>6</v>
      </c>
      <c r="B115" s="17" t="s">
        <v>33</v>
      </c>
      <c r="C115" s="47">
        <v>1300.8904054881041</v>
      </c>
      <c r="D115" s="47">
        <v>1344.3303160118953</v>
      </c>
      <c r="E115" s="47">
        <v>1415.6762888429591</v>
      </c>
      <c r="F115" s="47">
        <v>1463.26622</v>
      </c>
      <c r="G115" s="47">
        <v>1507.1591800000003</v>
      </c>
      <c r="H115" s="47">
        <v>1565.6344853564392</v>
      </c>
      <c r="I115" s="47">
        <v>1630.0100000000002</v>
      </c>
      <c r="J115" s="47">
        <v>1679.2797602493763</v>
      </c>
      <c r="K115" s="47">
        <v>1725.0657418734829</v>
      </c>
      <c r="L115" s="47">
        <v>1795.4201599999999</v>
      </c>
      <c r="M115" s="47">
        <f t="shared" si="34"/>
        <v>1621.4298334958598</v>
      </c>
      <c r="N115" s="47">
        <f t="shared" si="34"/>
        <v>1679.0820294958598</v>
      </c>
      <c r="O115" s="35"/>
      <c r="P115" s="102">
        <f t="shared" si="35"/>
        <v>1679.0820294958598</v>
      </c>
      <c r="Q115" s="35"/>
    </row>
    <row r="116" spans="1:17" ht="14.45" x14ac:dyDescent="0.35">
      <c r="A116" s="17" t="s">
        <v>7</v>
      </c>
      <c r="B116" s="17" t="s">
        <v>33</v>
      </c>
      <c r="C116" s="47">
        <v>3323.7991023187465</v>
      </c>
      <c r="D116" s="47">
        <v>3512.4999999999995</v>
      </c>
      <c r="E116" s="47">
        <v>3541.5000000000005</v>
      </c>
      <c r="F116" s="47">
        <v>4584.7061214397945</v>
      </c>
      <c r="G116" s="47">
        <v>5128.6620490220139</v>
      </c>
      <c r="H116" s="47">
        <v>4688</v>
      </c>
      <c r="I116" s="47">
        <v>4830</v>
      </c>
      <c r="J116" s="47">
        <v>5065</v>
      </c>
      <c r="K116" s="47">
        <v>5248.4063490000008</v>
      </c>
      <c r="L116" s="47">
        <v>5576.7225400000398</v>
      </c>
      <c r="M116" s="47">
        <f t="shared" si="34"/>
        <v>4992.0136796044035</v>
      </c>
      <c r="N116" s="47">
        <f t="shared" si="34"/>
        <v>5081.6257778000081</v>
      </c>
      <c r="O116" s="35"/>
      <c r="P116" s="102">
        <f t="shared" si="35"/>
        <v>5081.6257778000081</v>
      </c>
      <c r="Q116" s="35"/>
    </row>
    <row r="117" spans="1:17" ht="14.45" x14ac:dyDescent="0.35">
      <c r="A117" s="17" t="s">
        <v>8</v>
      </c>
      <c r="B117" s="17" t="s">
        <v>33</v>
      </c>
      <c r="C117" s="47">
        <v>13761.847656182401</v>
      </c>
      <c r="D117" s="47">
        <v>14300.857422668441</v>
      </c>
      <c r="E117" s="47">
        <v>14839.867189154475</v>
      </c>
      <c r="F117" s="47">
        <v>15488.943566456213</v>
      </c>
      <c r="G117" s="47">
        <v>15885.21237119121</v>
      </c>
      <c r="H117" s="47">
        <v>16127.990868133405</v>
      </c>
      <c r="I117" s="47">
        <v>16499.884838495418</v>
      </c>
      <c r="J117" s="47">
        <v>16729.450000000004</v>
      </c>
      <c r="K117" s="47">
        <v>16922.971000000001</v>
      </c>
      <c r="L117" s="47">
        <v>16971</v>
      </c>
      <c r="M117" s="47">
        <f t="shared" si="34"/>
        <v>16433.101815564009</v>
      </c>
      <c r="N117" s="47">
        <f t="shared" si="34"/>
        <v>16650.259341325764</v>
      </c>
      <c r="O117" s="35"/>
      <c r="P117" s="102">
        <f t="shared" si="35"/>
        <v>16650.259341325764</v>
      </c>
      <c r="Q117" s="35"/>
    </row>
    <row r="118" spans="1:17" ht="14.45" x14ac:dyDescent="0.35">
      <c r="A118" s="17" t="s">
        <v>73</v>
      </c>
      <c r="B118" s="17" t="s">
        <v>33</v>
      </c>
      <c r="C118" s="47">
        <v>3864.76</v>
      </c>
      <c r="D118" s="47">
        <v>4111.4009999999998</v>
      </c>
      <c r="E118" s="47">
        <v>4290.7219999999998</v>
      </c>
      <c r="F118" s="47">
        <v>4612.5159999999996</v>
      </c>
      <c r="G118" s="47">
        <v>4792.9139999999998</v>
      </c>
      <c r="H118" s="47">
        <v>5069.076</v>
      </c>
      <c r="I118" s="47">
        <v>5322.3940000000002</v>
      </c>
      <c r="J118" s="47">
        <v>5502.2719999999999</v>
      </c>
      <c r="K118" s="47">
        <v>5728.1507942210001</v>
      </c>
      <c r="L118" s="47">
        <v>5965.934825000103</v>
      </c>
      <c r="M118" s="47">
        <f t="shared" si="34"/>
        <v>5282.9613588441998</v>
      </c>
      <c r="N118" s="47">
        <f t="shared" si="34"/>
        <v>5517.5655238442214</v>
      </c>
      <c r="O118" s="35"/>
      <c r="P118" s="102">
        <f t="shared" si="35"/>
        <v>5517.5655238442214</v>
      </c>
      <c r="Q118" s="35"/>
    </row>
    <row r="119" spans="1:17" ht="14.45" x14ac:dyDescent="0.35">
      <c r="A119" s="17" t="s">
        <v>54</v>
      </c>
      <c r="B119" s="17" t="s">
        <v>33</v>
      </c>
      <c r="C119" s="47">
        <v>1902.3</v>
      </c>
      <c r="D119" s="47">
        <v>1902.5</v>
      </c>
      <c r="E119" s="47">
        <v>1902.5</v>
      </c>
      <c r="F119" s="47">
        <v>1930.6</v>
      </c>
      <c r="G119" s="47">
        <v>2095.2000000000003</v>
      </c>
      <c r="H119" s="47">
        <v>2274.9</v>
      </c>
      <c r="I119" s="47">
        <v>2339.3000000000002</v>
      </c>
      <c r="J119" s="47">
        <v>2373.6999999999998</v>
      </c>
      <c r="K119" s="47">
        <v>2432.8000000000002</v>
      </c>
      <c r="L119" s="47">
        <v>2465.2890000000002</v>
      </c>
      <c r="M119" s="47">
        <f t="shared" si="34"/>
        <v>2303.1800000000003</v>
      </c>
      <c r="N119" s="47">
        <f t="shared" si="34"/>
        <v>2377.1978000000004</v>
      </c>
      <c r="O119" s="35"/>
      <c r="P119" s="102">
        <f t="shared" si="35"/>
        <v>2377.1978000000004</v>
      </c>
      <c r="Q119" s="35"/>
    </row>
    <row r="120" spans="1:17" ht="14.45" x14ac:dyDescent="0.35">
      <c r="A120" s="17" t="s">
        <v>9</v>
      </c>
      <c r="B120" s="17" t="s">
        <v>33</v>
      </c>
      <c r="C120" s="47">
        <v>2276</v>
      </c>
      <c r="D120" s="47">
        <v>2318.4</v>
      </c>
      <c r="E120" s="47">
        <v>2386.1</v>
      </c>
      <c r="F120" s="47">
        <v>2424.3000000000002</v>
      </c>
      <c r="G120" s="47">
        <v>2496.8000000000002</v>
      </c>
      <c r="H120" s="47">
        <v>2595.4</v>
      </c>
      <c r="I120" s="47">
        <v>2631.9</v>
      </c>
      <c r="J120" s="47">
        <v>2690.8</v>
      </c>
      <c r="K120" s="47">
        <v>2738.098</v>
      </c>
      <c r="L120" s="47">
        <v>2793.1475426999996</v>
      </c>
      <c r="M120" s="47">
        <f t="shared" si="34"/>
        <v>2630.5996000000005</v>
      </c>
      <c r="N120" s="47">
        <f t="shared" si="34"/>
        <v>2689.8691085400001</v>
      </c>
      <c r="O120" s="35"/>
      <c r="P120" s="102">
        <f t="shared" si="35"/>
        <v>2689.8691085400001</v>
      </c>
      <c r="Q120" s="35"/>
    </row>
    <row r="121" spans="1:17" ht="14.45" x14ac:dyDescent="0.35"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1:17" ht="14.45" x14ac:dyDescent="0.35">
      <c r="A122" s="23" t="s">
        <v>105</v>
      </c>
      <c r="B122" s="2"/>
      <c r="C122" s="33">
        <v>2006</v>
      </c>
      <c r="D122" s="33">
        <v>2007</v>
      </c>
      <c r="E122" s="33">
        <v>2008</v>
      </c>
      <c r="F122" s="33">
        <v>2009</v>
      </c>
      <c r="G122" s="33">
        <v>2010</v>
      </c>
      <c r="H122" s="33">
        <v>2011</v>
      </c>
      <c r="I122" s="33">
        <v>2012</v>
      </c>
      <c r="J122" s="33">
        <v>2013</v>
      </c>
      <c r="K122" s="33">
        <v>2014</v>
      </c>
      <c r="L122" s="33">
        <v>2015</v>
      </c>
      <c r="M122" s="33" t="s">
        <v>82</v>
      </c>
      <c r="N122" s="33" t="s">
        <v>133</v>
      </c>
      <c r="O122" s="35"/>
      <c r="P122" s="35" t="s">
        <v>134</v>
      </c>
      <c r="Q122" s="35"/>
    </row>
    <row r="123" spans="1:17" ht="14.45" x14ac:dyDescent="0.35">
      <c r="A123" s="17" t="s">
        <v>1</v>
      </c>
      <c r="B123" s="83" t="s">
        <v>86</v>
      </c>
      <c r="C123" s="34">
        <f t="shared" ref="C123:L123" si="36">C18/C3</f>
        <v>40.551879293923307</v>
      </c>
      <c r="D123" s="34">
        <f t="shared" si="36"/>
        <v>41.044174724915301</v>
      </c>
      <c r="E123" s="34">
        <f t="shared" si="36"/>
        <v>41.30840673197595</v>
      </c>
      <c r="F123" s="34">
        <f t="shared" si="36"/>
        <v>41.637330405393534</v>
      </c>
      <c r="G123" s="34">
        <f t="shared" si="36"/>
        <v>42.211287846169675</v>
      </c>
      <c r="H123" s="34">
        <f t="shared" si="36"/>
        <v>42.705332523061891</v>
      </c>
      <c r="I123" s="34">
        <f t="shared" si="36"/>
        <v>43.132467227135201</v>
      </c>
      <c r="J123" s="34">
        <f t="shared" si="36"/>
        <v>43.372820042008662</v>
      </c>
      <c r="K123" s="34">
        <f t="shared" si="36"/>
        <v>44.038935436175457</v>
      </c>
      <c r="L123" s="34">
        <f t="shared" si="36"/>
        <v>44.636966126656851</v>
      </c>
      <c r="M123" s="34">
        <f t="shared" ref="M123:N126" si="37">AVERAGE(G123:K123)</f>
        <v>43.092168614910179</v>
      </c>
      <c r="N123" s="34">
        <f t="shared" si="37"/>
        <v>43.577304271007613</v>
      </c>
      <c r="O123" s="35"/>
      <c r="P123" s="101">
        <f>AVERAGE(H123:L123)</f>
        <v>43.577304271007613</v>
      </c>
      <c r="Q123" s="35"/>
    </row>
    <row r="124" spans="1:17" ht="14.45" x14ac:dyDescent="0.35">
      <c r="A124" s="17" t="s">
        <v>78</v>
      </c>
      <c r="B124" s="83" t="s">
        <v>86</v>
      </c>
      <c r="C124" s="34">
        <f t="shared" ref="C124:L124" si="38">C19/C4</f>
        <v>44.72183179099541</v>
      </c>
      <c r="D124" s="34">
        <f t="shared" si="38"/>
        <v>44.706393365177235</v>
      </c>
      <c r="E124" s="34">
        <f t="shared" si="38"/>
        <v>44.753160303668963</v>
      </c>
      <c r="F124" s="34">
        <f t="shared" si="38"/>
        <v>44.719868805012176</v>
      </c>
      <c r="G124" s="34">
        <f t="shared" si="38"/>
        <v>44.707759972118708</v>
      </c>
      <c r="H124" s="34">
        <f t="shared" si="38"/>
        <v>44.436836974942466</v>
      </c>
      <c r="I124" s="34">
        <f t="shared" si="38"/>
        <v>44.295999138804959</v>
      </c>
      <c r="J124" s="34">
        <f t="shared" si="38"/>
        <v>44.248482731711306</v>
      </c>
      <c r="K124" s="34">
        <f t="shared" si="38"/>
        <v>44.226973597113208</v>
      </c>
      <c r="L124" s="34">
        <f t="shared" si="38"/>
        <v>43.155551762571882</v>
      </c>
      <c r="M124" s="34">
        <f t="shared" si="37"/>
        <v>44.383210482938132</v>
      </c>
      <c r="N124" s="34">
        <f t="shared" si="37"/>
        <v>44.072768841028768</v>
      </c>
      <c r="O124" s="35"/>
      <c r="P124" s="101">
        <f t="shared" ref="P124:P135" si="39">AVERAGE(H124:L124)</f>
        <v>44.072768841028768</v>
      </c>
      <c r="Q124" s="35"/>
    </row>
    <row r="125" spans="1:17" ht="14.45" x14ac:dyDescent="0.35">
      <c r="A125" s="17" t="s">
        <v>2</v>
      </c>
      <c r="B125" s="83" t="s">
        <v>86</v>
      </c>
      <c r="C125" s="34">
        <f t="shared" ref="C125:L125" si="40">C20/C5</f>
        <v>103.65611228166941</v>
      </c>
      <c r="D125" s="34">
        <f t="shared" si="40"/>
        <v>102.27609621595315</v>
      </c>
      <c r="E125" s="34">
        <f t="shared" si="40"/>
        <v>104.56964979027126</v>
      </c>
      <c r="F125" s="34">
        <f t="shared" si="40"/>
        <v>104.73622756489902</v>
      </c>
      <c r="G125" s="34">
        <f t="shared" si="40"/>
        <v>105.48943241917124</v>
      </c>
      <c r="H125" s="34">
        <f t="shared" si="40"/>
        <v>102.46268425171428</v>
      </c>
      <c r="I125" s="34">
        <f t="shared" si="40"/>
        <v>103.36966376484868</v>
      </c>
      <c r="J125" s="34">
        <f t="shared" si="40"/>
        <v>103.67535210999536</v>
      </c>
      <c r="K125" s="34">
        <f t="shared" si="40"/>
        <v>102.29665781720483</v>
      </c>
      <c r="L125" s="34">
        <f t="shared" si="40"/>
        <v>102.38606340264865</v>
      </c>
      <c r="M125" s="34">
        <f t="shared" si="37"/>
        <v>103.45875807258687</v>
      </c>
      <c r="N125" s="34">
        <f t="shared" si="37"/>
        <v>102.83808426928235</v>
      </c>
      <c r="O125" s="35"/>
      <c r="P125" s="101">
        <f t="shared" si="39"/>
        <v>102.83808426928235</v>
      </c>
      <c r="Q125" s="35"/>
    </row>
    <row r="126" spans="1:17" ht="14.45" x14ac:dyDescent="0.35">
      <c r="A126" s="17" t="s">
        <v>3</v>
      </c>
      <c r="B126" s="83" t="s">
        <v>86</v>
      </c>
      <c r="C126" s="34">
        <f t="shared" ref="C126:L126" si="41">C21/C6</f>
        <v>33.08944326824696</v>
      </c>
      <c r="D126" s="34">
        <f t="shared" si="41"/>
        <v>33.077692481984243</v>
      </c>
      <c r="E126" s="34">
        <f t="shared" si="41"/>
        <v>32.990695841385161</v>
      </c>
      <c r="F126" s="34">
        <f t="shared" si="41"/>
        <v>33.052527726969458</v>
      </c>
      <c r="G126" s="34">
        <f t="shared" si="41"/>
        <v>33.098286287678462</v>
      </c>
      <c r="H126" s="34">
        <f t="shared" si="41"/>
        <v>33.088059892731223</v>
      </c>
      <c r="I126" s="34">
        <f t="shared" si="41"/>
        <v>33.043512968587102</v>
      </c>
      <c r="J126" s="34">
        <f t="shared" si="41"/>
        <v>33.154640929347927</v>
      </c>
      <c r="K126" s="34">
        <f t="shared" si="41"/>
        <v>33.464880740477035</v>
      </c>
      <c r="L126" s="34">
        <f t="shared" si="41"/>
        <v>33.869547500088586</v>
      </c>
      <c r="M126" s="34">
        <f t="shared" si="37"/>
        <v>33.16987616376435</v>
      </c>
      <c r="N126" s="34">
        <f t="shared" si="37"/>
        <v>33.324128406246373</v>
      </c>
      <c r="O126" s="35"/>
      <c r="P126" s="101">
        <f t="shared" si="39"/>
        <v>33.324128406246373</v>
      </c>
      <c r="Q126" s="35"/>
    </row>
    <row r="127" spans="1:17" ht="14.45" x14ac:dyDescent="0.35">
      <c r="A127" s="17" t="s">
        <v>4</v>
      </c>
      <c r="B127" s="83" t="s">
        <v>86</v>
      </c>
      <c r="C127" s="34">
        <f t="shared" ref="C127:L127" si="42">C22/C7</f>
        <v>32.011820573672253</v>
      </c>
      <c r="D127" s="34">
        <f t="shared" si="42"/>
        <v>31.908437922162854</v>
      </c>
      <c r="E127" s="34">
        <f t="shared" si="42"/>
        <v>31.914011549113194</v>
      </c>
      <c r="F127" s="34">
        <f t="shared" si="42"/>
        <v>31.801098787998551</v>
      </c>
      <c r="G127" s="34">
        <f t="shared" si="42"/>
        <v>31.789996191031904</v>
      </c>
      <c r="H127" s="34">
        <f t="shared" si="42"/>
        <v>31.820468229029242</v>
      </c>
      <c r="I127" s="34">
        <f t="shared" si="42"/>
        <v>31.861740717909811</v>
      </c>
      <c r="J127" s="34">
        <f t="shared" si="42"/>
        <v>31.927853570338367</v>
      </c>
      <c r="K127" s="34">
        <f t="shared" si="42"/>
        <v>32.13603996918264</v>
      </c>
      <c r="L127" s="34">
        <f t="shared" si="42"/>
        <v>32.42858725105468</v>
      </c>
      <c r="M127" s="34">
        <f t="shared" ref="M127:N135" si="43">AVERAGE(G127:K127)</f>
        <v>31.907219735498394</v>
      </c>
      <c r="N127" s="34">
        <f t="shared" si="43"/>
        <v>32.034937947502954</v>
      </c>
      <c r="O127" s="35"/>
      <c r="P127" s="101">
        <f t="shared" si="39"/>
        <v>32.034937947502954</v>
      </c>
      <c r="Q127" s="35"/>
    </row>
    <row r="128" spans="1:17" ht="14.45" x14ac:dyDescent="0.35">
      <c r="A128" s="17" t="s">
        <v>10</v>
      </c>
      <c r="B128" s="83" t="s">
        <v>86</v>
      </c>
      <c r="C128" s="34">
        <f t="shared" ref="C128:L128" si="44">C23/C8</f>
        <v>4.5402850288995147</v>
      </c>
      <c r="D128" s="34">
        <f t="shared" si="44"/>
        <v>4.5653533768593926</v>
      </c>
      <c r="E128" s="34">
        <f t="shared" si="44"/>
        <v>4.6389769835684005</v>
      </c>
      <c r="F128" s="34">
        <f t="shared" si="44"/>
        <v>4.7079325073676088</v>
      </c>
      <c r="G128" s="34">
        <f t="shared" si="44"/>
        <v>4.7782318730892692</v>
      </c>
      <c r="H128" s="34">
        <f t="shared" si="44"/>
        <v>4.8749531589244892</v>
      </c>
      <c r="I128" s="34">
        <f t="shared" si="44"/>
        <v>4.9104034510347807</v>
      </c>
      <c r="J128" s="34">
        <f t="shared" si="44"/>
        <v>5.0226027409898748</v>
      </c>
      <c r="K128" s="34">
        <f t="shared" si="44"/>
        <v>5.0895875233456795</v>
      </c>
      <c r="L128" s="34">
        <f t="shared" si="44"/>
        <v>5.2015909548074335</v>
      </c>
      <c r="M128" s="34">
        <f t="shared" si="43"/>
        <v>4.9351557494768183</v>
      </c>
      <c r="N128" s="34">
        <f t="shared" si="43"/>
        <v>5.0198275658204512</v>
      </c>
      <c r="O128" s="35"/>
      <c r="P128" s="101">
        <f t="shared" si="39"/>
        <v>5.0198275658204512</v>
      </c>
      <c r="Q128" s="35"/>
    </row>
    <row r="129" spans="1:17" ht="14.45" x14ac:dyDescent="0.35">
      <c r="A129" s="17" t="s">
        <v>5</v>
      </c>
      <c r="B129" s="83" t="s">
        <v>86</v>
      </c>
      <c r="C129" s="34">
        <f t="shared" ref="C129:L129" si="45">C24/C9</f>
        <v>4.2160772002978426</v>
      </c>
      <c r="D129" s="34">
        <f t="shared" si="45"/>
        <v>4.4772191551798048</v>
      </c>
      <c r="E129" s="34">
        <f t="shared" si="45"/>
        <v>4.6194159469213645</v>
      </c>
      <c r="F129" s="34">
        <f t="shared" si="45"/>
        <v>4.6097653633066118</v>
      </c>
      <c r="G129" s="34">
        <f t="shared" si="45"/>
        <v>4.5661013287522199</v>
      </c>
      <c r="H129" s="34">
        <f t="shared" si="45"/>
        <v>4.626802111520206</v>
      </c>
      <c r="I129" s="34">
        <f t="shared" si="45"/>
        <v>4.6469548155374243</v>
      </c>
      <c r="J129" s="34">
        <f t="shared" si="45"/>
        <v>4.6710154309204883</v>
      </c>
      <c r="K129" s="34">
        <f t="shared" si="45"/>
        <v>4.7262712942829799</v>
      </c>
      <c r="L129" s="34">
        <f t="shared" si="45"/>
        <v>4.7799183940414522</v>
      </c>
      <c r="M129" s="34">
        <f t="shared" si="43"/>
        <v>4.647428996202664</v>
      </c>
      <c r="N129" s="34">
        <f t="shared" si="43"/>
        <v>4.6901924092605096</v>
      </c>
      <c r="O129" s="35"/>
      <c r="P129" s="101">
        <f t="shared" si="39"/>
        <v>4.6901924092605096</v>
      </c>
      <c r="Q129" s="35"/>
    </row>
    <row r="130" spans="1:17" ht="14.45" x14ac:dyDescent="0.35">
      <c r="A130" s="17" t="s">
        <v>6</v>
      </c>
      <c r="B130" s="83" t="s">
        <v>86</v>
      </c>
      <c r="C130" s="34">
        <f t="shared" ref="C130:L130" si="46">C25/C10</f>
        <v>72.178065092771007</v>
      </c>
      <c r="D130" s="34">
        <f t="shared" si="46"/>
        <v>73.022668926026242</v>
      </c>
      <c r="E130" s="34">
        <f t="shared" si="46"/>
        <v>72.693234809699732</v>
      </c>
      <c r="F130" s="34">
        <f t="shared" si="46"/>
        <v>72.630635336355226</v>
      </c>
      <c r="G130" s="34">
        <f t="shared" si="46"/>
        <v>73.155182440677223</v>
      </c>
      <c r="H130" s="34">
        <f t="shared" si="46"/>
        <v>73.220704803339217</v>
      </c>
      <c r="I130" s="34">
        <f t="shared" si="46"/>
        <v>73.393255441730659</v>
      </c>
      <c r="J130" s="34">
        <f t="shared" si="46"/>
        <v>73.456614027548312</v>
      </c>
      <c r="K130" s="34">
        <f t="shared" si="46"/>
        <v>71.149301828574437</v>
      </c>
      <c r="L130" s="34">
        <f t="shared" si="46"/>
        <v>71.664882943143809</v>
      </c>
      <c r="M130" s="34">
        <f t="shared" si="43"/>
        <v>72.875011708373975</v>
      </c>
      <c r="N130" s="34">
        <f t="shared" si="43"/>
        <v>72.576951808867292</v>
      </c>
      <c r="O130" s="35"/>
      <c r="P130" s="101">
        <f t="shared" si="39"/>
        <v>72.576951808867292</v>
      </c>
      <c r="Q130" s="35"/>
    </row>
    <row r="131" spans="1:17" ht="14.45" x14ac:dyDescent="0.35">
      <c r="A131" s="17" t="s">
        <v>7</v>
      </c>
      <c r="B131" s="83" t="s">
        <v>86</v>
      </c>
      <c r="C131" s="34">
        <f t="shared" ref="C131:L131" si="47">C26/C11</f>
        <v>10.24895308671211</v>
      </c>
      <c r="D131" s="34">
        <f t="shared" si="47"/>
        <v>10.39510971000858</v>
      </c>
      <c r="E131" s="34">
        <f t="shared" si="47"/>
        <v>10.559831342064626</v>
      </c>
      <c r="F131" s="34">
        <f t="shared" si="47"/>
        <v>10.623607692166676</v>
      </c>
      <c r="G131" s="34">
        <f t="shared" si="47"/>
        <v>10.751699748000371</v>
      </c>
      <c r="H131" s="34">
        <f t="shared" si="47"/>
        <v>11.043788466250255</v>
      </c>
      <c r="I131" s="34">
        <f t="shared" si="47"/>
        <v>11.174264292796693</v>
      </c>
      <c r="J131" s="34">
        <f t="shared" si="47"/>
        <v>11.280026593645704</v>
      </c>
      <c r="K131" s="34">
        <f t="shared" si="47"/>
        <v>11.420480837572837</v>
      </c>
      <c r="L131" s="34">
        <f t="shared" si="47"/>
        <v>11.540877110544045</v>
      </c>
      <c r="M131" s="34">
        <f t="shared" si="43"/>
        <v>11.134051987653171</v>
      </c>
      <c r="N131" s="34">
        <f t="shared" si="43"/>
        <v>11.291887460161908</v>
      </c>
      <c r="O131" s="35"/>
      <c r="P131" s="101">
        <f t="shared" si="39"/>
        <v>11.291887460161908</v>
      </c>
      <c r="Q131" s="35"/>
    </row>
    <row r="132" spans="1:17" ht="14.45" x14ac:dyDescent="0.35">
      <c r="A132" s="17" t="s">
        <v>8</v>
      </c>
      <c r="B132" s="83" t="s">
        <v>86</v>
      </c>
      <c r="C132" s="34">
        <f t="shared" ref="C132:L132" si="48">C27/C12</f>
        <v>9.6104419102956822</v>
      </c>
      <c r="D132" s="34">
        <f t="shared" si="48"/>
        <v>9.6235478132985701</v>
      </c>
      <c r="E132" s="34">
        <f t="shared" si="48"/>
        <v>9.6502225891939553</v>
      </c>
      <c r="F132" s="34">
        <f t="shared" si="48"/>
        <v>10.040575351824755</v>
      </c>
      <c r="G132" s="34">
        <f t="shared" si="48"/>
        <v>10.167826144870579</v>
      </c>
      <c r="H132" s="34">
        <f t="shared" si="48"/>
        <v>10.316871930776687</v>
      </c>
      <c r="I132" s="34">
        <f t="shared" si="48"/>
        <v>10.404777308378002</v>
      </c>
      <c r="J132" s="34">
        <f t="shared" si="48"/>
        <v>10.448574633028088</v>
      </c>
      <c r="K132" s="34">
        <f t="shared" si="48"/>
        <v>10.48934768419886</v>
      </c>
      <c r="L132" s="34">
        <f t="shared" si="48"/>
        <v>10.513150927640705</v>
      </c>
      <c r="M132" s="34">
        <f t="shared" si="43"/>
        <v>10.365479540250444</v>
      </c>
      <c r="N132" s="34">
        <f t="shared" si="43"/>
        <v>10.434544496804468</v>
      </c>
      <c r="O132" s="35"/>
      <c r="P132" s="101">
        <f t="shared" si="39"/>
        <v>10.434544496804468</v>
      </c>
      <c r="Q132" s="35"/>
    </row>
    <row r="133" spans="1:17" ht="14.45" x14ac:dyDescent="0.35">
      <c r="A133" s="17" t="s">
        <v>73</v>
      </c>
      <c r="B133" s="83" t="s">
        <v>86</v>
      </c>
      <c r="C133" s="34">
        <f t="shared" ref="C133:L133" si="49">C28/C13</f>
        <v>17.271343522052984</v>
      </c>
      <c r="D133" s="34">
        <f t="shared" si="49"/>
        <v>17.381311567413011</v>
      </c>
      <c r="E133" s="34">
        <f t="shared" si="49"/>
        <v>17.525264397131366</v>
      </c>
      <c r="F133" s="34">
        <f t="shared" si="49"/>
        <v>17.499863354079636</v>
      </c>
      <c r="G133" s="34">
        <f t="shared" si="49"/>
        <v>17.539521880068254</v>
      </c>
      <c r="H133" s="34">
        <f t="shared" si="49"/>
        <v>17.602991940136612</v>
      </c>
      <c r="I133" s="34">
        <f t="shared" si="49"/>
        <v>17.718834200618311</v>
      </c>
      <c r="J133" s="34">
        <f t="shared" si="49"/>
        <v>17.951120143467556</v>
      </c>
      <c r="K133" s="34">
        <f t="shared" si="49"/>
        <v>17.815601883853191</v>
      </c>
      <c r="L133" s="34">
        <f t="shared" si="49"/>
        <v>18.307554755940249</v>
      </c>
      <c r="M133" s="34">
        <f t="shared" si="43"/>
        <v>17.725614009628785</v>
      </c>
      <c r="N133" s="34">
        <f t="shared" si="43"/>
        <v>17.879220584803186</v>
      </c>
      <c r="O133" s="35"/>
      <c r="P133" s="101">
        <f t="shared" si="39"/>
        <v>17.879220584803186</v>
      </c>
      <c r="Q133" s="35"/>
    </row>
    <row r="134" spans="1:17" ht="14.45" x14ac:dyDescent="0.35">
      <c r="A134" s="17" t="s">
        <v>54</v>
      </c>
      <c r="B134" s="83" t="s">
        <v>86</v>
      </c>
      <c r="C134" s="34">
        <f t="shared" ref="C134:L134" si="50">C29/C14</f>
        <v>12.453668101029082</v>
      </c>
      <c r="D134" s="34">
        <f t="shared" si="50"/>
        <v>12.694245526024073</v>
      </c>
      <c r="E134" s="34">
        <f t="shared" si="50"/>
        <v>12.939692907246906</v>
      </c>
      <c r="F134" s="34">
        <f t="shared" si="50"/>
        <v>13.190108826157012</v>
      </c>
      <c r="G134" s="34">
        <f t="shared" si="50"/>
        <v>13.444925822122858</v>
      </c>
      <c r="H134" s="34">
        <f t="shared" si="50"/>
        <v>13.663480112932785</v>
      </c>
      <c r="I134" s="34">
        <f t="shared" si="50"/>
        <v>13.747753086419753</v>
      </c>
      <c r="J134" s="34">
        <f t="shared" si="50"/>
        <v>13.785921875769667</v>
      </c>
      <c r="K134" s="34">
        <f t="shared" si="50"/>
        <v>13.78861549039831</v>
      </c>
      <c r="L134" s="34">
        <f t="shared" si="50"/>
        <v>13.85710089587311</v>
      </c>
      <c r="M134" s="34">
        <f t="shared" si="43"/>
        <v>13.686139277528673</v>
      </c>
      <c r="N134" s="34">
        <f t="shared" si="43"/>
        <v>13.768574292278725</v>
      </c>
      <c r="O134" s="35"/>
      <c r="P134" s="101">
        <f t="shared" si="39"/>
        <v>13.768574292278725</v>
      </c>
      <c r="Q134" s="35"/>
    </row>
    <row r="135" spans="1:17" ht="14.45" x14ac:dyDescent="0.35">
      <c r="A135" s="17" t="s">
        <v>9</v>
      </c>
      <c r="B135" s="83" t="s">
        <v>86</v>
      </c>
      <c r="C135" s="34">
        <f t="shared" ref="C135:L135" si="51">C30/C15</f>
        <v>82.556841440713214</v>
      </c>
      <c r="D135" s="34">
        <f t="shared" si="51"/>
        <v>82.89445515829523</v>
      </c>
      <c r="E135" s="34">
        <f t="shared" si="51"/>
        <v>83.359998866526894</v>
      </c>
      <c r="F135" s="34">
        <f t="shared" si="51"/>
        <v>84.596221912226028</v>
      </c>
      <c r="G135" s="34">
        <f t="shared" si="51"/>
        <v>85.075906943307473</v>
      </c>
      <c r="H135" s="34">
        <f t="shared" si="51"/>
        <v>86.206446662599475</v>
      </c>
      <c r="I135" s="34">
        <f t="shared" si="51"/>
        <v>86.641900018582206</v>
      </c>
      <c r="J135" s="34">
        <f t="shared" si="51"/>
        <v>88.158453068349672</v>
      </c>
      <c r="K135" s="34">
        <f t="shared" si="51"/>
        <v>88.156857282093554</v>
      </c>
      <c r="L135" s="34">
        <f t="shared" si="51"/>
        <v>89.498426923559165</v>
      </c>
      <c r="M135" s="34">
        <f t="shared" si="43"/>
        <v>86.84791279498647</v>
      </c>
      <c r="N135" s="34">
        <f t="shared" si="43"/>
        <v>87.732416791036812</v>
      </c>
      <c r="O135" s="35"/>
      <c r="P135" s="101">
        <f t="shared" si="39"/>
        <v>87.732416791036812</v>
      </c>
      <c r="Q135" s="35"/>
    </row>
    <row r="136" spans="1:17" ht="14.45" x14ac:dyDescent="0.35"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1:17" ht="14.45" x14ac:dyDescent="0.35">
      <c r="A137" s="79" t="s">
        <v>191</v>
      </c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35"/>
      <c r="N137" s="35"/>
      <c r="O137" s="35"/>
      <c r="P137" s="35"/>
      <c r="Q137" s="35"/>
    </row>
    <row r="138" spans="1:17" ht="14.45" x14ac:dyDescent="0.35">
      <c r="A138" s="79" t="s">
        <v>58</v>
      </c>
      <c r="B138" s="79" t="s">
        <v>86</v>
      </c>
      <c r="C138" s="112">
        <f>C123</f>
        <v>40.551879293923307</v>
      </c>
      <c r="D138" s="112">
        <f t="shared" ref="D138:L138" si="52">D123</f>
        <v>41.044174724915301</v>
      </c>
      <c r="E138" s="112">
        <f t="shared" si="52"/>
        <v>41.30840673197595</v>
      </c>
      <c r="F138" s="112">
        <f t="shared" si="52"/>
        <v>41.637330405393534</v>
      </c>
      <c r="G138" s="112">
        <f t="shared" si="52"/>
        <v>42.211287846169675</v>
      </c>
      <c r="H138" s="112">
        <f t="shared" si="52"/>
        <v>42.705332523061891</v>
      </c>
      <c r="I138" s="112">
        <f t="shared" si="52"/>
        <v>43.132467227135201</v>
      </c>
      <c r="J138" s="112">
        <f t="shared" si="52"/>
        <v>43.372820042008662</v>
      </c>
      <c r="K138" s="112">
        <f t="shared" si="52"/>
        <v>44.038935436175457</v>
      </c>
      <c r="L138" s="112">
        <f t="shared" si="52"/>
        <v>44.636966126656851</v>
      </c>
      <c r="M138" s="35"/>
      <c r="N138" s="35"/>
      <c r="O138" s="35"/>
      <c r="P138" s="35"/>
      <c r="Q138" s="35"/>
    </row>
    <row r="139" spans="1:17" ht="14.45" x14ac:dyDescent="0.35">
      <c r="A139" s="79" t="s">
        <v>190</v>
      </c>
      <c r="B139" s="79" t="s">
        <v>86</v>
      </c>
      <c r="C139" s="112">
        <f>(C22+C23)/(C7+C8)</f>
        <v>10.472909128612192</v>
      </c>
      <c r="D139" s="112">
        <f t="shared" ref="D139:L139" si="53">(D22+D23)/(D7+D8)</f>
        <v>10.520944283282233</v>
      </c>
      <c r="E139" s="112">
        <f t="shared" si="53"/>
        <v>10.66522745655082</v>
      </c>
      <c r="F139" s="112">
        <f t="shared" si="53"/>
        <v>10.755924161138628</v>
      </c>
      <c r="G139" s="112">
        <f t="shared" si="53"/>
        <v>10.8557993010586</v>
      </c>
      <c r="H139" s="112">
        <f t="shared" si="53"/>
        <v>11.012864548725853</v>
      </c>
      <c r="I139" s="112">
        <f t="shared" si="53"/>
        <v>11.068912175640051</v>
      </c>
      <c r="J139" s="112">
        <f t="shared" si="53"/>
        <v>11.24870915683997</v>
      </c>
      <c r="K139" s="112">
        <f t="shared" si="53"/>
        <v>11.36258068426695</v>
      </c>
      <c r="L139" s="112">
        <f t="shared" si="53"/>
        <v>11.608424292906179</v>
      </c>
      <c r="M139" s="35"/>
      <c r="N139" s="35"/>
      <c r="O139" s="35"/>
      <c r="P139" s="35"/>
      <c r="Q139" s="35"/>
    </row>
    <row r="140" spans="1:17" ht="14.45" x14ac:dyDescent="0.35">
      <c r="A140" s="79" t="s">
        <v>186</v>
      </c>
      <c r="B140" s="79" t="s">
        <v>86</v>
      </c>
      <c r="C140" s="112">
        <f>(C19+C21+C24)/(C4+C6+C9)</f>
        <v>12.790994399935455</v>
      </c>
      <c r="D140" s="112">
        <f t="shared" ref="D140:L140" si="54">(D19+D21+D24)/(D4+D6+D9)</f>
        <v>13.401255733157354</v>
      </c>
      <c r="E140" s="112">
        <f t="shared" si="54"/>
        <v>13.696138882741735</v>
      </c>
      <c r="F140" s="112">
        <f t="shared" si="54"/>
        <v>13.677296002188324</v>
      </c>
      <c r="G140" s="112">
        <f t="shared" si="54"/>
        <v>13.601824595789392</v>
      </c>
      <c r="H140" s="112">
        <f t="shared" si="54"/>
        <v>13.703860348062259</v>
      </c>
      <c r="I140" s="112">
        <f t="shared" si="54"/>
        <v>13.764825669101567</v>
      </c>
      <c r="J140" s="112">
        <f t="shared" si="54"/>
        <v>13.848270172165678</v>
      </c>
      <c r="K140" s="112">
        <f t="shared" si="54"/>
        <v>13.996393759582867</v>
      </c>
      <c r="L140" s="112">
        <f t="shared" si="54"/>
        <v>14.065661712907248</v>
      </c>
      <c r="M140" s="35"/>
      <c r="N140" s="35"/>
      <c r="O140" s="35"/>
      <c r="P140" s="35"/>
      <c r="Q140" s="35"/>
    </row>
    <row r="141" spans="1:17" ht="14.45" x14ac:dyDescent="0.35">
      <c r="A141" s="79" t="s">
        <v>187</v>
      </c>
      <c r="B141" s="79" t="s">
        <v>86</v>
      </c>
      <c r="C141" s="112">
        <f>C132</f>
        <v>9.6104419102956822</v>
      </c>
      <c r="D141" s="112">
        <f t="shared" ref="D141:L141" si="55">D132</f>
        <v>9.6235478132985701</v>
      </c>
      <c r="E141" s="112">
        <f t="shared" si="55"/>
        <v>9.6502225891939553</v>
      </c>
      <c r="F141" s="112">
        <f t="shared" si="55"/>
        <v>10.040575351824755</v>
      </c>
      <c r="G141" s="112">
        <f t="shared" si="55"/>
        <v>10.167826144870579</v>
      </c>
      <c r="H141" s="112">
        <f t="shared" si="55"/>
        <v>10.316871930776687</v>
      </c>
      <c r="I141" s="112">
        <f t="shared" si="55"/>
        <v>10.404777308378002</v>
      </c>
      <c r="J141" s="112">
        <f t="shared" si="55"/>
        <v>10.448574633028088</v>
      </c>
      <c r="K141" s="112">
        <f t="shared" si="55"/>
        <v>10.48934768419886</v>
      </c>
      <c r="L141" s="112">
        <f t="shared" si="55"/>
        <v>10.513150927640705</v>
      </c>
      <c r="M141" s="35"/>
      <c r="N141" s="35"/>
      <c r="O141" s="35"/>
      <c r="P141" s="35"/>
      <c r="Q141" s="35"/>
    </row>
    <row r="142" spans="1:17" ht="14.45" x14ac:dyDescent="0.35">
      <c r="A142" s="79" t="s">
        <v>188</v>
      </c>
      <c r="B142" s="79" t="s">
        <v>86</v>
      </c>
      <c r="C142" s="112">
        <f>C134</f>
        <v>12.453668101029082</v>
      </c>
      <c r="D142" s="112">
        <f t="shared" ref="D142:L142" si="56">D134</f>
        <v>12.694245526024073</v>
      </c>
      <c r="E142" s="112">
        <f t="shared" si="56"/>
        <v>12.939692907246906</v>
      </c>
      <c r="F142" s="112">
        <f t="shared" si="56"/>
        <v>13.190108826157012</v>
      </c>
      <c r="G142" s="112">
        <f t="shared" si="56"/>
        <v>13.444925822122858</v>
      </c>
      <c r="H142" s="112">
        <f t="shared" si="56"/>
        <v>13.663480112932785</v>
      </c>
      <c r="I142" s="112">
        <f t="shared" si="56"/>
        <v>13.747753086419753</v>
      </c>
      <c r="J142" s="112">
        <f t="shared" si="56"/>
        <v>13.785921875769667</v>
      </c>
      <c r="K142" s="112">
        <f t="shared" si="56"/>
        <v>13.78861549039831</v>
      </c>
      <c r="L142" s="112">
        <f t="shared" si="56"/>
        <v>13.85710089587311</v>
      </c>
      <c r="M142" s="35"/>
      <c r="N142" s="35"/>
      <c r="O142" s="35"/>
      <c r="P142" s="35"/>
      <c r="Q142" s="35"/>
    </row>
    <row r="143" spans="1:17" ht="14.45" x14ac:dyDescent="0.35">
      <c r="A143" s="79" t="s">
        <v>189</v>
      </c>
      <c r="B143" s="79" t="s">
        <v>86</v>
      </c>
      <c r="C143" s="112">
        <f>(C20+C25+C26+C28+C30)/(C5+C10+C11+C13+C15)</f>
        <v>21.637353703058508</v>
      </c>
      <c r="D143" s="112">
        <f t="shared" ref="D143:L143" si="57">(D20+D25+D26+D28+D30)/(D5+D10+D11+D13+D15)</f>
        <v>21.828505499734639</v>
      </c>
      <c r="E143" s="112">
        <f t="shared" si="57"/>
        <v>22.033086039920764</v>
      </c>
      <c r="F143" s="112">
        <f t="shared" si="57"/>
        <v>22.037339332225521</v>
      </c>
      <c r="G143" s="112">
        <f t="shared" si="57"/>
        <v>22.164804304233311</v>
      </c>
      <c r="H143" s="112">
        <f t="shared" si="57"/>
        <v>22.462328994940769</v>
      </c>
      <c r="I143" s="112">
        <f t="shared" si="57"/>
        <v>22.623353766646861</v>
      </c>
      <c r="J143" s="112">
        <f t="shared" si="57"/>
        <v>22.83654578320915</v>
      </c>
      <c r="K143" s="112">
        <f t="shared" si="57"/>
        <v>22.830046685439466</v>
      </c>
      <c r="L143" s="112">
        <f t="shared" si="57"/>
        <v>23.111993061556273</v>
      </c>
      <c r="M143" s="35"/>
      <c r="N143" s="35"/>
      <c r="O143" s="35"/>
      <c r="P143" s="35"/>
      <c r="Q143" s="35"/>
    </row>
    <row r="144" spans="1:17" ht="14.45" x14ac:dyDescent="0.35"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3:17" ht="14.45" x14ac:dyDescent="0.35"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3:17" ht="14.45" x14ac:dyDescent="0.35"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3:17" ht="14.45" x14ac:dyDescent="0.35"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3:17" ht="14.45" x14ac:dyDescent="0.35"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3:17" ht="14.45" x14ac:dyDescent="0.35"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3:17" ht="14.45" x14ac:dyDescent="0.35"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3:17" ht="14.45" x14ac:dyDescent="0.35"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3:17" ht="14.45" x14ac:dyDescent="0.35"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3:17" ht="14.45" x14ac:dyDescent="0.35"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3:17" ht="14.45" x14ac:dyDescent="0.35"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3:17" ht="14.45" x14ac:dyDescent="0.35"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3:17" ht="14.45" x14ac:dyDescent="0.35"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3:17" ht="14.45" x14ac:dyDescent="0.35"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3:17" ht="14.45" x14ac:dyDescent="0.35"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3:17" ht="14.45" x14ac:dyDescent="0.35"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3:17" ht="14.45" x14ac:dyDescent="0.35"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3:17" ht="14.45" x14ac:dyDescent="0.35"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3:17" ht="14.45" x14ac:dyDescent="0.35"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3:17" ht="14.45" x14ac:dyDescent="0.35"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3:17" ht="14.45" x14ac:dyDescent="0.35"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3:17" ht="14.45" x14ac:dyDescent="0.35"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3:17" ht="14.45" x14ac:dyDescent="0.35"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3:17" ht="14.45" x14ac:dyDescent="0.35"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3:17" ht="14.45" x14ac:dyDescent="0.35"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3:17" x14ac:dyDescent="0.25"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3:17" x14ac:dyDescent="0.25"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3:17" x14ac:dyDescent="0.25"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3:17" x14ac:dyDescent="0.25"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3:17" x14ac:dyDescent="0.25"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3:17" x14ac:dyDescent="0.25"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3:17" x14ac:dyDescent="0.25"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3:17" x14ac:dyDescent="0.25"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3:17" x14ac:dyDescent="0.25"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3:17" x14ac:dyDescent="0.25"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3:17" x14ac:dyDescent="0.25"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3:17" x14ac:dyDescent="0.25"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3:17" x14ac:dyDescent="0.25"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3:17" x14ac:dyDescent="0.25"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3:17" x14ac:dyDescent="0.25"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3:17" x14ac:dyDescent="0.25"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3:17" x14ac:dyDescent="0.25"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3:17" x14ac:dyDescent="0.25"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3:17" x14ac:dyDescent="0.25"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3:17" x14ac:dyDescent="0.25"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3:17" x14ac:dyDescent="0.25"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3:17" x14ac:dyDescent="0.25"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3:17" x14ac:dyDescent="0.25"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3:17" x14ac:dyDescent="0.25"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3:17" x14ac:dyDescent="0.25"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3:17" x14ac:dyDescent="0.25"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3:17" x14ac:dyDescent="0.25"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</sheetData>
  <dataValidations count="1">
    <dataValidation type="custom" operator="greaterThanOrEqual" allowBlank="1" showInputMessage="1" showErrorMessage="1" errorTitle="Route line length" error="Must be a number" promptTitle="Route line length" prompt="Enter value as number of KMs" sqref="L6">
      <formula1>ISNUMBER(L6)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F16" sqref="F16"/>
    </sheetView>
  </sheetViews>
  <sheetFormatPr defaultRowHeight="15" x14ac:dyDescent="0.25"/>
  <cols>
    <col min="2" max="11" width="10.5703125" customWidth="1"/>
  </cols>
  <sheetData>
    <row r="1" spans="1:11" s="2" customFormat="1" x14ac:dyDescent="0.25"/>
    <row r="2" spans="1:11" s="2" customFormat="1" x14ac:dyDescent="0.25"/>
    <row r="3" spans="1:11" ht="18.75" x14ac:dyDescent="0.3">
      <c r="A3" s="113" t="s">
        <v>192</v>
      </c>
    </row>
    <row r="4" spans="1:11" x14ac:dyDescent="0.25">
      <c r="A4" t="s">
        <v>182</v>
      </c>
    </row>
    <row r="5" spans="1:11" x14ac:dyDescent="0.25">
      <c r="B5" s="2">
        <v>2006</v>
      </c>
      <c r="C5" s="2">
        <v>2007</v>
      </c>
      <c r="D5" s="2">
        <v>2008</v>
      </c>
      <c r="E5" s="2">
        <v>2009</v>
      </c>
      <c r="F5" s="2">
        <v>2010</v>
      </c>
      <c r="G5" s="2">
        <v>2011</v>
      </c>
      <c r="H5" s="2">
        <v>2012</v>
      </c>
      <c r="I5" s="2">
        <v>2013</v>
      </c>
      <c r="J5" s="2">
        <v>2014</v>
      </c>
      <c r="K5" s="2">
        <v>2015</v>
      </c>
    </row>
    <row r="6" spans="1:11" x14ac:dyDescent="0.25">
      <c r="A6" s="2" t="s">
        <v>58</v>
      </c>
      <c r="B6" s="25">
        <f>'Total cost'!C6/'Physical data'!C18*1000</f>
        <v>716.75383045293518</v>
      </c>
      <c r="C6" s="25">
        <f>'Total cost'!D6/'Physical data'!D18*1000</f>
        <v>716.82192925921095</v>
      </c>
      <c r="D6" s="25">
        <f>'Total cost'!E6/'Physical data'!E18*1000</f>
        <v>736.54966505131131</v>
      </c>
      <c r="E6" s="25">
        <f>'Total cost'!F6/'Physical data'!F18*1000</f>
        <v>740.2522554249781</v>
      </c>
      <c r="F6" s="25">
        <f>'Total cost'!G6/'Physical data'!G18*1000</f>
        <v>778.83578360928072</v>
      </c>
      <c r="G6" s="25">
        <f>'Total cost'!H6/'Physical data'!H18*1000</f>
        <v>827.95488689227898</v>
      </c>
      <c r="H6" s="25">
        <f>'Total cost'!I6/'Physical data'!I18*1000</f>
        <v>861.82390283854795</v>
      </c>
      <c r="I6" s="25">
        <f>'Total cost'!J6/'Physical data'!J18*1000</f>
        <v>908.05881880996276</v>
      </c>
      <c r="J6" s="25">
        <f>'Total cost'!K6/'Physical data'!K18*1000</f>
        <v>980.59002254213692</v>
      </c>
      <c r="K6" s="25">
        <f>'Total cost'!L6/'Physical data'!L18*1000</f>
        <v>1014.4597157171329</v>
      </c>
    </row>
    <row r="7" spans="1:11" x14ac:dyDescent="0.25">
      <c r="A7" t="s">
        <v>190</v>
      </c>
      <c r="B7" s="25">
        <f>SUM('Total cost'!C10:C11)/SUM('Physical data'!C22:C23)*1000</f>
        <v>880.35677400289524</v>
      </c>
      <c r="C7" s="25">
        <f>SUM('Total cost'!D10:D11)/SUM('Physical data'!D22:D23)*1000</f>
        <v>908.3682755407541</v>
      </c>
      <c r="D7" s="25">
        <f>SUM('Total cost'!E10:E11)/SUM('Physical data'!E22:E23)*1000</f>
        <v>929.55433832907568</v>
      </c>
      <c r="E7" s="25">
        <f>SUM('Total cost'!F10:F11)/SUM('Physical data'!F22:F23)*1000</f>
        <v>926.14146876452151</v>
      </c>
      <c r="F7" s="25">
        <f>SUM('Total cost'!G10:G11)/SUM('Physical data'!G22:G23)*1000</f>
        <v>947.08022783326805</v>
      </c>
      <c r="G7" s="25">
        <f>SUM('Total cost'!H10:H11)/SUM('Physical data'!H22:H23)*1000</f>
        <v>1018.1596627966298</v>
      </c>
      <c r="H7" s="25">
        <f>SUM('Total cost'!I10:I11)/SUM('Physical data'!I22:I23)*1000</f>
        <v>1053.227501409182</v>
      </c>
      <c r="I7" s="25">
        <f>SUM('Total cost'!J10:J11)/SUM('Physical data'!J22:J23)*1000</f>
        <v>1041.5450801698055</v>
      </c>
      <c r="J7" s="25">
        <f>SUM('Total cost'!K10:K11)/SUM('Physical data'!K22:K23)*1000</f>
        <v>1039.8131122958548</v>
      </c>
      <c r="K7" s="25">
        <f>SUM('Total cost'!L10:L11)/SUM('Physical data'!L22:L23)*1000</f>
        <v>1058.0969173515</v>
      </c>
    </row>
    <row r="8" spans="1:11" x14ac:dyDescent="0.25">
      <c r="A8" t="s">
        <v>186</v>
      </c>
      <c r="B8" s="25">
        <f>SUM('Total cost'!C7+'Total cost'!C9+'Total cost'!C12)/SUM('Physical data'!C19+'Physical data'!C21+'Physical data'!C24)*1000</f>
        <v>695.62691001962389</v>
      </c>
      <c r="C8" s="25">
        <f>SUM('Total cost'!D7+'Total cost'!D9+'Total cost'!D12)/SUM('Physical data'!D19+'Physical data'!D21+'Physical data'!D24)*1000</f>
        <v>722.59108702201286</v>
      </c>
      <c r="D8" s="25">
        <f>SUM('Total cost'!E7+'Total cost'!E9+'Total cost'!E12)/SUM('Physical data'!E19+'Physical data'!E21+'Physical data'!E24)*1000</f>
        <v>844.27123776828137</v>
      </c>
      <c r="E8" s="25">
        <f>SUM('Total cost'!F7+'Total cost'!F9+'Total cost'!F12)/SUM('Physical data'!F19+'Physical data'!F21+'Physical data'!F24)*1000</f>
        <v>850.63600020965816</v>
      </c>
      <c r="F8" s="25">
        <f>SUM('Total cost'!G7+'Total cost'!G9+'Total cost'!G12)/SUM('Physical data'!G19+'Physical data'!G21+'Physical data'!G24)*1000</f>
        <v>919.91183616681417</v>
      </c>
      <c r="G8" s="25">
        <f>SUM('Total cost'!H7+'Total cost'!H9+'Total cost'!H12)/SUM('Physical data'!H19+'Physical data'!H21+'Physical data'!H24)*1000</f>
        <v>953.74275465405515</v>
      </c>
      <c r="H8" s="25">
        <f>SUM('Total cost'!I7+'Total cost'!I9+'Total cost'!I12)/SUM('Physical data'!I19+'Physical data'!I21+'Physical data'!I24)*1000</f>
        <v>1036.6436372621006</v>
      </c>
      <c r="I8" s="25">
        <f>SUM('Total cost'!J7+'Total cost'!J9+'Total cost'!J12)/SUM('Physical data'!J19+'Physical data'!J21+'Physical data'!J24)*1000</f>
        <v>1029.6729534769433</v>
      </c>
      <c r="J8" s="25">
        <f>SUM('Total cost'!K7+'Total cost'!K9+'Total cost'!K12)/SUM('Physical data'!K19+'Physical data'!K21+'Physical data'!K24)*1000</f>
        <v>1057.4882413940693</v>
      </c>
      <c r="K8" s="25">
        <f>SUM('Total cost'!L7+'Total cost'!L9+'Total cost'!L12)/SUM('Physical data'!L19+'Physical data'!L21+'Physical data'!L24)*1000</f>
        <v>1065.3233696815998</v>
      </c>
    </row>
    <row r="9" spans="1:11" x14ac:dyDescent="0.25">
      <c r="A9" t="s">
        <v>187</v>
      </c>
      <c r="B9" s="25">
        <f>'Total cost'!C15/'Physical data'!C27*1000</f>
        <v>641.50537218737463</v>
      </c>
      <c r="C9" s="25">
        <f>'Total cost'!D15/'Physical data'!D27*1000</f>
        <v>641.23811572603745</v>
      </c>
      <c r="D9" s="25">
        <f>'Total cost'!E15/'Physical data'!E27*1000</f>
        <v>665.45778741518006</v>
      </c>
      <c r="E9" s="25">
        <f>'Total cost'!F15/'Physical data'!F27*1000</f>
        <v>663.15003067156044</v>
      </c>
      <c r="F9" s="25">
        <f>'Total cost'!G15/'Physical data'!G27*1000</f>
        <v>666.07211339071375</v>
      </c>
      <c r="G9" s="25">
        <f>'Total cost'!H15/'Physical data'!H27*1000</f>
        <v>686.68172304520749</v>
      </c>
      <c r="H9" s="25">
        <f>'Total cost'!I15/'Physical data'!I27*1000</f>
        <v>705.13526147824064</v>
      </c>
      <c r="I9" s="25">
        <f>'Total cost'!J15/'Physical data'!J27*1000</f>
        <v>749.04047850825873</v>
      </c>
      <c r="J9" s="25">
        <f>'Total cost'!K15/'Physical data'!K27*1000</f>
        <v>774.01740206392662</v>
      </c>
      <c r="K9" s="25">
        <f>'Total cost'!L15/'Physical data'!L27*1000</f>
        <v>809.63346498227668</v>
      </c>
    </row>
    <row r="10" spans="1:11" x14ac:dyDescent="0.25">
      <c r="A10" t="s">
        <v>188</v>
      </c>
      <c r="B10" s="25">
        <f>'Total cost'!C17/'Physical data'!C29*1000</f>
        <v>704.54651147465972</v>
      </c>
      <c r="C10" s="25">
        <f>'Total cost'!D17/'Physical data'!D29*1000</f>
        <v>734.61994922103929</v>
      </c>
      <c r="D10" s="25">
        <f>'Total cost'!E17/'Physical data'!E29*1000</f>
        <v>733.43548101129284</v>
      </c>
      <c r="E10" s="25">
        <f>'Total cost'!F17/'Physical data'!F29*1000</f>
        <v>728.60797857943544</v>
      </c>
      <c r="F10" s="25">
        <f>'Total cost'!G17/'Physical data'!G29*1000</f>
        <v>814.19859432396913</v>
      </c>
      <c r="G10" s="25">
        <f>'Total cost'!H17/'Physical data'!H29*1000</f>
        <v>831.00179926375586</v>
      </c>
      <c r="H10" s="25">
        <f>'Total cost'!I17/'Physical data'!I29*1000</f>
        <v>879.8875539707758</v>
      </c>
      <c r="I10" s="25">
        <f>'Total cost'!J17/'Physical data'!J29*1000</f>
        <v>827.55037049920338</v>
      </c>
      <c r="J10" s="25">
        <f>'Total cost'!K17/'Physical data'!K29*1000</f>
        <v>837.70232181236099</v>
      </c>
      <c r="K10" s="25">
        <f>'Total cost'!L17/'Physical data'!L29*1000</f>
        <v>810.22202332546544</v>
      </c>
    </row>
    <row r="11" spans="1:11" x14ac:dyDescent="0.25">
      <c r="A11" t="s">
        <v>189</v>
      </c>
      <c r="B11" s="25">
        <f>SUM('Total cost'!C8,'Total cost'!C13,'Total cost'!C14,'Total cost'!C16,'Total cost'!C18)/SUM('Physical data'!C20,'Physical data'!C25,'Physical data'!C26,'Physical data'!C28,'Physical data'!C30)*1000</f>
        <v>473.80160461937066</v>
      </c>
      <c r="C11" s="25">
        <f>SUM('Total cost'!D8,'Total cost'!D13,'Total cost'!D14,'Total cost'!D16,'Total cost'!D18)/SUM('Physical data'!D20,'Physical data'!D25,'Physical data'!D26,'Physical data'!D28,'Physical data'!D30)*1000</f>
        <v>486.5328083703011</v>
      </c>
      <c r="D11" s="25">
        <f>SUM('Total cost'!E8,'Total cost'!E13,'Total cost'!E14,'Total cost'!E16,'Total cost'!E18)/SUM('Physical data'!E20,'Physical data'!E25,'Physical data'!E26,'Physical data'!E28,'Physical data'!E30)*1000</f>
        <v>482.97700682810694</v>
      </c>
      <c r="E11" s="25">
        <f>SUM('Total cost'!F8,'Total cost'!F13,'Total cost'!F14,'Total cost'!F16,'Total cost'!F18)/SUM('Physical data'!F20,'Physical data'!F25,'Physical data'!F26,'Physical data'!F28,'Physical data'!F30)*1000</f>
        <v>513.16997190275708</v>
      </c>
      <c r="F11" s="25">
        <f>SUM('Total cost'!G8,'Total cost'!G13,'Total cost'!G14,'Total cost'!G16,'Total cost'!G18)/SUM('Physical data'!G20,'Physical data'!G25,'Physical data'!G26,'Physical data'!G28,'Physical data'!G30)*1000</f>
        <v>520.80352809924705</v>
      </c>
      <c r="G11" s="25">
        <f>SUM('Total cost'!H8,'Total cost'!H13,'Total cost'!H14,'Total cost'!H16,'Total cost'!H18)/SUM('Physical data'!H20,'Physical data'!H25,'Physical data'!H26,'Physical data'!H28,'Physical data'!H30)*1000</f>
        <v>533.28259595348197</v>
      </c>
      <c r="H11" s="25">
        <f>SUM('Total cost'!I8,'Total cost'!I13,'Total cost'!I14,'Total cost'!I16,'Total cost'!I18)/SUM('Physical data'!I20,'Physical data'!I25,'Physical data'!I26,'Physical data'!I28,'Physical data'!I30)*1000</f>
        <v>573.82652641486447</v>
      </c>
      <c r="I11" s="25">
        <f>SUM('Total cost'!J8,'Total cost'!J13,'Total cost'!J14,'Total cost'!J16,'Total cost'!J18)/SUM('Physical data'!J20,'Physical data'!J25,'Physical data'!J26,'Physical data'!J28,'Physical data'!J30)*1000</f>
        <v>601.24075701352467</v>
      </c>
      <c r="J11" s="25">
        <f>SUM('Total cost'!K8,'Total cost'!K13,'Total cost'!K14,'Total cost'!K16,'Total cost'!K18)/SUM('Physical data'!K20,'Physical data'!K25,'Physical data'!K26,'Physical data'!K28,'Physical data'!K30)*1000</f>
        <v>610.36393291612296</v>
      </c>
      <c r="K11" s="25">
        <f>SUM('Total cost'!L8,'Total cost'!L13,'Total cost'!L14,'Total cost'!L16,'Total cost'!L18)/SUM('Physical data'!L20,'Physical data'!L25,'Physical data'!L26,'Physical data'!L28,'Physical data'!L30)*1000</f>
        <v>632.59031451727651</v>
      </c>
    </row>
    <row r="20" spans="1:11" x14ac:dyDescent="0.25">
      <c r="A20" s="2" t="s">
        <v>184</v>
      </c>
    </row>
    <row r="21" spans="1:11" x14ac:dyDescent="0.25">
      <c r="A21" s="23" t="s">
        <v>183</v>
      </c>
      <c r="B21" s="2">
        <v>2006</v>
      </c>
      <c r="C21" s="2">
        <v>2007</v>
      </c>
      <c r="D21" s="2">
        <v>2008</v>
      </c>
      <c r="E21" s="2">
        <v>2009</v>
      </c>
      <c r="F21" s="2">
        <v>2010</v>
      </c>
      <c r="G21" s="2">
        <v>2011</v>
      </c>
      <c r="H21" s="2">
        <v>2012</v>
      </c>
      <c r="I21" s="2">
        <v>2013</v>
      </c>
      <c r="J21" s="2">
        <v>2014</v>
      </c>
      <c r="K21" s="2">
        <v>2015</v>
      </c>
    </row>
    <row r="22" spans="1:11" x14ac:dyDescent="0.25">
      <c r="A22" s="2" t="s">
        <v>58</v>
      </c>
      <c r="B22" s="25">
        <f>'Total cost'!C6/'Physical data'!C48*1000</f>
        <v>175753.24437136261</v>
      </c>
      <c r="C22" s="25">
        <f>'Total cost'!D6/'Physical data'!D48*1000</f>
        <v>183536.83903021261</v>
      </c>
      <c r="D22" s="25">
        <f>'Total cost'!E6/'Physical data'!E48*1000</f>
        <v>186697.72778647821</v>
      </c>
      <c r="E22" s="25">
        <f>'Total cost'!F6/'Physical data'!F48*1000</f>
        <v>193847.39832195523</v>
      </c>
      <c r="F22" s="25">
        <f>'Total cost'!G6/'Physical data'!G48*1000</f>
        <v>207896.3039322235</v>
      </c>
      <c r="G22" s="25">
        <f>'Total cost'!H6/'Physical data'!H48*1000</f>
        <v>225305.99495324004</v>
      </c>
      <c r="H22" s="25">
        <f>'Total cost'!I6/'Physical data'!I48*1000</f>
        <v>212708.47385604616</v>
      </c>
      <c r="I22" s="25">
        <f>'Total cost'!J6/'Physical data'!J48*1000</f>
        <v>230663.90647239974</v>
      </c>
      <c r="J22" s="25">
        <f>'Total cost'!K6/'Physical data'!K48*1000</f>
        <v>261593.13767503403</v>
      </c>
      <c r="K22" s="25">
        <f>'Total cost'!L6/'Physical data'!L48*1000</f>
        <v>254811.2108925361</v>
      </c>
    </row>
    <row r="23" spans="1:11" x14ac:dyDescent="0.25">
      <c r="A23" s="35" t="s">
        <v>190</v>
      </c>
      <c r="B23" s="25">
        <f>SUM('Total cost'!C10:C11)/SUM('Physical data'!C52:C53)*1000</f>
        <v>229957.04436416045</v>
      </c>
      <c r="C23" s="25">
        <f>SUM('Total cost'!D10:D11)/SUM('Physical data'!D52:D53)*1000</f>
        <v>227557.12814506004</v>
      </c>
      <c r="D23" s="25">
        <f>SUM('Total cost'!E10:E11)/SUM('Physical data'!E52:E53)*1000</f>
        <v>225619.6813102015</v>
      </c>
      <c r="E23" s="25">
        <f>SUM('Total cost'!F10:F11)/SUM('Physical data'!F52:F53)*1000</f>
        <v>223908.74837660237</v>
      </c>
      <c r="F23" s="25">
        <f>SUM('Total cost'!G10:G11)/SUM('Physical data'!G52:G53)*1000</f>
        <v>220190.7275584731</v>
      </c>
      <c r="G23" s="25">
        <f>SUM('Total cost'!H10:H11)/SUM('Physical data'!H52:H53)*1000</f>
        <v>253156.92938518935</v>
      </c>
      <c r="H23" s="25">
        <f>SUM('Total cost'!I10:I11)/SUM('Physical data'!I52:I53)*1000</f>
        <v>274253.02242846391</v>
      </c>
      <c r="I23" s="25">
        <f>SUM('Total cost'!J10:J11)/SUM('Physical data'!J52:J53)*1000</f>
        <v>275181.05742599315</v>
      </c>
      <c r="J23" s="25">
        <f>SUM('Total cost'!K10:K11)/SUM('Physical data'!K52:K53)*1000</f>
        <v>287039.07961880049</v>
      </c>
      <c r="K23" s="25">
        <f>SUM('Total cost'!L10:L11)/SUM('Physical data'!L52:L53)*1000</f>
        <v>286223.83415363426</v>
      </c>
    </row>
    <row r="24" spans="1:11" x14ac:dyDescent="0.25">
      <c r="A24" s="2" t="s">
        <v>186</v>
      </c>
      <c r="B24" s="25">
        <f>SUM('Total cost'!C7,'Total cost'!C9,'Total cost'!C12)/SUM('Physical data'!C49,'Physical data'!C51,'Physical data'!C54)*1000</f>
        <v>179765.66420583244</v>
      </c>
      <c r="C24" s="25">
        <f>SUM('Total cost'!D7,'Total cost'!D9,'Total cost'!D12)/SUM('Physical data'!D49,'Physical data'!D51,'Physical data'!D54)*1000</f>
        <v>189394.46491566711</v>
      </c>
      <c r="D24" s="25">
        <f>SUM('Total cost'!E7,'Total cost'!E9,'Total cost'!E12)/SUM('Physical data'!E49,'Physical data'!E51,'Physical data'!E54)*1000</f>
        <v>219605.04795095939</v>
      </c>
      <c r="E24" s="25">
        <f>SUM('Total cost'!F7,'Total cost'!F9,'Total cost'!F12)/SUM('Physical data'!F49,'Physical data'!F51,'Physical data'!F54)*1000</f>
        <v>215600.04053293908</v>
      </c>
      <c r="F24" s="25">
        <f>SUM('Total cost'!G7,'Total cost'!G9,'Total cost'!G12)/SUM('Physical data'!G49,'Physical data'!G51,'Physical data'!G54)*1000</f>
        <v>237314.09742097955</v>
      </c>
      <c r="G24" s="25">
        <f>SUM('Total cost'!H7,'Total cost'!H9,'Total cost'!H12)/SUM('Physical data'!H49,'Physical data'!H51,'Physical data'!H54)*1000</f>
        <v>240123.26467417536</v>
      </c>
      <c r="H24" s="25">
        <f>SUM('Total cost'!I7,'Total cost'!I9,'Total cost'!I12)/SUM('Physical data'!I49,'Physical data'!I51,'Physical data'!I54)*1000</f>
        <v>295552.05929676211</v>
      </c>
      <c r="I24" s="25">
        <f>SUM('Total cost'!J7,'Total cost'!J9,'Total cost'!J12)/SUM('Physical data'!J49,'Physical data'!J51,'Physical data'!J54)*1000</f>
        <v>282387.13558686688</v>
      </c>
      <c r="J24" s="25">
        <f>SUM('Total cost'!K7,'Total cost'!K9,'Total cost'!K12)/SUM('Physical data'!K49,'Physical data'!K51,'Physical data'!K54)*1000</f>
        <v>316977.05444993475</v>
      </c>
      <c r="K24" s="25">
        <f>SUM('Total cost'!L7,'Total cost'!L9,'Total cost'!L12)/SUM('Physical data'!L49,'Physical data'!L51,'Physical data'!L54)*1000</f>
        <v>318419.18437434267</v>
      </c>
    </row>
    <row r="25" spans="1:11" x14ac:dyDescent="0.25">
      <c r="A25" s="2" t="s">
        <v>187</v>
      </c>
      <c r="B25" s="25">
        <f>'Total cost'!C15/'Physical data'!C57*1000</f>
        <v>180678.93124697512</v>
      </c>
      <c r="C25" s="25">
        <f>'Total cost'!D15/'Physical data'!D57*1000</f>
        <v>182007.50014974453</v>
      </c>
      <c r="D25" s="25">
        <f>'Total cost'!E15/'Physical data'!E57*1000</f>
        <v>175612.12833880231</v>
      </c>
      <c r="E25" s="25">
        <f>'Total cost'!F15/'Physical data'!F57*1000</f>
        <v>169166.61552260225</v>
      </c>
      <c r="F25" s="25">
        <f>'Total cost'!G15/'Physical data'!G57*1000</f>
        <v>177897.02004419031</v>
      </c>
      <c r="G25" s="25">
        <f>'Total cost'!H15/'Physical data'!H57*1000</f>
        <v>185413.69284242796</v>
      </c>
      <c r="H25" s="25">
        <f>'Total cost'!I15/'Physical data'!I57*1000</f>
        <v>215027.2942921755</v>
      </c>
      <c r="I25" s="25">
        <f>'Total cost'!J15/'Physical data'!J57*1000</f>
        <v>218800.64702885039</v>
      </c>
      <c r="J25" s="25">
        <f>'Total cost'!K15/'Physical data'!K57*1000</f>
        <v>216230.64235499443</v>
      </c>
      <c r="K25" s="25">
        <f>'Total cost'!L15/'Physical data'!L57*1000</f>
        <v>251736.30584406806</v>
      </c>
    </row>
    <row r="26" spans="1:11" x14ac:dyDescent="0.25">
      <c r="A26" s="2" t="s">
        <v>188</v>
      </c>
      <c r="B26" s="25">
        <f>'Total cost'!C17/'Physical data'!C59*1000</f>
        <v>166123.53344613063</v>
      </c>
      <c r="C26" s="25">
        <f>'Total cost'!D17/'Physical data'!D59*1000</f>
        <v>163487.74065419321</v>
      </c>
      <c r="D26" s="25">
        <f>'Total cost'!E17/'Physical data'!E59*1000</f>
        <v>165515.07105514573</v>
      </c>
      <c r="E26" s="25">
        <f>'Total cost'!F17/'Physical data'!F59*1000</f>
        <v>170563.74190127279</v>
      </c>
      <c r="F26" s="25">
        <f>'Total cost'!G17/'Physical data'!G59*1000</f>
        <v>198314.16988821325</v>
      </c>
      <c r="G26" s="25">
        <f>'Total cost'!H17/'Physical data'!H59*1000</f>
        <v>211860.91342930275</v>
      </c>
      <c r="H26" s="25">
        <f>'Total cost'!I17/'Physical data'!I59*1000</f>
        <v>235080.28399715183</v>
      </c>
      <c r="I26" s="25">
        <f>'Total cost'!J17/'Physical data'!J59*1000</f>
        <v>226619.24372883665</v>
      </c>
      <c r="J26" s="25">
        <f>'Total cost'!K17/'Physical data'!K59*1000</f>
        <v>223483.55174095527</v>
      </c>
      <c r="K26" s="25">
        <f>'Total cost'!L17/'Physical data'!L59*1000</f>
        <v>219622.23201986519</v>
      </c>
    </row>
    <row r="27" spans="1:11" x14ac:dyDescent="0.25">
      <c r="A27" s="2" t="s">
        <v>189</v>
      </c>
      <c r="B27" s="25">
        <f>SUM('Total cost'!C8,'Total cost'!C13:C14,'Total cost'!C16,'Total cost'!C18)/SUM('Physical data'!C50,'Physical data'!C55:C56,'Physical data'!C58,'Physical data'!C60)*1000</f>
        <v>154827.50967129151</v>
      </c>
      <c r="C27" s="25">
        <f>SUM('Total cost'!D8,'Total cost'!D13:D14,'Total cost'!D16,'Total cost'!D18)/SUM('Physical data'!D50,'Physical data'!D55:D56,'Physical data'!D58,'Physical data'!D60)*1000</f>
        <v>153733.09339460763</v>
      </c>
      <c r="D27" s="25">
        <f>SUM('Total cost'!E8,'Total cost'!E13:E14,'Total cost'!E16,'Total cost'!E18)/SUM('Physical data'!E50,'Physical data'!E55:E56,'Physical data'!E58,'Physical data'!E60)*1000</f>
        <v>145791.1602110361</v>
      </c>
      <c r="E27" s="25">
        <f>SUM('Total cost'!F8,'Total cost'!F13:F14,'Total cost'!F16,'Total cost'!F18)/SUM('Physical data'!F50,'Physical data'!F55:F56,'Physical data'!F58,'Physical data'!F60)*1000</f>
        <v>146190.66125896829</v>
      </c>
      <c r="F27" s="25">
        <f>SUM('Total cost'!G8,'Total cost'!G13:G14,'Total cost'!G16,'Total cost'!G18)/SUM('Physical data'!G50,'Physical data'!G55:G56,'Physical data'!G58,'Physical data'!G60)*1000</f>
        <v>154631.1002644439</v>
      </c>
      <c r="G27" s="25">
        <f>SUM('Total cost'!H8,'Total cost'!H13:H14,'Total cost'!H16,'Total cost'!H18)/SUM('Physical data'!H50,'Physical data'!H55:H56,'Physical data'!H58,'Physical data'!H60)*1000</f>
        <v>163736.59143036677</v>
      </c>
      <c r="H27" s="25">
        <f>SUM('Total cost'!I8,'Total cost'!I13:I14,'Total cost'!I16,'Total cost'!I18)/SUM('Physical data'!I50,'Physical data'!I55:I56,'Physical data'!I58,'Physical data'!I60)*1000</f>
        <v>190361.44909396759</v>
      </c>
      <c r="I27" s="25">
        <f>SUM('Total cost'!J8,'Total cost'!J13:J14,'Total cost'!J16,'Total cost'!J18)/SUM('Physical data'!J50,'Physical data'!J55:J56,'Physical data'!J58,'Physical data'!J60)*1000</f>
        <v>187666.80175291927</v>
      </c>
      <c r="J27" s="25">
        <f>SUM('Total cost'!K8,'Total cost'!K13:K14,'Total cost'!K16,'Total cost'!K18)/SUM('Physical data'!K50,'Physical data'!K55:K56,'Physical data'!K58,'Physical data'!K60)*1000</f>
        <v>184475.17724925332</v>
      </c>
      <c r="K27" s="25">
        <f>SUM('Total cost'!L8,'Total cost'!L13:L14,'Total cost'!L16,'Total cost'!L18)/SUM('Physical data'!L50,'Physical data'!L55:L56,'Physical data'!L58,'Physical data'!L60)*1000</f>
        <v>219483.24238572034</v>
      </c>
    </row>
    <row r="38" spans="1:11" x14ac:dyDescent="0.25">
      <c r="A38" s="2" t="s">
        <v>185</v>
      </c>
    </row>
    <row r="39" spans="1:11" x14ac:dyDescent="0.25">
      <c r="A39" s="23" t="s">
        <v>183</v>
      </c>
      <c r="B39">
        <v>2006</v>
      </c>
      <c r="C39">
        <v>2007</v>
      </c>
      <c r="D39">
        <v>2008</v>
      </c>
      <c r="E39">
        <v>2009</v>
      </c>
      <c r="F39">
        <v>2010</v>
      </c>
      <c r="G39">
        <v>2011</v>
      </c>
      <c r="H39">
        <v>2012</v>
      </c>
      <c r="I39">
        <v>2013</v>
      </c>
      <c r="J39">
        <v>2014</v>
      </c>
      <c r="K39">
        <v>2015</v>
      </c>
    </row>
    <row r="40" spans="1:11" x14ac:dyDescent="0.25">
      <c r="A40" t="s">
        <v>58</v>
      </c>
      <c r="B40" s="25">
        <f>'Total cost'!C6/'Physical data'!C78*1000</f>
        <v>23821.74760581593</v>
      </c>
      <c r="C40" s="25">
        <f>'Total cost'!D6/'Physical data'!D78*1000</f>
        <v>23864.662919787057</v>
      </c>
      <c r="D40" s="25">
        <f>'Total cost'!E6/'Physical data'!E78*1000</f>
        <v>24903.020931565152</v>
      </c>
      <c r="E40" s="25">
        <f>'Total cost'!F6/'Physical data'!F78*1000</f>
        <v>25022.922519773056</v>
      </c>
      <c r="F40" s="25">
        <f>'Total cost'!G6/'Physical data'!G78*1000</f>
        <v>26499.107583359466</v>
      </c>
      <c r="G40" s="25">
        <f>'Total cost'!H6/'Physical data'!H78*1000</f>
        <v>28322.359969924259</v>
      </c>
      <c r="H40" s="25">
        <f>'Total cost'!I6/'Physical data'!I78*1000</f>
        <v>29743.93447125865</v>
      </c>
      <c r="I40" s="25">
        <f>'Total cost'!J6/'Physical data'!J78*1000</f>
        <v>31128.183358048384</v>
      </c>
      <c r="J40" s="25">
        <f>'Total cost'!K6/'Physical data'!K78*1000</f>
        <v>33572.310977954941</v>
      </c>
      <c r="K40" s="25">
        <f>'Total cost'!L6/'Physical data'!L78*1000</f>
        <v>34991.952473018006</v>
      </c>
    </row>
    <row r="41" spans="1:11" x14ac:dyDescent="0.25">
      <c r="A41" t="s">
        <v>190</v>
      </c>
      <c r="B41" s="25">
        <f>SUM('Total cost'!C10:C11)/SUM('Physical data'!C82:C83)*1000</f>
        <v>8289.285232866001</v>
      </c>
      <c r="C41" s="25">
        <f>SUM('Total cost'!D10:D11)/SUM('Physical data'!D82:D83)*1000</f>
        <v>8594.1329711480685</v>
      </c>
      <c r="D41" s="25">
        <f>SUM('Total cost'!E10:E11)/SUM('Physical data'!E82:E83)*1000</f>
        <v>8922.2745040913524</v>
      </c>
      <c r="E41" s="25">
        <f>SUM('Total cost'!F10:F11)/SUM('Physical data'!F82:F83)*1000</f>
        <v>8979.1543520250798</v>
      </c>
      <c r="F41" s="25">
        <f>SUM('Total cost'!G10:G11)/SUM('Physical data'!G82:G83)*1000</f>
        <v>9272.4484412741585</v>
      </c>
      <c r="G41" s="25">
        <f>SUM('Total cost'!H10:H11)/SUM('Physical data'!H82:H83)*1000</f>
        <v>10084.119604423211</v>
      </c>
      <c r="H41" s="25">
        <f>SUM('Total cost'!I10:I11)/SUM('Physical data'!I82:I83)*1000</f>
        <v>10492.372539968605</v>
      </c>
      <c r="I41" s="25">
        <f>SUM('Total cost'!J10:J11)/SUM('Physical data'!J82:J83)*1000</f>
        <v>10660.621664827826</v>
      </c>
      <c r="J41" s="25">
        <f>SUM('Total cost'!K10:K11)/SUM('Physical data'!K82:K83)*1000</f>
        <v>10736.982975307923</v>
      </c>
      <c r="K41" s="25">
        <f>SUM('Total cost'!L10:L11)/SUM('Physical data'!L82:L83)*1000</f>
        <v>10969.267586034077</v>
      </c>
    </row>
    <row r="42" spans="1:11" x14ac:dyDescent="0.25">
      <c r="A42" t="s">
        <v>186</v>
      </c>
      <c r="B42" s="25">
        <f>SUM('Total cost'!C7,'Total cost'!C9,'Total cost'!C12)/SUM('Physical data'!C79,'Physical data'!C81,'Physical data'!C84)*1000</f>
        <v>8208.9400411275783</v>
      </c>
      <c r="C42" s="25">
        <f>SUM('Total cost'!D7,'Total cost'!D9,'Total cost'!D12)/SUM('Physical data'!D79,'Physical data'!D81,'Physical data'!D84)*1000</f>
        <v>8927.3572195760717</v>
      </c>
      <c r="D42" s="25">
        <f>SUM('Total cost'!E7,'Total cost'!E9,'Total cost'!E12)/SUM('Physical data'!E79,'Physical data'!E81,'Physical data'!E84)*1000</f>
        <v>10649.593577014022</v>
      </c>
      <c r="E42" s="25">
        <f>SUM('Total cost'!F7,'Total cost'!F9,'Total cost'!F12)/SUM('Physical data'!F79,'Physical data'!F81,'Physical data'!F84)*1000</f>
        <v>10719.180492590713</v>
      </c>
      <c r="F42" s="25">
        <f>SUM('Total cost'!G7,'Total cost'!G9,'Total cost'!G12)/SUM('Physical data'!G79,'Physical data'!G81,'Physical data'!G84)*1000</f>
        <v>11606.690377098535</v>
      </c>
      <c r="G42" s="25">
        <f>SUM('Total cost'!H7,'Total cost'!H9,'Total cost'!H12)/SUM('Physical data'!H79,'Physical data'!H81,'Physical data'!H84)*1000</f>
        <v>12012.767920589557</v>
      </c>
      <c r="H42" s="25">
        <f>SUM('Total cost'!I7,'Total cost'!I9,'Total cost'!I12)/SUM('Physical data'!I79,'Physical data'!I81,'Physical data'!I84)*1000</f>
        <v>13108.561818686085</v>
      </c>
      <c r="I42" s="25">
        <f>SUM('Total cost'!J7,'Total cost'!J9,'Total cost'!J12)/SUM('Physical data'!J79,'Physical data'!J81,'Physical data'!J84)*1000</f>
        <v>13101.97195462434</v>
      </c>
      <c r="J42" s="25">
        <f>SUM('Total cost'!K7,'Total cost'!K9,'Total cost'!K12)/SUM('Physical data'!K79,'Physical data'!K81,'Physical data'!K84)*1000</f>
        <v>13599.194582011309</v>
      </c>
      <c r="K42" s="25">
        <f>SUM('Total cost'!L7,'Total cost'!L9,'Total cost'!L12)/SUM('Physical data'!L79,'Physical data'!L81,'Physical data'!L84)*1000</f>
        <v>13838.630065148845</v>
      </c>
    </row>
    <row r="43" spans="1:11" x14ac:dyDescent="0.25">
      <c r="A43" t="s">
        <v>187</v>
      </c>
      <c r="B43" s="25">
        <f>'Total cost'!C15/'Physical data'!C87*1000</f>
        <v>5889.7443491496779</v>
      </c>
      <c r="C43" s="25">
        <f>'Total cost'!D15/'Physical data'!D87*1000</f>
        <v>5857.4989223356279</v>
      </c>
      <c r="D43" s="25">
        <f>'Total cost'!E15/'Physical data'!E87*1000</f>
        <v>6056.6839312936272</v>
      </c>
      <c r="E43" s="25">
        <f>'Total cost'!F15/'Physical data'!F87*1000</f>
        <v>6235.1004226370706</v>
      </c>
      <c r="F43" s="25">
        <f>'Total cost'!G15/'Physical data'!G87*1000</f>
        <v>6316.0969152849166</v>
      </c>
      <c r="G43" s="25">
        <f>'Total cost'!H15/'Physical data'!H87*1000</f>
        <v>6584.2349893140836</v>
      </c>
      <c r="H43" s="25">
        <f>'Total cost'!I15/'Physical data'!I87*1000</f>
        <v>6791.3027554036698</v>
      </c>
      <c r="I43" s="25">
        <f>'Total cost'!J15/'Physical data'!J87*1000</f>
        <v>7225.7015016001815</v>
      </c>
      <c r="J43" s="25">
        <f>'Total cost'!K15/'Physical data'!K87*1000</f>
        <v>7484.8127967173241</v>
      </c>
      <c r="K43" s="25">
        <f>'Total cost'!L15/'Physical data'!L87*1000</f>
        <v>7838.6593287321057</v>
      </c>
    </row>
    <row r="44" spans="1:11" x14ac:dyDescent="0.25">
      <c r="A44" t="s">
        <v>188</v>
      </c>
      <c r="B44" s="25">
        <f>'Total cost'!C17/'Physical data'!C89*1000</f>
        <v>8325.7967295101316</v>
      </c>
      <c r="C44" s="25">
        <f>'Total cost'!D17/'Physical data'!D89*1000</f>
        <v>8848.7996884038184</v>
      </c>
      <c r="D44" s="25">
        <f>'Total cost'!E17/'Physical data'!E89*1000</f>
        <v>9005.3508468907858</v>
      </c>
      <c r="E44" s="25">
        <f>'Total cost'!F17/'Physical data'!F89*1000</f>
        <v>9094.4659680852455</v>
      </c>
      <c r="F44" s="25">
        <f>'Total cost'!G17/'Physical data'!G89*1000</f>
        <v>10185.378067641701</v>
      </c>
      <c r="G44" s="25">
        <f>'Total cost'!H17/'Physical data'!H89*1000</f>
        <v>10406.885533297875</v>
      </c>
      <c r="H44" s="25">
        <f>'Total cost'!I17/'Physical data'!I89*1000</f>
        <v>11022.975142989739</v>
      </c>
      <c r="I44" s="25">
        <f>'Total cost'!J17/'Physical data'!J89*1000</f>
        <v>10369.17550180969</v>
      </c>
      <c r="J44" s="25">
        <f>'Total cost'!K17/'Physical data'!K89*1000</f>
        <v>10454.568470202143</v>
      </c>
      <c r="K44" s="25">
        <f>'Total cost'!L17/'Physical data'!L89*1000</f>
        <v>10134.701166586994</v>
      </c>
    </row>
    <row r="45" spans="1:11" x14ac:dyDescent="0.25">
      <c r="A45" t="s">
        <v>189</v>
      </c>
      <c r="B45" s="25">
        <f>SUM('Total cost'!C8,'Total cost'!C13:C14,'Total cost'!C16,'Total cost'!C18)/SUM('Physical data'!C80,'Physical data'!C85:C86,'Physical data'!C88,'Physical data'!C90)*1000</f>
        <v>8654.4141329626964</v>
      </c>
      <c r="C45" s="25">
        <f>SUM('Total cost'!D8,'Total cost'!D13:D14,'Total cost'!D16,'Total cost'!D18)/SUM('Physical data'!D80,'Physical data'!D85:D86,'Physical data'!D88,'Physical data'!D90)*1000</f>
        <v>8972.5947111864352</v>
      </c>
      <c r="D45" s="25">
        <f>SUM('Total cost'!E8,'Total cost'!E13:E14,'Total cost'!E16,'Total cost'!E18)/SUM('Physical data'!E80,'Physical data'!E85:E86,'Physical data'!E88,'Physical data'!E90)*1000</f>
        <v>8993.3214852376041</v>
      </c>
      <c r="E45" s="25">
        <f>SUM('Total cost'!F8,'Total cost'!F13:F14,'Total cost'!F16,'Total cost'!F18)/SUM('Physical data'!F80,'Physical data'!F85:F86,'Physical data'!F88,'Physical data'!F90)*1000</f>
        <v>9577.3807957308454</v>
      </c>
      <c r="F45" s="25">
        <f>SUM('Total cost'!G8,'Total cost'!G13:G14,'Total cost'!G16,'Total cost'!G18)/SUM('Physical data'!G80,'Physical data'!G85:G86,'Physical data'!G88,'Physical data'!G90)*1000</f>
        <v>9783.2051463443004</v>
      </c>
      <c r="G45" s="25">
        <f>SUM('Total cost'!H8,'Total cost'!H13:H14,'Total cost'!H16,'Total cost'!H18)/SUM('Physical data'!H80,'Physical data'!H85:H86,'Physical data'!H88,'Physical data'!H90)*1000</f>
        <v>10156.445230486219</v>
      </c>
      <c r="H45" s="25">
        <f>SUM('Total cost'!I8,'Total cost'!I13:I14,'Total cost'!I16,'Total cost'!I18)/SUM('Physical data'!I80,'Physical data'!I85:I86,'Physical data'!I88,'Physical data'!I90)*1000</f>
        <v>11008.583907391856</v>
      </c>
      <c r="I45" s="25">
        <f>SUM('Total cost'!J8,'Total cost'!J13:J14,'Total cost'!J16,'Total cost'!J18)/SUM('Physical data'!J80,'Physical data'!J85:J86,'Physical data'!J88,'Physical data'!J90)*1000</f>
        <v>11652.821063985904</v>
      </c>
      <c r="J45" s="25">
        <f>SUM('Total cost'!K8,'Total cost'!K13:K14,'Total cost'!K16,'Total cost'!K18)/SUM('Physical data'!K80,'Physical data'!K85:K86,'Physical data'!K88,'Physical data'!K90)*1000</f>
        <v>11842.506021428671</v>
      </c>
      <c r="K45" s="25">
        <f>SUM('Total cost'!L8,'Total cost'!L13:L14,'Total cost'!L16,'Total cost'!L18)/SUM('Physical data'!L80,'Physical data'!L85:L86,'Physical data'!L88,'Physical data'!L90)*1000</f>
        <v>12425.014394533593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BO32"/>
  <sheetViews>
    <sheetView zoomScale="80" zoomScaleNormal="80" workbookViewId="0">
      <selection activeCell="AE36" sqref="AE36"/>
    </sheetView>
  </sheetViews>
  <sheetFormatPr defaultColWidth="9.140625" defaultRowHeight="20.100000000000001" customHeight="1" x14ac:dyDescent="0.25"/>
  <cols>
    <col min="1" max="16384" width="9.140625" style="35"/>
  </cols>
  <sheetData>
    <row r="2" spans="2:67" s="38" customFormat="1" ht="26.1" customHeight="1" x14ac:dyDescent="0.4">
      <c r="B2" s="39" t="s">
        <v>84</v>
      </c>
    </row>
    <row r="4" spans="2:67" ht="20.100000000000001" customHeight="1" x14ac:dyDescent="0.4">
      <c r="B4" s="36" t="s">
        <v>111</v>
      </c>
      <c r="M4" s="37"/>
      <c r="O4" s="36" t="s">
        <v>112</v>
      </c>
      <c r="AB4" s="36" t="s">
        <v>113</v>
      </c>
      <c r="AE4" s="37"/>
      <c r="AN4" s="37"/>
      <c r="AO4" s="36" t="s">
        <v>114</v>
      </c>
      <c r="BD4" s="37"/>
      <c r="BO4" s="54"/>
    </row>
    <row r="27" spans="2:29" s="38" customFormat="1" ht="24.95" customHeight="1" x14ac:dyDescent="0.6">
      <c r="B27" s="39" t="s">
        <v>83</v>
      </c>
    </row>
    <row r="29" spans="2:29" ht="20.100000000000001" customHeight="1" x14ac:dyDescent="0.4">
      <c r="B29" s="36" t="s">
        <v>115</v>
      </c>
      <c r="P29" s="37"/>
      <c r="AC29" s="36"/>
    </row>
    <row r="30" spans="2:29" ht="20.100000000000001" customHeight="1" x14ac:dyDescent="0.4">
      <c r="B30" s="37"/>
      <c r="O30" s="37"/>
      <c r="AC30" s="37"/>
    </row>
    <row r="32" spans="2:29" ht="20.100000000000001" customHeight="1" x14ac:dyDescent="0.3">
      <c r="W32" s="36"/>
      <c r="X32" s="36"/>
    </row>
  </sheetData>
  <sortState ref="AY40:AZ52">
    <sortCondition descending="1" ref="AZ40:AZ52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AC46"/>
  <sheetViews>
    <sheetView zoomScale="80" zoomScaleNormal="80" workbookViewId="0">
      <selection activeCell="E46" sqref="E46"/>
    </sheetView>
  </sheetViews>
  <sheetFormatPr defaultColWidth="9.140625" defaultRowHeight="15" x14ac:dyDescent="0.25"/>
  <cols>
    <col min="1" max="16384" width="9.140625" style="35"/>
  </cols>
  <sheetData>
    <row r="2" spans="2:22" ht="26.25" x14ac:dyDescent="0.4">
      <c r="B2" s="36" t="s">
        <v>116</v>
      </c>
      <c r="L2" s="36" t="s">
        <v>118</v>
      </c>
      <c r="T2" s="37"/>
      <c r="V2" s="36" t="s">
        <v>117</v>
      </c>
    </row>
    <row r="22" spans="2:29" ht="26.25" x14ac:dyDescent="0.4">
      <c r="C22" s="37"/>
    </row>
    <row r="23" spans="2:29" ht="26.25" x14ac:dyDescent="0.4">
      <c r="B23" s="37"/>
      <c r="L23" s="37"/>
      <c r="V23" s="37"/>
      <c r="AC23" s="37"/>
    </row>
    <row r="24" spans="2:29" ht="18" customHeight="1" x14ac:dyDescent="0.6">
      <c r="B24" s="36" t="s">
        <v>56</v>
      </c>
      <c r="L24" s="36" t="s">
        <v>57</v>
      </c>
      <c r="V24" s="37"/>
      <c r="AC24" s="37"/>
    </row>
    <row r="25" spans="2:29" ht="18.75" x14ac:dyDescent="0.3">
      <c r="B25" s="36" t="s">
        <v>119</v>
      </c>
      <c r="L25" s="36" t="s">
        <v>120</v>
      </c>
    </row>
    <row r="46" spans="12:12" ht="26.25" x14ac:dyDescent="0.4">
      <c r="L46" s="3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K33"/>
  <sheetViews>
    <sheetView zoomScaleNormal="100" workbookViewId="0">
      <pane xSplit="1" topLeftCell="B1" activePane="topRight" state="frozen"/>
      <selection pane="topRight" activeCell="G3" sqref="G3"/>
    </sheetView>
  </sheetViews>
  <sheetFormatPr defaultRowHeight="15" x14ac:dyDescent="0.25"/>
  <cols>
    <col min="1" max="1" width="19.42578125" customWidth="1"/>
    <col min="2" max="2" width="8.7109375" style="2" customWidth="1"/>
    <col min="3" max="5" width="16.85546875" customWidth="1"/>
    <col min="6" max="6" width="16.85546875" style="2" customWidth="1"/>
    <col min="7" max="8" width="16.85546875" customWidth="1"/>
    <col min="9" max="9" width="16.85546875" style="2" customWidth="1"/>
    <col min="10" max="10" width="16.85546875" customWidth="1"/>
    <col min="11" max="11" width="16.85546875" hidden="1" customWidth="1"/>
    <col min="12" max="12" width="16.85546875" style="2" customWidth="1"/>
    <col min="13" max="13" width="16.85546875" customWidth="1"/>
    <col min="14" max="14" width="16.85546875" hidden="1" customWidth="1"/>
    <col min="15" max="15" width="16.85546875" customWidth="1"/>
    <col min="16" max="16" width="16.85546875" style="2" customWidth="1"/>
    <col min="17" max="17" width="16.85546875" customWidth="1"/>
    <col min="18" max="28" width="16.85546875" hidden="1" customWidth="1"/>
    <col min="29" max="30" width="16.85546875" customWidth="1"/>
    <col min="31" max="33" width="16.85546875" hidden="1" customWidth="1"/>
    <col min="34" max="34" width="16.85546875" customWidth="1"/>
  </cols>
  <sheetData>
    <row r="1" spans="1:37" s="19" customFormat="1" ht="15" customHeight="1" x14ac:dyDescent="0.25">
      <c r="C1" s="21" t="s">
        <v>110</v>
      </c>
      <c r="D1" s="56" t="s">
        <v>110</v>
      </c>
      <c r="E1" s="20" t="s">
        <v>110</v>
      </c>
      <c r="F1" s="58" t="s">
        <v>39</v>
      </c>
      <c r="G1" s="58" t="s">
        <v>40</v>
      </c>
      <c r="H1" s="58" t="s">
        <v>33</v>
      </c>
      <c r="I1" s="58" t="s">
        <v>33</v>
      </c>
      <c r="J1" s="58" t="s">
        <v>85</v>
      </c>
      <c r="K1" s="58" t="s">
        <v>110</v>
      </c>
      <c r="L1" s="58" t="s">
        <v>86</v>
      </c>
      <c r="M1" s="61" t="s">
        <v>90</v>
      </c>
      <c r="N1" s="61" t="s">
        <v>87</v>
      </c>
      <c r="O1" s="61" t="s">
        <v>88</v>
      </c>
      <c r="P1" s="61" t="s">
        <v>88</v>
      </c>
      <c r="Q1" s="61" t="s">
        <v>89</v>
      </c>
      <c r="R1" s="55" t="s">
        <v>90</v>
      </c>
      <c r="S1" s="55" t="s">
        <v>91</v>
      </c>
      <c r="T1" s="55" t="s">
        <v>88</v>
      </c>
      <c r="U1" s="55" t="s">
        <v>89</v>
      </c>
      <c r="V1" s="64" t="s">
        <v>90</v>
      </c>
      <c r="W1" s="64" t="s">
        <v>91</v>
      </c>
      <c r="X1" s="64" t="s">
        <v>88</v>
      </c>
      <c r="Y1" s="64" t="s">
        <v>89</v>
      </c>
      <c r="Z1" s="22" t="s">
        <v>94</v>
      </c>
      <c r="AA1" s="22" t="s">
        <v>95</v>
      </c>
      <c r="AB1" s="22"/>
      <c r="AC1" s="58" t="s">
        <v>97</v>
      </c>
      <c r="AD1" s="58" t="s">
        <v>98</v>
      </c>
      <c r="AE1" s="67" t="s">
        <v>99</v>
      </c>
      <c r="AF1" s="35" t="s">
        <v>110</v>
      </c>
      <c r="AG1" s="35" t="s">
        <v>110</v>
      </c>
    </row>
    <row r="2" spans="1:37" s="19" customFormat="1" ht="57.75" customHeight="1" x14ac:dyDescent="0.25">
      <c r="C2" s="21" t="s">
        <v>72</v>
      </c>
      <c r="D2" s="56" t="s">
        <v>38</v>
      </c>
      <c r="E2" s="20" t="s">
        <v>52</v>
      </c>
      <c r="F2" s="58" t="s">
        <v>121</v>
      </c>
      <c r="G2" s="58" t="s">
        <v>41</v>
      </c>
      <c r="H2" s="58" t="s">
        <v>80</v>
      </c>
      <c r="I2" s="58" t="s">
        <v>81</v>
      </c>
      <c r="J2" s="58" t="s">
        <v>122</v>
      </c>
      <c r="K2" s="58" t="s">
        <v>42</v>
      </c>
      <c r="L2" s="58" t="s">
        <v>53</v>
      </c>
      <c r="M2" s="61" t="s">
        <v>123</v>
      </c>
      <c r="N2" s="61" t="s">
        <v>124</v>
      </c>
      <c r="O2" s="61" t="s">
        <v>106</v>
      </c>
      <c r="P2" s="61" t="s">
        <v>109</v>
      </c>
      <c r="Q2" s="61" t="s">
        <v>107</v>
      </c>
      <c r="R2" s="55" t="s">
        <v>125</v>
      </c>
      <c r="S2" s="55" t="s">
        <v>126</v>
      </c>
      <c r="T2" s="55" t="s">
        <v>92</v>
      </c>
      <c r="U2" s="55" t="s">
        <v>93</v>
      </c>
      <c r="V2" s="64" t="s">
        <v>127</v>
      </c>
      <c r="W2" s="64" t="s">
        <v>128</v>
      </c>
      <c r="X2" s="64" t="s">
        <v>129</v>
      </c>
      <c r="Y2" s="64" t="s">
        <v>44</v>
      </c>
      <c r="Z2" s="22" t="s">
        <v>45</v>
      </c>
      <c r="AA2" s="22" t="s">
        <v>96</v>
      </c>
      <c r="AB2" s="22" t="s">
        <v>46</v>
      </c>
      <c r="AC2" s="58" t="s">
        <v>47</v>
      </c>
      <c r="AD2" s="58" t="s">
        <v>48</v>
      </c>
      <c r="AE2" s="67" t="s">
        <v>49</v>
      </c>
      <c r="AF2" s="67" t="s">
        <v>130</v>
      </c>
      <c r="AG2" s="67" t="s">
        <v>131</v>
      </c>
    </row>
    <row r="3" spans="1:37" x14ac:dyDescent="0.25">
      <c r="A3" s="17" t="s">
        <v>1</v>
      </c>
      <c r="B3" s="17" t="s">
        <v>58</v>
      </c>
      <c r="C3" s="43">
        <f>AVERAGE('Asset cost'!H6:L6)</f>
        <v>92227.675716819285</v>
      </c>
      <c r="D3" s="57">
        <f>AVERAGE(Opex!H26:L26)</f>
        <v>69733.878639872564</v>
      </c>
      <c r="E3" s="40">
        <f>C3+D3</f>
        <v>161961.55435669183</v>
      </c>
      <c r="F3" s="59">
        <f>AVERAGE('Physical data'!H48:L48)</f>
        <v>682.83879999999999</v>
      </c>
      <c r="G3" s="60">
        <f>AVERAGE('Physical data'!H33:L33)</f>
        <v>2878157.3647999996</v>
      </c>
      <c r="H3" s="60">
        <f>AVERAGE('Physical data'!H3:L3)</f>
        <v>4037.9728000000005</v>
      </c>
      <c r="I3" s="60">
        <f>AVERAGE('Physical data'!H78:L78)</f>
        <v>5123.8630367264223</v>
      </c>
      <c r="J3" s="60">
        <f>AVERAGE('Physical data'!H18:L18)</f>
        <v>175987.8</v>
      </c>
      <c r="K3" s="60">
        <f>AVERAGE(RAB!H26:L26)</f>
        <v>824506.47639427846</v>
      </c>
      <c r="L3" s="59">
        <f>J3/H3</f>
        <v>43.583205909658425</v>
      </c>
      <c r="M3" s="62">
        <f>$E3/F3*1000</f>
        <v>237188.56391390157</v>
      </c>
      <c r="N3" s="62">
        <f>$E3/G3*1000</f>
        <v>56.272654281343087</v>
      </c>
      <c r="O3" s="62">
        <f>$E3/H3*1000</f>
        <v>40109.619945110033</v>
      </c>
      <c r="P3" s="62">
        <f>E3/I3*1000</f>
        <v>31609.266913615087</v>
      </c>
      <c r="Q3" s="62">
        <f>$E3/J3*1000</f>
        <v>920.29989781502957</v>
      </c>
      <c r="R3" s="63">
        <f>$C3/F3*1000</f>
        <v>135065.07790245558</v>
      </c>
      <c r="S3" s="63">
        <f>$C3/G3*1000</f>
        <v>32.044000388848815</v>
      </c>
      <c r="T3" s="63">
        <f>$C3/H3*1000</f>
        <v>22840.093354967445</v>
      </c>
      <c r="U3" s="63">
        <f>$C3/J3*1000</f>
        <v>524.05721144772133</v>
      </c>
      <c r="V3" s="65">
        <f>$D3/F3*1000</f>
        <v>102123.48601144599</v>
      </c>
      <c r="W3" s="65">
        <f>$D3/G3*1000</f>
        <v>24.228653892494272</v>
      </c>
      <c r="X3" s="65">
        <f>$D3/H3*1000</f>
        <v>17269.526590142596</v>
      </c>
      <c r="Y3" s="65">
        <f>$D3/J3*1000</f>
        <v>396.24268636730824</v>
      </c>
      <c r="Z3" s="44">
        <f>F3/J3*1000</f>
        <v>3.8800348660532151</v>
      </c>
      <c r="AA3" s="44">
        <f t="shared" ref="AA3:AA15" si="0">G3/J3</f>
        <v>16.354300495829822</v>
      </c>
      <c r="AB3" s="44">
        <f>Z3*24*365/AA3/1000</f>
        <v>2.0782977196299552</v>
      </c>
      <c r="AC3" s="66">
        <f>AVERAGE(Reliability!H3:L3)</f>
        <v>33.715200000000003</v>
      </c>
      <c r="AD3" s="66">
        <f>AVERAGE(Reliability!H18:L18)</f>
        <v>0.62459999999999993</v>
      </c>
      <c r="AE3" s="68">
        <f>AVERAGE(Reliability!H33:L33)</f>
        <v>53.602851426651249</v>
      </c>
      <c r="AF3" s="48">
        <f>-AVERAGE(Depreciation!H26:L26)</f>
        <v>44984.917782386903</v>
      </c>
      <c r="AG3" s="48">
        <f>'Asset cost'!$B$2*AVERAGE(RAB!H26:L26)</f>
        <v>47242.757934432389</v>
      </c>
      <c r="AH3" s="75"/>
      <c r="AI3" s="75"/>
      <c r="AJ3" s="85"/>
      <c r="AK3" s="85"/>
    </row>
    <row r="4" spans="1:37" x14ac:dyDescent="0.25">
      <c r="A4" s="17" t="s">
        <v>78</v>
      </c>
      <c r="B4" s="17" t="s">
        <v>59</v>
      </c>
      <c r="C4" s="43">
        <f>AVERAGE('Asset cost'!H7:L7)</f>
        <v>1139627.097856441</v>
      </c>
      <c r="D4" s="57">
        <f>AVERAGE(Opex!H27:L27)</f>
        <v>582227.10614593362</v>
      </c>
      <c r="E4" s="40">
        <f t="shared" ref="E4:E15" si="1">C4+D4</f>
        <v>1721854.2040023748</v>
      </c>
      <c r="F4" s="59">
        <f>AVERAGE('Physical data'!H49:L49)</f>
        <v>5810.200610813572</v>
      </c>
      <c r="G4" s="60">
        <f>AVERAGE('Physical data'!H34:L34)</f>
        <v>27481192.158428498</v>
      </c>
      <c r="H4" s="60">
        <f>AVERAGE('Physical data'!H4:L4)</f>
        <v>37156.936141975253</v>
      </c>
      <c r="I4" s="60">
        <f>AVERAGE('Physical data'!H79:L79)</f>
        <v>40900.807896069964</v>
      </c>
      <c r="J4" s="60">
        <f>AVERAGE('Physical data'!H19:L19)</f>
        <v>1637232.7</v>
      </c>
      <c r="K4" s="60">
        <f>AVERAGE(RAB!H27:L27)</f>
        <v>12305339.369956691</v>
      </c>
      <c r="L4" s="59">
        <f>J4/H4</f>
        <v>44.062639980438526</v>
      </c>
      <c r="M4" s="62">
        <f t="shared" ref="M4:M14" si="2">$E4/F4*1000</f>
        <v>296350.21565309988</v>
      </c>
      <c r="N4" s="62">
        <f t="shared" ref="N4:N15" si="3">$E4/G4*1000</f>
        <v>62.655731748314317</v>
      </c>
      <c r="O4" s="62">
        <f t="shared" ref="O4:O15" si="4">$E4/H4*1000</f>
        <v>46340.047990588748</v>
      </c>
      <c r="P4" s="62">
        <f t="shared" ref="P4:P15" si="5">E4/I4*1000</f>
        <v>42098.293226325797</v>
      </c>
      <c r="Q4" s="62">
        <f t="shared" ref="Q4:Q15" si="6">$E4/J4*1000</f>
        <v>1051.6856913512506</v>
      </c>
      <c r="R4" s="63">
        <f t="shared" ref="R4:R15" si="7">$C4/F4*1000</f>
        <v>196142.46980309772</v>
      </c>
      <c r="S4" s="63">
        <f t="shared" ref="S4:S15" si="8">$C4/G4*1000</f>
        <v>41.469347155193077</v>
      </c>
      <c r="T4" s="63">
        <f t="shared" ref="T4:T15" si="9">$C4/H4*1000</f>
        <v>30670.642312971358</v>
      </c>
      <c r="U4" s="63">
        <f t="shared" ref="U4:U15" si="10">$C4/J4*1000</f>
        <v>696.06910358951484</v>
      </c>
      <c r="V4" s="65">
        <f t="shared" ref="V4:V15" si="11">$D4/F4*1000</f>
        <v>100207.74585000215</v>
      </c>
      <c r="W4" s="65">
        <f t="shared" ref="W4:W15" si="12">$D4/G4*1000</f>
        <v>21.186384593121236</v>
      </c>
      <c r="X4" s="65">
        <f>$D4/H4*1000</f>
        <v>15669.405677617384</v>
      </c>
      <c r="Y4" s="65">
        <f t="shared" ref="Y4:Y15" si="13">$D4/J4*1000</f>
        <v>355.61658776173579</v>
      </c>
      <c r="Z4" s="44">
        <f>F4/J4*1000</f>
        <v>3.5487934065900175</v>
      </c>
      <c r="AA4" s="44">
        <f t="shared" si="0"/>
        <v>16.78514737607458</v>
      </c>
      <c r="AB4" s="44">
        <f t="shared" ref="AB4:AB15" si="14">Z4*24*365/AA4/1000</f>
        <v>1.8520796717007284</v>
      </c>
      <c r="AC4" s="66">
        <f>AVERAGE(Reliability!H4:L4)</f>
        <v>76.828000000000003</v>
      </c>
      <c r="AD4" s="66">
        <f>AVERAGE(Reliability!H19:L19)</f>
        <v>0.83152000000000004</v>
      </c>
      <c r="AE4" s="68">
        <f>AVERAGE(Reliability!H34:L34)</f>
        <v>93.124499239616753</v>
      </c>
      <c r="AF4" s="48">
        <f>-AVERAGE(Depreciation!H27:L27)</f>
        <v>434552.98892014084</v>
      </c>
      <c r="AG4" s="48">
        <f>'Asset cost'!$B$2*AVERAGE(RAB!H27:L27)</f>
        <v>705074.10893630038</v>
      </c>
      <c r="AH4" s="75"/>
      <c r="AI4" s="75"/>
      <c r="AJ4" s="85"/>
      <c r="AK4" s="85"/>
    </row>
    <row r="5" spans="1:37" x14ac:dyDescent="0.25">
      <c r="A5" s="17" t="s">
        <v>2</v>
      </c>
      <c r="B5" s="17" t="s">
        <v>60</v>
      </c>
      <c r="C5" s="43">
        <f>AVERAGE('Asset cost'!H8:L8)</f>
        <v>137767.1341160016</v>
      </c>
      <c r="D5" s="57">
        <f>AVERAGE(Opex!H28:L28)</f>
        <v>55263.409703312107</v>
      </c>
      <c r="E5" s="40">
        <f t="shared" si="1"/>
        <v>193030.54381931369</v>
      </c>
      <c r="F5" s="59">
        <f>AVERAGE('Physical data'!H50:L50)</f>
        <v>1384.5374878400003</v>
      </c>
      <c r="G5" s="60">
        <f>AVERAGE('Physical data'!H35:L35)</f>
        <v>6007022.15616138</v>
      </c>
      <c r="H5" s="60">
        <f>AVERAGE('Physical data'!H5:L5)</f>
        <v>3130.5963792902048</v>
      </c>
      <c r="I5" s="60">
        <f>AVERAGE('Physical data'!H80:L80)</f>
        <v>4384.1906162000205</v>
      </c>
      <c r="J5" s="60">
        <f>AVERAGE('Physical data'!H20:L20)</f>
        <v>321928.59608477389</v>
      </c>
      <c r="K5" s="60">
        <f>AVERAGE(RAB!H28:L28)</f>
        <v>1301756.5905568234</v>
      </c>
      <c r="L5" s="59">
        <f t="shared" ref="L5:L14" si="15">J5/H5</f>
        <v>102.83299316846596</v>
      </c>
      <c r="M5" s="62">
        <f t="shared" si="2"/>
        <v>139418.79184539686</v>
      </c>
      <c r="N5" s="62">
        <f t="shared" si="3"/>
        <v>32.134148801386225</v>
      </c>
      <c r="O5" s="62">
        <f t="shared" si="4"/>
        <v>61659.351903767041</v>
      </c>
      <c r="P5" s="62">
        <f t="shared" si="5"/>
        <v>44028.775369858835</v>
      </c>
      <c r="Q5" s="62">
        <f t="shared" si="6"/>
        <v>599.60670212870025</v>
      </c>
      <c r="R5" s="63">
        <f t="shared" si="7"/>
        <v>99504.083729022313</v>
      </c>
      <c r="S5" s="63">
        <f t="shared" si="8"/>
        <v>22.934347590959749</v>
      </c>
      <c r="T5" s="63">
        <f t="shared" si="9"/>
        <v>44006.673944738068</v>
      </c>
      <c r="U5" s="63">
        <f t="shared" si="10"/>
        <v>427.94313953931322</v>
      </c>
      <c r="V5" s="65">
        <f t="shared" si="11"/>
        <v>39914.708116374561</v>
      </c>
      <c r="W5" s="65">
        <f t="shared" si="12"/>
        <v>9.1998012104264735</v>
      </c>
      <c r="X5" s="65">
        <f t="shared" ref="X5:X15" si="16">$D5/H5*1000</f>
        <v>17652.677959028973</v>
      </c>
      <c r="Y5" s="65">
        <f t="shared" si="13"/>
        <v>171.66356258938711</v>
      </c>
      <c r="Z5" s="44">
        <f>F5/J5*1000</f>
        <v>4.3007595618359051</v>
      </c>
      <c r="AA5" s="44">
        <f t="shared" si="0"/>
        <v>18.659486076159393</v>
      </c>
      <c r="AB5" s="44">
        <f t="shared" si="14"/>
        <v>2.0190617044816785</v>
      </c>
      <c r="AC5" s="66">
        <f>AVERAGE(Reliability!H5:L5)</f>
        <v>27.933473717198023</v>
      </c>
      <c r="AD5" s="66">
        <f>AVERAGE(Reliability!H20:L20)</f>
        <v>0.41453361768444141</v>
      </c>
      <c r="AE5" s="68">
        <f>AVERAGE(Reliability!H35:L35)</f>
        <v>67.461940891831517</v>
      </c>
      <c r="AF5" s="48">
        <f>-AVERAGE(Depreciation!H28:L28)</f>
        <v>63178.791564500003</v>
      </c>
      <c r="AG5" s="48">
        <f>'Asset cost'!$B$2*AVERAGE(RAB!H28:L28)</f>
        <v>74588.342551501613</v>
      </c>
      <c r="AH5" s="75"/>
      <c r="AI5" s="75"/>
      <c r="AJ5" s="85"/>
      <c r="AK5" s="85"/>
    </row>
    <row r="6" spans="1:37" x14ac:dyDescent="0.25">
      <c r="A6" s="17" t="s">
        <v>3</v>
      </c>
      <c r="B6" s="17" t="s">
        <v>61</v>
      </c>
      <c r="C6" s="43">
        <f>AVERAGE('Asset cost'!H9:L9)</f>
        <v>463804.40979465761</v>
      </c>
      <c r="D6" s="57">
        <f>AVERAGE(Opex!H29:L29)</f>
        <v>259545.95258243653</v>
      </c>
      <c r="E6" s="40">
        <f t="shared" si="1"/>
        <v>723350.3623770941</v>
      </c>
      <c r="F6" s="59">
        <f>AVERAGE('Physical data'!H51:L51)</f>
        <v>3663.6997340475564</v>
      </c>
      <c r="G6" s="60">
        <f>AVERAGE('Physical data'!H36:L36)</f>
        <v>16354449.1471342</v>
      </c>
      <c r="H6" s="60">
        <f>AVERAGE('Physical data'!H6:L6)</f>
        <v>27688.620000000003</v>
      </c>
      <c r="I6" s="60">
        <f>AVERAGE('Physical data'!H81:L81)</f>
        <v>35053.234123800001</v>
      </c>
      <c r="J6" s="60">
        <f>AVERAGE('Physical data'!H21:L21)</f>
        <v>922816.1564185305</v>
      </c>
      <c r="K6" s="60">
        <f>AVERAGE(RAB!H29:L29)</f>
        <v>4416332.7184408577</v>
      </c>
      <c r="L6" s="59">
        <f t="shared" si="15"/>
        <v>33.328354985496944</v>
      </c>
      <c r="M6" s="62">
        <f t="shared" si="2"/>
        <v>197437.13046537148</v>
      </c>
      <c r="N6" s="62">
        <f t="shared" si="3"/>
        <v>44.229576665616236</v>
      </c>
      <c r="O6" s="62">
        <f t="shared" si="4"/>
        <v>26124.464215879812</v>
      </c>
      <c r="P6" s="62">
        <f t="shared" si="5"/>
        <v>20635.766726185269</v>
      </c>
      <c r="Q6" s="62">
        <f t="shared" si="6"/>
        <v>783.85099496353916</v>
      </c>
      <c r="R6" s="63">
        <f t="shared" si="7"/>
        <v>126594.54744187211</v>
      </c>
      <c r="S6" s="63">
        <f t="shared" si="8"/>
        <v>28.359525021112088</v>
      </c>
      <c r="T6" s="63">
        <f t="shared" si="9"/>
        <v>16750.723213892841</v>
      </c>
      <c r="U6" s="63">
        <f t="shared" si="10"/>
        <v>502.59675946148639</v>
      </c>
      <c r="V6" s="65">
        <f t="shared" si="11"/>
        <v>70842.583023499363</v>
      </c>
      <c r="W6" s="65">
        <f t="shared" si="12"/>
        <v>15.870051644504144</v>
      </c>
      <c r="X6" s="65">
        <f t="shared" si="16"/>
        <v>9373.7410019869712</v>
      </c>
      <c r="Y6" s="65">
        <f t="shared" si="13"/>
        <v>281.25423550205278</v>
      </c>
      <c r="Z6" s="44">
        <f t="shared" ref="Z6:Z15" si="17">F6/J6*1000</f>
        <v>3.9701295957652656</v>
      </c>
      <c r="AA6" s="44">
        <f t="shared" si="0"/>
        <v>17.722326417220707</v>
      </c>
      <c r="AB6" s="44">
        <f t="shared" si="14"/>
        <v>1.9624023641224537</v>
      </c>
      <c r="AC6" s="66">
        <f>AVERAGE(Reliability!H6:L6)</f>
        <v>89.684381688071255</v>
      </c>
      <c r="AD6" s="66">
        <f>AVERAGE(Reliability!H21:L21)</f>
        <v>1.0398582465112034</v>
      </c>
      <c r="AE6" s="68">
        <f>AVERAGE(Reliability!H36:L36)</f>
        <v>86.280394746134448</v>
      </c>
      <c r="AF6" s="48">
        <f>-AVERAGE(Depreciation!H29:L29)</f>
        <v>210756.38221865118</v>
      </c>
      <c r="AG6" s="48">
        <f>'Asset cost'!$B$2*AVERAGE(RAB!H29:L29)</f>
        <v>253048.02757600634</v>
      </c>
      <c r="AH6" s="75"/>
      <c r="AI6" s="75"/>
      <c r="AJ6" s="85"/>
      <c r="AK6" s="85"/>
    </row>
    <row r="7" spans="1:37" x14ac:dyDescent="0.25">
      <c r="A7" s="17" t="s">
        <v>4</v>
      </c>
      <c r="B7" s="17" t="s">
        <v>62</v>
      </c>
      <c r="C7" s="43">
        <f>AVERAGE('Asset cost'!H10:L10)</f>
        <v>708652.85832509364</v>
      </c>
      <c r="D7" s="57">
        <f>AVERAGE(Opex!H30:L30)</f>
        <v>382989.03665359452</v>
      </c>
      <c r="E7" s="40">
        <f t="shared" si="1"/>
        <v>1091641.8949786881</v>
      </c>
      <c r="F7" s="59">
        <f>AVERAGE('Physical data'!H52:L52)</f>
        <v>4726.1982694503786</v>
      </c>
      <c r="G7" s="60">
        <f>AVERAGE('Physical data'!H37:L37)</f>
        <v>21142307.634834599</v>
      </c>
      <c r="H7" s="60">
        <f>AVERAGE('Physical data'!H7:L7)</f>
        <v>42474.432799999995</v>
      </c>
      <c r="I7" s="60">
        <f>AVERAGE('Physical data'!H82:L82)</f>
        <v>51711.150199999996</v>
      </c>
      <c r="J7" s="60">
        <f>AVERAGE('Physical data'!H22:L22)</f>
        <v>1360762.7</v>
      </c>
      <c r="K7" s="60">
        <f>AVERAGE(RAB!H30:L30)</f>
        <v>7127860.9936821368</v>
      </c>
      <c r="L7" s="59">
        <f t="shared" si="15"/>
        <v>32.037218870171706</v>
      </c>
      <c r="M7" s="62">
        <f t="shared" si="2"/>
        <v>230976.74552397436</v>
      </c>
      <c r="N7" s="62">
        <f t="shared" si="3"/>
        <v>51.633053204659241</v>
      </c>
      <c r="O7" s="62">
        <f t="shared" si="4"/>
        <v>25701.152976401561</v>
      </c>
      <c r="P7" s="62">
        <f t="shared" si="5"/>
        <v>21110.377370385548</v>
      </c>
      <c r="Q7" s="62">
        <f t="shared" si="6"/>
        <v>802.22796743229958</v>
      </c>
      <c r="R7" s="63">
        <f t="shared" si="7"/>
        <v>149941.41547250506</v>
      </c>
      <c r="S7" s="63">
        <f t="shared" si="8"/>
        <v>33.518236067925685</v>
      </c>
      <c r="T7" s="63">
        <f t="shared" si="9"/>
        <v>16684.221815555207</v>
      </c>
      <c r="U7" s="63">
        <f t="shared" si="10"/>
        <v>520.77622227967709</v>
      </c>
      <c r="V7" s="65">
        <f t="shared" si="11"/>
        <v>81035.330051469311</v>
      </c>
      <c r="W7" s="65">
        <f t="shared" si="12"/>
        <v>18.114817136733556</v>
      </c>
      <c r="X7" s="65">
        <f t="shared" si="16"/>
        <v>9016.9311608463559</v>
      </c>
      <c r="Y7" s="65">
        <f t="shared" si="13"/>
        <v>281.45174515262249</v>
      </c>
      <c r="Z7" s="44">
        <f t="shared" si="17"/>
        <v>3.4731979862840001</v>
      </c>
      <c r="AA7" s="44">
        <f t="shared" si="0"/>
        <v>15.537101093992803</v>
      </c>
      <c r="AB7" s="44">
        <f t="shared" si="14"/>
        <v>1.9582297994837219</v>
      </c>
      <c r="AC7" s="66">
        <f>AVERAGE(Reliability!H7:L7)</f>
        <v>72.951925623974844</v>
      </c>
      <c r="AD7" s="66">
        <f>AVERAGE(Reliability!H22:L22)</f>
        <v>0.92741729197508982</v>
      </c>
      <c r="AE7" s="68">
        <f>AVERAGE(Reliability!H37:L37)</f>
        <v>78.889110179729542</v>
      </c>
      <c r="AF7" s="48">
        <f>-AVERAGE(Depreciation!H30:L30)</f>
        <v>300239.0724353402</v>
      </c>
      <c r="AG7" s="48">
        <f>'Asset cost'!$B$2*AVERAGE(RAB!H30:L30)</f>
        <v>408413.78588975343</v>
      </c>
      <c r="AH7" s="75"/>
      <c r="AI7" s="75"/>
      <c r="AJ7" s="85"/>
      <c r="AK7" s="85"/>
    </row>
    <row r="8" spans="1:37" x14ac:dyDescent="0.25">
      <c r="A8" s="17" t="s">
        <v>10</v>
      </c>
      <c r="B8" s="17" t="s">
        <v>63</v>
      </c>
      <c r="C8" s="43">
        <f>AVERAGE('Asset cost'!H11:L11)</f>
        <v>709329.34731914627</v>
      </c>
      <c r="D8" s="57">
        <f>AVERAGE(Opex!H31:L31)</f>
        <v>357243.22683157644</v>
      </c>
      <c r="E8" s="40">
        <f t="shared" si="1"/>
        <v>1066572.5741507227</v>
      </c>
      <c r="F8" s="59">
        <f>AVERAGE('Physical data'!H53:L53)</f>
        <v>3123.1628001182553</v>
      </c>
      <c r="G8" s="60">
        <f>AVERAGE('Physical data'!H38:L38)</f>
        <v>13557355.896021718</v>
      </c>
      <c r="H8" s="60">
        <f>AVERAGE('Physical data'!H8:L8)</f>
        <v>141407.03690000001</v>
      </c>
      <c r="I8" s="60">
        <f>AVERAGE('Physical data'!H83:L83)</f>
        <v>152106.21444221036</v>
      </c>
      <c r="J8" s="60">
        <f>AVERAGE('Physical data'!H23:L23)</f>
        <v>709774.9</v>
      </c>
      <c r="K8" s="60">
        <f>AVERAGE(RAB!H31:L31)</f>
        <v>7011370.8877023607</v>
      </c>
      <c r="L8" s="59">
        <f t="shared" si="15"/>
        <v>5.0193746758298703</v>
      </c>
      <c r="M8" s="62">
        <f t="shared" si="2"/>
        <v>341503.99528014933</v>
      </c>
      <c r="N8" s="62">
        <f t="shared" si="3"/>
        <v>78.671134868097596</v>
      </c>
      <c r="O8" s="62">
        <f t="shared" si="4"/>
        <v>7542.57070604612</v>
      </c>
      <c r="P8" s="62">
        <f t="shared" si="5"/>
        <v>7012.0249725624799</v>
      </c>
      <c r="Q8" s="62">
        <f>$E8/J8*1000</f>
        <v>1502.6913098092405</v>
      </c>
      <c r="R8" s="63">
        <f t="shared" si="7"/>
        <v>227118.91525228473</v>
      </c>
      <c r="S8" s="63">
        <f t="shared" si="8"/>
        <v>52.320625995168605</v>
      </c>
      <c r="T8" s="63">
        <f t="shared" si="9"/>
        <v>5016.2238235765353</v>
      </c>
      <c r="U8" s="63">
        <f t="shared" si="10"/>
        <v>999.37226199340978</v>
      </c>
      <c r="V8" s="65">
        <f t="shared" si="11"/>
        <v>114385.08002786463</v>
      </c>
      <c r="W8" s="65">
        <f t="shared" si="12"/>
        <v>26.350508872928991</v>
      </c>
      <c r="X8" s="65">
        <f t="shared" si="16"/>
        <v>2526.3468824695838</v>
      </c>
      <c r="Y8" s="65">
        <f t="shared" si="13"/>
        <v>503.31904781583069</v>
      </c>
      <c r="Z8" s="44">
        <f t="shared" si="17"/>
        <v>4.4002158996017684</v>
      </c>
      <c r="AA8" s="44">
        <f t="shared" si="0"/>
        <v>19.100923258939865</v>
      </c>
      <c r="AB8" s="44">
        <f t="shared" si="14"/>
        <v>2.0180119441331579</v>
      </c>
      <c r="AC8" s="66">
        <f>AVERAGE(Reliability!H8:L8)</f>
        <v>278.79552000000001</v>
      </c>
      <c r="AD8" s="66">
        <f>AVERAGE(Reliability!H23:L23)</f>
        <v>2.5598400000000003</v>
      </c>
      <c r="AE8" s="68">
        <f>AVERAGE(Reliability!H38:L38)</f>
        <v>108.59492956608604</v>
      </c>
      <c r="AF8" s="48">
        <f>-AVERAGE(Depreciation!H31:L31)</f>
        <v>307590.23777957255</v>
      </c>
      <c r="AG8" s="48">
        <f>'Asset cost'!$B$2*AVERAGE(RAB!H31:L31)</f>
        <v>401739.10953957366</v>
      </c>
      <c r="AH8" s="75"/>
      <c r="AI8" s="75"/>
      <c r="AJ8" s="85"/>
      <c r="AK8" s="85"/>
    </row>
    <row r="9" spans="1:37" x14ac:dyDescent="0.25">
      <c r="A9" s="17" t="s">
        <v>5</v>
      </c>
      <c r="B9" s="17" t="s">
        <v>64</v>
      </c>
      <c r="C9" s="43">
        <f>AVERAGE('Asset cost'!H12:L12)</f>
        <v>647420.50031113299</v>
      </c>
      <c r="D9" s="57">
        <f>AVERAGE(Opex!H32:L32)</f>
        <v>414258.90640054783</v>
      </c>
      <c r="E9" s="40">
        <f t="shared" si="1"/>
        <v>1061679.4067116808</v>
      </c>
      <c r="F9" s="59">
        <f>AVERAGE('Physical data'!H54:L54)</f>
        <v>2651.9144234621531</v>
      </c>
      <c r="G9" s="60">
        <f>AVERAGE('Physical data'!H39:L39)</f>
        <v>12077639.751949707</v>
      </c>
      <c r="H9" s="60">
        <f>AVERAGE('Physical data'!H9:L9)</f>
        <v>180725.21179999999</v>
      </c>
      <c r="I9" s="60">
        <f>AVERAGE('Physical data'!H84:L84)</f>
        <v>191029.87289941718</v>
      </c>
      <c r="J9" s="60">
        <f>AVERAGE('Physical data'!H24:L24)</f>
        <v>847655.4</v>
      </c>
      <c r="K9" s="60">
        <f>AVERAGE(RAB!H32:L32)</f>
        <v>6226921.9951252993</v>
      </c>
      <c r="L9" s="59">
        <f t="shared" si="15"/>
        <v>4.6902996629936728</v>
      </c>
      <c r="M9" s="62">
        <f t="shared" si="2"/>
        <v>400344.5199131376</v>
      </c>
      <c r="N9" s="62">
        <f t="shared" si="3"/>
        <v>87.90454331445784</v>
      </c>
      <c r="O9" s="62">
        <f t="shared" si="4"/>
        <v>5874.5506293089365</v>
      </c>
      <c r="P9" s="62">
        <f t="shared" si="5"/>
        <v>5557.6616923714655</v>
      </c>
      <c r="Q9" s="62">
        <f t="shared" si="6"/>
        <v>1252.4894039626017</v>
      </c>
      <c r="R9" s="63">
        <f t="shared" si="7"/>
        <v>244133.25504897186</v>
      </c>
      <c r="S9" s="63">
        <f t="shared" si="8"/>
        <v>53.604885855832812</v>
      </c>
      <c r="T9" s="63">
        <f t="shared" si="9"/>
        <v>3582.3474426335297</v>
      </c>
      <c r="U9" s="63">
        <f t="shared" si="10"/>
        <v>763.77794598032756</v>
      </c>
      <c r="V9" s="65">
        <f t="shared" si="11"/>
        <v>156211.26486416577</v>
      </c>
      <c r="W9" s="65">
        <f t="shared" si="12"/>
        <v>34.299657458625028</v>
      </c>
      <c r="X9" s="65">
        <f t="shared" si="16"/>
        <v>2292.2031866754069</v>
      </c>
      <c r="Y9" s="65">
        <f t="shared" si="13"/>
        <v>488.71145798227417</v>
      </c>
      <c r="Z9" s="44">
        <f t="shared" si="17"/>
        <v>3.1285289086368744</v>
      </c>
      <c r="AA9" s="44">
        <f t="shared" si="0"/>
        <v>14.248289755423851</v>
      </c>
      <c r="AB9" s="44">
        <f t="shared" si="14"/>
        <v>1.9234528290826272</v>
      </c>
      <c r="AC9" s="66">
        <f>AVERAGE(Reliability!H9:L9)</f>
        <v>219.05369785359821</v>
      </c>
      <c r="AD9" s="66">
        <f>AVERAGE(Reliability!H24:L24)</f>
        <v>1.9056331476441097</v>
      </c>
      <c r="AE9" s="68">
        <f>AVERAGE(Reliability!H39:L39)</f>
        <v>114.93061094924049</v>
      </c>
      <c r="AF9" s="48">
        <f>-AVERAGE(Depreciation!H32:L32)</f>
        <v>290628.92023915052</v>
      </c>
      <c r="AG9" s="48">
        <f>'Asset cost'!$B$2*AVERAGE(RAB!H32:L32)</f>
        <v>356791.5800719824</v>
      </c>
      <c r="AH9" s="75"/>
      <c r="AI9" s="75"/>
      <c r="AJ9" s="85"/>
      <c r="AK9" s="85"/>
    </row>
    <row r="10" spans="1:37" x14ac:dyDescent="0.25">
      <c r="A10" s="17" t="s">
        <v>6</v>
      </c>
      <c r="B10" s="17" t="s">
        <v>65</v>
      </c>
      <c r="C10" s="43">
        <f>AVERAGE('Asset cost'!H13:L13)</f>
        <v>103612.45211094491</v>
      </c>
      <c r="D10" s="57">
        <f>AVERAGE(Opex!H33:L33)</f>
        <v>71860.488003930979</v>
      </c>
      <c r="E10" s="40">
        <f>C10+D10</f>
        <v>175472.94011487591</v>
      </c>
      <c r="F10" s="59">
        <f>AVERAGE('Physical data'!H55:L55)</f>
        <v>955.24252997479994</v>
      </c>
      <c r="G10" s="60">
        <f>AVERAGE('Physical data'!H40:L40)</f>
        <v>4276307.9239999996</v>
      </c>
      <c r="H10" s="60">
        <f>AVERAGE('Physical data'!H10:L10)</f>
        <v>4380.0919514892139</v>
      </c>
      <c r="I10" s="60">
        <f>AVERAGE('Physical data'!H85:L85)</f>
        <v>6137.1530882536017</v>
      </c>
      <c r="J10" s="60">
        <f>AVERAGE('Physical data'!H25:L25)</f>
        <v>317817.59999999998</v>
      </c>
      <c r="K10" s="60">
        <f>AVERAGE(RAB!H33:L33)</f>
        <v>881166.33489795425</v>
      </c>
      <c r="L10" s="59">
        <f t="shared" si="15"/>
        <v>72.559572611698997</v>
      </c>
      <c r="M10" s="62">
        <f t="shared" si="2"/>
        <v>183694.64780792897</v>
      </c>
      <c r="N10" s="62">
        <f t="shared" si="3"/>
        <v>41.033747623754117</v>
      </c>
      <c r="O10" s="62">
        <f t="shared" si="4"/>
        <v>40061.474064537797</v>
      </c>
      <c r="P10" s="62">
        <f t="shared" si="5"/>
        <v>28591.911850908182</v>
      </c>
      <c r="Q10" s="62">
        <f t="shared" si="6"/>
        <v>552.11838524636744</v>
      </c>
      <c r="R10" s="63">
        <f t="shared" si="7"/>
        <v>108467.16813758103</v>
      </c>
      <c r="S10" s="63">
        <f t="shared" si="8"/>
        <v>24.229417982142699</v>
      </c>
      <c r="T10" s="63">
        <f t="shared" si="9"/>
        <v>23655.31437661191</v>
      </c>
      <c r="U10" s="63">
        <f t="shared" si="10"/>
        <v>326.01231684760353</v>
      </c>
      <c r="V10" s="65">
        <f t="shared" si="11"/>
        <v>75227.479670347922</v>
      </c>
      <c r="W10" s="65">
        <f t="shared" si="12"/>
        <v>16.804329641611417</v>
      </c>
      <c r="X10" s="65">
        <f t="shared" si="16"/>
        <v>16406.15968792589</v>
      </c>
      <c r="Y10" s="65">
        <f t="shared" si="13"/>
        <v>226.10606839876391</v>
      </c>
      <c r="Z10" s="44">
        <f t="shared" si="17"/>
        <v>3.0056313117171611</v>
      </c>
      <c r="AA10" s="44">
        <f t="shared" si="0"/>
        <v>13.455226910026379</v>
      </c>
      <c r="AB10" s="44">
        <f t="shared" si="14"/>
        <v>1.9568105738166783</v>
      </c>
      <c r="AC10" s="66">
        <f>AVERAGE(Reliability!H10:L10)</f>
        <v>54.168375491401193</v>
      </c>
      <c r="AD10" s="66">
        <f>AVERAGE(Reliability!H25:L25)</f>
        <v>0.93339230243531779</v>
      </c>
      <c r="AE10" s="68">
        <f>AVERAGE(Reliability!H40:L40)</f>
        <v>58.287691686088102</v>
      </c>
      <c r="AF10" s="48">
        <f>-AVERAGE(Depreciation!H33:L33)</f>
        <v>53123.184832408457</v>
      </c>
      <c r="AG10" s="48">
        <f>'Asset cost'!$B$2*AVERAGE(RAB!H33:L33)</f>
        <v>50489.267278536456</v>
      </c>
      <c r="AH10" s="75"/>
      <c r="AI10" s="75"/>
      <c r="AJ10" s="85"/>
      <c r="AK10" s="85"/>
    </row>
    <row r="11" spans="1:37" x14ac:dyDescent="0.25">
      <c r="A11" s="17" t="s">
        <v>7</v>
      </c>
      <c r="B11" s="17" t="s">
        <v>66</v>
      </c>
      <c r="C11" s="43">
        <f>AVERAGE('Asset cost'!H14:L14)</f>
        <v>254766.53419590741</v>
      </c>
      <c r="D11" s="57">
        <f>AVERAGE(Opex!H34:L34)</f>
        <v>181547.89100553462</v>
      </c>
      <c r="E11" s="40">
        <f t="shared" si="1"/>
        <v>436314.42520144203</v>
      </c>
      <c r="F11" s="59">
        <f>AVERAGE('Physical data'!H56:L56)</f>
        <v>2387.3477379999995</v>
      </c>
      <c r="G11" s="60">
        <f>AVERAGE('Physical data'!H41:L41)</f>
        <v>10563196.193915112</v>
      </c>
      <c r="H11" s="60">
        <f>AVERAGE('Physical data'!H11:L11)</f>
        <v>66788.172961561824</v>
      </c>
      <c r="I11" s="60">
        <f>AVERAGE('Physical data'!H86:L86)</f>
        <v>73850.441735799628</v>
      </c>
      <c r="J11" s="60">
        <f>AVERAGE('Physical data'!H26:L26)</f>
        <v>754231.64141230285</v>
      </c>
      <c r="K11" s="60">
        <f>AVERAGE(RAB!H34:L34)</f>
        <v>2373688.7752159284</v>
      </c>
      <c r="L11" s="59">
        <f t="shared" si="15"/>
        <v>11.292892258729417</v>
      </c>
      <c r="M11" s="62">
        <f t="shared" si="2"/>
        <v>182761.15299690882</v>
      </c>
      <c r="N11" s="62">
        <f t="shared" si="3"/>
        <v>41.305152076298576</v>
      </c>
      <c r="O11" s="62">
        <f t="shared" si="4"/>
        <v>6532.8097154649122</v>
      </c>
      <c r="P11" s="62">
        <f t="shared" si="5"/>
        <v>5908.0814541686741</v>
      </c>
      <c r="Q11" s="62">
        <f t="shared" si="6"/>
        <v>578.48862503890825</v>
      </c>
      <c r="R11" s="63">
        <f t="shared" si="7"/>
        <v>106715.30173033697</v>
      </c>
      <c r="S11" s="63">
        <f t="shared" si="8"/>
        <v>24.118318879911055</v>
      </c>
      <c r="T11" s="63">
        <f t="shared" si="9"/>
        <v>3814.5456433211853</v>
      </c>
      <c r="U11" s="63">
        <f t="shared" si="10"/>
        <v>337.78287757704737</v>
      </c>
      <c r="V11" s="65">
        <f t="shared" si="11"/>
        <v>76045.851266571815</v>
      </c>
      <c r="W11" s="65">
        <f t="shared" si="12"/>
        <v>17.186833196387525</v>
      </c>
      <c r="X11" s="65">
        <f t="shared" si="16"/>
        <v>2718.2640721437269</v>
      </c>
      <c r="Y11" s="65">
        <f t="shared" si="13"/>
        <v>240.70574746186094</v>
      </c>
      <c r="Z11" s="44">
        <f t="shared" si="17"/>
        <v>3.1652712600729371</v>
      </c>
      <c r="AA11" s="44">
        <f t="shared" si="0"/>
        <v>14.005241379339999</v>
      </c>
      <c r="AB11" s="44">
        <f t="shared" si="14"/>
        <v>1.9798142343438572</v>
      </c>
      <c r="AC11" s="66">
        <f>AVERAGE(Reliability!H11:L11)</f>
        <v>138.88718989980572</v>
      </c>
      <c r="AD11" s="66">
        <f>AVERAGE(Reliability!H26:L26)</f>
        <v>1.4283648603858514</v>
      </c>
      <c r="AE11" s="68">
        <f>AVERAGE(Reliability!H41:L41)</f>
        <v>97.004433257169353</v>
      </c>
      <c r="AF11" s="48">
        <f>-AVERAGE(Depreciation!H34:L34)</f>
        <v>118758.3797061902</v>
      </c>
      <c r="AG11" s="48">
        <f>'Asset cost'!$B$2*AVERAGE(RAB!H34:L34)</f>
        <v>136008.15448971721</v>
      </c>
      <c r="AH11" s="75"/>
      <c r="AI11" s="75"/>
      <c r="AJ11" s="85"/>
      <c r="AK11" s="85"/>
    </row>
    <row r="12" spans="1:37" x14ac:dyDescent="0.25">
      <c r="A12" s="17" t="s">
        <v>8</v>
      </c>
      <c r="B12" s="17" t="s">
        <v>69</v>
      </c>
      <c r="C12" s="43">
        <f>AVERAGE('Asset cost'!H15:L15)</f>
        <v>397809.65336547699</v>
      </c>
      <c r="D12" s="57">
        <f>AVERAGE(Opex!H35:L35)</f>
        <v>233193.64055348682</v>
      </c>
      <c r="E12" s="40">
        <f t="shared" si="1"/>
        <v>631003.29391896375</v>
      </c>
      <c r="F12" s="59">
        <f>AVERAGE('Physical data'!H57:L57)</f>
        <v>2912.4406320000007</v>
      </c>
      <c r="G12" s="60">
        <f>AVERAGE('Physical data'!H42:L42)</f>
        <v>10846268.109374419</v>
      </c>
      <c r="H12" s="60">
        <f>AVERAGE('Physical data'!H12:L12)</f>
        <v>81146.945002569613</v>
      </c>
      <c r="I12" s="60">
        <f>AVERAGE('Physical data'!H87:L87)</f>
        <v>87801.458288321708</v>
      </c>
      <c r="J12" s="60">
        <f>AVERAGE('Physical data'!H27:L27)</f>
        <v>846735.9</v>
      </c>
      <c r="K12" s="60">
        <f>AVERAGE(RAB!H35:L35)</f>
        <v>3346403.3666153271</v>
      </c>
      <c r="L12" s="59">
        <f t="shared" si="15"/>
        <v>10.434599848129675</v>
      </c>
      <c r="M12" s="62">
        <f t="shared" si="2"/>
        <v>216657.90779935927</v>
      </c>
      <c r="N12" s="62">
        <f t="shared" si="3"/>
        <v>58.176995769963334</v>
      </c>
      <c r="O12" s="62">
        <f t="shared" si="4"/>
        <v>7776.0572982628273</v>
      </c>
      <c r="P12" s="62">
        <f t="shared" si="5"/>
        <v>7186.7063055704648</v>
      </c>
      <c r="Q12" s="62">
        <f t="shared" si="6"/>
        <v>745.21854325411709</v>
      </c>
      <c r="R12" s="63">
        <f t="shared" si="7"/>
        <v>136589.78967488767</v>
      </c>
      <c r="S12" s="63">
        <f t="shared" si="8"/>
        <v>36.677099381459186</v>
      </c>
      <c r="T12" s="63">
        <f t="shared" si="9"/>
        <v>4902.3367836322104</v>
      </c>
      <c r="U12" s="63">
        <f t="shared" si="10"/>
        <v>469.81550370720902</v>
      </c>
      <c r="V12" s="65">
        <f t="shared" si="11"/>
        <v>80068.118124471614</v>
      </c>
      <c r="W12" s="65">
        <f t="shared" si="12"/>
        <v>21.499896388504155</v>
      </c>
      <c r="X12" s="65">
        <f t="shared" si="16"/>
        <v>2873.7205146306183</v>
      </c>
      <c r="Y12" s="65">
        <f t="shared" si="13"/>
        <v>275.40303954690808</v>
      </c>
      <c r="Z12" s="44">
        <f t="shared" si="17"/>
        <v>3.4396092477004938</v>
      </c>
      <c r="AA12" s="44">
        <f t="shared" si="0"/>
        <v>12.809505430647761</v>
      </c>
      <c r="AB12" s="44">
        <f t="shared" si="14"/>
        <v>2.3522357809198136</v>
      </c>
      <c r="AC12" s="66">
        <f>AVERAGE(Reliability!H12:L12)</f>
        <v>145.28</v>
      </c>
      <c r="AD12" s="66">
        <f>AVERAGE(Reliability!H27:L27)</f>
        <v>1.3497999999999999</v>
      </c>
      <c r="AE12" s="68">
        <f>AVERAGE(Reliability!H42:L42)</f>
        <v>107.63680756833239</v>
      </c>
      <c r="AF12" s="48">
        <f>-AVERAGE(Depreciation!H35:L35)</f>
        <v>206066.67896053445</v>
      </c>
      <c r="AG12" s="48">
        <f>'Asset cost'!$B$2*AVERAGE(RAB!H35:L35)</f>
        <v>191742.97440494254</v>
      </c>
      <c r="AH12" s="75"/>
      <c r="AI12" s="75"/>
      <c r="AJ12" s="85"/>
      <c r="AK12" s="85"/>
    </row>
    <row r="13" spans="1:37" ht="14.45" x14ac:dyDescent="0.35">
      <c r="A13" s="17" t="s">
        <v>73</v>
      </c>
      <c r="B13" s="17" t="s">
        <v>74</v>
      </c>
      <c r="C13" s="43">
        <f>AVERAGE('Asset cost'!H16:L16)</f>
        <v>297847.98058292537</v>
      </c>
      <c r="D13" s="57">
        <f>AVERAGE(Opex!H36:L36)</f>
        <v>184903.73646925049</v>
      </c>
      <c r="E13" s="40">
        <f t="shared" si="1"/>
        <v>482751.7170521759</v>
      </c>
      <c r="F13" s="59">
        <f>AVERAGE('Physical data'!H58:L58)</f>
        <v>1854.5713719999999</v>
      </c>
      <c r="G13" s="60">
        <f>AVERAGE('Physical data'!H43:L43)</f>
        <v>7571840.7820008025</v>
      </c>
      <c r="H13" s="60">
        <f>AVERAGE('Physical data'!H13:L13)</f>
        <v>37985.735666371256</v>
      </c>
      <c r="I13" s="60">
        <f>AVERAGE('Physical data'!H88:L88)</f>
        <v>43868.447455044326</v>
      </c>
      <c r="J13" s="60">
        <f>AVERAGE('Physical data'!H28:L28)</f>
        <v>679252.2</v>
      </c>
      <c r="K13" s="60">
        <f>AVERAGE(RAB!H36:L36)</f>
        <v>2859887.5747493235</v>
      </c>
      <c r="L13" s="59">
        <f t="shared" si="15"/>
        <v>17.881770303617984</v>
      </c>
      <c r="M13" s="62">
        <f t="shared" si="2"/>
        <v>260303.6606413096</v>
      </c>
      <c r="N13" s="62">
        <f t="shared" si="3"/>
        <v>63.756189670513955</v>
      </c>
      <c r="O13" s="62">
        <f>$E13/H13*1000</f>
        <v>12708.763133934921</v>
      </c>
      <c r="P13" s="62">
        <f t="shared" si="5"/>
        <v>11004.53161801297</v>
      </c>
      <c r="Q13" s="62">
        <f t="shared" si="6"/>
        <v>710.71056825752771</v>
      </c>
      <c r="R13" s="63">
        <f t="shared" si="7"/>
        <v>160602.0588259816</v>
      </c>
      <c r="S13" s="63">
        <f t="shared" si="8"/>
        <v>39.336270948927861</v>
      </c>
      <c r="T13" s="63">
        <f t="shared" si="9"/>
        <v>7841.0481028700988</v>
      </c>
      <c r="U13" s="63">
        <f t="shared" si="10"/>
        <v>438.49395052813281</v>
      </c>
      <c r="V13" s="65">
        <f t="shared" si="11"/>
        <v>99701.601815327973</v>
      </c>
      <c r="W13" s="65">
        <f t="shared" si="12"/>
        <v>24.419918721586097</v>
      </c>
      <c r="X13" s="65">
        <f t="shared" si="16"/>
        <v>4867.7150310648221</v>
      </c>
      <c r="Y13" s="65">
        <f t="shared" si="13"/>
        <v>272.21661772939495</v>
      </c>
      <c r="Z13" s="44">
        <f t="shared" si="17"/>
        <v>2.7303133828642734</v>
      </c>
      <c r="AA13" s="44">
        <f t="shared" si="0"/>
        <v>11.147318745527512</v>
      </c>
      <c r="AB13" s="44">
        <f t="shared" si="14"/>
        <v>2.1455872734855768</v>
      </c>
      <c r="AC13" s="66">
        <f>AVERAGE(Reliability!H13:L13)</f>
        <v>139.64997595476092</v>
      </c>
      <c r="AD13" s="66">
        <f>AVERAGE(Reliability!H28:L28)</f>
        <v>1.8050242757510926</v>
      </c>
      <c r="AE13" s="68">
        <f>AVERAGE(Reliability!H43:L43)</f>
        <v>77.473148072700411</v>
      </c>
      <c r="AF13" s="48">
        <f>-AVERAGE(Depreciation!H36:L36)</f>
        <v>133981.49768465868</v>
      </c>
      <c r="AG13" s="48">
        <f>'Asset cost'!$B$2*AVERAGE(RAB!H36:L36)</f>
        <v>163866.48289826675</v>
      </c>
      <c r="AH13" s="75"/>
      <c r="AI13" s="75"/>
      <c r="AJ13" s="85"/>
      <c r="AK13" s="85"/>
    </row>
    <row r="14" spans="1:37" ht="14.45" x14ac:dyDescent="0.35">
      <c r="A14" s="17" t="s">
        <v>54</v>
      </c>
      <c r="B14" s="17" t="s">
        <v>68</v>
      </c>
      <c r="C14" s="43">
        <f>AVERAGE('Asset cost'!H17:L17)</f>
        <v>155597.66852526664</v>
      </c>
      <c r="D14" s="57">
        <f>AVERAGE(Opex!H37:L37)</f>
        <v>78465.850253875789</v>
      </c>
      <c r="E14" s="40">
        <f t="shared" si="1"/>
        <v>234063.51877914241</v>
      </c>
      <c r="F14" s="59">
        <f>AVERAGE('Physical data'!H59:L59)</f>
        <v>1048.5219090409371</v>
      </c>
      <c r="G14" s="60">
        <f>AVERAGE('Physical data'!H44:L44)</f>
        <v>4261589.3035657285</v>
      </c>
      <c r="H14" s="60">
        <f>AVERAGE('Physical data'!H14:L14)</f>
        <v>20305.599999999999</v>
      </c>
      <c r="I14" s="60">
        <f>AVERAGE('Physical data'!H89:L89)</f>
        <v>22342.048999999999</v>
      </c>
      <c r="J14" s="60">
        <f>AVERAGE('Physical data'!H29:L29)</f>
        <v>279584.2</v>
      </c>
      <c r="K14" s="60">
        <f>AVERAGE(RAB!H37:L37)</f>
        <v>1422514.1497376557</v>
      </c>
      <c r="L14" s="59">
        <f t="shared" si="15"/>
        <v>13.768822393822395</v>
      </c>
      <c r="M14" s="62">
        <f t="shared" si="2"/>
        <v>223231.88171932031</v>
      </c>
      <c r="N14" s="62">
        <f t="shared" si="3"/>
        <v>54.923997153667145</v>
      </c>
      <c r="O14" s="62">
        <f t="shared" si="4"/>
        <v>11527.042726102278</v>
      </c>
      <c r="P14" s="62">
        <f t="shared" si="5"/>
        <v>10476.367623181848</v>
      </c>
      <c r="Q14" s="62">
        <f t="shared" si="6"/>
        <v>837.1843572674793</v>
      </c>
      <c r="R14" s="63">
        <f t="shared" si="7"/>
        <v>148397.15525600113</v>
      </c>
      <c r="S14" s="63">
        <f t="shared" si="8"/>
        <v>36.511652682034843</v>
      </c>
      <c r="T14" s="63">
        <f t="shared" si="9"/>
        <v>7662.7959048374169</v>
      </c>
      <c r="U14" s="63">
        <f t="shared" si="10"/>
        <v>556.5324096471353</v>
      </c>
      <c r="V14" s="65">
        <f t="shared" si="11"/>
        <v>74834.72646331921</v>
      </c>
      <c r="W14" s="65">
        <f t="shared" si="12"/>
        <v>18.412344471632299</v>
      </c>
      <c r="X14" s="65">
        <f t="shared" si="16"/>
        <v>3864.2468212648628</v>
      </c>
      <c r="Y14" s="65">
        <f t="shared" si="13"/>
        <v>280.651947620344</v>
      </c>
      <c r="Z14" s="44">
        <f t="shared" si="17"/>
        <v>3.7502902847905459</v>
      </c>
      <c r="AA14" s="44">
        <f t="shared" si="0"/>
        <v>15.242597055075818</v>
      </c>
      <c r="AB14" s="44">
        <f t="shared" si="14"/>
        <v>2.1553113800791062</v>
      </c>
      <c r="AC14" s="66">
        <f>AVERAGE(Reliability!H14:L14)</f>
        <v>152.41999721821858</v>
      </c>
      <c r="AD14" s="66">
        <f>AVERAGE(Reliability!H29:L29)</f>
        <v>1.5512879786286407</v>
      </c>
      <c r="AE14" s="68">
        <f>AVERAGE(Reliability!H44:L44)</f>
        <v>98.531865112219919</v>
      </c>
      <c r="AF14" s="48">
        <f>-AVERAGE(Depreciation!H37:L37)</f>
        <v>74090.132128154932</v>
      </c>
      <c r="AG14" s="48">
        <f>'Asset cost'!$B$2*AVERAGE(RAB!H37:L37)</f>
        <v>81507.536397111704</v>
      </c>
      <c r="AH14" s="75"/>
      <c r="AI14" s="75"/>
      <c r="AJ14" s="85"/>
      <c r="AK14" s="85"/>
    </row>
    <row r="15" spans="1:37" ht="14.45" x14ac:dyDescent="0.35">
      <c r="A15" s="17" t="s">
        <v>9</v>
      </c>
      <c r="B15" s="17" t="s">
        <v>67</v>
      </c>
      <c r="C15" s="43">
        <f>AVERAGE('Asset cost'!H18:L18)</f>
        <v>196502.65263699114</v>
      </c>
      <c r="D15" s="57">
        <f>AVERAGE(Opex!H38:L38)</f>
        <v>127172.71936102417</v>
      </c>
      <c r="E15" s="40">
        <f t="shared" si="1"/>
        <v>323675.37199801533</v>
      </c>
      <c r="F15" s="59">
        <f>AVERAGE('Physical data'!H60:L60)</f>
        <v>1958.7465608313225</v>
      </c>
      <c r="G15" s="60">
        <f>AVERAGE('Physical data'!H45:L45)</f>
        <v>7859950.6001754012</v>
      </c>
      <c r="H15" s="60">
        <f>AVERAGE('Physical data'!H15:L15)</f>
        <v>7451.2648091116134</v>
      </c>
      <c r="I15" s="60">
        <f>AVERAGE('Physical data'!H90:L90)</f>
        <v>12814.867353099999</v>
      </c>
      <c r="J15" s="60">
        <f>AVERAGE('Physical data'!H30:L30)</f>
        <v>653707.95483870967</v>
      </c>
      <c r="K15" s="60">
        <f>AVERAGE(RAB!H38:L38)</f>
        <v>1742509.3588932857</v>
      </c>
      <c r="L15" s="59">
        <f>J15/H15</f>
        <v>87.731139824655997</v>
      </c>
      <c r="M15" s="62">
        <f>$E15/F15*1000</f>
        <v>165246.17246074064</v>
      </c>
      <c r="N15" s="62">
        <f t="shared" si="3"/>
        <v>41.180331590225549</v>
      </c>
      <c r="O15" s="62">
        <f t="shared" si="4"/>
        <v>43438.983889314484</v>
      </c>
      <c r="P15" s="62">
        <f t="shared" si="5"/>
        <v>25257.801199145164</v>
      </c>
      <c r="Q15" s="62">
        <f t="shared" si="6"/>
        <v>495.13757573575225</v>
      </c>
      <c r="R15" s="63">
        <f t="shared" si="7"/>
        <v>100320.61143918097</v>
      </c>
      <c r="S15" s="63">
        <f t="shared" si="8"/>
        <v>25.000494612854951</v>
      </c>
      <c r="T15" s="63">
        <f t="shared" si="9"/>
        <v>26371.717778262588</v>
      </c>
      <c r="U15" s="63">
        <f t="shared" si="10"/>
        <v>300.59700387992763</v>
      </c>
      <c r="V15" s="65">
        <f t="shared" si="11"/>
        <v>64925.561021559675</v>
      </c>
      <c r="W15" s="65">
        <f t="shared" si="12"/>
        <v>16.179836977370599</v>
      </c>
      <c r="X15" s="65">
        <f t="shared" si="16"/>
        <v>17067.266111051889</v>
      </c>
      <c r="Y15" s="65">
        <f t="shared" si="13"/>
        <v>194.54057185582462</v>
      </c>
      <c r="Z15" s="44">
        <f t="shared" si="17"/>
        <v>2.9963633551233242</v>
      </c>
      <c r="AA15" s="44">
        <f t="shared" si="0"/>
        <v>12.023642273275836</v>
      </c>
      <c r="AB15" s="44">
        <f t="shared" si="14"/>
        <v>2.1830442385349698</v>
      </c>
      <c r="AC15" s="66">
        <f>AVERAGE(Reliability!H15:L15)</f>
        <v>71.485566681674442</v>
      </c>
      <c r="AD15" s="66">
        <f>AVERAGE(Reliability!H30:L30)</f>
        <v>0.99396679008777988</v>
      </c>
      <c r="AE15" s="68">
        <f>AVERAGE(Reliability!H45:L45)</f>
        <v>146.66209115418695</v>
      </c>
      <c r="AF15" s="48">
        <f>-AVERAGE(Depreciation!H38:L38)</f>
        <v>96659.958616340853</v>
      </c>
      <c r="AG15" s="48">
        <f>'Asset cost'!$B$2*AVERAGE(RAB!H38:L38)</f>
        <v>99842.694020650291</v>
      </c>
      <c r="AH15" s="75"/>
      <c r="AI15" s="75"/>
      <c r="AJ15" s="85"/>
      <c r="AK15" s="85"/>
    </row>
    <row r="16" spans="1:37" ht="14.45" x14ac:dyDescent="0.35">
      <c r="E16" s="28"/>
      <c r="F16" s="28"/>
      <c r="G16" s="28"/>
      <c r="H16" s="28"/>
      <c r="I16" s="24"/>
      <c r="J16" s="24"/>
      <c r="L16" s="24"/>
      <c r="AH16" s="2"/>
    </row>
    <row r="17" spans="1:34" ht="14.45" x14ac:dyDescent="0.35">
      <c r="A17" s="2"/>
      <c r="C17" s="28"/>
      <c r="D17" s="28"/>
      <c r="E17" s="28"/>
      <c r="F17" s="28"/>
      <c r="G17" s="28"/>
      <c r="H17" s="28"/>
      <c r="I17" s="24"/>
      <c r="J17" s="24"/>
      <c r="K17" s="28"/>
      <c r="L17" s="24"/>
      <c r="M17" s="2"/>
      <c r="N17" s="2"/>
      <c r="O17" s="2"/>
      <c r="Q17" s="2"/>
      <c r="R17" s="2"/>
      <c r="S17" s="2"/>
      <c r="T17" s="2"/>
      <c r="U17" s="2"/>
      <c r="V17" s="2"/>
      <c r="W17" s="2"/>
      <c r="X17" s="29"/>
      <c r="Y17" s="2"/>
      <c r="Z17" s="2"/>
      <c r="AA17" s="2"/>
      <c r="AB17" s="2"/>
      <c r="AC17" s="28"/>
      <c r="AD17" s="28"/>
      <c r="AE17" s="2"/>
      <c r="AF17" s="2"/>
      <c r="AH17" s="2"/>
    </row>
    <row r="18" spans="1:34" ht="14.45" x14ac:dyDescent="0.35">
      <c r="A18" s="2"/>
      <c r="C18" s="28"/>
      <c r="D18" s="28"/>
      <c r="E18" s="28"/>
      <c r="F18" s="28"/>
      <c r="G18" s="28"/>
      <c r="H18" s="28"/>
      <c r="I18" s="24"/>
      <c r="J18" s="24"/>
      <c r="K18" s="28"/>
      <c r="L18" s="24"/>
      <c r="M18" s="2"/>
      <c r="N18" s="2"/>
      <c r="O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8"/>
      <c r="AD18" s="28"/>
      <c r="AE18" s="2"/>
      <c r="AF18" s="2"/>
    </row>
    <row r="19" spans="1:34" ht="14.45" x14ac:dyDescent="0.35">
      <c r="C19" s="28"/>
      <c r="D19" s="28"/>
      <c r="E19" s="28"/>
      <c r="F19" s="28"/>
      <c r="G19" s="28"/>
      <c r="H19" s="28"/>
      <c r="I19" s="24"/>
      <c r="J19" s="24"/>
      <c r="K19" s="28"/>
      <c r="L19" s="24"/>
      <c r="M19" s="2"/>
      <c r="N19" s="2"/>
      <c r="O19" s="29"/>
      <c r="P19" s="29"/>
      <c r="Q19" s="2"/>
      <c r="R19" s="2"/>
      <c r="S19" s="2"/>
      <c r="T19" s="2"/>
      <c r="U19" s="2"/>
      <c r="V19" s="2"/>
      <c r="W19" s="2"/>
      <c r="X19" s="29"/>
      <c r="Y19" s="2"/>
      <c r="Z19" s="2"/>
      <c r="AA19" s="2"/>
      <c r="AB19" s="2"/>
      <c r="AC19" s="28"/>
      <c r="AD19" s="28"/>
      <c r="AE19" s="2"/>
      <c r="AF19" s="2"/>
    </row>
    <row r="20" spans="1:34" ht="14.45" x14ac:dyDescent="0.35">
      <c r="C20" s="28"/>
      <c r="D20" s="28"/>
      <c r="E20" s="28"/>
      <c r="F20" s="28"/>
      <c r="G20" s="28"/>
      <c r="H20" s="28"/>
      <c r="I20" s="24"/>
      <c r="J20" s="24"/>
      <c r="K20" s="28"/>
      <c r="L20" s="24"/>
      <c r="M20" s="2"/>
      <c r="N20" s="2"/>
      <c r="O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8"/>
      <c r="AD20" s="28"/>
      <c r="AE20" s="2"/>
      <c r="AF20" s="2"/>
    </row>
    <row r="21" spans="1:34" ht="14.45" x14ac:dyDescent="0.35">
      <c r="C21" s="28"/>
      <c r="D21" s="28"/>
      <c r="E21" s="28"/>
      <c r="F21" s="28"/>
      <c r="G21" s="28"/>
      <c r="H21" s="28"/>
      <c r="I21" s="24"/>
      <c r="J21" s="24"/>
      <c r="K21" s="28"/>
      <c r="L21" s="24"/>
      <c r="M21" s="2"/>
      <c r="N21" s="2"/>
      <c r="O21" s="29"/>
      <c r="P21" s="29"/>
      <c r="Q21" s="2"/>
      <c r="R21" s="2"/>
      <c r="S21" s="2"/>
      <c r="T21" s="2"/>
      <c r="U21" s="2"/>
      <c r="V21" s="2"/>
      <c r="W21" s="2"/>
      <c r="X21" s="29"/>
      <c r="Y21" s="2"/>
      <c r="Z21" s="2"/>
      <c r="AA21" s="2"/>
      <c r="AB21" s="2"/>
      <c r="AC21" s="28"/>
      <c r="AD21" s="28"/>
      <c r="AE21" s="2"/>
      <c r="AF21" s="2"/>
    </row>
    <row r="22" spans="1:34" ht="14.45" x14ac:dyDescent="0.35">
      <c r="C22" s="28"/>
      <c r="D22" s="28"/>
      <c r="E22" s="28"/>
      <c r="F22" s="28"/>
      <c r="G22" s="28"/>
      <c r="H22" s="28"/>
      <c r="I22" s="24"/>
      <c r="J22" s="24"/>
      <c r="K22" s="28"/>
      <c r="L22" s="24"/>
      <c r="AC22" s="28"/>
      <c r="AD22" s="28"/>
    </row>
    <row r="23" spans="1:34" ht="14.45" x14ac:dyDescent="0.35">
      <c r="C23" s="28"/>
      <c r="D23" s="28"/>
      <c r="E23" s="28"/>
      <c r="F23" s="28"/>
      <c r="G23" s="28"/>
      <c r="H23" s="28"/>
      <c r="I23" s="24"/>
      <c r="J23" s="24"/>
      <c r="K23" s="28"/>
      <c r="L23" s="24"/>
      <c r="AC23" s="28"/>
      <c r="AD23" s="28"/>
    </row>
    <row r="24" spans="1:34" ht="14.45" x14ac:dyDescent="0.35">
      <c r="C24" s="28"/>
      <c r="D24" s="28"/>
      <c r="E24" s="28"/>
      <c r="F24" s="28"/>
      <c r="G24" s="28"/>
      <c r="H24" s="28"/>
      <c r="I24" s="24"/>
      <c r="J24" s="24"/>
      <c r="K24" s="28"/>
      <c r="L24" s="24"/>
      <c r="AC24" s="28"/>
      <c r="AD24" s="28"/>
    </row>
    <row r="25" spans="1:34" ht="14.45" x14ac:dyDescent="0.35">
      <c r="C25" s="28"/>
      <c r="D25" s="28"/>
      <c r="E25" s="28"/>
      <c r="F25" s="28"/>
      <c r="G25" s="28"/>
      <c r="H25" s="28"/>
      <c r="I25" s="24"/>
      <c r="J25" s="24"/>
      <c r="K25" s="28"/>
      <c r="L25" s="24"/>
      <c r="AC25" s="28"/>
      <c r="AD25" s="28"/>
    </row>
    <row r="26" spans="1:34" ht="14.45" x14ac:dyDescent="0.35">
      <c r="C26" s="28"/>
      <c r="D26" s="28"/>
      <c r="E26" s="28"/>
      <c r="F26" s="28"/>
      <c r="G26" s="28"/>
      <c r="H26" s="28"/>
      <c r="I26" s="24"/>
      <c r="J26" s="24"/>
      <c r="K26" s="28"/>
      <c r="L26" s="24"/>
      <c r="AC26" s="28"/>
      <c r="AD26" s="28"/>
    </row>
    <row r="27" spans="1:34" ht="14.45" x14ac:dyDescent="0.35">
      <c r="C27" s="28"/>
      <c r="D27" s="28"/>
      <c r="E27" s="28"/>
      <c r="F27" s="28"/>
      <c r="G27" s="28"/>
      <c r="H27" s="28"/>
      <c r="I27" s="24"/>
      <c r="J27" s="24"/>
      <c r="K27" s="28"/>
      <c r="L27" s="24"/>
      <c r="AC27" s="28"/>
      <c r="AD27" s="28"/>
    </row>
    <row r="28" spans="1:34" ht="14.45" x14ac:dyDescent="0.35">
      <c r="C28" s="28"/>
      <c r="D28" s="28"/>
      <c r="E28" s="28"/>
      <c r="F28" s="28"/>
      <c r="G28" s="28"/>
      <c r="H28" s="28"/>
      <c r="I28" s="24"/>
      <c r="J28" s="24"/>
      <c r="K28" s="28"/>
      <c r="L28" s="24"/>
      <c r="AC28" s="28"/>
      <c r="AD28" s="28"/>
    </row>
    <row r="29" spans="1:34" ht="14.45" x14ac:dyDescent="0.35">
      <c r="C29" s="28"/>
      <c r="D29" s="28"/>
      <c r="E29" s="28"/>
      <c r="F29" s="28"/>
      <c r="G29" s="28"/>
      <c r="H29" s="28"/>
      <c r="I29" s="28"/>
      <c r="J29" s="28"/>
      <c r="K29" s="28"/>
      <c r="L29" s="28"/>
      <c r="AC29" s="28"/>
      <c r="AD29" s="28"/>
    </row>
    <row r="30" spans="1:34" x14ac:dyDescent="0.25">
      <c r="E30" s="28"/>
      <c r="G30" s="2"/>
    </row>
    <row r="31" spans="1:34" x14ac:dyDescent="0.25">
      <c r="E31" s="28"/>
      <c r="G31" s="2"/>
    </row>
    <row r="32" spans="1:34" x14ac:dyDescent="0.25">
      <c r="E32" s="28"/>
      <c r="G32" s="2"/>
    </row>
    <row r="33" spans="7:7" x14ac:dyDescent="0.25">
      <c r="G33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8"/>
  <sheetViews>
    <sheetView workbookViewId="0">
      <selection activeCell="A11" sqref="A11"/>
    </sheetView>
  </sheetViews>
  <sheetFormatPr defaultColWidth="9.140625" defaultRowHeight="15" x14ac:dyDescent="0.25"/>
  <cols>
    <col min="1" max="1" width="38.42578125" style="2" customWidth="1"/>
    <col min="2" max="2" width="10.140625" style="2" bestFit="1" customWidth="1"/>
    <col min="3" max="12" width="12.42578125" style="2" customWidth="1"/>
    <col min="13" max="16384" width="9.140625" style="2"/>
  </cols>
  <sheetData>
    <row r="1" spans="1:13" x14ac:dyDescent="0.35">
      <c r="D1" s="79" t="s">
        <v>162</v>
      </c>
      <c r="E1" s="79"/>
    </row>
    <row r="2" spans="1:13" x14ac:dyDescent="0.25">
      <c r="B2" s="26"/>
      <c r="D2" s="79" t="str">
        <f>IF(AND(RAB!A24=Depreciation!A24,RAB!A24=Opex!A24),"valid","invalid")</f>
        <v>valid</v>
      </c>
      <c r="E2" s="79" t="s">
        <v>137</v>
      </c>
    </row>
    <row r="4" spans="1:13" x14ac:dyDescent="0.25">
      <c r="A4" s="23" t="s">
        <v>161</v>
      </c>
    </row>
    <row r="5" spans="1:13" x14ac:dyDescent="0.25">
      <c r="A5" s="23" t="str">
        <f>"Real "&amp;Real_year&amp;""</f>
        <v>Real 2015</v>
      </c>
      <c r="B5" s="25"/>
      <c r="C5" s="2">
        <v>2006</v>
      </c>
      <c r="D5" s="2">
        <v>2007</v>
      </c>
      <c r="E5" s="2">
        <v>2008</v>
      </c>
      <c r="F5" s="2">
        <v>2009</v>
      </c>
      <c r="G5" s="2">
        <v>2010</v>
      </c>
      <c r="H5" s="2">
        <v>2011</v>
      </c>
      <c r="I5" s="2">
        <v>2012</v>
      </c>
      <c r="J5" s="2">
        <v>2013</v>
      </c>
      <c r="K5" s="2">
        <v>2014</v>
      </c>
      <c r="L5" s="2">
        <v>2015</v>
      </c>
      <c r="M5" s="79" t="s">
        <v>134</v>
      </c>
    </row>
    <row r="6" spans="1:13" x14ac:dyDescent="0.25">
      <c r="A6" s="17" t="s">
        <v>58</v>
      </c>
      <c r="B6" s="17" t="s">
        <v>30</v>
      </c>
      <c r="C6" s="18">
        <f>'Asset cost'!C6+Opex!C26</f>
        <v>110745.63434328302</v>
      </c>
      <c r="D6" s="18">
        <f>'Asset cost'!D6+Opex!D26</f>
        <v>112082.27685897023</v>
      </c>
      <c r="E6" s="18">
        <f>'Asset cost'!E6+Opex!E26</f>
        <v>116709.97717570554</v>
      </c>
      <c r="F6" s="18">
        <f>'Asset cost'!F6+Opex!F26</f>
        <v>119248.71633092056</v>
      </c>
      <c r="G6" s="18">
        <f>'Asset cost'!G6+Opex!G26</f>
        <v>128430.0207171704</v>
      </c>
      <c r="H6" s="18">
        <f>'Asset cost'!H6+Opex!H26</f>
        <v>139872.21472692094</v>
      </c>
      <c r="I6" s="18">
        <f>'Asset cost'!I6+Opex!I26</f>
        <v>149255.83443699675</v>
      </c>
      <c r="J6" s="18">
        <f>'Asset cost'!J6+Opex!J26</f>
        <v>160957.96592815995</v>
      </c>
      <c r="K6" s="18">
        <f>'Asset cost'!K6+Opex!K26</f>
        <v>175241.24292850529</v>
      </c>
      <c r="L6" s="18">
        <f>'Asset cost'!L6+Opex!L26</f>
        <v>184480.51376287633</v>
      </c>
      <c r="M6" s="102">
        <f>AVERAGE(H6:L6)</f>
        <v>161961.55435669183</v>
      </c>
    </row>
    <row r="7" spans="1:13" x14ac:dyDescent="0.25">
      <c r="A7" s="17" t="s">
        <v>59</v>
      </c>
      <c r="B7" s="17" t="s">
        <v>30</v>
      </c>
      <c r="C7" s="18">
        <f>'Asset cost'!C7+Opex!C27</f>
        <v>1053343.1654404253</v>
      </c>
      <c r="D7" s="18">
        <f>'Asset cost'!D7+Opex!D27</f>
        <v>1035050.3704183006</v>
      </c>
      <c r="E7" s="18">
        <f>'Asset cost'!E7+Opex!E27</f>
        <v>1273843.3576025646</v>
      </c>
      <c r="F7" s="18">
        <f>'Asset cost'!F7+Opex!F27</f>
        <v>1297223.180511778</v>
      </c>
      <c r="G7" s="18">
        <f>'Asset cost'!G7+Opex!G27</f>
        <v>1406719.1588976453</v>
      </c>
      <c r="H7" s="18">
        <f>'Asset cost'!H7+Opex!H27</f>
        <v>1497082.9547370146</v>
      </c>
      <c r="I7" s="18">
        <f>'Asset cost'!I7+Opex!I27</f>
        <v>1696257.7822979572</v>
      </c>
      <c r="J7" s="18">
        <f>'Asset cost'!J7+Opex!J27</f>
        <v>1697159.7875947291</v>
      </c>
      <c r="K7" s="18">
        <f>'Asset cost'!K7+Opex!K27</f>
        <v>1793923.3868542709</v>
      </c>
      <c r="L7" s="18">
        <f>'Asset cost'!L7+Opex!L27</f>
        <v>1924847.1085279025</v>
      </c>
      <c r="M7" s="102">
        <f t="shared" ref="M7:M18" si="0">AVERAGE(H7:L7)</f>
        <v>1721854.2040023748</v>
      </c>
    </row>
    <row r="8" spans="1:13" x14ac:dyDescent="0.25">
      <c r="A8" s="17" t="s">
        <v>60</v>
      </c>
      <c r="B8" s="17" t="s">
        <v>30</v>
      </c>
      <c r="C8" s="18">
        <f>'Asset cost'!C8+Opex!C28</f>
        <v>154172.57250695891</v>
      </c>
      <c r="D8" s="18">
        <f>'Asset cost'!D8+Opex!D28</f>
        <v>161495.38953510733</v>
      </c>
      <c r="E8" s="18">
        <f>'Asset cost'!E8+Opex!E28</f>
        <v>157523.49762227779</v>
      </c>
      <c r="F8" s="18">
        <f>'Asset cost'!F8+Opex!F28</f>
        <v>170827.56229217089</v>
      </c>
      <c r="G8" s="18">
        <f>'Asset cost'!G8+Opex!G28</f>
        <v>180726.13925585247</v>
      </c>
      <c r="H8" s="18">
        <f>'Asset cost'!H8+Opex!H28</f>
        <v>167975.03447291523</v>
      </c>
      <c r="I8" s="18">
        <f>'Asset cost'!I8+Opex!I28</f>
        <v>190426.19881072466</v>
      </c>
      <c r="J8" s="18">
        <f>'Asset cost'!J8+Opex!J28</f>
        <v>195984.36430700106</v>
      </c>
      <c r="K8" s="18">
        <f>'Asset cost'!K8+Opex!K28</f>
        <v>202640.00365248285</v>
      </c>
      <c r="L8" s="18">
        <f>'Asset cost'!L8+Opex!L28</f>
        <v>208127.11785344486</v>
      </c>
      <c r="M8" s="102">
        <f t="shared" si="0"/>
        <v>193030.54381931372</v>
      </c>
    </row>
    <row r="9" spans="1:13" x14ac:dyDescent="0.25">
      <c r="A9" s="17" t="s">
        <v>61</v>
      </c>
      <c r="B9" s="17" t="s">
        <v>30</v>
      </c>
      <c r="C9" s="18">
        <f>'Asset cost'!C9+Opex!C29</f>
        <v>536508.26280356979</v>
      </c>
      <c r="D9" s="18">
        <f>'Asset cost'!D9+Opex!D29</f>
        <v>576973.72312469594</v>
      </c>
      <c r="E9" s="18">
        <f>'Asset cost'!E9+Opex!E29</f>
        <v>654935.01948759693</v>
      </c>
      <c r="F9" s="18">
        <f>'Asset cost'!F9+Opex!F29</f>
        <v>652341.52368331328</v>
      </c>
      <c r="G9" s="18">
        <f>'Asset cost'!G9+Opex!G29</f>
        <v>696910.103517754</v>
      </c>
      <c r="H9" s="18">
        <f>'Asset cost'!H9+Opex!H29</f>
        <v>693964.41140372679</v>
      </c>
      <c r="I9" s="18">
        <f>'Asset cost'!I9+Opex!I29</f>
        <v>716236.15427030739</v>
      </c>
      <c r="J9" s="18">
        <f>'Asset cost'!J9+Opex!J29</f>
        <v>709801.06228909385</v>
      </c>
      <c r="K9" s="18">
        <f>'Asset cost'!K9+Opex!K29</f>
        <v>751087.18988894939</v>
      </c>
      <c r="L9" s="18">
        <f>'Asset cost'!L9+Opex!L29</f>
        <v>745662.99403339287</v>
      </c>
      <c r="M9" s="102">
        <f t="shared" si="0"/>
        <v>723350.3623770941</v>
      </c>
    </row>
    <row r="10" spans="1:13" x14ac:dyDescent="0.25">
      <c r="A10" s="17" t="s">
        <v>62</v>
      </c>
      <c r="B10" s="17" t="s">
        <v>30</v>
      </c>
      <c r="C10" s="18">
        <f>'Asset cost'!C10+Opex!C30</f>
        <v>726511.21246703574</v>
      </c>
      <c r="D10" s="18">
        <f>'Asset cost'!D10+Opex!D30</f>
        <v>814045.07910649874</v>
      </c>
      <c r="E10" s="18">
        <f>'Asset cost'!E10+Opex!E30</f>
        <v>857117.30198365101</v>
      </c>
      <c r="F10" s="18">
        <f>'Asset cost'!F10+Opex!F30</f>
        <v>877097.02468696446</v>
      </c>
      <c r="G10" s="18">
        <f>'Asset cost'!G10+Opex!G30</f>
        <v>924571.58504722931</v>
      </c>
      <c r="H10" s="18">
        <f>'Asset cost'!H10+Opex!H30</f>
        <v>1011164.7990416223</v>
      </c>
      <c r="I10" s="18">
        <f>'Asset cost'!I10+Opex!I30</f>
        <v>1060400.3125028852</v>
      </c>
      <c r="J10" s="18">
        <f>'Asset cost'!J10+Opex!J30</f>
        <v>1125971.0621160369</v>
      </c>
      <c r="K10" s="18">
        <f>'Asset cost'!K10+Opex!K30</f>
        <v>1122633.7317255866</v>
      </c>
      <c r="L10" s="18">
        <f>'Asset cost'!L10+Opex!L30</f>
        <v>1138039.5695073102</v>
      </c>
      <c r="M10" s="102">
        <f t="shared" si="0"/>
        <v>1091641.8949786883</v>
      </c>
    </row>
    <row r="11" spans="1:13" x14ac:dyDescent="0.25">
      <c r="A11" s="17" t="s">
        <v>63</v>
      </c>
      <c r="B11" s="17" t="s">
        <v>30</v>
      </c>
      <c r="C11" s="18">
        <f>'Asset cost'!C11+Opex!C31</f>
        <v>889994.22855554358</v>
      </c>
      <c r="D11" s="18">
        <f>'Asset cost'!D11+Opex!D31</f>
        <v>885715.41772871348</v>
      </c>
      <c r="E11" s="18">
        <f>'Asset cost'!E11+Opex!E31</f>
        <v>919718.32662292453</v>
      </c>
      <c r="F11" s="18">
        <f>'Asset cost'!F11+Opex!F31</f>
        <v>929482.39036335517</v>
      </c>
      <c r="G11" s="18">
        <f>'Asset cost'!G11+Opex!G31</f>
        <v>954922.70190449012</v>
      </c>
      <c r="H11" s="18">
        <f>'Asset cost'!H11+Opex!H31</f>
        <v>1040958.9099173979</v>
      </c>
      <c r="I11" s="18">
        <f>'Asset cost'!I11+Opex!I31</f>
        <v>1091478.8126100046</v>
      </c>
      <c r="J11" s="18">
        <f>'Asset cost'!J11+Opex!J31</f>
        <v>1030175.6740093842</v>
      </c>
      <c r="K11" s="18">
        <f>'Asset cost'!K11+Opex!K31</f>
        <v>1059323.6206864945</v>
      </c>
      <c r="L11" s="18">
        <f>'Asset cost'!L11+Opex!L31</f>
        <v>1110925.853530332</v>
      </c>
      <c r="M11" s="102">
        <f t="shared" si="0"/>
        <v>1066572.5741507225</v>
      </c>
    </row>
    <row r="12" spans="1:13" x14ac:dyDescent="0.25">
      <c r="A12" s="17" t="s">
        <v>64</v>
      </c>
      <c r="B12" s="17" t="s">
        <v>30</v>
      </c>
      <c r="C12" s="18">
        <f>'Asset cost'!C12+Opex!C32</f>
        <v>632517.10692158481</v>
      </c>
      <c r="D12" s="18">
        <f>'Asset cost'!D12+Opex!D32</f>
        <v>719435.05670830922</v>
      </c>
      <c r="E12" s="18">
        <f>'Asset cost'!E12+Opex!E32</f>
        <v>822564.4237866872</v>
      </c>
      <c r="F12" s="18">
        <f>'Asset cost'!F12+Opex!F32</f>
        <v>845904.37786120002</v>
      </c>
      <c r="G12" s="18">
        <f>'Asset cost'!G12+Opex!G32</f>
        <v>939601.72534152749</v>
      </c>
      <c r="H12" s="18">
        <f>'Asset cost'!H12+Opex!H32</f>
        <v>992773.67386146309</v>
      </c>
      <c r="I12" s="18">
        <f>'Asset cost'!I12+Opex!I32</f>
        <v>1074557.7593144896</v>
      </c>
      <c r="J12" s="18">
        <f>'Asset cost'!J12+Opex!J32</f>
        <v>1092569.3868221925</v>
      </c>
      <c r="K12" s="18">
        <f>'Asset cost'!K12+Opex!K32</f>
        <v>1098479.502432493</v>
      </c>
      <c r="L12" s="18">
        <f>'Asset cost'!L12+Opex!L32</f>
        <v>1050016.7111277659</v>
      </c>
      <c r="M12" s="102">
        <f t="shared" si="0"/>
        <v>1061679.4067116808</v>
      </c>
    </row>
    <row r="13" spans="1:13" x14ac:dyDescent="0.25">
      <c r="A13" s="17" t="s">
        <v>65</v>
      </c>
      <c r="B13" s="17" t="s">
        <v>30</v>
      </c>
      <c r="C13" s="18">
        <f>'Asset cost'!C13+Opex!C33</f>
        <v>130431.30048839288</v>
      </c>
      <c r="D13" s="18">
        <f>'Asset cost'!D13+Opex!D33</f>
        <v>139150.97560695774</v>
      </c>
      <c r="E13" s="18">
        <f>'Asset cost'!E13+Opex!E33</f>
        <v>127013.02744519459</v>
      </c>
      <c r="F13" s="18">
        <f>'Asset cost'!F13+Opex!F33</f>
        <v>134967.11087796342</v>
      </c>
      <c r="G13" s="18">
        <f>'Asset cost'!G13+Opex!G33</f>
        <v>146433.56560270576</v>
      </c>
      <c r="H13" s="18">
        <f>'Asset cost'!H13+Opex!H33</f>
        <v>148124.73024913738</v>
      </c>
      <c r="I13" s="18">
        <f>'Asset cost'!I13+Opex!I33</f>
        <v>171064.05590067356</v>
      </c>
      <c r="J13" s="18">
        <f>'Asset cost'!J13+Opex!J33</f>
        <v>179531.98634666594</v>
      </c>
      <c r="K13" s="18">
        <f>'Asset cost'!K13+Opex!K33</f>
        <v>185234.23704722198</v>
      </c>
      <c r="L13" s="18">
        <f>'Asset cost'!L13+Opex!L33</f>
        <v>193409.69103068055</v>
      </c>
      <c r="M13" s="102">
        <f t="shared" si="0"/>
        <v>175472.94011487588</v>
      </c>
    </row>
    <row r="14" spans="1:13" x14ac:dyDescent="0.25">
      <c r="A14" s="17" t="s">
        <v>66</v>
      </c>
      <c r="B14" s="17" t="s">
        <v>30</v>
      </c>
      <c r="C14" s="18">
        <f>'Asset cost'!C14+Opex!C34</f>
        <v>343490.273153093</v>
      </c>
      <c r="D14" s="18">
        <f>'Asset cost'!D14+Opex!D34</f>
        <v>335939.98296130006</v>
      </c>
      <c r="E14" s="18">
        <f>'Asset cost'!E14+Opex!E34</f>
        <v>341002.31669488095</v>
      </c>
      <c r="F14" s="18">
        <f>'Asset cost'!F14+Opex!F34</f>
        <v>369109.38381881395</v>
      </c>
      <c r="G14" s="18">
        <f>'Asset cost'!G14+Opex!G34</f>
        <v>370771.74331827101</v>
      </c>
      <c r="H14" s="18">
        <f>'Asset cost'!H14+Opex!H34</f>
        <v>371678.89828341355</v>
      </c>
      <c r="I14" s="18">
        <f>'Asset cost'!I14+Opex!I34</f>
        <v>423505.23904964322</v>
      </c>
      <c r="J14" s="18">
        <f>'Asset cost'!J14+Opex!J34</f>
        <v>454136.10428935848</v>
      </c>
      <c r="K14" s="18">
        <f>'Asset cost'!K14+Opex!K34</f>
        <v>449787.43455292407</v>
      </c>
      <c r="L14" s="18">
        <f>'Asset cost'!L14+Opex!L34</f>
        <v>482464.44983187085</v>
      </c>
      <c r="M14" s="102">
        <f t="shared" si="0"/>
        <v>436314.42520144209</v>
      </c>
    </row>
    <row r="15" spans="1:13" x14ac:dyDescent="0.25">
      <c r="A15" s="17" t="s">
        <v>69</v>
      </c>
      <c r="B15" s="17" t="s">
        <v>30</v>
      </c>
      <c r="C15" s="18">
        <f>'Asset cost'!C15+Opex!C35</f>
        <v>499629.40256904275</v>
      </c>
      <c r="D15" s="18">
        <f>'Asset cost'!D15+Opex!D35</f>
        <v>499797.65958788246</v>
      </c>
      <c r="E15" s="18">
        <f>'Asset cost'!E15+Opex!E35</f>
        <v>519795.73232787126</v>
      </c>
      <c r="F15" s="18">
        <f>'Asset cost'!F15+Opex!F35</f>
        <v>540113.8160309738</v>
      </c>
      <c r="G15" s="18">
        <f>'Asset cost'!G15+Opex!G35</f>
        <v>550817.65917803813</v>
      </c>
      <c r="H15" s="18">
        <f>'Asset cost'!H15+Opex!H35</f>
        <v>574103.6879605609</v>
      </c>
      <c r="I15" s="18">
        <f>'Asset cost'!I15+Opex!I35</f>
        <v>595242.0463826413</v>
      </c>
      <c r="J15" s="18">
        <f>'Asset cost'!J15+Opex!J35</f>
        <v>635011.05030303251</v>
      </c>
      <c r="K15" s="18">
        <f>'Asset cost'!K15+Opex!K35</f>
        <v>659282.09349508362</v>
      </c>
      <c r="L15" s="18">
        <f>'Asset cost'!L15+Opex!L35</f>
        <v>691377.59145350044</v>
      </c>
      <c r="M15" s="102">
        <f t="shared" si="0"/>
        <v>631003.29391896375</v>
      </c>
    </row>
    <row r="16" spans="1:13" x14ac:dyDescent="0.25">
      <c r="A16" s="17" t="s">
        <v>74</v>
      </c>
      <c r="B16" s="17" t="s">
        <v>30</v>
      </c>
      <c r="C16" s="18">
        <f>'Asset cost'!C16+Opex!C36</f>
        <v>270635.8215455024</v>
      </c>
      <c r="D16" s="18">
        <f>'Asset cost'!D16+Opex!D36</f>
        <v>312468.96263684961</v>
      </c>
      <c r="E16" s="18">
        <f>'Asset cost'!E16+Opex!E36</f>
        <v>331245.46703567001</v>
      </c>
      <c r="F16" s="18">
        <f>'Asset cost'!F16+Opex!F36</f>
        <v>375058.01285680046</v>
      </c>
      <c r="G16" s="18">
        <f>'Asset cost'!G16+Opex!G36</f>
        <v>385752.26340833877</v>
      </c>
      <c r="H16" s="18">
        <f>'Asset cost'!H16+Opex!H36</f>
        <v>437868.61062123167</v>
      </c>
      <c r="I16" s="18">
        <f>'Asset cost'!I16+Opex!I36</f>
        <v>442181.8261983128</v>
      </c>
      <c r="J16" s="18">
        <f>'Asset cost'!J16+Opex!J36</f>
        <v>491193.76522647636</v>
      </c>
      <c r="K16" s="18">
        <f>'Asset cost'!K16+Opex!K36</f>
        <v>506690.99188278121</v>
      </c>
      <c r="L16" s="18">
        <f>'Asset cost'!L16+Opex!L36</f>
        <v>535823.39133207756</v>
      </c>
      <c r="M16" s="102">
        <f t="shared" si="0"/>
        <v>482751.71705217595</v>
      </c>
    </row>
    <row r="17" spans="1:13" ht="14.45" x14ac:dyDescent="0.35">
      <c r="A17" s="17" t="s">
        <v>68</v>
      </c>
      <c r="B17" s="17" t="s">
        <v>30</v>
      </c>
      <c r="C17" s="18">
        <f>'Asset cost'!C17+Opex!C37</f>
        <v>176589.31605323686</v>
      </c>
      <c r="D17" s="18">
        <f>'Asset cost'!D17+Opex!D37</f>
        <v>187683.9262710138</v>
      </c>
      <c r="E17" s="18">
        <f>'Asset cost'!E17+Opex!E37</f>
        <v>191004.39199763819</v>
      </c>
      <c r="F17" s="18">
        <f>'Asset cost'!F17+Opex!F37</f>
        <v>193419.28331604332</v>
      </c>
      <c r="G17" s="18">
        <f>'Asset cost'!G17+Opex!G37</f>
        <v>220327.04274580494</v>
      </c>
      <c r="H17" s="18">
        <f>'Asset cost'!H17+Opex!H37</f>
        <v>229233.50833050557</v>
      </c>
      <c r="I17" s="18">
        <f>'Asset cost'!I17+Opex!I37</f>
        <v>244953.65592503222</v>
      </c>
      <c r="J17" s="18">
        <f>'Asset cost'!J17+Opex!J37</f>
        <v>231604.86709087103</v>
      </c>
      <c r="K17" s="18">
        <f>'Asset cost'!K17+Opex!K37</f>
        <v>235184.92684882035</v>
      </c>
      <c r="L17" s="18">
        <f>'Asset cost'!L17+Opex!L37</f>
        <v>229340.63570048293</v>
      </c>
      <c r="M17" s="102">
        <f t="shared" si="0"/>
        <v>234063.51877914244</v>
      </c>
    </row>
    <row r="18" spans="1:13" ht="14.45" x14ac:dyDescent="0.35">
      <c r="A18" s="17" t="s">
        <v>67</v>
      </c>
      <c r="B18" s="17" t="s">
        <v>30</v>
      </c>
      <c r="C18" s="18">
        <f>'Asset cost'!C18+Opex!C38</f>
        <v>271678.2165484596</v>
      </c>
      <c r="D18" s="18">
        <f>'Asset cost'!D18+Opex!D38</f>
        <v>272009.15851133218</v>
      </c>
      <c r="E18" s="18">
        <f>'Asset cost'!E18+Opex!E38</f>
        <v>272769.97551820107</v>
      </c>
      <c r="F18" s="18">
        <f>'Asset cost'!F18+Opex!F38</f>
        <v>273485.85330861103</v>
      </c>
      <c r="G18" s="18">
        <f>'Asset cost'!G18+Opex!G38</f>
        <v>277962.40366443485</v>
      </c>
      <c r="H18" s="18">
        <f>'Asset cost'!H18+Opex!H38</f>
        <v>290140.11635261157</v>
      </c>
      <c r="I18" s="18">
        <f>'Asset cost'!I18+Opex!I38</f>
        <v>319772.76949997764</v>
      </c>
      <c r="J18" s="18">
        <f>'Asset cost'!J18+Opex!J38</f>
        <v>322521.67335900955</v>
      </c>
      <c r="K18" s="18">
        <f>'Asset cost'!K18+Opex!K38</f>
        <v>336121.99869613262</v>
      </c>
      <c r="L18" s="18">
        <f>'Asset cost'!L18+Opex!L38</f>
        <v>349820.30208234524</v>
      </c>
      <c r="M18" s="102">
        <f t="shared" si="0"/>
        <v>323675.37199801533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8"/>
  <sheetViews>
    <sheetView workbookViewId="0">
      <selection activeCell="B30" sqref="B30"/>
    </sheetView>
  </sheetViews>
  <sheetFormatPr defaultColWidth="9.140625" defaultRowHeight="15" x14ac:dyDescent="0.25"/>
  <cols>
    <col min="1" max="1" width="34.7109375" style="2" customWidth="1"/>
    <col min="2" max="2" width="10.140625" style="2" bestFit="1" customWidth="1"/>
    <col min="3" max="12" width="12.28515625" style="2" customWidth="1"/>
    <col min="13" max="13" width="10.28515625" style="2" bestFit="1" customWidth="1"/>
    <col min="14" max="14" width="9.140625" style="2"/>
    <col min="15" max="15" width="17.42578125" style="2" bestFit="1" customWidth="1"/>
    <col min="16" max="16384" width="9.140625" style="2"/>
  </cols>
  <sheetData>
    <row r="1" spans="1:15" x14ac:dyDescent="0.35">
      <c r="D1" s="79" t="s">
        <v>163</v>
      </c>
      <c r="E1" s="79"/>
    </row>
    <row r="2" spans="1:15" x14ac:dyDescent="0.25">
      <c r="A2" s="2" t="s">
        <v>55</v>
      </c>
      <c r="B2" s="26">
        <f>AVERAGE([3]WACC!$C$22:$L$22)</f>
        <v>5.7298225407559966E-2</v>
      </c>
      <c r="D2" s="79" t="str">
        <f>IF(RAB!A24=Depreciation!A24,"valid","invalid")</f>
        <v>valid</v>
      </c>
      <c r="E2" s="79" t="s">
        <v>137</v>
      </c>
    </row>
    <row r="3" spans="1:15" x14ac:dyDescent="0.25">
      <c r="B3" s="26"/>
    </row>
    <row r="4" spans="1:15" x14ac:dyDescent="0.25">
      <c r="A4" s="23" t="s">
        <v>160</v>
      </c>
    </row>
    <row r="5" spans="1:15" x14ac:dyDescent="0.25">
      <c r="A5" s="23" t="str">
        <f>"Real "&amp;Real_year&amp;""</f>
        <v>Real 2015</v>
      </c>
      <c r="B5" s="25"/>
      <c r="C5" s="2">
        <v>2006</v>
      </c>
      <c r="D5" s="2">
        <v>2007</v>
      </c>
      <c r="E5" s="2">
        <v>2008</v>
      </c>
      <c r="F5" s="2">
        <v>2009</v>
      </c>
      <c r="G5" s="2">
        <v>2010</v>
      </c>
      <c r="H5" s="2">
        <v>2011</v>
      </c>
      <c r="I5" s="2">
        <v>2012</v>
      </c>
      <c r="J5" s="2">
        <v>2013</v>
      </c>
      <c r="K5" s="2">
        <v>2014</v>
      </c>
      <c r="L5" s="2">
        <v>2015</v>
      </c>
      <c r="M5" s="79" t="s">
        <v>134</v>
      </c>
    </row>
    <row r="6" spans="1:15" x14ac:dyDescent="0.25">
      <c r="A6" s="17" t="s">
        <v>58</v>
      </c>
      <c r="B6" s="17" t="s">
        <v>30</v>
      </c>
      <c r="C6" s="18">
        <f>$B$2*RAB!C26-Depreciation!C26</f>
        <v>68518.307674994867</v>
      </c>
      <c r="D6" s="18">
        <f>$B$2*RAB!D26-Depreciation!D26</f>
        <v>69536.173492411705</v>
      </c>
      <c r="E6" s="18">
        <f>$B$2*RAB!E26-Depreciation!E26</f>
        <v>70894.398282350856</v>
      </c>
      <c r="F6" s="18">
        <f>$B$2*RAB!F26-Depreciation!F26</f>
        <v>72369.964813509519</v>
      </c>
      <c r="G6" s="18">
        <f>$B$2*RAB!G26-Depreciation!G26</f>
        <v>75451.431072550447</v>
      </c>
      <c r="H6" s="18">
        <f>$B$2*RAB!H26-Depreciation!H26</f>
        <v>80314.148837969726</v>
      </c>
      <c r="I6" s="18">
        <f>$B$2*RAB!I26-Depreciation!I26</f>
        <v>85427.876834444149</v>
      </c>
      <c r="J6" s="18">
        <f>$B$2*RAB!J26-Depreciation!J26</f>
        <v>90373.189041829377</v>
      </c>
      <c r="K6" s="18">
        <f>$B$2*RAB!K26-Depreciation!K26</f>
        <v>95364.929155686987</v>
      </c>
      <c r="L6" s="18">
        <f>$B$2*RAB!L26-Depreciation!L26</f>
        <v>109658.2347141662</v>
      </c>
      <c r="M6" s="24">
        <f>AVERAGE(H6:L6)</f>
        <v>92227.675716819285</v>
      </c>
      <c r="O6" s="24"/>
    </row>
    <row r="7" spans="1:15" x14ac:dyDescent="0.25">
      <c r="A7" s="17" t="s">
        <v>59</v>
      </c>
      <c r="B7" s="17" t="s">
        <v>30</v>
      </c>
      <c r="C7" s="18">
        <f>$B$2*RAB!C27-Depreciation!C27</f>
        <v>590464.17510423192</v>
      </c>
      <c r="D7" s="18">
        <f>$B$2*RAB!D27-Depreciation!D27</f>
        <v>638848.38057749264</v>
      </c>
      <c r="E7" s="18">
        <f>$B$2*RAB!E27-Depreciation!E27</f>
        <v>704701.84420580207</v>
      </c>
      <c r="F7" s="18">
        <f>$B$2*RAB!F27-Depreciation!F27</f>
        <v>779827.47212337959</v>
      </c>
      <c r="G7" s="18">
        <f>$B$2*RAB!G27-Depreciation!G27</f>
        <v>819101.18706172425</v>
      </c>
      <c r="H7" s="18">
        <f>$B$2*RAB!H27-Depreciation!H27</f>
        <v>930265.22327396111</v>
      </c>
      <c r="I7" s="18">
        <f>$B$2*RAB!I27-Depreciation!I27</f>
        <v>1068883.4460965744</v>
      </c>
      <c r="J7" s="18">
        <f>$B$2*RAB!J27-Depreciation!J27</f>
        <v>1196477.5280552411</v>
      </c>
      <c r="K7" s="18">
        <f>$B$2*RAB!K27-Depreciation!K27</f>
        <v>1235818.9617253258</v>
      </c>
      <c r="L7" s="18">
        <f>$B$2*RAB!L27-Depreciation!L27</f>
        <v>1266690.3301311031</v>
      </c>
      <c r="M7" s="24">
        <f t="shared" ref="M7:M18" si="0">AVERAGE(H7:L7)</f>
        <v>1139627.097856441</v>
      </c>
    </row>
    <row r="8" spans="1:15" x14ac:dyDescent="0.25">
      <c r="A8" s="17" t="s">
        <v>60</v>
      </c>
      <c r="B8" s="17" t="s">
        <v>30</v>
      </c>
      <c r="C8" s="18">
        <f>$B$2*RAB!C28-Depreciation!C28</f>
        <v>119765.18893464812</v>
      </c>
      <c r="D8" s="18">
        <f>$B$2*RAB!D28-Depreciation!D28</f>
        <v>121520.19096292822</v>
      </c>
      <c r="E8" s="18">
        <f>$B$2*RAB!E28-Depreciation!E28</f>
        <v>119505.83874222491</v>
      </c>
      <c r="F8" s="18">
        <f>$B$2*RAB!F28-Depreciation!F28</f>
        <v>125519.01342445199</v>
      </c>
      <c r="G8" s="18">
        <f>$B$2*RAB!G28-Depreciation!G28</f>
        <v>130799.22764740317</v>
      </c>
      <c r="H8" s="18">
        <f>$B$2*RAB!H28-Depreciation!H28</f>
        <v>122518.84450317262</v>
      </c>
      <c r="I8" s="18">
        <f>$B$2*RAB!I28-Depreciation!I28</f>
        <v>131371.98170758208</v>
      </c>
      <c r="J8" s="18">
        <f>$B$2*RAB!J28-Depreciation!J28</f>
        <v>138637.07603377005</v>
      </c>
      <c r="K8" s="18">
        <f>$B$2*RAB!K28-Depreciation!K28</f>
        <v>144487.66212110818</v>
      </c>
      <c r="L8" s="18">
        <f>$B$2*RAB!L28-Depreciation!L28</f>
        <v>151820.10621437518</v>
      </c>
      <c r="M8" s="24">
        <f t="shared" si="0"/>
        <v>137767.1341160016</v>
      </c>
    </row>
    <row r="9" spans="1:15" x14ac:dyDescent="0.25">
      <c r="A9" s="17" t="s">
        <v>61</v>
      </c>
      <c r="B9" s="17" t="s">
        <v>30</v>
      </c>
      <c r="C9" s="18">
        <f>$B$2*RAB!C29-Depreciation!C29</f>
        <v>333646.43584043771</v>
      </c>
      <c r="D9" s="18">
        <f>$B$2*RAB!D29-Depreciation!D29</f>
        <v>355615.67281834863</v>
      </c>
      <c r="E9" s="18">
        <f>$B$2*RAB!E29-Depreciation!E29</f>
        <v>381917.80617880553</v>
      </c>
      <c r="F9" s="18">
        <f>$B$2*RAB!F29-Depreciation!F29</f>
        <v>401131.21038530034</v>
      </c>
      <c r="G9" s="18">
        <f>$B$2*RAB!G29-Depreciation!G29</f>
        <v>455014.71266806463</v>
      </c>
      <c r="H9" s="18">
        <f>$B$2*RAB!H29-Depreciation!H29</f>
        <v>437166.83547500195</v>
      </c>
      <c r="I9" s="18">
        <f>$B$2*RAB!I29-Depreciation!I29</f>
        <v>454644.44090728217</v>
      </c>
      <c r="J9" s="18">
        <f>$B$2*RAB!J29-Depreciation!J29</f>
        <v>473185.88876075856</v>
      </c>
      <c r="K9" s="18">
        <f>$B$2*RAB!K29-Depreciation!K29</f>
        <v>483891.5405915521</v>
      </c>
      <c r="L9" s="18">
        <f>$B$2*RAB!L29-Depreciation!L29</f>
        <v>470133.34323869285</v>
      </c>
      <c r="M9" s="24">
        <f t="shared" si="0"/>
        <v>463804.40979465761</v>
      </c>
    </row>
    <row r="10" spans="1:15" x14ac:dyDescent="0.25">
      <c r="A10" s="17" t="s">
        <v>62</v>
      </c>
      <c r="B10" s="17" t="s">
        <v>30</v>
      </c>
      <c r="C10" s="18">
        <f>$B$2*RAB!C30-Depreciation!C30</f>
        <v>481658.13778528071</v>
      </c>
      <c r="D10" s="18">
        <f>$B$2*RAB!D30-Depreciation!D30</f>
        <v>526146.91481129697</v>
      </c>
      <c r="E10" s="18">
        <f>$B$2*RAB!E30-Depreciation!E30</f>
        <v>553913.27882125066</v>
      </c>
      <c r="F10" s="18">
        <f>$B$2*RAB!F30-Depreciation!F30</f>
        <v>561056.29162644513</v>
      </c>
      <c r="G10" s="18">
        <f>$B$2*RAB!G30-Depreciation!G30</f>
        <v>604131.22862792923</v>
      </c>
      <c r="H10" s="18">
        <f>$B$2*RAB!H30-Depreciation!H30</f>
        <v>655841.30375815486</v>
      </c>
      <c r="I10" s="18">
        <f>$B$2*RAB!I30-Depreciation!I30</f>
        <v>679198.71653767466</v>
      </c>
      <c r="J10" s="18">
        <f>$B$2*RAB!J30-Depreciation!J30</f>
        <v>713755.62009466463</v>
      </c>
      <c r="K10" s="18">
        <f>$B$2*RAB!K30-Depreciation!K30</f>
        <v>744331.3735552812</v>
      </c>
      <c r="L10" s="18">
        <f>$B$2*RAB!L30-Depreciation!L30</f>
        <v>750137.27767969319</v>
      </c>
      <c r="M10" s="24">
        <f t="shared" si="0"/>
        <v>708652.85832509364</v>
      </c>
    </row>
    <row r="11" spans="1:15" x14ac:dyDescent="0.25">
      <c r="A11" s="17" t="s">
        <v>63</v>
      </c>
      <c r="B11" s="17" t="s">
        <v>30</v>
      </c>
      <c r="C11" s="18">
        <f>$B$2*RAB!C31-Depreciation!C31</f>
        <v>553724.1165698634</v>
      </c>
      <c r="D11" s="18">
        <f>$B$2*RAB!D31-Depreciation!D31</f>
        <v>582933.33814880578</v>
      </c>
      <c r="E11" s="18">
        <f>$B$2*RAB!E31-Depreciation!E31</f>
        <v>591893.8099383004</v>
      </c>
      <c r="F11" s="18">
        <f>$B$2*RAB!F31-Depreciation!F31</f>
        <v>612181.74943136401</v>
      </c>
      <c r="G11" s="18">
        <f>$B$2*RAB!G31-Depreciation!G31</f>
        <v>643837.44555793656</v>
      </c>
      <c r="H11" s="18">
        <f>$B$2*RAB!H31-Depreciation!H31</f>
        <v>654878.08947066939</v>
      </c>
      <c r="I11" s="18">
        <f>$B$2*RAB!I31-Depreciation!I31</f>
        <v>696137.62117004441</v>
      </c>
      <c r="J11" s="18">
        <f>$B$2*RAB!J31-Depreciation!J31</f>
        <v>712966.40307095274</v>
      </c>
      <c r="K11" s="18">
        <f>$B$2*RAB!K31-Depreciation!K31</f>
        <v>740695.51511294488</v>
      </c>
      <c r="L11" s="18">
        <f>$B$2*RAB!L31-Depreciation!L31</f>
        <v>741969.1077711198</v>
      </c>
      <c r="M11" s="24">
        <f t="shared" si="0"/>
        <v>709329.34731914627</v>
      </c>
    </row>
    <row r="12" spans="1:15" x14ac:dyDescent="0.25">
      <c r="A12" s="17" t="s">
        <v>64</v>
      </c>
      <c r="B12" s="17" t="s">
        <v>30</v>
      </c>
      <c r="C12" s="18">
        <f>$B$2*RAB!C32-Depreciation!C32</f>
        <v>375736.36776312976</v>
      </c>
      <c r="D12" s="18">
        <f>$B$2*RAB!D32-Depreciation!D32</f>
        <v>407503.8750265917</v>
      </c>
      <c r="E12" s="18">
        <f>$B$2*RAB!E32-Depreciation!E32</f>
        <v>451969.90267841204</v>
      </c>
      <c r="F12" s="18">
        <f>$B$2*RAB!F32-Depreciation!F32</f>
        <v>497965.19044050743</v>
      </c>
      <c r="G12" s="18">
        <f>$B$2*RAB!G32-Depreciation!G32</f>
        <v>566068.75438873866</v>
      </c>
      <c r="H12" s="18">
        <f>$B$2*RAB!H32-Depreciation!H32</f>
        <v>616664.82161396707</v>
      </c>
      <c r="I12" s="18">
        <f>$B$2*RAB!I32-Depreciation!I32</f>
        <v>608094.8408674337</v>
      </c>
      <c r="J12" s="18">
        <f>$B$2*RAB!J32-Depreciation!J32</f>
        <v>666131.83232498006</v>
      </c>
      <c r="K12" s="18">
        <f>$B$2*RAB!K32-Depreciation!K32</f>
        <v>694101.47747328982</v>
      </c>
      <c r="L12" s="18">
        <f>$B$2*RAB!L32-Depreciation!L32</f>
        <v>652109.5292759944</v>
      </c>
      <c r="M12" s="24">
        <f t="shared" si="0"/>
        <v>647420.50031113299</v>
      </c>
    </row>
    <row r="13" spans="1:15" x14ac:dyDescent="0.25">
      <c r="A13" s="17" t="s">
        <v>65</v>
      </c>
      <c r="B13" s="17" t="s">
        <v>30</v>
      </c>
      <c r="C13" s="18">
        <f>$B$2*RAB!C33-Depreciation!C33</f>
        <v>71428.269010839344</v>
      </c>
      <c r="D13" s="18">
        <f>$B$2*RAB!D33-Depreciation!D33</f>
        <v>75801.431925227807</v>
      </c>
      <c r="E13" s="18">
        <f>$B$2*RAB!E33-Depreciation!E33</f>
        <v>75865.790791379026</v>
      </c>
      <c r="F13" s="18">
        <f>$B$2*RAB!F33-Depreciation!F33</f>
        <v>78550.423350669778</v>
      </c>
      <c r="G13" s="18">
        <f>$B$2*RAB!G33-Depreciation!G33</f>
        <v>80119.950342105352</v>
      </c>
      <c r="H13" s="18">
        <f>$B$2*RAB!H33-Depreciation!H33</f>
        <v>82683.804972544865</v>
      </c>
      <c r="I13" s="18">
        <f>$B$2*RAB!I33-Depreciation!I33</f>
        <v>95380.484726924216</v>
      </c>
      <c r="J13" s="18">
        <f>$B$2*RAB!J33-Depreciation!J33</f>
        <v>106614.73979362115</v>
      </c>
      <c r="K13" s="18">
        <f>$B$2*RAB!K33-Depreciation!K33</f>
        <v>113665.10072191636</v>
      </c>
      <c r="L13" s="18">
        <f>$B$2*RAB!L33-Depreciation!L33</f>
        <v>119718.13033971796</v>
      </c>
      <c r="M13" s="24">
        <f t="shared" si="0"/>
        <v>103612.45211094491</v>
      </c>
    </row>
    <row r="14" spans="1:15" x14ac:dyDescent="0.25">
      <c r="A14" s="17" t="s">
        <v>66</v>
      </c>
      <c r="B14" s="17" t="s">
        <v>30</v>
      </c>
      <c r="C14" s="18">
        <f>$B$2*RAB!C34-Depreciation!C34</f>
        <v>193089.66253325596</v>
      </c>
      <c r="D14" s="18">
        <f>$B$2*RAB!D34-Depreciation!D34</f>
        <v>201864.81285913938</v>
      </c>
      <c r="E14" s="18">
        <f>$B$2*RAB!E34-Depreciation!E34</f>
        <v>203999.93094183155</v>
      </c>
      <c r="F14" s="18">
        <f>$B$2*RAB!F34-Depreciation!F34</f>
        <v>216638.06150790621</v>
      </c>
      <c r="G14" s="18">
        <f>$B$2*RAB!G34-Depreciation!G34</f>
        <v>223900.02655691208</v>
      </c>
      <c r="H14" s="18">
        <f>$B$2*RAB!H34-Depreciation!H34</f>
        <v>218583.21674371563</v>
      </c>
      <c r="I14" s="18">
        <f>$B$2*RAB!I34-Depreciation!I34</f>
        <v>238459.63755179505</v>
      </c>
      <c r="J14" s="18">
        <f>$B$2*RAB!J34-Depreciation!J34</f>
        <v>255957.45858514981</v>
      </c>
      <c r="K14" s="18">
        <f>$B$2*RAB!K34-Depreciation!K34</f>
        <v>270698.60887723818</v>
      </c>
      <c r="L14" s="18">
        <f>$B$2*RAB!L34-Depreciation!L34</f>
        <v>290133.74922163831</v>
      </c>
      <c r="M14" s="24">
        <f t="shared" si="0"/>
        <v>254766.53419590741</v>
      </c>
    </row>
    <row r="15" spans="1:15" x14ac:dyDescent="0.25">
      <c r="A15" s="17" t="s">
        <v>69</v>
      </c>
      <c r="B15" s="17" t="s">
        <v>30</v>
      </c>
      <c r="C15" s="18">
        <f>$B$2*RAB!C35-Depreciation!C35</f>
        <v>354095.8895141501</v>
      </c>
      <c r="D15" s="18">
        <f>$B$2*RAB!D35-Depreciation!D35</f>
        <v>363369.39634076925</v>
      </c>
      <c r="E15" s="18">
        <f>$B$2*RAB!E35-Depreciation!E35</f>
        <v>365410.81233684986</v>
      </c>
      <c r="F15" s="18">
        <f>$B$2*RAB!F35-Depreciation!F35</f>
        <v>369401.53778854955</v>
      </c>
      <c r="G15" s="18">
        <f>$B$2*RAB!G35-Depreciation!G35</f>
        <v>380738.27298927878</v>
      </c>
      <c r="H15" s="18">
        <f>$B$2*RAB!H35-Depreciation!H35</f>
        <v>359854.50552506046</v>
      </c>
      <c r="I15" s="18">
        <f>$B$2*RAB!I35-Depreciation!I35</f>
        <v>374345.15636260121</v>
      </c>
      <c r="J15" s="18">
        <f>$B$2*RAB!J35-Depreciation!J35</f>
        <v>398643.10421283642</v>
      </c>
      <c r="K15" s="18">
        <f>$B$2*RAB!K35-Depreciation!K35</f>
        <v>417399.38749890041</v>
      </c>
      <c r="L15" s="18">
        <f>$B$2*RAB!L35-Depreciation!L35</f>
        <v>438806.11322798638</v>
      </c>
      <c r="M15" s="24">
        <f t="shared" si="0"/>
        <v>397809.65336547699</v>
      </c>
    </row>
    <row r="16" spans="1:15" x14ac:dyDescent="0.25">
      <c r="A16" s="17" t="s">
        <v>74</v>
      </c>
      <c r="B16" s="17" t="s">
        <v>30</v>
      </c>
      <c r="C16" s="18">
        <f>$B$2*RAB!C36-Depreciation!C36</f>
        <v>166475.86293781907</v>
      </c>
      <c r="D16" s="18">
        <f>$B$2*RAB!D36-Depreciation!D36</f>
        <v>183275.36562886782</v>
      </c>
      <c r="E16" s="18">
        <f>$B$2*RAB!E36-Depreciation!E36</f>
        <v>192366.8863675477</v>
      </c>
      <c r="F16" s="18">
        <f>$B$2*RAB!F36-Depreciation!F36</f>
        <v>212581.32281589627</v>
      </c>
      <c r="G16" s="18">
        <f>$B$2*RAB!G36-Depreciation!G36</f>
        <v>228202.16453568742</v>
      </c>
      <c r="H16" s="18">
        <f>$B$2*RAB!H36-Depreciation!H36</f>
        <v>279162.88171397359</v>
      </c>
      <c r="I16" s="18">
        <f>$B$2*RAB!I36-Depreciation!I36</f>
        <v>270909.39000707777</v>
      </c>
      <c r="J16" s="18">
        <f>$B$2*RAB!J36-Depreciation!J36</f>
        <v>300303.90018367476</v>
      </c>
      <c r="K16" s="18">
        <f>$B$2*RAB!K36-Depreciation!K36</f>
        <v>310907.66095304012</v>
      </c>
      <c r="L16" s="18">
        <f>$B$2*RAB!L36-Depreciation!L36</f>
        <v>327956.0700568608</v>
      </c>
      <c r="M16" s="24">
        <f t="shared" si="0"/>
        <v>297847.98058292537</v>
      </c>
    </row>
    <row r="17" spans="1:13" ht="14.45" x14ac:dyDescent="0.35">
      <c r="A17" s="17" t="s">
        <v>68</v>
      </c>
      <c r="B17" s="17" t="s">
        <v>30</v>
      </c>
      <c r="C17" s="18">
        <f>$B$2*RAB!C37-Depreciation!C37</f>
        <v>113659.3338273402</v>
      </c>
      <c r="D17" s="18">
        <f>$B$2*RAB!D37-Depreciation!D37</f>
        <v>124160.88861690386</v>
      </c>
      <c r="E17" s="18">
        <f>$B$2*RAB!E37-Depreciation!E37</f>
        <v>126172.40438340817</v>
      </c>
      <c r="F17" s="18">
        <f>$B$2*RAB!F37-Depreciation!F37</f>
        <v>120714.19974594514</v>
      </c>
      <c r="G17" s="18">
        <f>$B$2*RAB!G37-Depreciation!G37</f>
        <v>134069.1760880262</v>
      </c>
      <c r="H17" s="18">
        <f>$B$2*RAB!H37-Depreciation!H37</f>
        <v>145444.24645503628</v>
      </c>
      <c r="I17" s="18">
        <f>$B$2*RAB!I37-Depreciation!I37</f>
        <v>153313.53656258789</v>
      </c>
      <c r="J17" s="18">
        <f>$B$2*RAB!J37-Depreciation!J37</f>
        <v>156495.74408274677</v>
      </c>
      <c r="K17" s="18">
        <f>$B$2*RAB!K37-Depreciation!K37</f>
        <v>158564.47333106215</v>
      </c>
      <c r="L17" s="18">
        <f>$B$2*RAB!L37-Depreciation!L37</f>
        <v>164170.34219490012</v>
      </c>
      <c r="M17" s="24">
        <f t="shared" si="0"/>
        <v>155597.66852526664</v>
      </c>
    </row>
    <row r="18" spans="1:13" ht="14.45" x14ac:dyDescent="0.35">
      <c r="A18" s="17" t="s">
        <v>67</v>
      </c>
      <c r="B18" s="17" t="s">
        <v>30</v>
      </c>
      <c r="C18" s="18">
        <f>$B$2*RAB!C38-Depreciation!C38</f>
        <v>166638.7427417076</v>
      </c>
      <c r="D18" s="18">
        <f>$B$2*RAB!D38-Depreciation!D38</f>
        <v>171305.92932091031</v>
      </c>
      <c r="E18" s="18">
        <f>$B$2*RAB!E38-Depreciation!E38</f>
        <v>171690.66027911048</v>
      </c>
      <c r="F18" s="18">
        <f>$B$2*RAB!F38-Depreciation!F38</f>
        <v>169580.63481285979</v>
      </c>
      <c r="G18" s="18">
        <f>$B$2*RAB!G38-Depreciation!G38</f>
        <v>169188.9254276749</v>
      </c>
      <c r="H18" s="18">
        <f>$B$2*RAB!H38-Depreciation!H38</f>
        <v>156833.51657623946</v>
      </c>
      <c r="I18" s="18">
        <f>$B$2*RAB!I38-Depreciation!I38</f>
        <v>183171.62092333642</v>
      </c>
      <c r="J18" s="18">
        <f>$B$2*RAB!J38-Depreciation!J38</f>
        <v>200017.55632257136</v>
      </c>
      <c r="K18" s="18">
        <f>$B$2*RAB!K38-Depreciation!K38</f>
        <v>211377.33714918233</v>
      </c>
      <c r="L18" s="18">
        <f>$B$2*RAB!L38-Depreciation!L38</f>
        <v>231113.23221362615</v>
      </c>
      <c r="M18" s="24">
        <f t="shared" si="0"/>
        <v>196502.65263699114</v>
      </c>
    </row>
  </sheetData>
  <sortState ref="A22:K34">
    <sortCondition descending="1" ref="J22:J34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60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2" sqref="A2"/>
      <selection pane="bottomRight" activeCell="Q19" sqref="Q19"/>
    </sheetView>
  </sheetViews>
  <sheetFormatPr defaultColWidth="9.140625" defaultRowHeight="15" x14ac:dyDescent="0.25"/>
  <cols>
    <col min="1" max="2" width="11.85546875" style="2" customWidth="1"/>
    <col min="3" max="12" width="13.140625" style="2" customWidth="1"/>
    <col min="13" max="13" width="12.7109375" style="2" customWidth="1"/>
    <col min="14" max="16384" width="9.140625" style="2"/>
  </cols>
  <sheetData>
    <row r="1" spans="1:35" ht="14.45" x14ac:dyDescent="0.35">
      <c r="A1" s="23" t="s">
        <v>108</v>
      </c>
      <c r="B1" s="80" t="str">
        <f>"Real "&amp;Real_year&amp;""</f>
        <v>Real 2015</v>
      </c>
      <c r="C1" s="2">
        <v>2006</v>
      </c>
      <c r="D1" s="2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  <c r="J1" s="2">
        <v>2013</v>
      </c>
      <c r="K1" s="2">
        <v>2014</v>
      </c>
      <c r="L1" s="2">
        <v>2015</v>
      </c>
    </row>
    <row r="2" spans="1:35" ht="14.45" x14ac:dyDescent="0.35">
      <c r="A2" s="2" t="s">
        <v>29</v>
      </c>
      <c r="C2" s="16">
        <f>CPI!F9</f>
        <v>1.2619324796274738</v>
      </c>
      <c r="D2" s="16">
        <f>CPI!G9</f>
        <v>1.2360319270239453</v>
      </c>
      <c r="E2" s="16">
        <f>CPI!H9</f>
        <v>1.1834061135371181</v>
      </c>
      <c r="F2" s="16">
        <f>CPI!I9</f>
        <v>1.1668460710441335</v>
      </c>
      <c r="G2" s="16">
        <f>CPI!J9</f>
        <v>1.1315240083507307</v>
      </c>
      <c r="H2" s="16">
        <f>CPI!K9</f>
        <v>1.092741935483871</v>
      </c>
      <c r="I2" s="16">
        <f>CPI!L9</f>
        <v>1.0796812749003983</v>
      </c>
      <c r="J2" s="16">
        <f>CPI!M9</f>
        <v>1.0544747081712063</v>
      </c>
      <c r="K2" s="16">
        <f>CPI!N9</f>
        <v>1.0236071765816808</v>
      </c>
      <c r="L2" s="16">
        <f>CPI!O9</f>
        <v>1.0083720930232558</v>
      </c>
    </row>
    <row r="3" spans="1:35" ht="14.45" x14ac:dyDescent="0.35">
      <c r="A3" s="2" t="s">
        <v>28</v>
      </c>
      <c r="C3" s="16">
        <f>CPI!F10</f>
        <v>1.2935560859188546</v>
      </c>
      <c r="D3" s="16">
        <f>CPI!G10</f>
        <v>1.2517321016166283</v>
      </c>
      <c r="E3" s="16">
        <f>CPI!H10</f>
        <v>1.2166105499438835</v>
      </c>
      <c r="F3" s="16">
        <f>CPI!I10</f>
        <v>1.1731601731601731</v>
      </c>
      <c r="G3" s="16">
        <f>CPI!J10</f>
        <v>1.1495227995758219</v>
      </c>
      <c r="H3" s="16">
        <f>CPI!K10</f>
        <v>1.1186790505675954</v>
      </c>
      <c r="I3" s="16">
        <f>CPI!L10</f>
        <v>1.086172344689379</v>
      </c>
      <c r="J3" s="16">
        <f>CPI!M10</f>
        <v>1.0627450980392157</v>
      </c>
      <c r="K3" s="16">
        <f>CPI!N10</f>
        <v>1.0343511450381679</v>
      </c>
      <c r="L3" s="16">
        <f>CPI!O10</f>
        <v>1.0168855534709194</v>
      </c>
    </row>
    <row r="7" spans="1:35" ht="14.45" x14ac:dyDescent="0.35">
      <c r="A7" s="23" t="s">
        <v>158</v>
      </c>
    </row>
    <row r="8" spans="1:35" x14ac:dyDescent="0.25">
      <c r="A8" s="80" t="s">
        <v>100</v>
      </c>
    </row>
    <row r="9" spans="1:35" x14ac:dyDescent="0.25">
      <c r="C9" s="2">
        <v>2006</v>
      </c>
      <c r="D9" s="2">
        <v>2007</v>
      </c>
      <c r="E9" s="2">
        <v>2008</v>
      </c>
      <c r="F9" s="2">
        <v>2009</v>
      </c>
      <c r="G9" s="2">
        <v>2010</v>
      </c>
      <c r="H9" s="2">
        <v>2011</v>
      </c>
      <c r="I9" s="2">
        <v>2012</v>
      </c>
      <c r="J9" s="2">
        <v>2013</v>
      </c>
      <c r="K9" s="2">
        <v>2014</v>
      </c>
      <c r="L9" s="2">
        <v>2015</v>
      </c>
    </row>
    <row r="10" spans="1:35" x14ac:dyDescent="0.25">
      <c r="A10" s="17" t="s">
        <v>1</v>
      </c>
      <c r="B10" s="17" t="s">
        <v>30</v>
      </c>
      <c r="C10" s="47">
        <v>512056.96339221159</v>
      </c>
      <c r="D10" s="47">
        <v>530585.05173836625</v>
      </c>
      <c r="E10" s="47">
        <v>553280.63973249658</v>
      </c>
      <c r="F10" s="47">
        <v>576121.94901735405</v>
      </c>
      <c r="G10" s="47">
        <v>611408.1409015602</v>
      </c>
      <c r="H10" s="47">
        <v>663508.64647382114</v>
      </c>
      <c r="I10" s="47">
        <v>720056.99553153128</v>
      </c>
      <c r="J10" s="47">
        <v>767952.11987094837</v>
      </c>
      <c r="K10" s="47">
        <v>817740.209366214</v>
      </c>
      <c r="L10" s="47">
        <v>920659.44700000004</v>
      </c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pans="1:35" x14ac:dyDescent="0.25">
      <c r="A11" s="17" t="s">
        <v>78</v>
      </c>
      <c r="B11" s="17" t="s">
        <v>30</v>
      </c>
      <c r="C11" s="47">
        <v>4730627.4188083671</v>
      </c>
      <c r="D11" s="47">
        <v>5291261.6216702731</v>
      </c>
      <c r="E11" s="47">
        <v>5991752.8156880932</v>
      </c>
      <c r="F11" s="47">
        <v>6874106.0512570562</v>
      </c>
      <c r="G11" s="47">
        <v>7943820.1166102244</v>
      </c>
      <c r="H11" s="47">
        <v>9187508.6515574642</v>
      </c>
      <c r="I11" s="47">
        <v>10693665.316730492</v>
      </c>
      <c r="J11" s="47">
        <v>11966892.982168954</v>
      </c>
      <c r="K11" s="47">
        <v>12827741.379916806</v>
      </c>
      <c r="L11" s="47">
        <v>13420894.78729214</v>
      </c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1:35" x14ac:dyDescent="0.25">
      <c r="A12" s="17" t="s">
        <v>2</v>
      </c>
      <c r="B12" s="17" t="s">
        <v>30</v>
      </c>
      <c r="C12" s="47">
        <v>791923.86826824583</v>
      </c>
      <c r="D12" s="47">
        <v>834106.82428063126</v>
      </c>
      <c r="E12" s="47">
        <v>870476.55203537247</v>
      </c>
      <c r="F12" s="47">
        <v>919908.27588797815</v>
      </c>
      <c r="G12" s="47">
        <v>998565.84859060741</v>
      </c>
      <c r="H12" s="47">
        <v>1075196.7035185141</v>
      </c>
      <c r="I12" s="47">
        <v>1163338.6642380334</v>
      </c>
      <c r="J12" s="47">
        <v>1244496.7204324673</v>
      </c>
      <c r="K12" s="47">
        <v>1330572.6204960593</v>
      </c>
      <c r="L12" s="47">
        <v>1391908.268901977</v>
      </c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1:35" x14ac:dyDescent="0.25">
      <c r="A13" s="17" t="s">
        <v>3</v>
      </c>
      <c r="B13" s="17" t="s">
        <v>30</v>
      </c>
      <c r="C13" s="47">
        <v>2263747.0501156356</v>
      </c>
      <c r="D13" s="47">
        <v>2480250.6378498641</v>
      </c>
      <c r="E13" s="47">
        <v>2698320.215259857</v>
      </c>
      <c r="F13" s="47">
        <v>2947391.0787556134</v>
      </c>
      <c r="G13" s="47">
        <v>3188608.6357142515</v>
      </c>
      <c r="H13" s="47">
        <v>3422796.5805466208</v>
      </c>
      <c r="I13" s="47">
        <v>3764879.7127530556</v>
      </c>
      <c r="J13" s="47">
        <v>4158023.7605830552</v>
      </c>
      <c r="K13" s="47">
        <v>4567613.5183857847</v>
      </c>
      <c r="L13" s="47">
        <v>4936552.4754080409</v>
      </c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1:35" x14ac:dyDescent="0.25">
      <c r="A14" s="17" t="s">
        <v>4</v>
      </c>
      <c r="B14" s="17" t="s">
        <v>30</v>
      </c>
      <c r="C14" s="47">
        <v>3425931.1116284956</v>
      </c>
      <c r="D14" s="47">
        <v>3798839.2258752114</v>
      </c>
      <c r="E14" s="47">
        <v>4136684.5998968347</v>
      </c>
      <c r="F14" s="47">
        <v>4519536.0021632258</v>
      </c>
      <c r="G14" s="47">
        <v>5061490.8508209791</v>
      </c>
      <c r="H14" s="47">
        <v>5661812.9208723661</v>
      </c>
      <c r="I14" s="47">
        <v>6168412.1231904589</v>
      </c>
      <c r="J14" s="47">
        <v>6692775.008629133</v>
      </c>
      <c r="K14" s="47">
        <v>7196222.5995677914</v>
      </c>
      <c r="L14" s="47">
        <v>7915797.2701589819</v>
      </c>
      <c r="Z14" s="24"/>
      <c r="AA14" s="24"/>
      <c r="AB14" s="24"/>
      <c r="AC14" s="24"/>
      <c r="AD14" s="24"/>
      <c r="AE14" s="24"/>
      <c r="AF14" s="24"/>
      <c r="AG14" s="24"/>
      <c r="AH14" s="24"/>
      <c r="AI14" s="24"/>
    </row>
    <row r="15" spans="1:35" x14ac:dyDescent="0.25">
      <c r="A15" s="17" t="s">
        <v>10</v>
      </c>
      <c r="B15" s="17" t="s">
        <v>30</v>
      </c>
      <c r="C15" s="47">
        <v>3840867.263865022</v>
      </c>
      <c r="D15" s="47">
        <v>4170115.5376749607</v>
      </c>
      <c r="E15" s="47">
        <v>4492734.4945220277</v>
      </c>
      <c r="F15" s="47">
        <v>4807740.5603614347</v>
      </c>
      <c r="G15" s="47">
        <v>5207301.5071994439</v>
      </c>
      <c r="H15" s="47">
        <v>5709256.4793679528</v>
      </c>
      <c r="I15" s="47">
        <v>6163967.3280541962</v>
      </c>
      <c r="J15" s="47">
        <v>6592670.1548068393</v>
      </c>
      <c r="K15" s="47">
        <v>7098639.0385977644</v>
      </c>
      <c r="L15" s="47">
        <v>7499452.265397599</v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1:35" x14ac:dyDescent="0.25">
      <c r="A16" s="17" t="s">
        <v>5</v>
      </c>
      <c r="B16" s="17" t="s">
        <v>30</v>
      </c>
      <c r="C16" s="47">
        <v>2625295.5713981865</v>
      </c>
      <c r="D16" s="47">
        <v>2950875.7713479106</v>
      </c>
      <c r="E16" s="47">
        <v>3324747.9511148743</v>
      </c>
      <c r="F16" s="47">
        <v>3796856.7128184834</v>
      </c>
      <c r="G16" s="47">
        <v>4328681.0449924944</v>
      </c>
      <c r="H16" s="47">
        <v>4836597.0130968057</v>
      </c>
      <c r="I16" s="47">
        <v>5446127.7640762692</v>
      </c>
      <c r="J16" s="47">
        <v>5995814.3527266495</v>
      </c>
      <c r="K16" s="98">
        <v>6376277.1129166214</v>
      </c>
      <c r="L16" s="47">
        <v>6727645.0036704214</v>
      </c>
      <c r="Z16" s="24"/>
      <c r="AA16" s="24"/>
      <c r="AB16" s="24"/>
      <c r="AC16" s="24"/>
      <c r="AD16" s="24"/>
      <c r="AE16" s="24"/>
      <c r="AF16" s="24"/>
      <c r="AG16" s="24"/>
      <c r="AH16" s="24"/>
      <c r="AI16" s="24"/>
    </row>
    <row r="17" spans="1:35" x14ac:dyDescent="0.25">
      <c r="A17" s="17" t="s">
        <v>6</v>
      </c>
      <c r="B17" s="17" t="s">
        <v>30</v>
      </c>
      <c r="C17" s="47">
        <v>477880.28427208576</v>
      </c>
      <c r="D17" s="47">
        <v>516813.99324174598</v>
      </c>
      <c r="E17" s="47">
        <v>543733.82543484471</v>
      </c>
      <c r="F17" s="47">
        <v>578814.87038670899</v>
      </c>
      <c r="G17" s="47">
        <v>617489.22328914539</v>
      </c>
      <c r="H17" s="47">
        <v>674496.86145491735</v>
      </c>
      <c r="I17" s="47">
        <v>765574.88161837065</v>
      </c>
      <c r="J17" s="47">
        <v>847172.93947110581</v>
      </c>
      <c r="K17" s="47">
        <v>919291.50922144263</v>
      </c>
      <c r="L17" s="47">
        <v>999519.90644392942</v>
      </c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x14ac:dyDescent="0.25">
      <c r="A18" s="17" t="s">
        <v>7</v>
      </c>
      <c r="B18" s="17" t="s">
        <v>30</v>
      </c>
      <c r="C18" s="47">
        <v>1315040.7507852816</v>
      </c>
      <c r="D18" s="47">
        <v>1419291.7680998326</v>
      </c>
      <c r="E18" s="47">
        <v>1516988.5337782816</v>
      </c>
      <c r="F18" s="47">
        <v>1622158.280514427</v>
      </c>
      <c r="G18" s="47">
        <v>1758627.1285324062</v>
      </c>
      <c r="H18" s="47">
        <v>1892790.1277661962</v>
      </c>
      <c r="I18" s="47">
        <v>2073531.1117154597</v>
      </c>
      <c r="J18" s="47">
        <v>2262995.9673126228</v>
      </c>
      <c r="K18" s="47">
        <v>2461727.7203855617</v>
      </c>
      <c r="L18" s="47">
        <v>2633200.4415105362</v>
      </c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19" spans="1:35" x14ac:dyDescent="0.25">
      <c r="A19" s="17" t="s">
        <v>8</v>
      </c>
      <c r="B19" s="17" t="s">
        <v>30</v>
      </c>
      <c r="C19" s="47">
        <v>2517934.483754077</v>
      </c>
      <c r="D19" s="47">
        <v>2567852.9150173357</v>
      </c>
      <c r="E19" s="47">
        <v>2607557.7807561238</v>
      </c>
      <c r="F19" s="47">
        <v>2660375.2141770986</v>
      </c>
      <c r="G19" s="47">
        <v>2692883.4805496312</v>
      </c>
      <c r="H19" s="47">
        <v>2792041.882540544</v>
      </c>
      <c r="I19" s="47">
        <v>2975066.5990292528</v>
      </c>
      <c r="J19" s="47">
        <v>3166851.5338637233</v>
      </c>
      <c r="K19" s="47">
        <v>3349377.6137952823</v>
      </c>
      <c r="L19" s="47">
        <v>3488292.7398889437</v>
      </c>
      <c r="Z19" s="24"/>
      <c r="AA19" s="24"/>
      <c r="AB19" s="24"/>
      <c r="AC19" s="24"/>
      <c r="AD19" s="24"/>
      <c r="AE19" s="24"/>
      <c r="AF19" s="24"/>
      <c r="AG19" s="24"/>
      <c r="AH19" s="24"/>
      <c r="AI19" s="24"/>
    </row>
    <row r="20" spans="1:35" x14ac:dyDescent="0.25">
      <c r="A20" s="17" t="s">
        <v>73</v>
      </c>
      <c r="B20" s="17" t="s">
        <v>30</v>
      </c>
      <c r="C20" s="47">
        <v>1315153.3212232646</v>
      </c>
      <c r="D20" s="47">
        <v>1423717.5073487968</v>
      </c>
      <c r="E20" s="47">
        <v>1553298.4295019335</v>
      </c>
      <c r="F20" s="47">
        <v>1741756.4830801049</v>
      </c>
      <c r="G20" s="47">
        <v>1968010.4295987366</v>
      </c>
      <c r="H20" s="47">
        <v>2176982.3778416049</v>
      </c>
      <c r="I20" s="47">
        <v>2419511.7851039576</v>
      </c>
      <c r="J20" s="47">
        <v>2710132.9356722394</v>
      </c>
      <c r="K20" s="47">
        <v>3023922.5561301578</v>
      </c>
      <c r="L20" s="47">
        <v>3327324.2335600168</v>
      </c>
      <c r="Z20" s="24"/>
      <c r="AA20" s="24"/>
      <c r="AB20" s="24"/>
      <c r="AC20" s="24"/>
      <c r="AD20" s="24"/>
      <c r="AE20" s="24"/>
      <c r="AF20" s="24"/>
      <c r="AG20" s="24"/>
      <c r="AH20" s="24"/>
      <c r="AI20" s="24"/>
    </row>
    <row r="21" spans="1:35" x14ac:dyDescent="0.25">
      <c r="A21" s="17" t="s">
        <v>54</v>
      </c>
      <c r="B21" s="17" t="s">
        <v>30</v>
      </c>
      <c r="C21" s="47">
        <v>782973.896101858</v>
      </c>
      <c r="D21" s="47">
        <v>847772.5420733483</v>
      </c>
      <c r="E21" s="47">
        <v>910014.96845487365</v>
      </c>
      <c r="F21" s="47">
        <v>998157.25301801157</v>
      </c>
      <c r="G21" s="47">
        <v>1101192.1665793543</v>
      </c>
      <c r="H21" s="47">
        <v>1201836.3828660389</v>
      </c>
      <c r="I21" s="47">
        <v>1292859.2109287416</v>
      </c>
      <c r="J21" s="47">
        <v>1352514.8403577958</v>
      </c>
      <c r="K21" s="47">
        <v>1400142.0604441171</v>
      </c>
      <c r="L21" s="47">
        <v>1453670.5525816432</v>
      </c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5" x14ac:dyDescent="0.25">
      <c r="A22" s="17" t="s">
        <v>9</v>
      </c>
      <c r="B22" s="17" t="s">
        <v>30</v>
      </c>
      <c r="C22" s="47">
        <v>1074445.4225653573</v>
      </c>
      <c r="D22" s="47">
        <v>1116738.1090142787</v>
      </c>
      <c r="E22" s="47">
        <v>1145546.027591174</v>
      </c>
      <c r="F22" s="47">
        <v>1198356.161106026</v>
      </c>
      <c r="G22" s="47">
        <v>1271479.2688505882</v>
      </c>
      <c r="H22" s="47">
        <v>1375523.6249198546</v>
      </c>
      <c r="I22" s="47">
        <v>1531976.2020666101</v>
      </c>
      <c r="J22" s="47">
        <v>1672168.4441997167</v>
      </c>
      <c r="K22" s="47">
        <v>1801366.3495520824</v>
      </c>
      <c r="L22" s="47">
        <v>1932082.001790964</v>
      </c>
      <c r="Z22" s="24"/>
      <c r="AA22" s="24"/>
      <c r="AB22" s="24"/>
      <c r="AC22" s="24"/>
      <c r="AD22" s="24"/>
      <c r="AE22" s="24"/>
      <c r="AF22" s="24"/>
      <c r="AG22" s="24"/>
      <c r="AH22" s="24"/>
      <c r="AI22" s="24"/>
    </row>
    <row r="23" spans="1:35" ht="14.45" x14ac:dyDescent="0.35">
      <c r="E23" s="3"/>
      <c r="F23" s="3"/>
      <c r="G23" s="3"/>
      <c r="H23" s="3"/>
    </row>
    <row r="24" spans="1:35" ht="14.45" x14ac:dyDescent="0.35">
      <c r="A24" s="80" t="str">
        <f>CONCATENATE(B1)</f>
        <v>Real 2015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35" ht="14.45" x14ac:dyDescent="0.35">
      <c r="C25" s="2">
        <v>2006</v>
      </c>
      <c r="D25" s="2">
        <v>2007</v>
      </c>
      <c r="E25" s="2">
        <v>2008</v>
      </c>
      <c r="F25" s="2">
        <v>2009</v>
      </c>
      <c r="G25" s="2">
        <v>2010</v>
      </c>
      <c r="H25" s="2">
        <v>2011</v>
      </c>
      <c r="I25" s="2">
        <v>2012</v>
      </c>
      <c r="J25" s="2">
        <v>2013</v>
      </c>
      <c r="K25" s="2">
        <v>2014</v>
      </c>
      <c r="L25" s="2">
        <v>2015</v>
      </c>
      <c r="M25" s="79" t="s">
        <v>135</v>
      </c>
    </row>
    <row r="26" spans="1:35" ht="14.45" x14ac:dyDescent="0.35">
      <c r="A26" s="17" t="s">
        <v>58</v>
      </c>
      <c r="B26" s="17" t="s">
        <v>30</v>
      </c>
      <c r="C26" s="18">
        <f>C10*C3</f>
        <v>662374.40133312345</v>
      </c>
      <c r="D26" s="18">
        <f t="shared" ref="D26:L26" si="0">D10*D3</f>
        <v>664150.34189883259</v>
      </c>
      <c r="E26" s="18">
        <f t="shared" si="0"/>
        <v>673127.0633782564</v>
      </c>
      <c r="F26" s="18">
        <f t="shared" si="0"/>
        <v>675883.32547057548</v>
      </c>
      <c r="G26" s="18">
        <f t="shared" si="0"/>
        <v>702827.5978126101</v>
      </c>
      <c r="H26" s="18">
        <f t="shared" si="0"/>
        <v>742253.22268072458</v>
      </c>
      <c r="I26" s="18">
        <f t="shared" si="0"/>
        <v>782105.99514647305</v>
      </c>
      <c r="J26" s="18">
        <f t="shared" si="0"/>
        <v>816137.35092167452</v>
      </c>
      <c r="K26" s="18">
        <f t="shared" si="0"/>
        <v>845830.52190169459</v>
      </c>
      <c r="L26" s="18">
        <f t="shared" si="0"/>
        <v>936205.29132082558</v>
      </c>
      <c r="M26" s="24">
        <f>AVERAGE(H26:L26)/1000</f>
        <v>824.50647639427848</v>
      </c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5" ht="14.45" x14ac:dyDescent="0.35">
      <c r="A27" s="17" t="s">
        <v>59</v>
      </c>
      <c r="B27" s="17" t="s">
        <v>30</v>
      </c>
      <c r="C27" s="18">
        <f>C11*C3</f>
        <v>6119331.887814166</v>
      </c>
      <c r="D27" s="18">
        <f t="shared" ref="D27:L27" si="1">D11*D3</f>
        <v>6623242.0298967399</v>
      </c>
      <c r="E27" s="18">
        <f t="shared" si="1"/>
        <v>7289629.6882221038</v>
      </c>
      <c r="F27" s="18">
        <f t="shared" si="1"/>
        <v>8064427.4454141213</v>
      </c>
      <c r="G27" s="18">
        <f t="shared" si="1"/>
        <v>9131602.3397725169</v>
      </c>
      <c r="H27" s="18">
        <f t="shared" si="1"/>
        <v>10277873.455405872</v>
      </c>
      <c r="I27" s="18">
        <f t="shared" si="1"/>
        <v>11615163.530396648</v>
      </c>
      <c r="J27" s="18">
        <f t="shared" si="1"/>
        <v>12717756.855559947</v>
      </c>
      <c r="K27" s="18">
        <f t="shared" si="1"/>
        <v>13268388.984570436</v>
      </c>
      <c r="L27" s="18">
        <f t="shared" si="1"/>
        <v>13647514.023850543</v>
      </c>
      <c r="M27" s="24">
        <f t="shared" ref="M27:M38" si="2">AVERAGE(H27:L27)/1000</f>
        <v>12305.339369956691</v>
      </c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5" ht="14.45" x14ac:dyDescent="0.35">
      <c r="A28" s="17" t="s">
        <v>60</v>
      </c>
      <c r="B28" s="17" t="s">
        <v>30</v>
      </c>
      <c r="C28" s="18">
        <f>C12*C2</f>
        <v>999354.45075992832</v>
      </c>
      <c r="D28" s="18">
        <f t="shared" ref="D28:L28" si="3">D12*D2</f>
        <v>1030982.665359412</v>
      </c>
      <c r="E28" s="18">
        <f t="shared" si="3"/>
        <v>1030127.2733693711</v>
      </c>
      <c r="F28" s="18">
        <f t="shared" si="3"/>
        <v>1073391.35744087</v>
      </c>
      <c r="G28" s="18">
        <f t="shared" si="3"/>
        <v>1129901.2315993931</v>
      </c>
      <c r="H28" s="18">
        <f t="shared" si="3"/>
        <v>1174912.5268286988</v>
      </c>
      <c r="I28" s="18">
        <f t="shared" si="3"/>
        <v>1256034.9721454463</v>
      </c>
      <c r="J28" s="18">
        <f t="shared" si="3"/>
        <v>1312290.3160980493</v>
      </c>
      <c r="K28" s="18">
        <f t="shared" si="3"/>
        <v>1361983.6833028595</v>
      </c>
      <c r="L28" s="18">
        <f t="shared" si="3"/>
        <v>1403561.4544090633</v>
      </c>
      <c r="M28" s="24">
        <f t="shared" si="2"/>
        <v>1301.7565905568233</v>
      </c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5" ht="14.45" x14ac:dyDescent="0.35">
      <c r="A29" s="17" t="s">
        <v>61</v>
      </c>
      <c r="B29" s="17" t="s">
        <v>30</v>
      </c>
      <c r="C29" s="18">
        <f>C13*C3</f>
        <v>2928283.7736579347</v>
      </c>
      <c r="D29" s="18">
        <f t="shared" ref="D29:L29" si="4">D13*D3</f>
        <v>3104609.3434517933</v>
      </c>
      <c r="E29" s="18">
        <f t="shared" si="4"/>
        <v>3282804.8410119927</v>
      </c>
      <c r="F29" s="18">
        <f t="shared" si="4"/>
        <v>3457761.8283236846</v>
      </c>
      <c r="G29" s="18">
        <f t="shared" si="4"/>
        <v>3665378.3256778885</v>
      </c>
      <c r="H29" s="18">
        <f t="shared" si="4"/>
        <v>3829010.8290119059</v>
      </c>
      <c r="I29" s="18">
        <f t="shared" si="4"/>
        <v>4089308.2250744621</v>
      </c>
      <c r="J29" s="18">
        <f t="shared" si="4"/>
        <v>4418919.3690902274</v>
      </c>
      <c r="K29" s="18">
        <f t="shared" si="4"/>
        <v>4724516.2728341511</v>
      </c>
      <c r="L29" s="18">
        <f t="shared" si="4"/>
        <v>5019908.8961935425</v>
      </c>
      <c r="M29" s="24">
        <f t="shared" si="2"/>
        <v>4416.3327184408581</v>
      </c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5" ht="14.45" x14ac:dyDescent="0.35">
      <c r="A30" s="17" t="s">
        <v>62</v>
      </c>
      <c r="B30" s="17" t="s">
        <v>30</v>
      </c>
      <c r="C30" s="18">
        <f>C14*C3</f>
        <v>4431634.0393857872</v>
      </c>
      <c r="D30" s="18">
        <f t="shared" ref="D30:L30" si="5">D14*D3</f>
        <v>4755129.0079084635</v>
      </c>
      <c r="E30" s="18">
        <f t="shared" si="5"/>
        <v>5032734.1260248814</v>
      </c>
      <c r="F30" s="18">
        <f t="shared" si="5"/>
        <v>5302139.638901446</v>
      </c>
      <c r="G30" s="18">
        <f t="shared" si="5"/>
        <v>5818299.1328631407</v>
      </c>
      <c r="H30" s="18">
        <f t="shared" si="5"/>
        <v>6333751.5028128428</v>
      </c>
      <c r="I30" s="18">
        <f t="shared" si="5"/>
        <v>6699958.6588561712</v>
      </c>
      <c r="J30" s="18">
        <f t="shared" si="5"/>
        <v>7112713.8326999806</v>
      </c>
      <c r="K30" s="18">
        <f t="shared" si="5"/>
        <v>7443421.0858124867</v>
      </c>
      <c r="L30" s="18">
        <f t="shared" si="5"/>
        <v>8049459.888229209</v>
      </c>
      <c r="M30" s="24">
        <f t="shared" si="2"/>
        <v>7127.8609936821367</v>
      </c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5" ht="14.45" x14ac:dyDescent="0.35">
      <c r="A31" s="17" t="s">
        <v>63</v>
      </c>
      <c r="B31" s="17" t="s">
        <v>30</v>
      </c>
      <c r="C31" s="18">
        <f>C15*C3</f>
        <v>4968377.224379098</v>
      </c>
      <c r="D31" s="18">
        <f t="shared" ref="D31:L31" si="6">D15*D3</f>
        <v>5219867.4859580342</v>
      </c>
      <c r="E31" s="18">
        <f t="shared" si="6"/>
        <v>5465908.1841322994</v>
      </c>
      <c r="F31" s="18">
        <f t="shared" si="6"/>
        <v>5640249.748302808</v>
      </c>
      <c r="G31" s="18">
        <f t="shared" si="6"/>
        <v>5985911.8067913018</v>
      </c>
      <c r="H31" s="18">
        <f t="shared" si="6"/>
        <v>6386825.6177862342</v>
      </c>
      <c r="I31" s="18">
        <f t="shared" si="6"/>
        <v>6695130.8453013524</v>
      </c>
      <c r="J31" s="18">
        <f t="shared" si="6"/>
        <v>7006327.8900104053</v>
      </c>
      <c r="K31" s="18">
        <f t="shared" si="6"/>
        <v>7342485.4177862369</v>
      </c>
      <c r="L31" s="18">
        <f t="shared" si="6"/>
        <v>7626084.6676275777</v>
      </c>
      <c r="M31" s="24">
        <f t="shared" si="2"/>
        <v>7011.370887702361</v>
      </c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5" ht="14.45" x14ac:dyDescent="0.35">
      <c r="A32" s="17" t="s">
        <v>64</v>
      </c>
      <c r="B32" s="17" t="s">
        <v>30</v>
      </c>
      <c r="C32" s="18">
        <f>C16*C3</f>
        <v>3395967.0637179413</v>
      </c>
      <c r="D32" s="18">
        <f t="shared" ref="D32:L32" si="7">D16*D3</f>
        <v>3693705.9308789093</v>
      </c>
      <c r="E32" s="18">
        <f t="shared" si="7"/>
        <v>4044923.4332306674</v>
      </c>
      <c r="F32" s="18">
        <f t="shared" si="7"/>
        <v>4454321.0786744971</v>
      </c>
      <c r="G32" s="18">
        <f t="shared" si="7"/>
        <v>4975917.5533105666</v>
      </c>
      <c r="H32" s="18">
        <f t="shared" si="7"/>
        <v>5410599.7545892028</v>
      </c>
      <c r="I32" s="18">
        <f t="shared" si="7"/>
        <v>5915433.3629846461</v>
      </c>
      <c r="J32" s="18">
        <f t="shared" si="7"/>
        <v>6372022.3121134201</v>
      </c>
      <c r="K32" s="18">
        <f t="shared" si="7"/>
        <v>6595309.532825971</v>
      </c>
      <c r="L32" s="18">
        <f t="shared" si="7"/>
        <v>6841245.0131132621</v>
      </c>
      <c r="M32" s="24">
        <f t="shared" si="2"/>
        <v>6226.921995125299</v>
      </c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ht="14.45" x14ac:dyDescent="0.35">
      <c r="A33" s="17" t="s">
        <v>65</v>
      </c>
      <c r="B33" s="17" t="s">
        <v>30</v>
      </c>
      <c r="C33" s="18">
        <f>C17*C2</f>
        <v>603052.65209655522</v>
      </c>
      <c r="D33" s="18">
        <f t="shared" ref="D33:L33" si="8">D17*D2</f>
        <v>638798.59597953549</v>
      </c>
      <c r="E33" s="18">
        <f t="shared" si="8"/>
        <v>643457.93315651943</v>
      </c>
      <c r="F33" s="18">
        <f t="shared" si="8"/>
        <v>675387.85737265076</v>
      </c>
      <c r="G33" s="18">
        <f t="shared" si="8"/>
        <v>698703.88104951323</v>
      </c>
      <c r="H33" s="18">
        <f t="shared" si="8"/>
        <v>737051.00586404279</v>
      </c>
      <c r="I33" s="18">
        <f t="shared" si="8"/>
        <v>826576.86421744397</v>
      </c>
      <c r="J33" s="18">
        <f t="shared" si="8"/>
        <v>893322.43811933731</v>
      </c>
      <c r="K33" s="18">
        <f t="shared" si="8"/>
        <v>940993.38620967302</v>
      </c>
      <c r="L33" s="18">
        <f t="shared" si="8"/>
        <v>1007887.9800792739</v>
      </c>
      <c r="M33" s="24">
        <f t="shared" si="2"/>
        <v>881.16633489795424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ht="14.45" x14ac:dyDescent="0.35">
      <c r="A34" s="17" t="s">
        <v>66</v>
      </c>
      <c r="B34" s="17" t="s">
        <v>30</v>
      </c>
      <c r="C34" s="18">
        <f>C18*C2</f>
        <v>1659492.6354496453</v>
      </c>
      <c r="D34" s="18">
        <f t="shared" ref="D34:L34" si="9">D18*D2</f>
        <v>1754289.9391336585</v>
      </c>
      <c r="E34" s="18">
        <f t="shared" si="9"/>
        <v>1795213.5050389275</v>
      </c>
      <c r="F34" s="18">
        <f t="shared" si="9"/>
        <v>1892809.0162299667</v>
      </c>
      <c r="G34" s="18">
        <f t="shared" si="9"/>
        <v>1989928.8176713239</v>
      </c>
      <c r="H34" s="18">
        <f t="shared" si="9"/>
        <v>2068331.1476799967</v>
      </c>
      <c r="I34" s="18">
        <f t="shared" si="9"/>
        <v>2238752.7142425878</v>
      </c>
      <c r="J34" s="18">
        <f t="shared" si="9"/>
        <v>2386272.0122245946</v>
      </c>
      <c r="K34" s="18">
        <f t="shared" si="9"/>
        <v>2519842.1613767222</v>
      </c>
      <c r="L34" s="18">
        <f t="shared" si="9"/>
        <v>2655245.8405557405</v>
      </c>
      <c r="M34" s="24">
        <f t="shared" si="2"/>
        <v>2373.6887752159282</v>
      </c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ht="14.45" x14ac:dyDescent="0.35">
      <c r="A35" s="17" t="s">
        <v>69</v>
      </c>
      <c r="B35" s="17" t="s">
        <v>30</v>
      </c>
      <c r="C35" s="18">
        <f>C19*C3</f>
        <v>3257089.4754050355</v>
      </c>
      <c r="D35" s="18">
        <f t="shared" ref="D35:L35" si="10">D19*D3</f>
        <v>3214263.9259570348</v>
      </c>
      <c r="E35" s="18">
        <f t="shared" si="10"/>
        <v>3172382.3056561602</v>
      </c>
      <c r="F35" s="18">
        <f t="shared" si="10"/>
        <v>3121046.2469350374</v>
      </c>
      <c r="G35" s="18">
        <f t="shared" si="10"/>
        <v>3095530.9574928954</v>
      </c>
      <c r="H35" s="18">
        <f t="shared" si="10"/>
        <v>3123398.7623054176</v>
      </c>
      <c r="I35" s="18">
        <f t="shared" si="10"/>
        <v>3231435.0634746598</v>
      </c>
      <c r="J35" s="18">
        <f t="shared" si="10"/>
        <v>3365555.9438316431</v>
      </c>
      <c r="K35" s="18">
        <f t="shared" si="10"/>
        <v>3464432.5699943569</v>
      </c>
      <c r="L35" s="18">
        <f t="shared" si="10"/>
        <v>3547194.4934705584</v>
      </c>
      <c r="M35" s="24">
        <f t="shared" si="2"/>
        <v>3346.4033666153273</v>
      </c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ht="14.45" x14ac:dyDescent="0.35">
      <c r="A36" s="17" t="s">
        <v>74</v>
      </c>
      <c r="B36" s="17" t="s">
        <v>30</v>
      </c>
      <c r="C36" s="18">
        <f>C20*C2</f>
        <v>1659634.6917415818</v>
      </c>
      <c r="D36" s="18">
        <f t="shared" ref="D36:L36" si="11">D20*D2</f>
        <v>1759760.2941460612</v>
      </c>
      <c r="E36" s="18">
        <f t="shared" si="11"/>
        <v>1838182.8576201925</v>
      </c>
      <c r="F36" s="18">
        <f t="shared" si="11"/>
        <v>2032361.7089976682</v>
      </c>
      <c r="G36" s="18">
        <f t="shared" si="11"/>
        <v>2226851.049775606</v>
      </c>
      <c r="H36" s="18">
        <f t="shared" si="11"/>
        <v>2378879.9370769151</v>
      </c>
      <c r="I36" s="18">
        <f t="shared" si="11"/>
        <v>2612301.5687775798</v>
      </c>
      <c r="J36" s="18">
        <f t="shared" si="11"/>
        <v>2857766.6364481593</v>
      </c>
      <c r="K36" s="18">
        <f t="shared" si="11"/>
        <v>3095308.8298820499</v>
      </c>
      <c r="L36" s="18">
        <f t="shared" si="11"/>
        <v>3355180.9015619145</v>
      </c>
      <c r="M36" s="24">
        <f t="shared" si="2"/>
        <v>2859.8875747493234</v>
      </c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14.45" x14ac:dyDescent="0.35">
      <c r="A37" s="17" t="s">
        <v>68</v>
      </c>
      <c r="B37" s="17" t="s">
        <v>30</v>
      </c>
      <c r="C37" s="18">
        <f>C21*C3</f>
        <v>1012820.6484181554</v>
      </c>
      <c r="D37" s="18">
        <f t="shared" ref="D37:L37" si="12">D21*D3</f>
        <v>1061184.1057823438</v>
      </c>
      <c r="E37" s="18">
        <f t="shared" si="12"/>
        <v>1107133.8112290497</v>
      </c>
      <c r="F37" s="18">
        <f t="shared" si="12"/>
        <v>1170998.3357916931</v>
      </c>
      <c r="G37" s="18">
        <f t="shared" si="12"/>
        <v>1265845.5021972642</v>
      </c>
      <c r="H37" s="18">
        <f t="shared" si="12"/>
        <v>1344469.1837221736</v>
      </c>
      <c r="I37" s="18">
        <f t="shared" si="12"/>
        <v>1404267.9204877317</v>
      </c>
      <c r="J37" s="18">
        <f t="shared" si="12"/>
        <v>1437378.5166155398</v>
      </c>
      <c r="K37" s="18">
        <f t="shared" si="12"/>
        <v>1448238.5434364723</v>
      </c>
      <c r="L37" s="18">
        <f t="shared" si="12"/>
        <v>1478216.5844263614</v>
      </c>
      <c r="M37" s="24">
        <f t="shared" si="2"/>
        <v>1422.5141497376555</v>
      </c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14.45" x14ac:dyDescent="0.35">
      <c r="A38" s="17" t="s">
        <v>67</v>
      </c>
      <c r="B38" s="17" t="s">
        <v>30</v>
      </c>
      <c r="C38" s="18">
        <f>C22*C2</f>
        <v>1355877.5763222901</v>
      </c>
      <c r="D38" s="18">
        <f t="shared" ref="D38:L38" si="13">D22*D2</f>
        <v>1380323.9568659957</v>
      </c>
      <c r="E38" s="18">
        <f t="shared" si="13"/>
        <v>1355646.1723895555</v>
      </c>
      <c r="F38" s="18">
        <f t="shared" si="13"/>
        <v>1398297.1782980971</v>
      </c>
      <c r="G38" s="18">
        <f t="shared" si="13"/>
        <v>1438709.318824674</v>
      </c>
      <c r="H38" s="18">
        <f t="shared" si="13"/>
        <v>1503092.3481987121</v>
      </c>
      <c r="I38" s="18">
        <f t="shared" si="13"/>
        <v>1654046.0189643479</v>
      </c>
      <c r="J38" s="18">
        <f t="shared" si="13"/>
        <v>1763259.3322105962</v>
      </c>
      <c r="K38" s="18">
        <f t="shared" si="13"/>
        <v>1843891.5230542561</v>
      </c>
      <c r="L38" s="18">
        <f t="shared" si="13"/>
        <v>1948257.5720385164</v>
      </c>
      <c r="M38" s="24">
        <f t="shared" si="2"/>
        <v>1742.5093588932857</v>
      </c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14.45" x14ac:dyDescent="0.35">
      <c r="L39" s="30"/>
    </row>
    <row r="40" spans="1:33" ht="14.45" x14ac:dyDescent="0.3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94"/>
      <c r="M40" s="27"/>
      <c r="N40" s="27"/>
      <c r="O40" s="27"/>
      <c r="P40" s="27"/>
      <c r="Q40" s="27"/>
    </row>
    <row r="41" spans="1:33" ht="14.45" x14ac:dyDescent="0.35">
      <c r="A41" s="42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33" ht="14.45" x14ac:dyDescent="0.3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33" ht="14.45" x14ac:dyDescent="0.35">
      <c r="A43" s="88"/>
      <c r="B43" s="2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27"/>
      <c r="N43" s="27"/>
      <c r="O43" s="27"/>
      <c r="P43" s="27"/>
      <c r="Q43" s="27"/>
    </row>
    <row r="44" spans="1:33" ht="14.45" x14ac:dyDescent="0.35">
      <c r="A44" s="88"/>
      <c r="B44" s="2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27"/>
      <c r="N44" s="27"/>
      <c r="O44" s="27"/>
      <c r="P44" s="27"/>
      <c r="Q44" s="27"/>
    </row>
    <row r="45" spans="1:33" ht="14.45" x14ac:dyDescent="0.35">
      <c r="A45" s="88"/>
      <c r="B45" s="2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27"/>
      <c r="N45" s="27"/>
      <c r="O45" s="27"/>
      <c r="P45" s="27"/>
      <c r="Q45" s="27"/>
    </row>
    <row r="46" spans="1:33" ht="14.45" x14ac:dyDescent="0.35">
      <c r="A46" s="88"/>
      <c r="B46" s="2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27"/>
      <c r="N46" s="27"/>
      <c r="O46" s="27"/>
      <c r="P46" s="27"/>
      <c r="Q46" s="27"/>
    </row>
    <row r="47" spans="1:33" ht="14.45" x14ac:dyDescent="0.35">
      <c r="A47" s="88"/>
      <c r="B47" s="2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27"/>
      <c r="N47" s="27"/>
      <c r="O47" s="27"/>
      <c r="P47" s="27"/>
      <c r="Q47" s="27"/>
    </row>
    <row r="48" spans="1:33" ht="14.45" x14ac:dyDescent="0.35">
      <c r="A48" s="88"/>
      <c r="B48" s="2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27"/>
      <c r="N48" s="27"/>
      <c r="O48" s="27"/>
      <c r="P48" s="27"/>
      <c r="Q48" s="27"/>
    </row>
    <row r="49" spans="1:17" x14ac:dyDescent="0.25">
      <c r="A49" s="88"/>
      <c r="B49" s="27"/>
      <c r="C49" s="87"/>
      <c r="D49" s="87"/>
      <c r="E49" s="87"/>
      <c r="F49" s="87"/>
      <c r="G49" s="87"/>
      <c r="H49" s="87"/>
      <c r="I49" s="87"/>
      <c r="J49" s="87"/>
      <c r="K49" s="95"/>
      <c r="L49" s="87"/>
      <c r="M49" s="27"/>
      <c r="N49" s="27"/>
      <c r="O49" s="27"/>
      <c r="P49" s="27"/>
      <c r="Q49" s="27"/>
    </row>
    <row r="50" spans="1:17" x14ac:dyDescent="0.25">
      <c r="A50" s="88"/>
      <c r="B50" s="2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27"/>
      <c r="N50" s="27"/>
      <c r="O50" s="27"/>
      <c r="P50" s="27"/>
      <c r="Q50" s="27"/>
    </row>
    <row r="51" spans="1:17" x14ac:dyDescent="0.25">
      <c r="A51" s="88"/>
      <c r="B51" s="2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27"/>
      <c r="N51" s="27"/>
      <c r="O51" s="27"/>
      <c r="P51" s="27"/>
      <c r="Q51" s="27"/>
    </row>
    <row r="52" spans="1:17" x14ac:dyDescent="0.25">
      <c r="A52" s="88"/>
      <c r="B52" s="2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27"/>
      <c r="N52" s="27"/>
      <c r="O52" s="27"/>
      <c r="P52" s="27"/>
      <c r="Q52" s="27"/>
    </row>
    <row r="53" spans="1:17" x14ac:dyDescent="0.25">
      <c r="A53" s="88"/>
      <c r="B53" s="2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27"/>
      <c r="N53" s="27"/>
      <c r="O53" s="27"/>
      <c r="P53" s="27"/>
      <c r="Q53" s="27"/>
    </row>
    <row r="54" spans="1:17" x14ac:dyDescent="0.25">
      <c r="A54" s="88"/>
      <c r="B54" s="2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27"/>
      <c r="N54" s="27"/>
      <c r="O54" s="27"/>
      <c r="P54" s="27"/>
      <c r="Q54" s="27"/>
    </row>
    <row r="55" spans="1:17" x14ac:dyDescent="0.25">
      <c r="A55" s="88"/>
      <c r="B55" s="2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27"/>
      <c r="N55" s="27"/>
      <c r="O55" s="27"/>
      <c r="P55" s="27"/>
      <c r="Q55" s="27"/>
    </row>
    <row r="56" spans="1:17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7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1:17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7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44"/>
  <sheetViews>
    <sheetView topLeftCell="A19" workbookViewId="0">
      <selection activeCell="Q22" sqref="Q22"/>
    </sheetView>
  </sheetViews>
  <sheetFormatPr defaultColWidth="9.140625" defaultRowHeight="15" x14ac:dyDescent="0.25"/>
  <cols>
    <col min="1" max="1" width="34.7109375" style="2" customWidth="1"/>
    <col min="2" max="4" width="11" style="2" bestFit="1" customWidth="1"/>
    <col min="5" max="9" width="11.7109375" style="2" bestFit="1" customWidth="1"/>
    <col min="10" max="12" width="12" style="2" customWidth="1"/>
    <col min="13" max="13" width="10.140625" style="2" customWidth="1"/>
    <col min="14" max="14" width="10.85546875" style="2" bestFit="1" customWidth="1"/>
    <col min="15" max="22" width="9.85546875" style="2" bestFit="1" customWidth="1"/>
    <col min="23" max="16384" width="9.140625" style="2"/>
  </cols>
  <sheetData>
    <row r="1" spans="1:22" ht="14.45" x14ac:dyDescent="0.35">
      <c r="A1" s="23" t="s">
        <v>108</v>
      </c>
      <c r="B1" s="80" t="str">
        <f>"Real "&amp;Real_year&amp;""</f>
        <v>Real 2015</v>
      </c>
      <c r="C1" s="2">
        <v>2006</v>
      </c>
      <c r="D1" s="2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  <c r="J1" s="2">
        <v>2013</v>
      </c>
      <c r="K1" s="2">
        <v>2014</v>
      </c>
      <c r="L1" s="2">
        <v>2015</v>
      </c>
    </row>
    <row r="2" spans="1:22" x14ac:dyDescent="0.25">
      <c r="A2" s="2" t="s">
        <v>29</v>
      </c>
      <c r="C2" s="16">
        <f>CPI!F9</f>
        <v>1.2619324796274738</v>
      </c>
      <c r="D2" s="16">
        <f>CPI!G9</f>
        <v>1.2360319270239453</v>
      </c>
      <c r="E2" s="16">
        <f>CPI!H9</f>
        <v>1.1834061135371181</v>
      </c>
      <c r="F2" s="16">
        <f>CPI!I9</f>
        <v>1.1668460710441335</v>
      </c>
      <c r="G2" s="16">
        <f>CPI!J9</f>
        <v>1.1315240083507307</v>
      </c>
      <c r="H2" s="16">
        <f>CPI!K9</f>
        <v>1.092741935483871</v>
      </c>
      <c r="I2" s="16">
        <f>CPI!L9</f>
        <v>1.0796812749003983</v>
      </c>
      <c r="J2" s="16">
        <f>CPI!M9</f>
        <v>1.0544747081712063</v>
      </c>
      <c r="K2" s="16">
        <f>CPI!N9</f>
        <v>1.0236071765816808</v>
      </c>
      <c r="L2" s="16">
        <f>CPI!O9</f>
        <v>1.0083720930232558</v>
      </c>
    </row>
    <row r="3" spans="1:22" x14ac:dyDescent="0.25">
      <c r="A3" s="2" t="s">
        <v>28</v>
      </c>
      <c r="C3" s="16">
        <f>CPI!F10</f>
        <v>1.2935560859188546</v>
      </c>
      <c r="D3" s="16">
        <f>CPI!G10</f>
        <v>1.2517321016166283</v>
      </c>
      <c r="E3" s="16">
        <f>CPI!H10</f>
        <v>1.2166105499438835</v>
      </c>
      <c r="F3" s="16">
        <f>CPI!I10</f>
        <v>1.1731601731601731</v>
      </c>
      <c r="G3" s="16">
        <f>CPI!J10</f>
        <v>1.1495227995758219</v>
      </c>
      <c r="H3" s="16">
        <f>CPI!K10</f>
        <v>1.1186790505675954</v>
      </c>
      <c r="I3" s="16">
        <f>CPI!L10</f>
        <v>1.086172344689379</v>
      </c>
      <c r="J3" s="16">
        <f>CPI!M10</f>
        <v>1.0627450980392157</v>
      </c>
      <c r="K3" s="16">
        <f>CPI!N10</f>
        <v>1.0343511450381679</v>
      </c>
      <c r="L3" s="16">
        <f>CPI!O10</f>
        <v>1.0168855534709194</v>
      </c>
    </row>
    <row r="7" spans="1:22" x14ac:dyDescent="0.25">
      <c r="A7" s="23" t="s">
        <v>51</v>
      </c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22" x14ac:dyDescent="0.25">
      <c r="A8" s="80" t="s">
        <v>100</v>
      </c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22" x14ac:dyDescent="0.25">
      <c r="C9" s="2">
        <v>2006</v>
      </c>
      <c r="D9" s="2">
        <v>2007</v>
      </c>
      <c r="E9" s="2">
        <v>2008</v>
      </c>
      <c r="F9" s="2">
        <v>2009</v>
      </c>
      <c r="G9" s="2">
        <v>2010</v>
      </c>
      <c r="H9" s="2">
        <v>2011</v>
      </c>
      <c r="I9" s="2">
        <v>2012</v>
      </c>
      <c r="J9" s="2">
        <v>2013</v>
      </c>
      <c r="K9" s="2">
        <v>2014</v>
      </c>
      <c r="L9" s="2">
        <v>2015</v>
      </c>
    </row>
    <row r="10" spans="1:22" x14ac:dyDescent="0.25">
      <c r="A10" s="17" t="s">
        <v>1</v>
      </c>
      <c r="B10" s="17" t="s">
        <v>30</v>
      </c>
      <c r="C10" s="18">
        <v>32644.372461278101</v>
      </c>
      <c r="D10" s="18">
        <v>33989.783685829971</v>
      </c>
      <c r="E10" s="18">
        <v>37658.377116216798</v>
      </c>
      <c r="F10" s="18">
        <v>39959.378599711999</v>
      </c>
      <c r="G10" s="18">
        <v>46087.463131804987</v>
      </c>
      <c r="H10" s="18">
        <v>53239.636389662119</v>
      </c>
      <c r="I10" s="18">
        <v>58764.11594773754</v>
      </c>
      <c r="J10" s="18">
        <v>66417.409985292616</v>
      </c>
      <c r="K10" s="50">
        <v>77223.594865233928</v>
      </c>
      <c r="L10" s="50">
        <v>73579.842680742615</v>
      </c>
      <c r="N10" s="75"/>
      <c r="O10" s="75"/>
      <c r="P10" s="75"/>
      <c r="Q10" s="75"/>
      <c r="R10" s="75"/>
      <c r="S10" s="75"/>
      <c r="T10" s="75"/>
      <c r="U10" s="75"/>
      <c r="V10" s="75"/>
    </row>
    <row r="11" spans="1:22" x14ac:dyDescent="0.25">
      <c r="A11" s="17" t="s">
        <v>78</v>
      </c>
      <c r="B11" s="17" t="s">
        <v>30</v>
      </c>
      <c r="C11" s="47">
        <v>357834.49621930806</v>
      </c>
      <c r="D11" s="47">
        <v>316522.99188389262</v>
      </c>
      <c r="E11" s="47">
        <v>467809.122173907</v>
      </c>
      <c r="F11" s="47">
        <v>441027.33814656845</v>
      </c>
      <c r="G11" s="47">
        <v>511184.26885726338</v>
      </c>
      <c r="H11" s="47">
        <v>506684.85404769256</v>
      </c>
      <c r="I11" s="47">
        <v>577601.09550643899</v>
      </c>
      <c r="J11" s="47">
        <v>471121.68333051458</v>
      </c>
      <c r="K11" s="47">
        <v>539569.59182207973</v>
      </c>
      <c r="L11" s="50">
        <v>647227.97580349469</v>
      </c>
      <c r="N11" s="75"/>
      <c r="O11" s="75"/>
      <c r="P11" s="75"/>
      <c r="Q11" s="75"/>
      <c r="R11" s="75"/>
      <c r="S11" s="75"/>
      <c r="T11" s="75"/>
      <c r="U11" s="75"/>
      <c r="V11" s="75"/>
    </row>
    <row r="12" spans="1:22" x14ac:dyDescent="0.25">
      <c r="A12" s="17" t="s">
        <v>2</v>
      </c>
      <c r="B12" s="17" t="s">
        <v>30</v>
      </c>
      <c r="C12" s="47">
        <v>27265.629602043322</v>
      </c>
      <c r="D12" s="47">
        <v>32341.558254429037</v>
      </c>
      <c r="E12" s="47">
        <v>32125.623186465349</v>
      </c>
      <c r="F12" s="47">
        <v>38829.927950286758</v>
      </c>
      <c r="G12" s="47">
        <v>44123.599004515148</v>
      </c>
      <c r="H12" s="47">
        <v>41598.284547956326</v>
      </c>
      <c r="I12" s="47">
        <v>54695.972298482608</v>
      </c>
      <c r="J12" s="47">
        <v>54384.697735130525</v>
      </c>
      <c r="K12" s="99">
        <v>56811.189743289469</v>
      </c>
      <c r="L12" s="50">
        <v>55839.517999999902</v>
      </c>
      <c r="N12" s="75"/>
      <c r="O12" s="75"/>
      <c r="P12" s="75"/>
      <c r="Q12" s="75"/>
      <c r="R12" s="75"/>
      <c r="S12" s="75"/>
      <c r="T12" s="75"/>
      <c r="U12" s="75"/>
      <c r="V12" s="75"/>
    </row>
    <row r="13" spans="1:22" x14ac:dyDescent="0.25">
      <c r="A13" s="17" t="s">
        <v>3</v>
      </c>
      <c r="B13" s="17" t="s">
        <v>30</v>
      </c>
      <c r="C13" s="47">
        <v>156824.91789216295</v>
      </c>
      <c r="D13" s="47">
        <v>176841.3944329306</v>
      </c>
      <c r="E13" s="47">
        <v>224408.06001672792</v>
      </c>
      <c r="F13" s="47">
        <v>214131.3002650959</v>
      </c>
      <c r="G13" s="47">
        <v>210431.13798086444</v>
      </c>
      <c r="H13" s="47">
        <v>229554.29065953355</v>
      </c>
      <c r="I13" s="47">
        <v>240838.12724750844</v>
      </c>
      <c r="J13" s="47">
        <v>222645.27398422692</v>
      </c>
      <c r="K13" s="100">
        <v>258321.99304766822</v>
      </c>
      <c r="L13" s="50">
        <v>270954.43519109796</v>
      </c>
      <c r="N13" s="75"/>
      <c r="O13" s="75"/>
      <c r="P13" s="75"/>
      <c r="Q13" s="75"/>
      <c r="R13" s="75"/>
      <c r="S13" s="75"/>
      <c r="T13" s="75"/>
      <c r="U13" s="75"/>
      <c r="V13" s="75"/>
    </row>
    <row r="14" spans="1:22" x14ac:dyDescent="0.25">
      <c r="A14" s="17" t="s">
        <v>4</v>
      </c>
      <c r="B14" s="17" t="s">
        <v>30</v>
      </c>
      <c r="C14" s="47">
        <v>189286.78651596923</v>
      </c>
      <c r="D14" s="47">
        <v>229999.82498122202</v>
      </c>
      <c r="E14" s="47">
        <v>249220.28103108739</v>
      </c>
      <c r="F14" s="47">
        <v>269392.65437999991</v>
      </c>
      <c r="G14" s="47">
        <v>278759.46134999994</v>
      </c>
      <c r="H14" s="47">
        <v>317627.73702</v>
      </c>
      <c r="I14" s="47">
        <v>350958.66492000007</v>
      </c>
      <c r="J14" s="47">
        <v>387877.9989499998</v>
      </c>
      <c r="K14" s="100">
        <v>365738.81122000003</v>
      </c>
      <c r="L14" s="50">
        <v>381461.10985999979</v>
      </c>
      <c r="N14" s="75"/>
      <c r="O14" s="75"/>
      <c r="P14" s="75"/>
      <c r="Q14" s="75"/>
      <c r="R14" s="75"/>
      <c r="S14" s="75"/>
      <c r="T14" s="75"/>
      <c r="U14" s="75"/>
      <c r="V14" s="75"/>
    </row>
    <row r="15" spans="1:22" x14ac:dyDescent="0.25">
      <c r="A15" s="17" t="s">
        <v>10</v>
      </c>
      <c r="B15" s="17" t="s">
        <v>30</v>
      </c>
      <c r="C15" s="93">
        <v>259957.891</v>
      </c>
      <c r="D15" s="93">
        <v>241890.48055000001</v>
      </c>
      <c r="E15" s="93">
        <v>269457.2365</v>
      </c>
      <c r="F15" s="93">
        <v>270466.59798999992</v>
      </c>
      <c r="G15" s="93">
        <v>270621.21470000001</v>
      </c>
      <c r="H15" s="93">
        <v>345122.06182</v>
      </c>
      <c r="I15" s="93">
        <v>363976.48437000008</v>
      </c>
      <c r="J15" s="93">
        <v>298481.04830000014</v>
      </c>
      <c r="K15" s="98">
        <v>308046.36037000001</v>
      </c>
      <c r="L15" s="50">
        <v>362830.15773000004</v>
      </c>
      <c r="N15" s="75"/>
      <c r="O15" s="75"/>
      <c r="P15" s="75"/>
      <c r="Q15" s="75"/>
      <c r="R15" s="75"/>
      <c r="S15" s="75"/>
      <c r="T15" s="75"/>
      <c r="U15" s="75"/>
      <c r="V15" s="75"/>
    </row>
    <row r="16" spans="1:22" x14ac:dyDescent="0.25">
      <c r="A16" s="17" t="s">
        <v>5</v>
      </c>
      <c r="B16" s="17" t="s">
        <v>30</v>
      </c>
      <c r="C16" s="47">
        <v>198507.61938633333</v>
      </c>
      <c r="D16" s="47">
        <v>249199.63407413961</v>
      </c>
      <c r="E16" s="47">
        <v>304612.2862615065</v>
      </c>
      <c r="F16" s="47">
        <v>296582.8497940221</v>
      </c>
      <c r="G16" s="47">
        <v>324946.11771999992</v>
      </c>
      <c r="H16" s="47">
        <v>336208.00537622103</v>
      </c>
      <c r="I16" s="47">
        <v>429455.71274000162</v>
      </c>
      <c r="J16" s="47">
        <v>401260.42950844712</v>
      </c>
      <c r="K16" s="100">
        <v>390948.49645502295</v>
      </c>
      <c r="L16" s="50">
        <v>391299.86702397466</v>
      </c>
      <c r="N16" s="75"/>
      <c r="O16" s="75"/>
      <c r="P16" s="75"/>
      <c r="Q16" s="75"/>
      <c r="R16" s="75"/>
      <c r="S16" s="75"/>
      <c r="T16" s="75"/>
      <c r="U16" s="75"/>
      <c r="V16" s="75"/>
    </row>
    <row r="17" spans="1:22" x14ac:dyDescent="0.25">
      <c r="A17" s="17" t="s">
        <v>6</v>
      </c>
      <c r="B17" s="17" t="s">
        <v>30</v>
      </c>
      <c r="C17" s="50">
        <v>46756.092287101921</v>
      </c>
      <c r="D17" s="50">
        <v>51252.352222211397</v>
      </c>
      <c r="E17" s="50">
        <v>43220.358648427165</v>
      </c>
      <c r="F17" s="50">
        <v>48349.725749866964</v>
      </c>
      <c r="G17" s="50">
        <v>58605.575110382997</v>
      </c>
      <c r="H17" s="50">
        <v>59886.898408099434</v>
      </c>
      <c r="I17" s="50">
        <v>70098.067766092558</v>
      </c>
      <c r="J17" s="50">
        <v>69150.303926688226</v>
      </c>
      <c r="K17" s="100">
        <v>69918.55661300612</v>
      </c>
      <c r="L17" s="50">
        <v>73079.730390022873</v>
      </c>
      <c r="N17" s="75"/>
      <c r="O17" s="75"/>
      <c r="P17" s="75"/>
      <c r="Q17" s="75"/>
      <c r="R17" s="75"/>
      <c r="S17" s="75"/>
      <c r="T17" s="75"/>
      <c r="U17" s="75"/>
      <c r="V17" s="75"/>
    </row>
    <row r="18" spans="1:22" x14ac:dyDescent="0.25">
      <c r="A18" s="17" t="s">
        <v>7</v>
      </c>
      <c r="B18" s="17" t="s">
        <v>30</v>
      </c>
      <c r="C18" s="50">
        <v>119182.77169966792</v>
      </c>
      <c r="D18" s="50">
        <v>108472.2547782241</v>
      </c>
      <c r="E18" s="50">
        <v>115769.54368062103</v>
      </c>
      <c r="F18" s="50">
        <v>130669.61109486467</v>
      </c>
      <c r="G18" s="50">
        <v>129799.91204555522</v>
      </c>
      <c r="H18" s="50">
        <v>140102.32111381949</v>
      </c>
      <c r="I18" s="50">
        <v>171389.09954228744</v>
      </c>
      <c r="J18" s="50">
        <v>187940.63448701706</v>
      </c>
      <c r="K18" s="99">
        <v>174958.54833076693</v>
      </c>
      <c r="L18" s="50">
        <v>190733.859</v>
      </c>
      <c r="N18" s="75"/>
      <c r="O18" s="75"/>
      <c r="P18" s="75"/>
      <c r="Q18" s="75"/>
      <c r="R18" s="75"/>
      <c r="S18" s="75"/>
      <c r="T18" s="75"/>
      <c r="U18" s="75"/>
      <c r="V18" s="75"/>
    </row>
    <row r="19" spans="1:22" ht="14.45" x14ac:dyDescent="0.35">
      <c r="A19" s="17" t="s">
        <v>8</v>
      </c>
      <c r="B19" s="17" t="s">
        <v>30</v>
      </c>
      <c r="C19" s="97">
        <v>112506.535</v>
      </c>
      <c r="D19" s="97">
        <v>108991.583</v>
      </c>
      <c r="E19" s="97">
        <v>126897.56800000001</v>
      </c>
      <c r="F19" s="97">
        <v>145514.894</v>
      </c>
      <c r="G19" s="97">
        <v>147956.514</v>
      </c>
      <c r="H19" s="50">
        <v>191519.79499999998</v>
      </c>
      <c r="I19" s="50">
        <v>203371.86000000002</v>
      </c>
      <c r="J19" s="50">
        <v>222412.64300000001</v>
      </c>
      <c r="K19" s="50">
        <v>233849.701</v>
      </c>
      <c r="L19" s="50">
        <v>248377.48688966606</v>
      </c>
      <c r="N19" s="75"/>
      <c r="O19" s="75"/>
      <c r="P19" s="75"/>
      <c r="Q19" s="75"/>
      <c r="R19" s="75"/>
      <c r="S19" s="75"/>
      <c r="T19" s="75"/>
      <c r="U19" s="75"/>
      <c r="V19" s="75"/>
    </row>
    <row r="20" spans="1:22" ht="14.45" x14ac:dyDescent="0.35">
      <c r="A20" s="17" t="s">
        <v>73</v>
      </c>
      <c r="B20" s="17" t="s">
        <v>30</v>
      </c>
      <c r="C20" s="50">
        <v>82540.040999999997</v>
      </c>
      <c r="D20" s="50">
        <v>104522.864</v>
      </c>
      <c r="E20" s="50">
        <v>117354.963</v>
      </c>
      <c r="F20" s="50">
        <v>139244.32199999999</v>
      </c>
      <c r="G20" s="50">
        <v>139237.07999999999</v>
      </c>
      <c r="H20" s="50">
        <v>145236.239</v>
      </c>
      <c r="I20" s="50">
        <v>158632.40400000001</v>
      </c>
      <c r="J20" s="50">
        <v>181028.39600000001</v>
      </c>
      <c r="K20" s="50">
        <v>191268.03270719171</v>
      </c>
      <c r="L20" s="50">
        <v>206141.48558197235</v>
      </c>
      <c r="N20" s="75"/>
      <c r="O20" s="75"/>
      <c r="P20" s="75"/>
      <c r="Q20" s="75"/>
      <c r="R20" s="75"/>
      <c r="S20" s="75"/>
      <c r="T20" s="75"/>
      <c r="U20" s="75"/>
      <c r="V20" s="75"/>
    </row>
    <row r="21" spans="1:22" ht="14.45" x14ac:dyDescent="0.35">
      <c r="A21" s="17" t="s">
        <v>54</v>
      </c>
      <c r="B21" s="17" t="s">
        <v>30</v>
      </c>
      <c r="C21" s="50">
        <v>48648.823897879513</v>
      </c>
      <c r="D21" s="50">
        <v>50748.109417397798</v>
      </c>
      <c r="E21" s="50">
        <v>53289.023029777622</v>
      </c>
      <c r="F21" s="50">
        <v>61973.7059213752</v>
      </c>
      <c r="G21" s="50">
        <v>75037.978098049221</v>
      </c>
      <c r="H21" s="50">
        <v>74900.179665433359</v>
      </c>
      <c r="I21" s="50">
        <v>84369.77778940904</v>
      </c>
      <c r="J21" s="50">
        <v>70674.636040854952</v>
      </c>
      <c r="K21" s="50">
        <v>74075.862810526363</v>
      </c>
      <c r="L21" s="50">
        <v>64088.129960287173</v>
      </c>
      <c r="N21" s="75"/>
      <c r="O21" s="75"/>
      <c r="P21" s="75"/>
      <c r="Q21" s="75"/>
      <c r="R21" s="75"/>
      <c r="S21" s="75"/>
      <c r="T21" s="75"/>
      <c r="U21" s="75"/>
      <c r="V21" s="75"/>
    </row>
    <row r="22" spans="1:22" ht="14.45" x14ac:dyDescent="0.35">
      <c r="A22" s="17" t="s">
        <v>9</v>
      </c>
      <c r="B22" s="17" t="s">
        <v>30</v>
      </c>
      <c r="C22" s="50">
        <v>83237</v>
      </c>
      <c r="D22" s="50">
        <v>81473</v>
      </c>
      <c r="E22" s="50">
        <v>85413.886309046997</v>
      </c>
      <c r="F22" s="50">
        <v>89047.922493129969</v>
      </c>
      <c r="G22" s="50">
        <v>96130.066559793384</v>
      </c>
      <c r="H22" s="50">
        <v>121992.7555149088</v>
      </c>
      <c r="I22" s="50">
        <v>126519.88299902935</v>
      </c>
      <c r="J22" s="50">
        <v>116175.49106407606</v>
      </c>
      <c r="K22" s="50">
        <v>121867.70902049847</v>
      </c>
      <c r="L22" s="50">
        <v>117721.494565381</v>
      </c>
      <c r="N22" s="75"/>
      <c r="O22" s="75"/>
      <c r="P22" s="75"/>
      <c r="Q22" s="75"/>
      <c r="R22" s="75"/>
      <c r="S22" s="75"/>
      <c r="T22" s="75"/>
      <c r="U22" s="75"/>
      <c r="V22" s="75"/>
    </row>
    <row r="23" spans="1:22" ht="14.45" x14ac:dyDescent="0.35">
      <c r="E23" s="3"/>
      <c r="F23" s="3"/>
      <c r="G23" s="3"/>
      <c r="H23" s="3"/>
      <c r="N23" s="24"/>
      <c r="O23" s="24"/>
      <c r="P23" s="24"/>
      <c r="Q23" s="24"/>
      <c r="R23" s="24"/>
      <c r="S23" s="24"/>
      <c r="T23" s="24"/>
      <c r="U23" s="24"/>
      <c r="V23" s="24"/>
    </row>
    <row r="24" spans="1:22" ht="14.45" x14ac:dyDescent="0.35">
      <c r="A24" s="80" t="str">
        <f>CONCATENATE(B1)</f>
        <v>Real 2015</v>
      </c>
      <c r="C24" s="96"/>
      <c r="D24" s="96"/>
      <c r="E24" s="96"/>
      <c r="F24" s="96"/>
      <c r="G24" s="96"/>
      <c r="H24" s="96"/>
      <c r="I24" s="96"/>
      <c r="J24" s="96"/>
    </row>
    <row r="25" spans="1:22" ht="14.45" x14ac:dyDescent="0.35">
      <c r="C25" s="2">
        <v>2006</v>
      </c>
      <c r="D25" s="2">
        <v>2007</v>
      </c>
      <c r="E25" s="2">
        <v>2008</v>
      </c>
      <c r="F25" s="2">
        <v>2009</v>
      </c>
      <c r="G25" s="2">
        <v>2010</v>
      </c>
      <c r="H25" s="2">
        <v>2011</v>
      </c>
      <c r="I25" s="2">
        <v>2012</v>
      </c>
      <c r="J25" s="2">
        <v>2013</v>
      </c>
      <c r="K25" s="2">
        <v>2014</v>
      </c>
      <c r="L25" s="2">
        <v>2015</v>
      </c>
      <c r="M25" s="79" t="s">
        <v>136</v>
      </c>
    </row>
    <row r="26" spans="1:22" ht="14.45" x14ac:dyDescent="0.35">
      <c r="A26" s="17" t="s">
        <v>58</v>
      </c>
      <c r="B26" s="17" t="s">
        <v>30</v>
      </c>
      <c r="C26" s="18">
        <f t="shared" ref="C26:K26" si="0">C10*C3</f>
        <v>42227.326668288144</v>
      </c>
      <c r="D26" s="18">
        <f t="shared" si="0"/>
        <v>42546.103366558535</v>
      </c>
      <c r="E26" s="18">
        <f t="shared" si="0"/>
        <v>45815.578893354679</v>
      </c>
      <c r="F26" s="18">
        <f t="shared" si="0"/>
        <v>46878.751517411045</v>
      </c>
      <c r="G26" s="18">
        <f t="shared" si="0"/>
        <v>52978.589644619948</v>
      </c>
      <c r="H26" s="18">
        <f t="shared" si="0"/>
        <v>59558.06588895122</v>
      </c>
      <c r="I26" s="18">
        <f t="shared" si="0"/>
        <v>63827.957602552611</v>
      </c>
      <c r="J26" s="18">
        <f t="shared" si="0"/>
        <v>70584.776886330583</v>
      </c>
      <c r="K26" s="18">
        <f t="shared" si="0"/>
        <v>79876.313772818306</v>
      </c>
      <c r="L26" s="18">
        <f t="shared" ref="L26" si="1">L10*L3</f>
        <v>74822.27904871013</v>
      </c>
      <c r="M26" s="24">
        <f>AVERAGE(H26:L26)</f>
        <v>69733.878639872564</v>
      </c>
    </row>
    <row r="27" spans="1:22" ht="14.45" x14ac:dyDescent="0.35">
      <c r="A27" s="17" t="s">
        <v>59</v>
      </c>
      <c r="B27" s="17" t="s">
        <v>30</v>
      </c>
      <c r="C27" s="18">
        <f t="shared" ref="C27:K27" si="2">C11*C3</f>
        <v>462878.9903361933</v>
      </c>
      <c r="D27" s="18">
        <f t="shared" si="2"/>
        <v>396201.98984080792</v>
      </c>
      <c r="E27" s="18">
        <f t="shared" si="2"/>
        <v>569141.51339676243</v>
      </c>
      <c r="F27" s="18">
        <f t="shared" si="2"/>
        <v>517395.70838839846</v>
      </c>
      <c r="G27" s="18">
        <f t="shared" si="2"/>
        <v>587617.97183592105</v>
      </c>
      <c r="H27" s="18">
        <f t="shared" si="2"/>
        <v>566817.73146305338</v>
      </c>
      <c r="I27" s="18">
        <f t="shared" si="2"/>
        <v>627374.33620138268</v>
      </c>
      <c r="J27" s="18">
        <f t="shared" si="2"/>
        <v>500682.25953948806</v>
      </c>
      <c r="K27" s="18">
        <f t="shared" si="2"/>
        <v>558104.42512894503</v>
      </c>
      <c r="L27" s="18">
        <f t="shared" ref="L27" si="3">L11*L3</f>
        <v>658156.77839679946</v>
      </c>
      <c r="M27" s="24">
        <f t="shared" ref="M27:M38" si="4">AVERAGE(H27:L27)</f>
        <v>582227.10614593362</v>
      </c>
    </row>
    <row r="28" spans="1:22" ht="14.45" x14ac:dyDescent="0.35">
      <c r="A28" s="17" t="s">
        <v>60</v>
      </c>
      <c r="B28" s="17" t="s">
        <v>30</v>
      </c>
      <c r="C28" s="18">
        <f t="shared" ref="C28:K28" si="5">C12*C2</f>
        <v>34407.383572310784</v>
      </c>
      <c r="D28" s="18">
        <f t="shared" si="5"/>
        <v>39975.198572179106</v>
      </c>
      <c r="E28" s="18">
        <f t="shared" si="5"/>
        <v>38017.658880052884</v>
      </c>
      <c r="F28" s="18">
        <f t="shared" si="5"/>
        <v>45308.548867718884</v>
      </c>
      <c r="G28" s="18">
        <f t="shared" si="5"/>
        <v>49926.911608449293</v>
      </c>
      <c r="H28" s="18">
        <f t="shared" si="5"/>
        <v>45456.189969742598</v>
      </c>
      <c r="I28" s="18">
        <f t="shared" si="5"/>
        <v>59054.217103142575</v>
      </c>
      <c r="J28" s="18">
        <f t="shared" si="5"/>
        <v>57347.288273231025</v>
      </c>
      <c r="K28" s="18">
        <f t="shared" si="5"/>
        <v>58152.341531374674</v>
      </c>
      <c r="L28" s="18">
        <f t="shared" ref="L28" si="6">L12*L2</f>
        <v>56307.011639069671</v>
      </c>
      <c r="M28" s="24">
        <f t="shared" si="4"/>
        <v>55263.409703312107</v>
      </c>
    </row>
    <row r="29" spans="1:22" ht="14.45" x14ac:dyDescent="0.35">
      <c r="A29" s="17" t="s">
        <v>61</v>
      </c>
      <c r="B29" s="17" t="s">
        <v>30</v>
      </c>
      <c r="C29" s="18">
        <f t="shared" ref="C29:K29" si="7">C13*C3</f>
        <v>202861.82696313207</v>
      </c>
      <c r="D29" s="18">
        <f t="shared" si="7"/>
        <v>221358.05030634732</v>
      </c>
      <c r="E29" s="18">
        <f t="shared" si="7"/>
        <v>273017.2133087914</v>
      </c>
      <c r="F29" s="18">
        <f t="shared" si="7"/>
        <v>251210.31329801292</v>
      </c>
      <c r="G29" s="18">
        <f t="shared" si="7"/>
        <v>241895.39084968937</v>
      </c>
      <c r="H29" s="18">
        <f t="shared" si="7"/>
        <v>256797.57592872484</v>
      </c>
      <c r="I29" s="18">
        <f t="shared" si="7"/>
        <v>261591.71336302525</v>
      </c>
      <c r="J29" s="18">
        <f t="shared" si="7"/>
        <v>236615.17352833529</v>
      </c>
      <c r="K29" s="18">
        <f t="shared" si="7"/>
        <v>267195.64929739729</v>
      </c>
      <c r="L29" s="18">
        <f t="shared" ref="L29" si="8">L13*L3</f>
        <v>275529.65079470002</v>
      </c>
      <c r="M29" s="24">
        <f t="shared" si="4"/>
        <v>259545.95258243653</v>
      </c>
    </row>
    <row r="30" spans="1:22" ht="14.45" x14ac:dyDescent="0.35">
      <c r="A30" s="17" t="s">
        <v>62</v>
      </c>
      <c r="B30" s="17" t="s">
        <v>30</v>
      </c>
      <c r="C30" s="18">
        <f t="shared" ref="C30:K30" si="9">C14*C3</f>
        <v>244853.07468175498</v>
      </c>
      <c r="D30" s="18">
        <f t="shared" si="9"/>
        <v>287898.16429520171</v>
      </c>
      <c r="E30" s="18">
        <f t="shared" si="9"/>
        <v>303204.02316240041</v>
      </c>
      <c r="F30" s="18">
        <f t="shared" si="9"/>
        <v>316040.73306051933</v>
      </c>
      <c r="G30" s="18">
        <f t="shared" si="9"/>
        <v>320440.35641930008</v>
      </c>
      <c r="H30" s="18">
        <f t="shared" si="9"/>
        <v>355323.49528346746</v>
      </c>
      <c r="I30" s="18">
        <f t="shared" si="9"/>
        <v>381201.59596521058</v>
      </c>
      <c r="J30" s="18">
        <f t="shared" si="9"/>
        <v>412215.44202137232</v>
      </c>
      <c r="K30" s="18">
        <f t="shared" si="9"/>
        <v>378302.35817030538</v>
      </c>
      <c r="L30" s="18">
        <f t="shared" ref="L30" si="10">L14*L3</f>
        <v>387902.29182761704</v>
      </c>
      <c r="M30" s="24">
        <f t="shared" si="4"/>
        <v>382989.03665359452</v>
      </c>
    </row>
    <row r="31" spans="1:22" ht="14.45" x14ac:dyDescent="0.35">
      <c r="A31" s="17" t="s">
        <v>63</v>
      </c>
      <c r="B31" s="17" t="s">
        <v>30</v>
      </c>
      <c r="C31" s="18">
        <f t="shared" ref="C31:K31" si="11">C15*C3</f>
        <v>336270.11198568024</v>
      </c>
      <c r="D31" s="18">
        <f t="shared" si="11"/>
        <v>302782.07957990764</v>
      </c>
      <c r="E31" s="18">
        <f t="shared" si="11"/>
        <v>327824.51668462408</v>
      </c>
      <c r="F31" s="18">
        <f t="shared" si="11"/>
        <v>317300.64093199122</v>
      </c>
      <c r="G31" s="18">
        <f t="shared" si="11"/>
        <v>311085.25634655356</v>
      </c>
      <c r="H31" s="18">
        <f t="shared" si="11"/>
        <v>386080.82044672855</v>
      </c>
      <c r="I31" s="18">
        <f t="shared" si="11"/>
        <v>395341.19143996009</v>
      </c>
      <c r="J31" s="18">
        <f t="shared" si="11"/>
        <v>317209.27093843149</v>
      </c>
      <c r="K31" s="18">
        <f t="shared" si="11"/>
        <v>318628.10557354963</v>
      </c>
      <c r="L31" s="18">
        <f t="shared" ref="L31" si="12">L15*L3</f>
        <v>368956.74575921206</v>
      </c>
      <c r="M31" s="24">
        <f t="shared" si="4"/>
        <v>357243.22683157644</v>
      </c>
    </row>
    <row r="32" spans="1:22" ht="14.45" x14ac:dyDescent="0.35">
      <c r="A32" s="17" t="s">
        <v>64</v>
      </c>
      <c r="B32" s="17" t="s">
        <v>30</v>
      </c>
      <c r="C32" s="18">
        <f t="shared" ref="C32:K32" si="13">C16*C3</f>
        <v>256780.73915845508</v>
      </c>
      <c r="D32" s="18">
        <f t="shared" si="13"/>
        <v>311931.18168171751</v>
      </c>
      <c r="E32" s="18">
        <f t="shared" si="13"/>
        <v>370594.5211082751</v>
      </c>
      <c r="F32" s="18">
        <f t="shared" si="13"/>
        <v>347939.18742069259</v>
      </c>
      <c r="G32" s="18">
        <f t="shared" si="13"/>
        <v>373532.97095278889</v>
      </c>
      <c r="H32" s="18">
        <f t="shared" si="13"/>
        <v>376108.85224749596</v>
      </c>
      <c r="I32" s="18">
        <f t="shared" si="13"/>
        <v>466462.91844705597</v>
      </c>
      <c r="J32" s="18">
        <f t="shared" si="13"/>
        <v>426437.5544972124</v>
      </c>
      <c r="K32" s="18">
        <f t="shared" si="13"/>
        <v>404378.02495920315</v>
      </c>
      <c r="L32" s="18">
        <f t="shared" ref="L32" si="14">L16*L3</f>
        <v>397907.1818517716</v>
      </c>
      <c r="M32" s="24">
        <f t="shared" si="4"/>
        <v>414258.90640054783</v>
      </c>
    </row>
    <row r="33" spans="1:13" ht="14.45" x14ac:dyDescent="0.35">
      <c r="A33" s="17" t="s">
        <v>65</v>
      </c>
      <c r="B33" s="17" t="s">
        <v>30</v>
      </c>
      <c r="C33" s="18">
        <f t="shared" ref="C33:K33" si="15">C17*C2</f>
        <v>59003.03147755353</v>
      </c>
      <c r="D33" s="18">
        <f t="shared" si="15"/>
        <v>63349.543681729934</v>
      </c>
      <c r="E33" s="18">
        <f t="shared" si="15"/>
        <v>51147.236653815562</v>
      </c>
      <c r="F33" s="18">
        <f t="shared" si="15"/>
        <v>56416.687527293638</v>
      </c>
      <c r="G33" s="18">
        <f t="shared" si="15"/>
        <v>66313.615260600389</v>
      </c>
      <c r="H33" s="18">
        <f t="shared" si="15"/>
        <v>65440.925276592527</v>
      </c>
      <c r="I33" s="18">
        <f t="shared" si="15"/>
        <v>75683.571173749326</v>
      </c>
      <c r="J33" s="18">
        <f t="shared" si="15"/>
        <v>72917.246553044781</v>
      </c>
      <c r="K33" s="18">
        <f t="shared" si="15"/>
        <v>71569.136325305604</v>
      </c>
      <c r="L33" s="18">
        <f t="shared" ref="L33" si="16">L17*L2</f>
        <v>73691.560690962593</v>
      </c>
      <c r="M33" s="24">
        <f t="shared" si="4"/>
        <v>71860.488003930979</v>
      </c>
    </row>
    <row r="34" spans="1:13" ht="14.45" x14ac:dyDescent="0.35">
      <c r="A34" s="17" t="s">
        <v>66</v>
      </c>
      <c r="B34" s="17" t="s">
        <v>30</v>
      </c>
      <c r="C34" s="18">
        <f t="shared" ref="C34:K34" si="17">C18*C2</f>
        <v>150400.61061983704</v>
      </c>
      <c r="D34" s="18">
        <f t="shared" si="17"/>
        <v>134075.17010216069</v>
      </c>
      <c r="E34" s="18">
        <f t="shared" si="17"/>
        <v>137002.38575304937</v>
      </c>
      <c r="F34" s="18">
        <f t="shared" si="17"/>
        <v>152471.32231090777</v>
      </c>
      <c r="G34" s="18">
        <f t="shared" si="17"/>
        <v>146871.71676135893</v>
      </c>
      <c r="H34" s="18">
        <f t="shared" si="17"/>
        <v>153095.68153969792</v>
      </c>
      <c r="I34" s="18">
        <f t="shared" si="17"/>
        <v>185045.60149784817</v>
      </c>
      <c r="J34" s="18">
        <f t="shared" si="17"/>
        <v>198178.64570420864</v>
      </c>
      <c r="K34" s="18">
        <f t="shared" si="17"/>
        <v>179088.82567568589</v>
      </c>
      <c r="L34" s="18">
        <f t="shared" ref="L34" si="18">L18*L2</f>
        <v>192330.70061023257</v>
      </c>
      <c r="M34" s="24">
        <f t="shared" si="4"/>
        <v>181547.89100553462</v>
      </c>
    </row>
    <row r="35" spans="1:13" ht="14.45" x14ac:dyDescent="0.35">
      <c r="A35" s="17" t="s">
        <v>69</v>
      </c>
      <c r="B35" s="17" t="s">
        <v>30</v>
      </c>
      <c r="C35" s="18">
        <f t="shared" ref="C35:K35" si="19">C19*C3</f>
        <v>145533.51305489262</v>
      </c>
      <c r="D35" s="18">
        <f t="shared" si="19"/>
        <v>136428.26324711318</v>
      </c>
      <c r="E35" s="18">
        <f t="shared" si="19"/>
        <v>154384.91999102136</v>
      </c>
      <c r="F35" s="18">
        <f t="shared" si="19"/>
        <v>170712.27824242422</v>
      </c>
      <c r="G35" s="18">
        <f t="shared" si="19"/>
        <v>170079.38618875929</v>
      </c>
      <c r="H35" s="18">
        <f t="shared" si="19"/>
        <v>214249.18243550049</v>
      </c>
      <c r="I35" s="18">
        <f t="shared" si="19"/>
        <v>220896.89002004013</v>
      </c>
      <c r="J35" s="18">
        <f t="shared" si="19"/>
        <v>236367.94609019608</v>
      </c>
      <c r="K35" s="18">
        <f t="shared" si="19"/>
        <v>241882.70599618321</v>
      </c>
      <c r="L35" s="18">
        <f t="shared" ref="L35" si="20">L19*L3</f>
        <v>252571.47822551409</v>
      </c>
      <c r="M35" s="24">
        <f t="shared" si="4"/>
        <v>233193.64055348682</v>
      </c>
    </row>
    <row r="36" spans="1:13" ht="14.45" x14ac:dyDescent="0.35">
      <c r="A36" s="17" t="s">
        <v>74</v>
      </c>
      <c r="B36" s="17" t="s">
        <v>30</v>
      </c>
      <c r="C36" s="18">
        <f t="shared" ref="C36:K36" si="21">C20*C2</f>
        <v>104159.95860768335</v>
      </c>
      <c r="D36" s="18">
        <f t="shared" si="21"/>
        <v>129193.59700798176</v>
      </c>
      <c r="E36" s="18">
        <f t="shared" si="21"/>
        <v>138878.5806681223</v>
      </c>
      <c r="F36" s="18">
        <f t="shared" si="21"/>
        <v>162476.69004090418</v>
      </c>
      <c r="G36" s="18">
        <f t="shared" si="21"/>
        <v>157550.09887265135</v>
      </c>
      <c r="H36" s="18">
        <f t="shared" si="21"/>
        <v>158705.72890725808</v>
      </c>
      <c r="I36" s="18">
        <f t="shared" si="21"/>
        <v>171272.43619123506</v>
      </c>
      <c r="J36" s="18">
        <f t="shared" si="21"/>
        <v>190889.86504280157</v>
      </c>
      <c r="K36" s="18">
        <f t="shared" si="21"/>
        <v>195783.33092974109</v>
      </c>
      <c r="L36" s="18">
        <f t="shared" ref="L36" si="22">L20*L2</f>
        <v>207867.32127521676</v>
      </c>
      <c r="M36" s="24">
        <f t="shared" si="4"/>
        <v>184903.73646925049</v>
      </c>
    </row>
    <row r="37" spans="1:13" ht="14.45" x14ac:dyDescent="0.35">
      <c r="A37" s="17" t="s">
        <v>68</v>
      </c>
      <c r="B37" s="17" t="s">
        <v>30</v>
      </c>
      <c r="C37" s="18">
        <f t="shared" ref="C37:K37" si="23">C21*C3</f>
        <v>62929.98222589666</v>
      </c>
      <c r="D37" s="18">
        <f t="shared" si="23"/>
        <v>63523.037654109954</v>
      </c>
      <c r="E37" s="18">
        <f t="shared" si="23"/>
        <v>64831.987614230027</v>
      </c>
      <c r="F37" s="18">
        <f t="shared" si="23"/>
        <v>72705.08357009817</v>
      </c>
      <c r="G37" s="18">
        <f t="shared" si="23"/>
        <v>86257.866657778752</v>
      </c>
      <c r="H37" s="18">
        <f t="shared" si="23"/>
        <v>83789.26187546931</v>
      </c>
      <c r="I37" s="18">
        <f t="shared" si="23"/>
        <v>91640.119362444311</v>
      </c>
      <c r="J37" s="18">
        <f t="shared" si="23"/>
        <v>75109.123008124283</v>
      </c>
      <c r="K37" s="18">
        <f t="shared" si="23"/>
        <v>76620.453517758186</v>
      </c>
      <c r="L37" s="18">
        <f t="shared" ref="L37" si="24">L21*L3</f>
        <v>65170.293505582827</v>
      </c>
      <c r="M37" s="24">
        <f t="shared" si="4"/>
        <v>78465.850253875789</v>
      </c>
    </row>
    <row r="38" spans="1:13" ht="14.45" x14ac:dyDescent="0.35">
      <c r="A38" s="17" t="s">
        <v>67</v>
      </c>
      <c r="B38" s="17" t="s">
        <v>30</v>
      </c>
      <c r="C38" s="18">
        <f t="shared" ref="C38:K38" si="25">C22*C2</f>
        <v>105039.47380675204</v>
      </c>
      <c r="D38" s="18">
        <f t="shared" si="25"/>
        <v>100703.22919042189</v>
      </c>
      <c r="E38" s="18">
        <f t="shared" si="25"/>
        <v>101079.31523909057</v>
      </c>
      <c r="F38" s="18">
        <f t="shared" si="25"/>
        <v>103905.21849575122</v>
      </c>
      <c r="G38" s="18">
        <f t="shared" si="25"/>
        <v>108773.47823675995</v>
      </c>
      <c r="H38" s="18">
        <f t="shared" si="25"/>
        <v>133306.59977637211</v>
      </c>
      <c r="I38" s="18">
        <f t="shared" si="25"/>
        <v>136601.14857664122</v>
      </c>
      <c r="J38" s="18">
        <f t="shared" si="25"/>
        <v>122504.11703643818</v>
      </c>
      <c r="K38" s="18">
        <f t="shared" si="25"/>
        <v>124744.66154695027</v>
      </c>
      <c r="L38" s="18">
        <f t="shared" ref="L38" si="26">L22*L2</f>
        <v>118707.06986871907</v>
      </c>
      <c r="M38" s="24">
        <f t="shared" si="4"/>
        <v>127172.71936102417</v>
      </c>
    </row>
    <row r="40" spans="1:13" x14ac:dyDescent="0.25">
      <c r="A40" s="42" t="s">
        <v>70</v>
      </c>
      <c r="C40" s="24"/>
      <c r="D40" s="24"/>
      <c r="E40" s="24"/>
      <c r="F40" s="24"/>
      <c r="G40" s="24"/>
      <c r="H40" s="24"/>
      <c r="I40" s="24"/>
      <c r="J40" s="24"/>
    </row>
    <row r="41" spans="1:13" x14ac:dyDescent="0.25">
      <c r="A41" s="42" t="s">
        <v>100</v>
      </c>
      <c r="C41" s="24"/>
      <c r="D41" s="24"/>
      <c r="E41" s="24"/>
      <c r="F41" s="24"/>
      <c r="G41" s="24"/>
      <c r="H41" s="24"/>
      <c r="I41" s="24"/>
      <c r="J41" s="24"/>
    </row>
    <row r="42" spans="1:13" x14ac:dyDescent="0.25">
      <c r="A42" s="27"/>
      <c r="C42" s="2">
        <v>2006</v>
      </c>
      <c r="D42" s="2">
        <v>2007</v>
      </c>
      <c r="E42" s="2">
        <v>2008</v>
      </c>
      <c r="F42" s="2">
        <v>2009</v>
      </c>
      <c r="G42" s="2">
        <v>2010</v>
      </c>
      <c r="H42" s="2">
        <v>2011</v>
      </c>
      <c r="I42" s="2">
        <v>2012</v>
      </c>
      <c r="J42" s="2">
        <v>2013</v>
      </c>
      <c r="K42" s="2">
        <v>2014</v>
      </c>
      <c r="L42" s="2">
        <v>2015</v>
      </c>
    </row>
    <row r="43" spans="1:13" x14ac:dyDescent="0.25">
      <c r="A43" s="33" t="s">
        <v>4</v>
      </c>
      <c r="B43" s="17" t="s">
        <v>30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19400</v>
      </c>
      <c r="I43" s="41">
        <v>73900</v>
      </c>
      <c r="J43" s="41">
        <v>167100</v>
      </c>
      <c r="K43" s="41">
        <v>227750.74645000001</v>
      </c>
      <c r="L43" s="41">
        <v>203766.43627000001</v>
      </c>
    </row>
    <row r="44" spans="1:13" x14ac:dyDescent="0.25">
      <c r="A44" s="33" t="s">
        <v>71</v>
      </c>
      <c r="B44" s="17" t="s">
        <v>30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5688.4189999999999</v>
      </c>
      <c r="I44" s="41">
        <v>27937.562999999998</v>
      </c>
      <c r="J44" s="41">
        <v>75867</v>
      </c>
      <c r="K44" s="41">
        <v>120083</v>
      </c>
      <c r="L44" s="41">
        <v>115340</v>
      </c>
    </row>
  </sheetData>
  <sortState ref="A55:J67">
    <sortCondition descending="1" ref="J55:J6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Readme</vt:lpstr>
      <vt:lpstr>Trend PPI</vt:lpstr>
      <vt:lpstr>Financial charts</vt:lpstr>
      <vt:lpstr>Non-Financial charts</vt:lpstr>
      <vt:lpstr>Analysis</vt:lpstr>
      <vt:lpstr>Total cost</vt:lpstr>
      <vt:lpstr>Asset cost</vt:lpstr>
      <vt:lpstr>RAB</vt:lpstr>
      <vt:lpstr>Opex</vt:lpstr>
      <vt:lpstr>Depreciation</vt:lpstr>
      <vt:lpstr>Zonesubstationtransformation</vt:lpstr>
      <vt:lpstr>CPI</vt:lpstr>
      <vt:lpstr>Reliability</vt:lpstr>
      <vt:lpstr>Physical data</vt:lpstr>
      <vt:lpstr>Readme!_GoBack</vt:lpstr>
      <vt:lpstr>RAB!Capex_base</vt:lpstr>
      <vt:lpstr>RAB!Capex_Base_Index</vt:lpstr>
      <vt:lpstr>currency_base</vt:lpstr>
      <vt:lpstr>Real_year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2014-11-17T22:53:05Z</dcterms:created>
  <dcterms:modified xsi:type="dcterms:W3CDTF">2016-11-29T02:32:21Z</dcterms:modified>
</cp:coreProperties>
</file>