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80" yWindow="1170" windowWidth="15480" windowHeight="4410" tabRatio="848"/>
  </bookViews>
  <sheets>
    <sheet name="Introduction" sheetId="10" r:id="rId1"/>
    <sheet name="Input data" sheetId="11" r:id="rId2"/>
    <sheet name="Lamp Stock" sheetId="13" r:id="rId3"/>
    <sheet name="Other Maintenance" sheetId="12" r:id="rId4"/>
    <sheet name="Maintenance Costs" sheetId="3" r:id="rId5"/>
    <sheet name="Tariff Schedule Lookup Table" sheetId="2" r:id="rId6"/>
    <sheet name="Public Lighting Charges" sheetId="14" r:id="rId7"/>
    <sheet name="Sheet1" sheetId="15" r:id="rId8"/>
  </sheets>
  <externalReferences>
    <externalReference r:id="rId9"/>
    <externalReference r:id="rId10"/>
    <externalReference r:id="rId11"/>
  </externalReferences>
  <definedNames>
    <definedName name="_xlnm._FilterDatabase" localSheetId="2" hidden="1">'Lamp Stock'!$A$13:$T$44</definedName>
    <definedName name="_xlnm._FilterDatabase" localSheetId="4" hidden="1">'Maintenance Costs'!$A$19:$AX$19</definedName>
    <definedName name="_xlnm._FilterDatabase" localSheetId="6" hidden="1">'Public Lighting Charges'!$A$8:$AF$689</definedName>
    <definedName name="data">'Other Maintenance'!$A$15:$A$53</definedName>
    <definedName name="_xlnm.Print_Area" localSheetId="1">'Input data'!$A$1:$G$99</definedName>
    <definedName name="_xlnm.Print_Area" localSheetId="4">'Maintenance Costs'!$A$1:$AB$174</definedName>
    <definedName name="_xlnm.Print_Area" localSheetId="3">'Other Maintenance'!$A$55:$R$94</definedName>
    <definedName name="_xlnm.Print_Titles" localSheetId="4">'Maintenance Costs'!$17:$19</definedName>
  </definedNames>
  <calcPr calcId="145621"/>
</workbook>
</file>

<file path=xl/calcChain.xml><?xml version="1.0" encoding="utf-8"?>
<calcChain xmlns="http://schemas.openxmlformats.org/spreadsheetml/2006/main">
  <c r="M103" i="11" l="1"/>
  <c r="M104" i="11"/>
  <c r="M105" i="11"/>
  <c r="M106" i="11"/>
  <c r="N103" i="11"/>
  <c r="N104" i="11"/>
  <c r="N105" i="11"/>
  <c r="N106" i="11"/>
  <c r="O103" i="11"/>
  <c r="O104" i="11"/>
  <c r="O105" i="11"/>
  <c r="O106" i="11"/>
  <c r="P103" i="11"/>
  <c r="P104" i="11"/>
  <c r="P105" i="11"/>
  <c r="P106" i="11"/>
  <c r="Q103" i="11"/>
  <c r="Q104" i="11"/>
  <c r="Q105" i="11"/>
  <c r="Q106" i="11"/>
  <c r="C4" i="11"/>
  <c r="B55" i="11"/>
  <c r="B56" i="11" s="1"/>
  <c r="C11" i="11"/>
  <c r="B39" i="11"/>
  <c r="B97" i="11" s="1"/>
  <c r="I14" i="14"/>
  <c r="T53" i="3"/>
  <c r="Q53" i="3"/>
  <c r="R53" i="3"/>
  <c r="I13" i="14"/>
  <c r="L13" i="14"/>
  <c r="N13" i="14" s="1"/>
  <c r="T56" i="3"/>
  <c r="Q56" i="3"/>
  <c r="R56" i="3"/>
  <c r="I15" i="14"/>
  <c r="L15" i="14" s="1"/>
  <c r="N15" i="14" s="1"/>
  <c r="T36" i="3"/>
  <c r="Q36" i="3"/>
  <c r="R36" i="3"/>
  <c r="I16" i="14"/>
  <c r="I17" i="14"/>
  <c r="I18" i="14"/>
  <c r="I20" i="14"/>
  <c r="L20" i="14" s="1"/>
  <c r="N20" i="14" s="1"/>
  <c r="T37" i="3"/>
  <c r="Q37" i="3"/>
  <c r="R37" i="3"/>
  <c r="I21" i="14"/>
  <c r="I22" i="14"/>
  <c r="I23" i="14"/>
  <c r="I26" i="14"/>
  <c r="T83" i="3"/>
  <c r="Q83" i="3"/>
  <c r="R83" i="3"/>
  <c r="I30" i="14"/>
  <c r="I31" i="14"/>
  <c r="L31" i="14" s="1"/>
  <c r="N31" i="14" s="1"/>
  <c r="T62" i="3"/>
  <c r="Q62" i="3"/>
  <c r="R62" i="3"/>
  <c r="I32" i="14"/>
  <c r="I33" i="14"/>
  <c r="I35" i="14"/>
  <c r="L35" i="14"/>
  <c r="N35" i="14" s="1"/>
  <c r="T44" i="3"/>
  <c r="Q44" i="3"/>
  <c r="R44" i="3"/>
  <c r="I36" i="14"/>
  <c r="I37" i="14"/>
  <c r="I40" i="14"/>
  <c r="L40" i="14" s="1"/>
  <c r="N40" i="14" s="1"/>
  <c r="Q28" i="3"/>
  <c r="R28" i="3"/>
  <c r="T28" i="3"/>
  <c r="I41" i="14"/>
  <c r="I42" i="14"/>
  <c r="I43" i="14"/>
  <c r="I44" i="14"/>
  <c r="I45" i="14"/>
  <c r="I52" i="14"/>
  <c r="L52" i="14" s="1"/>
  <c r="N52" i="14" s="1"/>
  <c r="T51" i="3"/>
  <c r="Q51" i="3"/>
  <c r="R51" i="3"/>
  <c r="I53" i="14"/>
  <c r="I54" i="14"/>
  <c r="I55" i="14"/>
  <c r="I57" i="14"/>
  <c r="T73" i="3"/>
  <c r="Q73" i="3"/>
  <c r="R73" i="3"/>
  <c r="I60" i="14"/>
  <c r="T78" i="3"/>
  <c r="Q78" i="3"/>
  <c r="R78" i="3"/>
  <c r="I62" i="14"/>
  <c r="L62" i="14" s="1"/>
  <c r="N62" i="14" s="1"/>
  <c r="Q64" i="3"/>
  <c r="R64" i="3"/>
  <c r="I63" i="14"/>
  <c r="I64" i="14"/>
  <c r="I65" i="14"/>
  <c r="X85" i="3"/>
  <c r="Q85" i="3"/>
  <c r="R85" i="3"/>
  <c r="T85" i="3"/>
  <c r="I68" i="14"/>
  <c r="I69" i="14"/>
  <c r="L69" i="14" s="1"/>
  <c r="N69" i="14" s="1"/>
  <c r="Q20" i="3"/>
  <c r="R20" i="3"/>
  <c r="T20" i="3"/>
  <c r="I70" i="14"/>
  <c r="I71" i="14"/>
  <c r="I72" i="14"/>
  <c r="I73" i="14"/>
  <c r="I74" i="14"/>
  <c r="I75" i="14"/>
  <c r="I76" i="14"/>
  <c r="I77" i="14"/>
  <c r="G104" i="3"/>
  <c r="I104" i="3"/>
  <c r="N104" i="3"/>
  <c r="X104" i="3"/>
  <c r="Q104" i="3"/>
  <c r="H104" i="3"/>
  <c r="R104" i="3"/>
  <c r="T104" i="3"/>
  <c r="I90" i="14"/>
  <c r="I91" i="14"/>
  <c r="I94" i="14"/>
  <c r="L94" i="14" s="1"/>
  <c r="N94" i="14" s="1"/>
  <c r="Q31" i="3"/>
  <c r="R31" i="3"/>
  <c r="T31" i="3"/>
  <c r="I95" i="14"/>
  <c r="I96" i="14"/>
  <c r="I100" i="14"/>
  <c r="Q26" i="3"/>
  <c r="R26" i="3"/>
  <c r="T26" i="3"/>
  <c r="I102" i="14"/>
  <c r="I103" i="14"/>
  <c r="I104" i="14"/>
  <c r="I105" i="14"/>
  <c r="I115" i="14"/>
  <c r="L115" i="14"/>
  <c r="N115" i="14" s="1"/>
  <c r="Q21" i="3"/>
  <c r="R21" i="3"/>
  <c r="I116" i="14"/>
  <c r="I117" i="14"/>
  <c r="I118" i="14"/>
  <c r="I119" i="14"/>
  <c r="I132" i="14"/>
  <c r="I133" i="14"/>
  <c r="I136" i="14"/>
  <c r="I137" i="14"/>
  <c r="I138" i="14"/>
  <c r="I139" i="14"/>
  <c r="Q29" i="3"/>
  <c r="R29" i="3"/>
  <c r="T29" i="3"/>
  <c r="I143" i="14"/>
  <c r="I144" i="14"/>
  <c r="I145" i="14"/>
  <c r="I146" i="14"/>
  <c r="Q47" i="3"/>
  <c r="R47" i="3"/>
  <c r="I155" i="14"/>
  <c r="I156" i="14"/>
  <c r="I159" i="14"/>
  <c r="L159" i="14" s="1"/>
  <c r="N159" i="14" s="1"/>
  <c r="Q52" i="3"/>
  <c r="R52" i="3"/>
  <c r="T52" i="3"/>
  <c r="I160" i="14"/>
  <c r="I162" i="14"/>
  <c r="L162" i="14" s="1"/>
  <c r="N162" i="14" s="1"/>
  <c r="Q24" i="3"/>
  <c r="R24" i="3"/>
  <c r="T24" i="3"/>
  <c r="I163" i="14"/>
  <c r="I164" i="14"/>
  <c r="I165" i="14"/>
  <c r="I166" i="14"/>
  <c r="I187" i="14"/>
  <c r="I188" i="14"/>
  <c r="I189" i="14"/>
  <c r="N91" i="3"/>
  <c r="W39" i="3"/>
  <c r="Y39" i="3"/>
  <c r="Z39" i="3"/>
  <c r="T39" i="3"/>
  <c r="Q39" i="3"/>
  <c r="R39" i="3"/>
  <c r="I194" i="14"/>
  <c r="I195" i="14"/>
  <c r="I196" i="14"/>
  <c r="I205" i="14"/>
  <c r="Q50" i="3"/>
  <c r="R50" i="3"/>
  <c r="T50" i="3"/>
  <c r="I207" i="14"/>
  <c r="I213" i="14"/>
  <c r="I214" i="14"/>
  <c r="I219" i="14"/>
  <c r="L219" i="14" s="1"/>
  <c r="N219" i="14" s="1"/>
  <c r="Q22" i="3"/>
  <c r="R22" i="3"/>
  <c r="T22" i="3"/>
  <c r="I220" i="14"/>
  <c r="I221" i="14"/>
  <c r="I222" i="14"/>
  <c r="I223" i="14"/>
  <c r="I249" i="14"/>
  <c r="I250" i="14"/>
  <c r="I251" i="14"/>
  <c r="I252" i="14"/>
  <c r="I253" i="14"/>
  <c r="I254" i="14"/>
  <c r="I260" i="14"/>
  <c r="I261" i="14"/>
  <c r="I262" i="14"/>
  <c r="I263" i="14"/>
  <c r="I264" i="14"/>
  <c r="I265" i="14"/>
  <c r="N93" i="3"/>
  <c r="W34" i="3"/>
  <c r="Y34" i="3"/>
  <c r="Z34" i="3"/>
  <c r="T34" i="3"/>
  <c r="Q34" i="3"/>
  <c r="R34" i="3"/>
  <c r="I283" i="14"/>
  <c r="I284" i="14"/>
  <c r="I285" i="14"/>
  <c r="I286" i="14"/>
  <c r="I299" i="14"/>
  <c r="Q66" i="3"/>
  <c r="R66" i="3"/>
  <c r="T49" i="3"/>
  <c r="Q49" i="3"/>
  <c r="R49" i="3"/>
  <c r="I306" i="14"/>
  <c r="I307" i="14"/>
  <c r="I311" i="14"/>
  <c r="Q40" i="3"/>
  <c r="R40" i="3"/>
  <c r="I312" i="14"/>
  <c r="I313" i="14"/>
  <c r="I319" i="14"/>
  <c r="I320" i="14"/>
  <c r="I324" i="14"/>
  <c r="L324" i="14"/>
  <c r="N324" i="14" s="1"/>
  <c r="Q27" i="3"/>
  <c r="R27" i="3"/>
  <c r="T27" i="3"/>
  <c r="I325" i="14"/>
  <c r="I326" i="14"/>
  <c r="I327" i="14"/>
  <c r="I328" i="14"/>
  <c r="I351" i="14"/>
  <c r="I352" i="14"/>
  <c r="I353" i="14"/>
  <c r="I354" i="14"/>
  <c r="I355" i="14"/>
  <c r="I356" i="14"/>
  <c r="I357" i="14"/>
  <c r="I362" i="14"/>
  <c r="I363" i="14"/>
  <c r="I364" i="14"/>
  <c r="I365" i="14"/>
  <c r="I366" i="14"/>
  <c r="N98" i="3"/>
  <c r="W57" i="3"/>
  <c r="Y57" i="3"/>
  <c r="Z57" i="3"/>
  <c r="T57" i="3"/>
  <c r="Q57" i="3"/>
  <c r="R57" i="3"/>
  <c r="I376" i="14"/>
  <c r="I382" i="14"/>
  <c r="Q54" i="3"/>
  <c r="R54" i="3"/>
  <c r="Q75" i="3"/>
  <c r="R75" i="3"/>
  <c r="T75" i="3"/>
  <c r="T61" i="3"/>
  <c r="Q61" i="3"/>
  <c r="R61" i="3"/>
  <c r="I389" i="14"/>
  <c r="I390" i="14"/>
  <c r="I396" i="14"/>
  <c r="L396" i="14"/>
  <c r="N396" i="14" s="1"/>
  <c r="N103" i="3"/>
  <c r="W48" i="3"/>
  <c r="Y48" i="3"/>
  <c r="Z48" i="3"/>
  <c r="T48" i="3"/>
  <c r="I397" i="14"/>
  <c r="I398" i="14"/>
  <c r="I400" i="14"/>
  <c r="I402" i="14"/>
  <c r="L402" i="14" s="1"/>
  <c r="N402" i="14" s="1"/>
  <c r="W58" i="3"/>
  <c r="Y58" i="3"/>
  <c r="Z58" i="3"/>
  <c r="T58" i="3"/>
  <c r="I403" i="14"/>
  <c r="I404" i="14"/>
  <c r="L404" i="14" s="1"/>
  <c r="N404" i="14" s="1"/>
  <c r="N105" i="3"/>
  <c r="W59" i="3"/>
  <c r="Y59" i="3"/>
  <c r="Z59" i="3"/>
  <c r="T59" i="3"/>
  <c r="I405" i="14"/>
  <c r="I406" i="14"/>
  <c r="I408" i="14"/>
  <c r="L408" i="14" s="1"/>
  <c r="N408" i="14" s="1"/>
  <c r="N108" i="3"/>
  <c r="W63" i="3"/>
  <c r="Y63" i="3"/>
  <c r="Z63" i="3"/>
  <c r="T63" i="3"/>
  <c r="I409" i="14"/>
  <c r="N109" i="3"/>
  <c r="W79" i="3"/>
  <c r="Y79" i="3"/>
  <c r="Z79" i="3"/>
  <c r="T79" i="3"/>
  <c r="I410" i="14"/>
  <c r="I411" i="14"/>
  <c r="L411" i="14" s="1"/>
  <c r="N411" i="14" s="1"/>
  <c r="N110" i="3"/>
  <c r="W74" i="3"/>
  <c r="Y74" i="3"/>
  <c r="Z74" i="3"/>
  <c r="T74" i="3"/>
  <c r="I412" i="14"/>
  <c r="I415" i="14"/>
  <c r="L415" i="14" s="1"/>
  <c r="N415" i="14" s="1"/>
  <c r="N111" i="3"/>
  <c r="W72" i="3"/>
  <c r="Y72" i="3"/>
  <c r="Z72" i="3"/>
  <c r="T72" i="3"/>
  <c r="I416" i="14"/>
  <c r="N116" i="3"/>
  <c r="W76" i="3"/>
  <c r="Y76" i="3"/>
  <c r="Z76" i="3"/>
  <c r="T76" i="3"/>
  <c r="I417" i="14"/>
  <c r="N120" i="3"/>
  <c r="W35" i="3"/>
  <c r="Y35" i="3"/>
  <c r="Z35" i="3"/>
  <c r="Q35" i="3"/>
  <c r="R35" i="3"/>
  <c r="T35" i="3"/>
  <c r="I418" i="14"/>
  <c r="I419" i="14"/>
  <c r="I423" i="14"/>
  <c r="I424" i="14"/>
  <c r="N121" i="3"/>
  <c r="W38" i="3"/>
  <c r="Y38" i="3"/>
  <c r="Z38" i="3"/>
  <c r="Q38" i="3"/>
  <c r="R38" i="3"/>
  <c r="T38" i="3"/>
  <c r="I425" i="14"/>
  <c r="I426" i="14"/>
  <c r="N122" i="3"/>
  <c r="W55" i="3"/>
  <c r="Y55" i="3"/>
  <c r="Z55" i="3"/>
  <c r="Q55" i="3"/>
  <c r="R55" i="3"/>
  <c r="T55" i="3"/>
  <c r="I431" i="14"/>
  <c r="I432" i="14"/>
  <c r="N123" i="3"/>
  <c r="W42" i="3"/>
  <c r="Y42" i="3"/>
  <c r="Z42" i="3"/>
  <c r="Q42" i="3"/>
  <c r="R42" i="3"/>
  <c r="T42" i="3"/>
  <c r="I435" i="14"/>
  <c r="I436" i="14"/>
  <c r="I441" i="14"/>
  <c r="N126" i="3"/>
  <c r="W80" i="3"/>
  <c r="Y80" i="3"/>
  <c r="Z80" i="3"/>
  <c r="Q80" i="3"/>
  <c r="R80" i="3"/>
  <c r="T80" i="3"/>
  <c r="I442" i="14"/>
  <c r="I443" i="14"/>
  <c r="L443" i="14" s="1"/>
  <c r="N443" i="14" s="1"/>
  <c r="N130" i="3"/>
  <c r="W46" i="3"/>
  <c r="Y46" i="3"/>
  <c r="Z46" i="3"/>
  <c r="T46" i="3"/>
  <c r="I444" i="14"/>
  <c r="I445" i="14"/>
  <c r="I449" i="14"/>
  <c r="L449" i="14" s="1"/>
  <c r="N449" i="14" s="1"/>
  <c r="I450" i="14"/>
  <c r="L450" i="14" s="1"/>
  <c r="N450" i="14" s="1"/>
  <c r="N132" i="3"/>
  <c r="W43" i="3"/>
  <c r="Y43" i="3"/>
  <c r="Z43" i="3"/>
  <c r="T43" i="3"/>
  <c r="I451" i="14"/>
  <c r="N135" i="3"/>
  <c r="W41" i="3"/>
  <c r="Y41" i="3"/>
  <c r="Z41" i="3"/>
  <c r="Q41" i="3"/>
  <c r="R41" i="3"/>
  <c r="O135" i="3"/>
  <c r="T41" i="3"/>
  <c r="I455" i="14"/>
  <c r="I456" i="14"/>
  <c r="I457" i="14"/>
  <c r="I458" i="14"/>
  <c r="I466" i="14"/>
  <c r="I467" i="14"/>
  <c r="I468" i="14"/>
  <c r="I469" i="14"/>
  <c r="I470" i="14"/>
  <c r="I477" i="14"/>
  <c r="L477" i="14" s="1"/>
  <c r="N477" i="14" s="1"/>
  <c r="N136" i="3"/>
  <c r="W45" i="3"/>
  <c r="Y45" i="3"/>
  <c r="Z45" i="3"/>
  <c r="O136" i="3"/>
  <c r="T45" i="3"/>
  <c r="I478" i="14"/>
  <c r="I479" i="14"/>
  <c r="I480" i="14"/>
  <c r="I486" i="14"/>
  <c r="I487" i="14"/>
  <c r="I488" i="14"/>
  <c r="I489" i="14"/>
  <c r="I490" i="14"/>
  <c r="I491" i="14"/>
  <c r="I492" i="14"/>
  <c r="I497" i="14"/>
  <c r="L497" i="14" s="1"/>
  <c r="N497" i="14"/>
  <c r="N139" i="3"/>
  <c r="W67" i="3"/>
  <c r="Y67" i="3"/>
  <c r="Z67" i="3"/>
  <c r="Q67" i="3"/>
  <c r="R67" i="3"/>
  <c r="O139" i="3"/>
  <c r="T67" i="3"/>
  <c r="I498" i="14"/>
  <c r="I499" i="14"/>
  <c r="I500" i="14"/>
  <c r="L500" i="14"/>
  <c r="N500" i="14" s="1"/>
  <c r="N143" i="3"/>
  <c r="W25" i="3"/>
  <c r="Y25" i="3"/>
  <c r="Z25" i="3"/>
  <c r="Q25" i="3"/>
  <c r="R25" i="3"/>
  <c r="T25" i="3"/>
  <c r="I501" i="14"/>
  <c r="I502" i="14"/>
  <c r="I503" i="14"/>
  <c r="I504" i="14"/>
  <c r="I511" i="14"/>
  <c r="L511" i="14" s="1"/>
  <c r="N511" i="14" s="1"/>
  <c r="N144" i="3"/>
  <c r="W23" i="3"/>
  <c r="Y23" i="3"/>
  <c r="Z23" i="3"/>
  <c r="Q23" i="3"/>
  <c r="R23" i="3"/>
  <c r="T23" i="3"/>
  <c r="I512" i="14"/>
  <c r="I513" i="14"/>
  <c r="I514" i="14"/>
  <c r="I515" i="14"/>
  <c r="I516" i="14"/>
  <c r="I517" i="14"/>
  <c r="I518" i="14"/>
  <c r="I523" i="14"/>
  <c r="I534" i="14"/>
  <c r="L534" i="14" s="1"/>
  <c r="N534" i="14" s="1"/>
  <c r="N150" i="3"/>
  <c r="W33" i="3"/>
  <c r="Y33" i="3"/>
  <c r="Z33" i="3"/>
  <c r="Q33" i="3"/>
  <c r="R33" i="3"/>
  <c r="T33" i="3"/>
  <c r="I535" i="14"/>
  <c r="I536" i="14"/>
  <c r="I537" i="14"/>
  <c r="I540" i="14"/>
  <c r="I544" i="14"/>
  <c r="L544" i="14" s="1"/>
  <c r="N544" i="14" s="1"/>
  <c r="N159" i="3"/>
  <c r="W82" i="3"/>
  <c r="Y82" i="3"/>
  <c r="Z82" i="3"/>
  <c r="Q82" i="3"/>
  <c r="R82" i="3"/>
  <c r="T82" i="3"/>
  <c r="I545" i="14"/>
  <c r="N161" i="3"/>
  <c r="W32" i="3"/>
  <c r="Y32" i="3"/>
  <c r="Z32" i="3"/>
  <c r="Q32" i="3"/>
  <c r="R32" i="3"/>
  <c r="T32" i="3"/>
  <c r="I546" i="14"/>
  <c r="I547" i="14"/>
  <c r="I548" i="14"/>
  <c r="I549" i="14"/>
  <c r="I563" i="14"/>
  <c r="I564" i="14"/>
  <c r="I565" i="14"/>
  <c r="L565" i="14"/>
  <c r="N565" i="14" s="1"/>
  <c r="N164" i="3"/>
  <c r="W30" i="3"/>
  <c r="Y30" i="3"/>
  <c r="Z30" i="3"/>
  <c r="Q30" i="3"/>
  <c r="R30" i="3"/>
  <c r="T30" i="3"/>
  <c r="I566" i="14"/>
  <c r="I567" i="14"/>
  <c r="I568" i="14"/>
  <c r="I578" i="14"/>
  <c r="I579" i="14"/>
  <c r="N167" i="3"/>
  <c r="W77" i="3"/>
  <c r="Y77" i="3"/>
  <c r="Z77" i="3"/>
  <c r="Q77" i="3"/>
  <c r="R77" i="3"/>
  <c r="T77" i="3"/>
  <c r="N168" i="3"/>
  <c r="W86" i="3"/>
  <c r="X86" i="3"/>
  <c r="Y86" i="3"/>
  <c r="Z86" i="3"/>
  <c r="Q86" i="3"/>
  <c r="R86" i="3"/>
  <c r="T86" i="3"/>
  <c r="I582" i="14"/>
  <c r="L582" i="14" s="1"/>
  <c r="N582" i="14" s="1"/>
  <c r="N171" i="3"/>
  <c r="W70" i="3"/>
  <c r="Y70" i="3"/>
  <c r="Z70" i="3"/>
  <c r="Q70" i="3"/>
  <c r="R70" i="3"/>
  <c r="T70" i="3"/>
  <c r="I583" i="14"/>
  <c r="I584" i="14"/>
  <c r="I585" i="14"/>
  <c r="I587" i="14"/>
  <c r="I591" i="14"/>
  <c r="I592" i="14"/>
  <c r="I594" i="14"/>
  <c r="I595" i="14"/>
  <c r="I601" i="14"/>
  <c r="I603" i="14"/>
  <c r="I607" i="14"/>
  <c r="I611" i="14"/>
  <c r="I620" i="14"/>
  <c r="I621" i="14"/>
  <c r="I626" i="14"/>
  <c r="I627" i="14"/>
  <c r="I630" i="14"/>
  <c r="I631" i="14"/>
  <c r="I635" i="14"/>
  <c r="I641" i="14"/>
  <c r="I642" i="14"/>
  <c r="I647" i="14"/>
  <c r="I650" i="14"/>
  <c r="I651" i="14"/>
  <c r="I654" i="14"/>
  <c r="I657" i="14"/>
  <c r="I658" i="14"/>
  <c r="I660" i="14"/>
  <c r="I662" i="14"/>
  <c r="I663" i="14"/>
  <c r="I667" i="14"/>
  <c r="I668" i="14"/>
  <c r="I674" i="14"/>
  <c r="I680" i="14"/>
  <c r="I681" i="14"/>
  <c r="I684" i="14"/>
  <c r="I687" i="14"/>
  <c r="I10" i="14"/>
  <c r="O76"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O68" i="3"/>
  <c r="AE68" i="3"/>
  <c r="AE69" i="3"/>
  <c r="AE70" i="3"/>
  <c r="AE71" i="3"/>
  <c r="O72" i="3"/>
  <c r="AE72" i="3"/>
  <c r="AE73" i="3"/>
  <c r="O74"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O133" i="3"/>
  <c r="AE133" i="3"/>
  <c r="O134" i="3"/>
  <c r="AE134" i="3"/>
  <c r="AE135" i="3"/>
  <c r="AE136" i="3"/>
  <c r="O137" i="3"/>
  <c r="AE137" i="3"/>
  <c r="O138" i="3"/>
  <c r="AE138" i="3"/>
  <c r="AE139" i="3"/>
  <c r="O140"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20" i="3"/>
  <c r="C12" i="11"/>
  <c r="I7" i="15"/>
  <c r="I6" i="15"/>
  <c r="E6" i="15"/>
  <c r="G6" i="15"/>
  <c r="G2" i="15"/>
  <c r="G3" i="15"/>
  <c r="G4" i="15"/>
  <c r="G5" i="15"/>
  <c r="G1" i="15"/>
  <c r="AC20" i="3"/>
  <c r="B76" i="3"/>
  <c r="D32" i="2"/>
  <c r="F8" i="2"/>
  <c r="F9" i="2"/>
  <c r="B26" i="13"/>
  <c r="B25" i="13"/>
  <c r="B24" i="13"/>
  <c r="B23" i="13"/>
  <c r="B22" i="13"/>
  <c r="B17" i="13"/>
  <c r="B44" i="13"/>
  <c r="B43" i="13"/>
  <c r="B42" i="13"/>
  <c r="B41" i="13"/>
  <c r="B40" i="13"/>
  <c r="B39" i="13"/>
  <c r="B38" i="13"/>
  <c r="B37" i="13"/>
  <c r="B36" i="13"/>
  <c r="B35" i="13"/>
  <c r="B34" i="13"/>
  <c r="B33" i="13"/>
  <c r="B32" i="13"/>
  <c r="B31" i="13"/>
  <c r="B30" i="13"/>
  <c r="B29" i="13"/>
  <c r="B28" i="13"/>
  <c r="B27" i="13"/>
  <c r="B21" i="13"/>
  <c r="B20" i="13"/>
  <c r="B19" i="13"/>
  <c r="B18" i="13"/>
  <c r="B16" i="13"/>
  <c r="B15" i="13"/>
  <c r="B14" i="13"/>
  <c r="E582" i="14"/>
  <c r="E565" i="14"/>
  <c r="E544" i="14"/>
  <c r="E534" i="14"/>
  <c r="E511" i="14"/>
  <c r="E500" i="14"/>
  <c r="E497" i="14"/>
  <c r="E477" i="14"/>
  <c r="E450" i="14"/>
  <c r="E449" i="14"/>
  <c r="E443" i="14"/>
  <c r="E415" i="14"/>
  <c r="E411" i="14"/>
  <c r="E408" i="14"/>
  <c r="E404" i="14"/>
  <c r="E402" i="14"/>
  <c r="E396" i="14"/>
  <c r="E324" i="14"/>
  <c r="E219" i="14"/>
  <c r="E162" i="14"/>
  <c r="E159" i="14"/>
  <c r="E115" i="14"/>
  <c r="E94" i="14"/>
  <c r="E69" i="14"/>
  <c r="E62" i="14"/>
  <c r="E52" i="14"/>
  <c r="E40" i="14"/>
  <c r="E35" i="14"/>
  <c r="E31" i="14"/>
  <c r="E20" i="14"/>
  <c r="E15" i="14"/>
  <c r="E13" i="14"/>
  <c r="B584" i="14"/>
  <c r="C584" i="14"/>
  <c r="D584" i="14"/>
  <c r="F584" i="14"/>
  <c r="E584" i="14"/>
  <c r="B585" i="14"/>
  <c r="C585" i="14"/>
  <c r="D585" i="14"/>
  <c r="F585" i="14"/>
  <c r="E585" i="14"/>
  <c r="B586" i="14"/>
  <c r="C586" i="14"/>
  <c r="D586" i="14"/>
  <c r="F586" i="14"/>
  <c r="E586" i="14"/>
  <c r="B587" i="14"/>
  <c r="C587" i="14"/>
  <c r="D587" i="14"/>
  <c r="F587" i="14"/>
  <c r="E587" i="14"/>
  <c r="B588" i="14"/>
  <c r="C588" i="14"/>
  <c r="D588" i="14"/>
  <c r="F588" i="14"/>
  <c r="E588" i="14"/>
  <c r="B589" i="14"/>
  <c r="C589" i="14"/>
  <c r="D589" i="14"/>
  <c r="F589" i="14"/>
  <c r="E589" i="14"/>
  <c r="B590" i="14"/>
  <c r="C590" i="14"/>
  <c r="D590" i="14"/>
  <c r="F590" i="14"/>
  <c r="E590" i="14"/>
  <c r="B591" i="14"/>
  <c r="C591" i="14"/>
  <c r="D591" i="14"/>
  <c r="F591" i="14"/>
  <c r="E591" i="14"/>
  <c r="B592" i="14"/>
  <c r="C592" i="14"/>
  <c r="D592" i="14"/>
  <c r="F592" i="14"/>
  <c r="E592" i="14"/>
  <c r="B593" i="14"/>
  <c r="C593" i="14"/>
  <c r="D593" i="14"/>
  <c r="F593" i="14"/>
  <c r="E593" i="14"/>
  <c r="B594" i="14"/>
  <c r="C594" i="14"/>
  <c r="D594" i="14"/>
  <c r="F594" i="14"/>
  <c r="E594" i="14"/>
  <c r="B595" i="14"/>
  <c r="C595" i="14"/>
  <c r="D595" i="14"/>
  <c r="F595" i="14"/>
  <c r="E595" i="14"/>
  <c r="B596" i="14"/>
  <c r="C596" i="14"/>
  <c r="D596" i="14"/>
  <c r="F596" i="14"/>
  <c r="E596" i="14"/>
  <c r="B597" i="14"/>
  <c r="C597" i="14"/>
  <c r="D597" i="14"/>
  <c r="F597" i="14"/>
  <c r="E597" i="14"/>
  <c r="B598" i="14"/>
  <c r="C598" i="14"/>
  <c r="D598" i="14"/>
  <c r="F598" i="14"/>
  <c r="E598" i="14"/>
  <c r="B599" i="14"/>
  <c r="C599" i="14"/>
  <c r="D599" i="14"/>
  <c r="F599" i="14"/>
  <c r="E599" i="14"/>
  <c r="B600" i="14"/>
  <c r="C600" i="14"/>
  <c r="D600" i="14"/>
  <c r="F600" i="14"/>
  <c r="E600" i="14"/>
  <c r="B601" i="14"/>
  <c r="C601" i="14"/>
  <c r="D601" i="14"/>
  <c r="F601" i="14"/>
  <c r="E601" i="14"/>
  <c r="B602" i="14"/>
  <c r="C602" i="14"/>
  <c r="D602" i="14"/>
  <c r="F602" i="14"/>
  <c r="E602" i="14"/>
  <c r="B603" i="14"/>
  <c r="C603" i="14"/>
  <c r="D603" i="14"/>
  <c r="F603" i="14"/>
  <c r="E603" i="14"/>
  <c r="B604" i="14"/>
  <c r="C604" i="14"/>
  <c r="D604" i="14"/>
  <c r="F604" i="14"/>
  <c r="E604" i="14"/>
  <c r="B605" i="14"/>
  <c r="C605" i="14"/>
  <c r="D605" i="14"/>
  <c r="F605" i="14"/>
  <c r="E605" i="14"/>
  <c r="B606" i="14"/>
  <c r="C606" i="14"/>
  <c r="D606" i="14"/>
  <c r="F606" i="14"/>
  <c r="E606" i="14"/>
  <c r="B607" i="14"/>
  <c r="C607" i="14"/>
  <c r="D607" i="14"/>
  <c r="F607" i="14"/>
  <c r="E607" i="14"/>
  <c r="B608" i="14"/>
  <c r="C608" i="14"/>
  <c r="D608" i="14"/>
  <c r="F608" i="14"/>
  <c r="E608" i="14"/>
  <c r="B609" i="14"/>
  <c r="C609" i="14"/>
  <c r="D609" i="14"/>
  <c r="E609" i="14"/>
  <c r="F609" i="14"/>
  <c r="G609" i="14"/>
  <c r="B610" i="14"/>
  <c r="C610" i="14"/>
  <c r="D610" i="14"/>
  <c r="F610" i="14"/>
  <c r="E610" i="14"/>
  <c r="B611" i="14"/>
  <c r="C611" i="14"/>
  <c r="D611" i="14"/>
  <c r="F611" i="14"/>
  <c r="E611" i="14"/>
  <c r="B612" i="14"/>
  <c r="C612" i="14"/>
  <c r="D612" i="14"/>
  <c r="F612" i="14"/>
  <c r="E612" i="14"/>
  <c r="B613" i="14"/>
  <c r="C613" i="14"/>
  <c r="D613" i="14"/>
  <c r="F613" i="14"/>
  <c r="G613" i="14"/>
  <c r="E613" i="14"/>
  <c r="B614" i="14"/>
  <c r="C614" i="14"/>
  <c r="D614" i="14"/>
  <c r="E614" i="14"/>
  <c r="F614" i="14"/>
  <c r="H614" i="14"/>
  <c r="B615" i="14"/>
  <c r="C615" i="14"/>
  <c r="D615" i="14"/>
  <c r="F615" i="14"/>
  <c r="E615" i="14"/>
  <c r="B616" i="14"/>
  <c r="C616" i="14"/>
  <c r="D616" i="14"/>
  <c r="F616" i="14"/>
  <c r="E616" i="14"/>
  <c r="B617" i="14"/>
  <c r="C617" i="14"/>
  <c r="D617" i="14"/>
  <c r="F617" i="14"/>
  <c r="E617" i="14"/>
  <c r="B618" i="14"/>
  <c r="C618" i="14"/>
  <c r="D618" i="14"/>
  <c r="E618" i="14"/>
  <c r="F618" i="14"/>
  <c r="H618" i="14"/>
  <c r="B619" i="14"/>
  <c r="C619" i="14"/>
  <c r="D619" i="14"/>
  <c r="F619" i="14"/>
  <c r="G619" i="14"/>
  <c r="E619" i="14"/>
  <c r="B620" i="14"/>
  <c r="C620" i="14"/>
  <c r="D620" i="14"/>
  <c r="F620" i="14"/>
  <c r="H620" i="14"/>
  <c r="E620" i="14"/>
  <c r="B621" i="14"/>
  <c r="C621" i="14"/>
  <c r="D621" i="14"/>
  <c r="F621" i="14"/>
  <c r="E621" i="14"/>
  <c r="B622" i="14"/>
  <c r="C622" i="14"/>
  <c r="D622" i="14"/>
  <c r="E622" i="14"/>
  <c r="F622" i="14"/>
  <c r="H622" i="14"/>
  <c r="B623" i="14"/>
  <c r="C623" i="14"/>
  <c r="D623" i="14"/>
  <c r="F623" i="14"/>
  <c r="G623" i="14"/>
  <c r="E623" i="14"/>
  <c r="B624" i="14"/>
  <c r="C624" i="14"/>
  <c r="D624" i="14"/>
  <c r="F624" i="14"/>
  <c r="H624" i="14"/>
  <c r="E624" i="14"/>
  <c r="B625" i="14"/>
  <c r="C625" i="14"/>
  <c r="D625" i="14"/>
  <c r="E625" i="14"/>
  <c r="F625" i="14"/>
  <c r="G625" i="14"/>
  <c r="B626" i="14"/>
  <c r="C626" i="14"/>
  <c r="D626" i="14"/>
  <c r="F626" i="14"/>
  <c r="E626" i="14"/>
  <c r="B627" i="14"/>
  <c r="C627" i="14"/>
  <c r="D627" i="14"/>
  <c r="F627" i="14"/>
  <c r="E627" i="14"/>
  <c r="B628" i="14"/>
  <c r="C628" i="14"/>
  <c r="D628" i="14"/>
  <c r="F628" i="14"/>
  <c r="G628" i="14"/>
  <c r="E628" i="14"/>
  <c r="B629" i="14"/>
  <c r="C629" i="14"/>
  <c r="D629" i="14"/>
  <c r="F629" i="14"/>
  <c r="G629" i="14"/>
  <c r="E629" i="14"/>
  <c r="B630" i="14"/>
  <c r="C630" i="14"/>
  <c r="D630" i="14"/>
  <c r="F630" i="14"/>
  <c r="H630" i="14"/>
  <c r="E630" i="14"/>
  <c r="B631" i="14"/>
  <c r="C631" i="14"/>
  <c r="D631" i="14"/>
  <c r="F631" i="14"/>
  <c r="E631" i="14"/>
  <c r="B632" i="14"/>
  <c r="C632" i="14"/>
  <c r="D632" i="14"/>
  <c r="F632" i="14"/>
  <c r="G632" i="14"/>
  <c r="E632" i="14"/>
  <c r="B633" i="14"/>
  <c r="C633" i="14"/>
  <c r="D633" i="14"/>
  <c r="F633" i="14"/>
  <c r="E633" i="14"/>
  <c r="B634" i="14"/>
  <c r="C634" i="14"/>
  <c r="D634" i="14"/>
  <c r="F634" i="14"/>
  <c r="H634" i="14"/>
  <c r="E634" i="14"/>
  <c r="B635" i="14"/>
  <c r="C635" i="14"/>
  <c r="D635" i="14"/>
  <c r="F635" i="14"/>
  <c r="H635" i="14"/>
  <c r="E635" i="14"/>
  <c r="B636" i="14"/>
  <c r="C636" i="14"/>
  <c r="D636" i="14"/>
  <c r="F636" i="14"/>
  <c r="G636" i="14"/>
  <c r="E636" i="14"/>
  <c r="B637" i="14"/>
  <c r="C637" i="14"/>
  <c r="D637" i="14"/>
  <c r="F637" i="14"/>
  <c r="G637" i="14"/>
  <c r="E637" i="14"/>
  <c r="B638" i="14"/>
  <c r="C638" i="14"/>
  <c r="D638" i="14"/>
  <c r="E638" i="14"/>
  <c r="F638" i="14"/>
  <c r="H638" i="14"/>
  <c r="B639" i="14"/>
  <c r="C639" i="14"/>
  <c r="D639" i="14"/>
  <c r="F639" i="14"/>
  <c r="E639" i="14"/>
  <c r="B640" i="14"/>
  <c r="C640" i="14"/>
  <c r="D640" i="14"/>
  <c r="F640" i="14"/>
  <c r="G640" i="14"/>
  <c r="E640" i="14"/>
  <c r="B641" i="14"/>
  <c r="C641" i="14"/>
  <c r="D641" i="14"/>
  <c r="F641" i="14"/>
  <c r="E641" i="14"/>
  <c r="B642" i="14"/>
  <c r="C642" i="14"/>
  <c r="D642" i="14"/>
  <c r="F642" i="14"/>
  <c r="G642" i="14"/>
  <c r="E642" i="14"/>
  <c r="B643" i="14"/>
  <c r="C643" i="14"/>
  <c r="D643" i="14"/>
  <c r="F643" i="14"/>
  <c r="H643" i="14"/>
  <c r="E643" i="14"/>
  <c r="B644" i="14"/>
  <c r="C644" i="14"/>
  <c r="D644" i="14"/>
  <c r="F644" i="14"/>
  <c r="E644" i="14"/>
  <c r="B645" i="14"/>
  <c r="C645" i="14"/>
  <c r="D645" i="14"/>
  <c r="F645" i="14"/>
  <c r="H645" i="14"/>
  <c r="E645" i="14"/>
  <c r="B646" i="14"/>
  <c r="C646" i="14"/>
  <c r="D646" i="14"/>
  <c r="F646" i="14"/>
  <c r="G646" i="14"/>
  <c r="E646" i="14"/>
  <c r="B647" i="14"/>
  <c r="C647" i="14"/>
  <c r="D647" i="14"/>
  <c r="F647" i="14"/>
  <c r="E647" i="14"/>
  <c r="B648" i="14"/>
  <c r="C648" i="14"/>
  <c r="D648" i="14"/>
  <c r="F648" i="14"/>
  <c r="G648" i="14"/>
  <c r="E648" i="14"/>
  <c r="B649" i="14"/>
  <c r="C649" i="14"/>
  <c r="D649" i="14"/>
  <c r="F649" i="14"/>
  <c r="H649" i="14"/>
  <c r="E649" i="14"/>
  <c r="B650" i="14"/>
  <c r="C650" i="14"/>
  <c r="D650" i="14"/>
  <c r="E650" i="14"/>
  <c r="F650" i="14"/>
  <c r="G650" i="14"/>
  <c r="B651" i="14"/>
  <c r="C651" i="14"/>
  <c r="D651" i="14"/>
  <c r="F651" i="14"/>
  <c r="H651" i="14"/>
  <c r="E651" i="14"/>
  <c r="B652" i="14"/>
  <c r="C652" i="14"/>
  <c r="D652" i="14"/>
  <c r="F652" i="14"/>
  <c r="G652" i="14"/>
  <c r="E652" i="14"/>
  <c r="B653" i="14"/>
  <c r="C653" i="14"/>
  <c r="D653" i="14"/>
  <c r="F653" i="14"/>
  <c r="G653" i="14"/>
  <c r="E653" i="14"/>
  <c r="B654" i="14"/>
  <c r="C654" i="14"/>
  <c r="D654" i="14"/>
  <c r="F654" i="14"/>
  <c r="G654" i="14"/>
  <c r="E654" i="14"/>
  <c r="B655" i="14"/>
  <c r="C655" i="14"/>
  <c r="D655" i="14"/>
  <c r="F655" i="14"/>
  <c r="H655" i="14"/>
  <c r="E655" i="14"/>
  <c r="B656" i="14"/>
  <c r="C656" i="14"/>
  <c r="D656" i="14"/>
  <c r="F656" i="14"/>
  <c r="E656" i="14"/>
  <c r="B657" i="14"/>
  <c r="C657" i="14"/>
  <c r="D657" i="14"/>
  <c r="F657" i="14"/>
  <c r="G657" i="14"/>
  <c r="E657" i="14"/>
  <c r="B658" i="14"/>
  <c r="C658" i="14"/>
  <c r="D658" i="14"/>
  <c r="F658" i="14"/>
  <c r="E658" i="14"/>
  <c r="B659" i="14"/>
  <c r="C659" i="14"/>
  <c r="D659" i="14"/>
  <c r="F659" i="14"/>
  <c r="H659" i="14"/>
  <c r="E659" i="14"/>
  <c r="B660" i="14"/>
  <c r="C660" i="14"/>
  <c r="D660" i="14"/>
  <c r="E660" i="14"/>
  <c r="F660" i="14"/>
  <c r="G660" i="14"/>
  <c r="B661" i="14"/>
  <c r="C661" i="14"/>
  <c r="D661" i="14"/>
  <c r="F661" i="14"/>
  <c r="G661" i="14"/>
  <c r="E661" i="14"/>
  <c r="B662" i="14"/>
  <c r="C662" i="14"/>
  <c r="D662" i="14"/>
  <c r="F662" i="14"/>
  <c r="G662" i="14"/>
  <c r="E662" i="14"/>
  <c r="B663" i="14"/>
  <c r="C663" i="14"/>
  <c r="D663" i="14"/>
  <c r="E663" i="14"/>
  <c r="F663" i="14"/>
  <c r="H663" i="14"/>
  <c r="B664" i="14"/>
  <c r="C664" i="14"/>
  <c r="D664" i="14"/>
  <c r="F664" i="14"/>
  <c r="E664" i="14"/>
  <c r="B665" i="14"/>
  <c r="C665" i="14"/>
  <c r="D665" i="14"/>
  <c r="F665" i="14"/>
  <c r="G665" i="14"/>
  <c r="E665" i="14"/>
  <c r="B666" i="14"/>
  <c r="C666" i="14"/>
  <c r="D666" i="14"/>
  <c r="F666" i="14"/>
  <c r="E666" i="14"/>
  <c r="B667" i="14"/>
  <c r="C667" i="14"/>
  <c r="D667" i="14"/>
  <c r="F667" i="14"/>
  <c r="E667" i="14"/>
  <c r="B668" i="14"/>
  <c r="C668" i="14"/>
  <c r="D668" i="14"/>
  <c r="F668" i="14"/>
  <c r="G668" i="14"/>
  <c r="E668" i="14"/>
  <c r="B669" i="14"/>
  <c r="C669" i="14"/>
  <c r="D669" i="14"/>
  <c r="F669" i="14"/>
  <c r="G669" i="14"/>
  <c r="E669" i="14"/>
  <c r="B670" i="14"/>
  <c r="C670" i="14"/>
  <c r="D670" i="14"/>
  <c r="F670" i="14"/>
  <c r="G670" i="14"/>
  <c r="E670" i="14"/>
  <c r="B671" i="14"/>
  <c r="C671" i="14"/>
  <c r="D671" i="14"/>
  <c r="F671" i="14"/>
  <c r="H671" i="14"/>
  <c r="E671" i="14"/>
  <c r="B672" i="14"/>
  <c r="C672" i="14"/>
  <c r="D672" i="14"/>
  <c r="F672" i="14"/>
  <c r="E672" i="14"/>
  <c r="B673" i="14"/>
  <c r="C673" i="14"/>
  <c r="D673" i="14"/>
  <c r="F673" i="14"/>
  <c r="E673" i="14"/>
  <c r="B674" i="14"/>
  <c r="C674" i="14"/>
  <c r="D674" i="14"/>
  <c r="F674" i="14"/>
  <c r="G674" i="14"/>
  <c r="E674" i="14"/>
  <c r="B675" i="14"/>
  <c r="C675" i="14"/>
  <c r="D675" i="14"/>
  <c r="F675" i="14"/>
  <c r="E675" i="14"/>
  <c r="B676" i="14"/>
  <c r="C676" i="14"/>
  <c r="D676" i="14"/>
  <c r="F676" i="14"/>
  <c r="E676" i="14"/>
  <c r="B677" i="14"/>
  <c r="C677" i="14"/>
  <c r="D677" i="14"/>
  <c r="F677" i="14"/>
  <c r="E677" i="14"/>
  <c r="B678" i="14"/>
  <c r="C678" i="14"/>
  <c r="D678" i="14"/>
  <c r="F678" i="14"/>
  <c r="G678" i="14"/>
  <c r="E678" i="14"/>
  <c r="B679" i="14"/>
  <c r="C679" i="14"/>
  <c r="D679" i="14"/>
  <c r="E679" i="14"/>
  <c r="F679" i="14"/>
  <c r="H679" i="14"/>
  <c r="B680" i="14"/>
  <c r="C680" i="14"/>
  <c r="D680" i="14"/>
  <c r="F680" i="14"/>
  <c r="E680" i="14"/>
  <c r="B681" i="14"/>
  <c r="C681" i="14"/>
  <c r="D681" i="14"/>
  <c r="F681" i="14"/>
  <c r="E681" i="14"/>
  <c r="B682" i="14"/>
  <c r="C682" i="14"/>
  <c r="D682" i="14"/>
  <c r="F682" i="14"/>
  <c r="G682" i="14"/>
  <c r="E682" i="14"/>
  <c r="B683" i="14"/>
  <c r="C683" i="14"/>
  <c r="D683" i="14"/>
  <c r="F683" i="14"/>
  <c r="E683" i="14"/>
  <c r="B684" i="14"/>
  <c r="C684" i="14"/>
  <c r="D684" i="14"/>
  <c r="F684" i="14"/>
  <c r="E684" i="14"/>
  <c r="B685" i="14"/>
  <c r="C685" i="14"/>
  <c r="D685" i="14"/>
  <c r="F685" i="14"/>
  <c r="E685" i="14"/>
  <c r="B686" i="14"/>
  <c r="C686" i="14"/>
  <c r="D686" i="14"/>
  <c r="F686" i="14"/>
  <c r="G686" i="14"/>
  <c r="E686" i="14"/>
  <c r="B687" i="14"/>
  <c r="C687" i="14"/>
  <c r="D687" i="14"/>
  <c r="F687" i="14"/>
  <c r="E687" i="14"/>
  <c r="B688" i="14"/>
  <c r="C688" i="14"/>
  <c r="D688" i="14"/>
  <c r="F688" i="14"/>
  <c r="E688" i="14"/>
  <c r="B689" i="14"/>
  <c r="C689" i="14"/>
  <c r="D689" i="14"/>
  <c r="F689" i="14"/>
  <c r="E689" i="14"/>
  <c r="H661" i="14"/>
  <c r="H653" i="14"/>
  <c r="H619" i="14"/>
  <c r="H586" i="14"/>
  <c r="G586" i="14"/>
  <c r="G649" i="14"/>
  <c r="H636" i="14"/>
  <c r="H632" i="14"/>
  <c r="G645" i="14"/>
  <c r="H667" i="14"/>
  <c r="G667" i="14"/>
  <c r="H627" i="14"/>
  <c r="G627" i="14"/>
  <c r="H675" i="14"/>
  <c r="G675" i="14"/>
  <c r="H626" i="14"/>
  <c r="G626" i="14"/>
  <c r="H610" i="14"/>
  <c r="G610" i="14"/>
  <c r="H602" i="14"/>
  <c r="G602" i="14"/>
  <c r="H594" i="14"/>
  <c r="G594" i="14"/>
  <c r="H647" i="14"/>
  <c r="G647" i="14"/>
  <c r="H606" i="14"/>
  <c r="G606" i="14"/>
  <c r="H598" i="14"/>
  <c r="G598" i="14"/>
  <c r="H590" i="14"/>
  <c r="G590" i="14"/>
  <c r="H665" i="14"/>
  <c r="H657" i="14"/>
  <c r="H646" i="14"/>
  <c r="H640" i="14"/>
  <c r="H628" i="14"/>
  <c r="G643" i="14"/>
  <c r="G624" i="14"/>
  <c r="G622" i="14"/>
  <c r="G679" i="14"/>
  <c r="G635" i="14"/>
  <c r="G618" i="14"/>
  <c r="G614" i="14"/>
  <c r="G673" i="14"/>
  <c r="H673" i="14"/>
  <c r="G689" i="14"/>
  <c r="H689" i="14"/>
  <c r="G687" i="14"/>
  <c r="H687" i="14"/>
  <c r="H676" i="14"/>
  <c r="G676" i="14"/>
  <c r="G684" i="14"/>
  <c r="H684" i="14"/>
  <c r="G681" i="14"/>
  <c r="H681" i="14"/>
  <c r="H672" i="14"/>
  <c r="G672" i="14"/>
  <c r="G666" i="14"/>
  <c r="H666" i="14"/>
  <c r="G658" i="14"/>
  <c r="H658" i="14"/>
  <c r="H688" i="14"/>
  <c r="G688" i="14"/>
  <c r="G683" i="14"/>
  <c r="H683" i="14"/>
  <c r="G677" i="14"/>
  <c r="H677" i="14"/>
  <c r="G685" i="14"/>
  <c r="H685" i="14"/>
  <c r="G680" i="14"/>
  <c r="H680" i="14"/>
  <c r="H664" i="14"/>
  <c r="G664" i="14"/>
  <c r="H656" i="14"/>
  <c r="G656" i="14"/>
  <c r="H669" i="14"/>
  <c r="G631" i="14"/>
  <c r="H631" i="14"/>
  <c r="H686" i="14"/>
  <c r="H682" i="14"/>
  <c r="H678" i="14"/>
  <c r="H674" i="14"/>
  <c r="G671" i="14"/>
  <c r="H668" i="14"/>
  <c r="G663" i="14"/>
  <c r="H660" i="14"/>
  <c r="G655" i="14"/>
  <c r="H652" i="14"/>
  <c r="G644" i="14"/>
  <c r="H644" i="14"/>
  <c r="H642" i="14"/>
  <c r="G641" i="14"/>
  <c r="H641" i="14"/>
  <c r="H670" i="14"/>
  <c r="H662" i="14"/>
  <c r="H654" i="14"/>
  <c r="G633" i="14"/>
  <c r="H633" i="14"/>
  <c r="G659" i="14"/>
  <c r="G651" i="14"/>
  <c r="H650" i="14"/>
  <c r="H648" i="14"/>
  <c r="G639" i="14"/>
  <c r="H639" i="14"/>
  <c r="G621" i="14"/>
  <c r="H621" i="14"/>
  <c r="G638" i="14"/>
  <c r="G630" i="14"/>
  <c r="G620" i="14"/>
  <c r="G611" i="14"/>
  <c r="H611" i="14"/>
  <c r="G608" i="14"/>
  <c r="H608" i="14"/>
  <c r="G604" i="14"/>
  <c r="H604" i="14"/>
  <c r="G600" i="14"/>
  <c r="H600" i="14"/>
  <c r="G596" i="14"/>
  <c r="H596" i="14"/>
  <c r="G592" i="14"/>
  <c r="H592" i="14"/>
  <c r="G588" i="14"/>
  <c r="H588" i="14"/>
  <c r="H637" i="14"/>
  <c r="H629" i="14"/>
  <c r="G617" i="14"/>
  <c r="H617" i="14"/>
  <c r="G607" i="14"/>
  <c r="H607" i="14"/>
  <c r="G603" i="14"/>
  <c r="H603" i="14"/>
  <c r="G599" i="14"/>
  <c r="H599" i="14"/>
  <c r="G595" i="14"/>
  <c r="H595" i="14"/>
  <c r="G591" i="14"/>
  <c r="H591" i="14"/>
  <c r="G587" i="14"/>
  <c r="H587" i="14"/>
  <c r="G584" i="14"/>
  <c r="H584" i="14"/>
  <c r="G634" i="14"/>
  <c r="H625" i="14"/>
  <c r="H623" i="14"/>
  <c r="G616" i="14"/>
  <c r="H616" i="14"/>
  <c r="G605" i="14"/>
  <c r="H605" i="14"/>
  <c r="G601" i="14"/>
  <c r="H601" i="14"/>
  <c r="G597" i="14"/>
  <c r="H597" i="14"/>
  <c r="G593" i="14"/>
  <c r="H593" i="14"/>
  <c r="G589" i="14"/>
  <c r="H589" i="14"/>
  <c r="G615" i="14"/>
  <c r="H615" i="14"/>
  <c r="G612" i="14"/>
  <c r="H612" i="14"/>
  <c r="G585" i="14"/>
  <c r="H585" i="14"/>
  <c r="H613" i="14"/>
  <c r="H609" i="14"/>
  <c r="B10" i="14"/>
  <c r="C10" i="14"/>
  <c r="D10" i="14"/>
  <c r="F10" i="14"/>
  <c r="E10" i="14"/>
  <c r="B11" i="14"/>
  <c r="C11" i="14"/>
  <c r="D11" i="14"/>
  <c r="F11" i="14"/>
  <c r="E11" i="14"/>
  <c r="B12" i="14"/>
  <c r="C12" i="14"/>
  <c r="D12" i="14"/>
  <c r="F12" i="14"/>
  <c r="E12" i="14"/>
  <c r="B13" i="14"/>
  <c r="C13" i="14"/>
  <c r="D13" i="14"/>
  <c r="F13" i="14"/>
  <c r="G13" i="14"/>
  <c r="B14" i="14"/>
  <c r="C14" i="14"/>
  <c r="D14" i="14"/>
  <c r="F14" i="14"/>
  <c r="E14" i="14"/>
  <c r="B15" i="14"/>
  <c r="C15" i="14"/>
  <c r="D15" i="14"/>
  <c r="F15" i="14"/>
  <c r="B16" i="14"/>
  <c r="C16" i="14"/>
  <c r="D16" i="14"/>
  <c r="F16" i="14"/>
  <c r="E16" i="14"/>
  <c r="B17" i="14"/>
  <c r="C17" i="14"/>
  <c r="D17" i="14"/>
  <c r="F17" i="14"/>
  <c r="G17" i="14"/>
  <c r="E17" i="14"/>
  <c r="B18" i="14"/>
  <c r="C18" i="14"/>
  <c r="D18" i="14"/>
  <c r="F18" i="14"/>
  <c r="H18" i="14"/>
  <c r="E18" i="14"/>
  <c r="B19" i="14"/>
  <c r="C19" i="14"/>
  <c r="D19" i="14"/>
  <c r="F19" i="14"/>
  <c r="E19" i="14"/>
  <c r="B20" i="14"/>
  <c r="C20" i="14"/>
  <c r="D20" i="14"/>
  <c r="F20" i="14"/>
  <c r="B21" i="14"/>
  <c r="C21" i="14"/>
  <c r="D21" i="14"/>
  <c r="F21" i="14"/>
  <c r="G21" i="14"/>
  <c r="E21" i="14"/>
  <c r="B22" i="14"/>
  <c r="C22" i="14"/>
  <c r="D22" i="14"/>
  <c r="F22" i="14"/>
  <c r="H22" i="14"/>
  <c r="E22" i="14"/>
  <c r="B23" i="14"/>
  <c r="C23" i="14"/>
  <c r="D23" i="14"/>
  <c r="F23" i="14"/>
  <c r="E23" i="14"/>
  <c r="B24" i="14"/>
  <c r="C24" i="14"/>
  <c r="D24" i="14"/>
  <c r="F24" i="14"/>
  <c r="E24" i="14"/>
  <c r="B25" i="14"/>
  <c r="C25" i="14"/>
  <c r="D25" i="14"/>
  <c r="F25" i="14"/>
  <c r="G25" i="14"/>
  <c r="E25" i="14"/>
  <c r="B26" i="14"/>
  <c r="C26" i="14"/>
  <c r="D26" i="14"/>
  <c r="F26" i="14"/>
  <c r="E26" i="14"/>
  <c r="B27" i="14"/>
  <c r="C27" i="14"/>
  <c r="D27" i="14"/>
  <c r="F27" i="14"/>
  <c r="E27" i="14"/>
  <c r="B28" i="14"/>
  <c r="C28" i="14"/>
  <c r="D28" i="14"/>
  <c r="F28" i="14"/>
  <c r="E28" i="14"/>
  <c r="B29" i="14"/>
  <c r="C29" i="14"/>
  <c r="D29" i="14"/>
  <c r="F29" i="14"/>
  <c r="G29" i="14"/>
  <c r="E29" i="14"/>
  <c r="B30" i="14"/>
  <c r="C30" i="14"/>
  <c r="D30" i="14"/>
  <c r="F30" i="14"/>
  <c r="E30" i="14"/>
  <c r="B31" i="14"/>
  <c r="C31" i="14"/>
  <c r="D31" i="14"/>
  <c r="F31" i="14"/>
  <c r="B32" i="14"/>
  <c r="C32" i="14"/>
  <c r="D32" i="14"/>
  <c r="F32" i="14"/>
  <c r="E32" i="14"/>
  <c r="B33" i="14"/>
  <c r="C33" i="14"/>
  <c r="D33" i="14"/>
  <c r="F33" i="14"/>
  <c r="G33" i="14"/>
  <c r="E33" i="14"/>
  <c r="B34" i="14"/>
  <c r="C34" i="14"/>
  <c r="D34" i="14"/>
  <c r="F34" i="14"/>
  <c r="H34" i="14"/>
  <c r="E34" i="14"/>
  <c r="B35" i="14"/>
  <c r="C35" i="14"/>
  <c r="D35" i="14"/>
  <c r="F35" i="14"/>
  <c r="G35" i="14"/>
  <c r="B36" i="14"/>
  <c r="C36" i="14"/>
  <c r="D36" i="14"/>
  <c r="F36" i="14"/>
  <c r="E36" i="14"/>
  <c r="B37" i="14"/>
  <c r="C37" i="14"/>
  <c r="D37" i="14"/>
  <c r="F37" i="14"/>
  <c r="E37" i="14"/>
  <c r="B38" i="14"/>
  <c r="C38" i="14"/>
  <c r="D38" i="14"/>
  <c r="F38" i="14"/>
  <c r="E38" i="14"/>
  <c r="B39" i="14"/>
  <c r="C39" i="14"/>
  <c r="D39" i="14"/>
  <c r="F39" i="14"/>
  <c r="G39" i="14"/>
  <c r="E39" i="14"/>
  <c r="B40" i="14"/>
  <c r="C40" i="14"/>
  <c r="D40" i="14"/>
  <c r="F40" i="14"/>
  <c r="G40" i="14"/>
  <c r="B41" i="14"/>
  <c r="C41" i="14"/>
  <c r="D41" i="14"/>
  <c r="F41" i="14"/>
  <c r="E41" i="14"/>
  <c r="B42" i="14"/>
  <c r="C42" i="14"/>
  <c r="D42" i="14"/>
  <c r="F42" i="14"/>
  <c r="H42" i="14"/>
  <c r="E42" i="14"/>
  <c r="B43" i="14"/>
  <c r="C43" i="14"/>
  <c r="D43" i="14"/>
  <c r="F43" i="14"/>
  <c r="H43" i="14"/>
  <c r="E43" i="14"/>
  <c r="B44" i="14"/>
  <c r="C44" i="14"/>
  <c r="D44" i="14"/>
  <c r="F44" i="14"/>
  <c r="G44" i="14"/>
  <c r="E44" i="14"/>
  <c r="B45" i="14"/>
  <c r="C45" i="14"/>
  <c r="D45" i="14"/>
  <c r="F45" i="14"/>
  <c r="E45" i="14"/>
  <c r="B46" i="14"/>
  <c r="C46" i="14"/>
  <c r="D46" i="14"/>
  <c r="F46" i="14"/>
  <c r="E46" i="14"/>
  <c r="B47" i="14"/>
  <c r="C47" i="14"/>
  <c r="D47" i="14"/>
  <c r="F47" i="14"/>
  <c r="H47" i="14"/>
  <c r="E47" i="14"/>
  <c r="B48" i="14"/>
  <c r="C48" i="14"/>
  <c r="D48" i="14"/>
  <c r="F48" i="14"/>
  <c r="G48" i="14"/>
  <c r="E48" i="14"/>
  <c r="B49" i="14"/>
  <c r="C49" i="14"/>
  <c r="D49" i="14"/>
  <c r="F49" i="14"/>
  <c r="H49" i="14"/>
  <c r="E49" i="14"/>
  <c r="B50" i="14"/>
  <c r="C50" i="14"/>
  <c r="D50" i="14"/>
  <c r="F50" i="14"/>
  <c r="E50" i="14"/>
  <c r="B51" i="14"/>
  <c r="C51" i="14"/>
  <c r="D51" i="14"/>
  <c r="F51" i="14"/>
  <c r="G51" i="14"/>
  <c r="E51" i="14"/>
  <c r="B52" i="14"/>
  <c r="C52" i="14"/>
  <c r="D52" i="14"/>
  <c r="F52" i="14"/>
  <c r="B53" i="14"/>
  <c r="C53" i="14"/>
  <c r="D53" i="14"/>
  <c r="F53" i="14"/>
  <c r="H53" i="14"/>
  <c r="E53" i="14"/>
  <c r="B54" i="14"/>
  <c r="C54" i="14"/>
  <c r="D54" i="14"/>
  <c r="F54" i="14"/>
  <c r="H54" i="14"/>
  <c r="E54" i="14"/>
  <c r="B55" i="14"/>
  <c r="C55" i="14"/>
  <c r="D55" i="14"/>
  <c r="F55" i="14"/>
  <c r="H55" i="14"/>
  <c r="E55" i="14"/>
  <c r="B56" i="14"/>
  <c r="C56" i="14"/>
  <c r="D56" i="14"/>
  <c r="F56" i="14"/>
  <c r="G56" i="14"/>
  <c r="E56" i="14"/>
  <c r="B57" i="14"/>
  <c r="C57" i="14"/>
  <c r="D57" i="14"/>
  <c r="F57" i="14"/>
  <c r="H57" i="14"/>
  <c r="E57" i="14"/>
  <c r="B58" i="14"/>
  <c r="C58" i="14"/>
  <c r="D58" i="14"/>
  <c r="F58" i="14"/>
  <c r="E58" i="14"/>
  <c r="B59" i="14"/>
  <c r="C59" i="14"/>
  <c r="D59" i="14"/>
  <c r="F59" i="14"/>
  <c r="G59" i="14"/>
  <c r="E59" i="14"/>
  <c r="B60" i="14"/>
  <c r="C60" i="14"/>
  <c r="D60" i="14"/>
  <c r="F60" i="14"/>
  <c r="E60" i="14"/>
  <c r="B61" i="14"/>
  <c r="C61" i="14"/>
  <c r="D61" i="14"/>
  <c r="E61" i="14"/>
  <c r="F61" i="14"/>
  <c r="H61" i="14"/>
  <c r="B62" i="14"/>
  <c r="C62" i="14"/>
  <c r="D62" i="14"/>
  <c r="F62" i="14"/>
  <c r="H62" i="14"/>
  <c r="B63" i="14"/>
  <c r="C63" i="14"/>
  <c r="D63" i="14"/>
  <c r="F63" i="14"/>
  <c r="H63" i="14"/>
  <c r="E63" i="14"/>
  <c r="B64" i="14"/>
  <c r="C64" i="14"/>
  <c r="D64" i="14"/>
  <c r="F64" i="14"/>
  <c r="G64" i="14"/>
  <c r="E64" i="14"/>
  <c r="B65" i="14"/>
  <c r="C65" i="14"/>
  <c r="D65" i="14"/>
  <c r="F65" i="14"/>
  <c r="H65" i="14"/>
  <c r="E65" i="14"/>
  <c r="B66" i="14"/>
  <c r="C66" i="14"/>
  <c r="D66" i="14"/>
  <c r="F66" i="14"/>
  <c r="E66" i="14"/>
  <c r="B67" i="14"/>
  <c r="C67" i="14"/>
  <c r="D67" i="14"/>
  <c r="F67" i="14"/>
  <c r="E67" i="14"/>
  <c r="B68" i="14"/>
  <c r="C68" i="14"/>
  <c r="D68" i="14"/>
  <c r="F68" i="14"/>
  <c r="E68" i="14"/>
  <c r="B69" i="14"/>
  <c r="C69" i="14"/>
  <c r="D69" i="14"/>
  <c r="F69" i="14"/>
  <c r="B70" i="14"/>
  <c r="C70" i="14"/>
  <c r="D70" i="14"/>
  <c r="F70" i="14"/>
  <c r="H70" i="14"/>
  <c r="E70" i="14"/>
  <c r="B71" i="14"/>
  <c r="C71" i="14"/>
  <c r="D71" i="14"/>
  <c r="E71" i="14"/>
  <c r="F71" i="14"/>
  <c r="H71" i="14"/>
  <c r="B72" i="14"/>
  <c r="C72" i="14"/>
  <c r="D72" i="14"/>
  <c r="F72" i="14"/>
  <c r="E72" i="14"/>
  <c r="B73" i="14"/>
  <c r="C73" i="14"/>
  <c r="D73" i="14"/>
  <c r="F73" i="14"/>
  <c r="E73" i="14"/>
  <c r="B74" i="14"/>
  <c r="C74" i="14"/>
  <c r="D74" i="14"/>
  <c r="F74" i="14"/>
  <c r="H74" i="14"/>
  <c r="E74" i="14"/>
  <c r="B75" i="14"/>
  <c r="C75" i="14"/>
  <c r="D75" i="14"/>
  <c r="F75" i="14"/>
  <c r="E75" i="14"/>
  <c r="B76" i="14"/>
  <c r="C76" i="14"/>
  <c r="D76" i="14"/>
  <c r="F76" i="14"/>
  <c r="E76" i="14"/>
  <c r="B77" i="14"/>
  <c r="C77" i="14"/>
  <c r="D77" i="14"/>
  <c r="F77" i="14"/>
  <c r="E77" i="14"/>
  <c r="B78" i="14"/>
  <c r="C78" i="14"/>
  <c r="D78" i="14"/>
  <c r="F78" i="14"/>
  <c r="H78" i="14"/>
  <c r="E78" i="14"/>
  <c r="B79" i="14"/>
  <c r="C79" i="14"/>
  <c r="D79" i="14"/>
  <c r="F79" i="14"/>
  <c r="H79" i="14"/>
  <c r="E79" i="14"/>
  <c r="B80" i="14"/>
  <c r="C80" i="14"/>
  <c r="D80" i="14"/>
  <c r="F80" i="14"/>
  <c r="E80" i="14"/>
  <c r="B81" i="14"/>
  <c r="C81" i="14"/>
  <c r="D81" i="14"/>
  <c r="F81" i="14"/>
  <c r="E81" i="14"/>
  <c r="B82" i="14"/>
  <c r="C82" i="14"/>
  <c r="D82" i="14"/>
  <c r="F82" i="14"/>
  <c r="H82" i="14"/>
  <c r="E82" i="14"/>
  <c r="B83" i="14"/>
  <c r="C83" i="14"/>
  <c r="D83" i="14"/>
  <c r="F83" i="14"/>
  <c r="E83" i="14"/>
  <c r="B84" i="14"/>
  <c r="C84" i="14"/>
  <c r="D84" i="14"/>
  <c r="F84" i="14"/>
  <c r="E84" i="14"/>
  <c r="B85" i="14"/>
  <c r="C85" i="14"/>
  <c r="D85" i="14"/>
  <c r="F85" i="14"/>
  <c r="E85" i="14"/>
  <c r="B86" i="14"/>
  <c r="C86" i="14"/>
  <c r="D86" i="14"/>
  <c r="F86" i="14"/>
  <c r="H86" i="14"/>
  <c r="E86" i="14"/>
  <c r="B87" i="14"/>
  <c r="C87" i="14"/>
  <c r="D87" i="14"/>
  <c r="F87" i="14"/>
  <c r="H87" i="14"/>
  <c r="E87" i="14"/>
  <c r="B88" i="14"/>
  <c r="C88" i="14"/>
  <c r="D88" i="14"/>
  <c r="F88" i="14"/>
  <c r="G88" i="14"/>
  <c r="E88" i="14"/>
  <c r="B89" i="14"/>
  <c r="C89" i="14"/>
  <c r="D89" i="14"/>
  <c r="F89" i="14"/>
  <c r="E89" i="14"/>
  <c r="B90" i="14"/>
  <c r="C90" i="14"/>
  <c r="D90" i="14"/>
  <c r="F90" i="14"/>
  <c r="E90" i="14"/>
  <c r="B91" i="14"/>
  <c r="C91" i="14"/>
  <c r="D91" i="14"/>
  <c r="F91" i="14"/>
  <c r="E91" i="14"/>
  <c r="B92" i="14"/>
  <c r="C92" i="14"/>
  <c r="D92" i="14"/>
  <c r="F92" i="14"/>
  <c r="G92" i="14"/>
  <c r="E92" i="14"/>
  <c r="B93" i="14"/>
  <c r="C93" i="14"/>
  <c r="D93" i="14"/>
  <c r="F93" i="14"/>
  <c r="E93" i="14"/>
  <c r="B94" i="14"/>
  <c r="C94" i="14"/>
  <c r="D94" i="14"/>
  <c r="F94" i="14"/>
  <c r="B95" i="14"/>
  <c r="C95" i="14"/>
  <c r="D95" i="14"/>
  <c r="F95" i="14"/>
  <c r="H95" i="14"/>
  <c r="E95" i="14"/>
  <c r="B96" i="14"/>
  <c r="C96" i="14"/>
  <c r="D96" i="14"/>
  <c r="F96" i="14"/>
  <c r="G96" i="14"/>
  <c r="E96" i="14"/>
  <c r="B97" i="14"/>
  <c r="C97" i="14"/>
  <c r="D97" i="14"/>
  <c r="F97" i="14"/>
  <c r="G97" i="14"/>
  <c r="E97" i="14"/>
  <c r="B98" i="14"/>
  <c r="C98" i="14"/>
  <c r="D98" i="14"/>
  <c r="F98" i="14"/>
  <c r="E98" i="14"/>
  <c r="B99" i="14"/>
  <c r="C99" i="14"/>
  <c r="D99" i="14"/>
  <c r="F99" i="14"/>
  <c r="H99" i="14"/>
  <c r="E99" i="14"/>
  <c r="B100" i="14"/>
  <c r="C100" i="14"/>
  <c r="D100" i="14"/>
  <c r="F100" i="14"/>
  <c r="H100" i="14"/>
  <c r="E100" i="14"/>
  <c r="B101" i="14"/>
  <c r="C101" i="14"/>
  <c r="D101" i="14"/>
  <c r="F101" i="14"/>
  <c r="G101" i="14"/>
  <c r="E101" i="14"/>
  <c r="B102" i="14"/>
  <c r="C102" i="14"/>
  <c r="D102" i="14"/>
  <c r="F102" i="14"/>
  <c r="E102" i="14"/>
  <c r="B103" i="14"/>
  <c r="C103" i="14"/>
  <c r="D103" i="14"/>
  <c r="F103" i="14"/>
  <c r="H103" i="14"/>
  <c r="E103" i="14"/>
  <c r="B104" i="14"/>
  <c r="C104" i="14"/>
  <c r="D104" i="14"/>
  <c r="F104" i="14"/>
  <c r="H104" i="14"/>
  <c r="E104" i="14"/>
  <c r="B105" i="14"/>
  <c r="C105" i="14"/>
  <c r="D105" i="14"/>
  <c r="F105" i="14"/>
  <c r="G105" i="14"/>
  <c r="E105" i="14"/>
  <c r="B106" i="14"/>
  <c r="C106" i="14"/>
  <c r="D106" i="14"/>
  <c r="F106" i="14"/>
  <c r="E106" i="14"/>
  <c r="B107" i="14"/>
  <c r="C107" i="14"/>
  <c r="D107" i="14"/>
  <c r="F107" i="14"/>
  <c r="H107" i="14"/>
  <c r="E107" i="14"/>
  <c r="B108" i="14"/>
  <c r="C108" i="14"/>
  <c r="D108" i="14"/>
  <c r="F108" i="14"/>
  <c r="G108" i="14"/>
  <c r="E108" i="14"/>
  <c r="B109" i="14"/>
  <c r="C109" i="14"/>
  <c r="D109" i="14"/>
  <c r="F109" i="14"/>
  <c r="G109" i="14"/>
  <c r="E109" i="14"/>
  <c r="B110" i="14"/>
  <c r="C110" i="14"/>
  <c r="D110" i="14"/>
  <c r="F110" i="14"/>
  <c r="E110" i="14"/>
  <c r="B111" i="14"/>
  <c r="C111" i="14"/>
  <c r="D111" i="14"/>
  <c r="F111" i="14"/>
  <c r="H111" i="14"/>
  <c r="E111" i="14"/>
  <c r="B112" i="14"/>
  <c r="C112" i="14"/>
  <c r="D112" i="14"/>
  <c r="F112" i="14"/>
  <c r="E112" i="14"/>
  <c r="B113" i="14"/>
  <c r="C113" i="14"/>
  <c r="D113" i="14"/>
  <c r="F113" i="14"/>
  <c r="G113" i="14"/>
  <c r="E113" i="14"/>
  <c r="B114" i="14"/>
  <c r="C114" i="14"/>
  <c r="D114" i="14"/>
  <c r="F114" i="14"/>
  <c r="E114" i="14"/>
  <c r="B115" i="14"/>
  <c r="C115" i="14"/>
  <c r="D115" i="14"/>
  <c r="F115" i="14"/>
  <c r="H115" i="14"/>
  <c r="B116" i="14"/>
  <c r="C116" i="14"/>
  <c r="D116" i="14"/>
  <c r="F116" i="14"/>
  <c r="H116" i="14"/>
  <c r="E116" i="14"/>
  <c r="B117" i="14"/>
  <c r="C117" i="14"/>
  <c r="D117" i="14"/>
  <c r="F117" i="14"/>
  <c r="G117" i="14"/>
  <c r="E117" i="14"/>
  <c r="B118" i="14"/>
  <c r="C118" i="14"/>
  <c r="D118" i="14"/>
  <c r="F118" i="14"/>
  <c r="G118" i="14"/>
  <c r="E118" i="14"/>
  <c r="B119" i="14"/>
  <c r="C119" i="14"/>
  <c r="D119" i="14"/>
  <c r="F119" i="14"/>
  <c r="H119" i="14"/>
  <c r="E119" i="14"/>
  <c r="B120" i="14"/>
  <c r="C120" i="14"/>
  <c r="D120" i="14"/>
  <c r="F120" i="14"/>
  <c r="E120" i="14"/>
  <c r="B121" i="14"/>
  <c r="C121" i="14"/>
  <c r="D121" i="14"/>
  <c r="F121" i="14"/>
  <c r="G121" i="14"/>
  <c r="E121" i="14"/>
  <c r="B122" i="14"/>
  <c r="C122" i="14"/>
  <c r="D122" i="14"/>
  <c r="F122" i="14"/>
  <c r="E122" i="14"/>
  <c r="B123" i="14"/>
  <c r="C123" i="14"/>
  <c r="D123" i="14"/>
  <c r="F123" i="14"/>
  <c r="H123" i="14"/>
  <c r="E123" i="14"/>
  <c r="B124" i="14"/>
  <c r="C124" i="14"/>
  <c r="D124" i="14"/>
  <c r="F124" i="14"/>
  <c r="E124" i="14"/>
  <c r="B125" i="14"/>
  <c r="C125" i="14"/>
  <c r="D125" i="14"/>
  <c r="F125" i="14"/>
  <c r="G125" i="14"/>
  <c r="E125" i="14"/>
  <c r="B126" i="14"/>
  <c r="C126" i="14"/>
  <c r="D126" i="14"/>
  <c r="F126" i="14"/>
  <c r="G126" i="14"/>
  <c r="E126" i="14"/>
  <c r="B127" i="14"/>
  <c r="C127" i="14"/>
  <c r="D127" i="14"/>
  <c r="F127" i="14"/>
  <c r="H127" i="14"/>
  <c r="E127" i="14"/>
  <c r="B128" i="14"/>
  <c r="C128" i="14"/>
  <c r="D128" i="14"/>
  <c r="F128" i="14"/>
  <c r="E128" i="14"/>
  <c r="B129" i="14"/>
  <c r="C129" i="14"/>
  <c r="D129" i="14"/>
  <c r="F129" i="14"/>
  <c r="G129" i="14"/>
  <c r="E129" i="14"/>
  <c r="B130" i="14"/>
  <c r="C130" i="14"/>
  <c r="D130" i="14"/>
  <c r="F130" i="14"/>
  <c r="E130" i="14"/>
  <c r="B131" i="14"/>
  <c r="C131" i="14"/>
  <c r="D131" i="14"/>
  <c r="F131" i="14"/>
  <c r="H131" i="14"/>
  <c r="E131" i="14"/>
  <c r="B132" i="14"/>
  <c r="C132" i="14"/>
  <c r="D132" i="14"/>
  <c r="F132" i="14"/>
  <c r="H132" i="14"/>
  <c r="E132" i="14"/>
  <c r="B133" i="14"/>
  <c r="C133" i="14"/>
  <c r="D133" i="14"/>
  <c r="F133" i="14"/>
  <c r="G133" i="14"/>
  <c r="E133" i="14"/>
  <c r="B134" i="14"/>
  <c r="C134" i="14"/>
  <c r="D134" i="14"/>
  <c r="F134" i="14"/>
  <c r="E134" i="14"/>
  <c r="B135" i="14"/>
  <c r="C135" i="14"/>
  <c r="D135" i="14"/>
  <c r="F135" i="14"/>
  <c r="H135" i="14"/>
  <c r="E135" i="14"/>
  <c r="B136" i="14"/>
  <c r="C136" i="14"/>
  <c r="D136" i="14"/>
  <c r="F136" i="14"/>
  <c r="E136" i="14"/>
  <c r="B137" i="14"/>
  <c r="C137" i="14"/>
  <c r="D137" i="14"/>
  <c r="F137" i="14"/>
  <c r="H137" i="14"/>
  <c r="E137" i="14"/>
  <c r="B138" i="14"/>
  <c r="C138" i="14"/>
  <c r="D138" i="14"/>
  <c r="F138" i="14"/>
  <c r="E138" i="14"/>
  <c r="B139" i="14"/>
  <c r="C139" i="14"/>
  <c r="D139" i="14"/>
  <c r="F139" i="14"/>
  <c r="E139" i="14"/>
  <c r="B140" i="14"/>
  <c r="C140" i="14"/>
  <c r="D140" i="14"/>
  <c r="F140" i="14"/>
  <c r="E140" i="14"/>
  <c r="B141" i="14"/>
  <c r="C141" i="14"/>
  <c r="D141" i="14"/>
  <c r="F141" i="14"/>
  <c r="H141" i="14"/>
  <c r="E141" i="14"/>
  <c r="B142" i="14"/>
  <c r="C142" i="14"/>
  <c r="D142" i="14"/>
  <c r="F142" i="14"/>
  <c r="E142" i="14"/>
  <c r="B143" i="14"/>
  <c r="C143" i="14"/>
  <c r="D143" i="14"/>
  <c r="F143" i="14"/>
  <c r="E143" i="14"/>
  <c r="B144" i="14"/>
  <c r="C144" i="14"/>
  <c r="D144" i="14"/>
  <c r="F144" i="14"/>
  <c r="E144" i="14"/>
  <c r="B145" i="14"/>
  <c r="C145" i="14"/>
  <c r="D145" i="14"/>
  <c r="F145" i="14"/>
  <c r="E145" i="14"/>
  <c r="B146" i="14"/>
  <c r="C146" i="14"/>
  <c r="D146" i="14"/>
  <c r="F146" i="14"/>
  <c r="E146" i="14"/>
  <c r="B147" i="14"/>
  <c r="C147" i="14"/>
  <c r="D147" i="14"/>
  <c r="F147" i="14"/>
  <c r="E147" i="14"/>
  <c r="B148" i="14"/>
  <c r="C148" i="14"/>
  <c r="D148" i="14"/>
  <c r="F148" i="14"/>
  <c r="H148" i="14"/>
  <c r="E148" i="14"/>
  <c r="B149" i="14"/>
  <c r="C149" i="14"/>
  <c r="D149" i="14"/>
  <c r="F149" i="14"/>
  <c r="E149" i="14"/>
  <c r="B150" i="14"/>
  <c r="C150" i="14"/>
  <c r="D150" i="14"/>
  <c r="F150" i="14"/>
  <c r="E150" i="14"/>
  <c r="B151" i="14"/>
  <c r="C151" i="14"/>
  <c r="D151" i="14"/>
  <c r="F151" i="14"/>
  <c r="E151" i="14"/>
  <c r="B152" i="14"/>
  <c r="C152" i="14"/>
  <c r="D152" i="14"/>
  <c r="F152" i="14"/>
  <c r="H152" i="14"/>
  <c r="E152" i="14"/>
  <c r="B153" i="14"/>
  <c r="C153" i="14"/>
  <c r="D153" i="14"/>
  <c r="F153" i="14"/>
  <c r="H153" i="14"/>
  <c r="E153" i="14"/>
  <c r="B154" i="14"/>
  <c r="C154" i="14"/>
  <c r="D154" i="14"/>
  <c r="F154" i="14"/>
  <c r="E154" i="14"/>
  <c r="B155" i="14"/>
  <c r="C155" i="14"/>
  <c r="D155" i="14"/>
  <c r="F155" i="14"/>
  <c r="E155" i="14"/>
  <c r="B156" i="14"/>
  <c r="C156" i="14"/>
  <c r="D156" i="14"/>
  <c r="F156" i="14"/>
  <c r="H156" i="14"/>
  <c r="E156" i="14"/>
  <c r="B157" i="14"/>
  <c r="C157" i="14"/>
  <c r="D157" i="14"/>
  <c r="F157" i="14"/>
  <c r="E157" i="14"/>
  <c r="B158" i="14"/>
  <c r="C158" i="14"/>
  <c r="D158" i="14"/>
  <c r="F158" i="14"/>
  <c r="E158" i="14"/>
  <c r="B159" i="14"/>
  <c r="C159" i="14"/>
  <c r="D159" i="14"/>
  <c r="F159" i="14"/>
  <c r="B160" i="14"/>
  <c r="C160" i="14"/>
  <c r="D160" i="14"/>
  <c r="F160" i="14"/>
  <c r="H160" i="14"/>
  <c r="E160" i="14"/>
  <c r="B161" i="14"/>
  <c r="C161" i="14"/>
  <c r="D161" i="14"/>
  <c r="F161" i="14"/>
  <c r="E161" i="14"/>
  <c r="B162" i="14"/>
  <c r="C162" i="14"/>
  <c r="D162" i="14"/>
  <c r="F162" i="14"/>
  <c r="B163" i="14"/>
  <c r="C163" i="14"/>
  <c r="D163" i="14"/>
  <c r="F163" i="14"/>
  <c r="E163" i="14"/>
  <c r="B164" i="14"/>
  <c r="C164" i="14"/>
  <c r="D164" i="14"/>
  <c r="F164" i="14"/>
  <c r="H164" i="14"/>
  <c r="E164" i="14"/>
  <c r="B165" i="14"/>
  <c r="C165" i="14"/>
  <c r="D165" i="14"/>
  <c r="F165" i="14"/>
  <c r="E165" i="14"/>
  <c r="B166" i="14"/>
  <c r="C166" i="14"/>
  <c r="D166" i="14"/>
  <c r="F166" i="14"/>
  <c r="G166" i="14"/>
  <c r="E166" i="14"/>
  <c r="B167" i="14"/>
  <c r="C167" i="14"/>
  <c r="D167" i="14"/>
  <c r="F167" i="14"/>
  <c r="E167" i="14"/>
  <c r="B168" i="14"/>
  <c r="C168" i="14"/>
  <c r="D168" i="14"/>
  <c r="F168" i="14"/>
  <c r="E168" i="14"/>
  <c r="B169" i="14"/>
  <c r="C169" i="14"/>
  <c r="D169" i="14"/>
  <c r="F169" i="14"/>
  <c r="E169" i="14"/>
  <c r="B170" i="14"/>
  <c r="C170" i="14"/>
  <c r="D170" i="14"/>
  <c r="F170" i="14"/>
  <c r="G170" i="14"/>
  <c r="E170" i="14"/>
  <c r="B171" i="14"/>
  <c r="C171" i="14"/>
  <c r="D171" i="14"/>
  <c r="F171" i="14"/>
  <c r="H171" i="14"/>
  <c r="E171" i="14"/>
  <c r="B172" i="14"/>
  <c r="C172" i="14"/>
  <c r="D172" i="14"/>
  <c r="F172" i="14"/>
  <c r="E172" i="14"/>
  <c r="B173" i="14"/>
  <c r="C173" i="14"/>
  <c r="D173" i="14"/>
  <c r="F173" i="14"/>
  <c r="E173" i="14"/>
  <c r="B174" i="14"/>
  <c r="C174" i="14"/>
  <c r="D174" i="14"/>
  <c r="F174" i="14"/>
  <c r="E174" i="14"/>
  <c r="B175" i="14"/>
  <c r="C175" i="14"/>
  <c r="D175" i="14"/>
  <c r="F175" i="14"/>
  <c r="G175" i="14"/>
  <c r="E175" i="14"/>
  <c r="B176" i="14"/>
  <c r="C176" i="14"/>
  <c r="D176" i="14"/>
  <c r="F176" i="14"/>
  <c r="E176" i="14"/>
  <c r="B177" i="14"/>
  <c r="C177" i="14"/>
  <c r="D177" i="14"/>
  <c r="F177" i="14"/>
  <c r="E177" i="14"/>
  <c r="B178" i="14"/>
  <c r="C178" i="14"/>
  <c r="D178" i="14"/>
  <c r="F178" i="14"/>
  <c r="G178" i="14"/>
  <c r="E178" i="14"/>
  <c r="B179" i="14"/>
  <c r="C179" i="14"/>
  <c r="D179" i="14"/>
  <c r="F179" i="14"/>
  <c r="H179" i="14"/>
  <c r="E179" i="14"/>
  <c r="B180" i="14"/>
  <c r="C180" i="14"/>
  <c r="D180" i="14"/>
  <c r="F180" i="14"/>
  <c r="G180" i="14"/>
  <c r="E180" i="14"/>
  <c r="B181" i="14"/>
  <c r="C181" i="14"/>
  <c r="D181" i="14"/>
  <c r="F181" i="14"/>
  <c r="H181" i="14"/>
  <c r="E181" i="14"/>
  <c r="B182" i="14"/>
  <c r="C182" i="14"/>
  <c r="D182" i="14"/>
  <c r="F182" i="14"/>
  <c r="E182" i="14"/>
  <c r="B183" i="14"/>
  <c r="C183" i="14"/>
  <c r="D183" i="14"/>
  <c r="F183" i="14"/>
  <c r="G183" i="14"/>
  <c r="E183" i="14"/>
  <c r="B184" i="14"/>
  <c r="C184" i="14"/>
  <c r="D184" i="14"/>
  <c r="F184" i="14"/>
  <c r="E184" i="14"/>
  <c r="B185" i="14"/>
  <c r="C185" i="14"/>
  <c r="D185" i="14"/>
  <c r="F185" i="14"/>
  <c r="H185" i="14"/>
  <c r="E185" i="14"/>
  <c r="B186" i="14"/>
  <c r="C186" i="14"/>
  <c r="D186" i="14"/>
  <c r="F186" i="14"/>
  <c r="G186" i="14"/>
  <c r="E186" i="14"/>
  <c r="B187" i="14"/>
  <c r="C187" i="14"/>
  <c r="D187" i="14"/>
  <c r="F187" i="14"/>
  <c r="H187" i="14"/>
  <c r="E187" i="14"/>
  <c r="B188" i="14"/>
  <c r="C188" i="14"/>
  <c r="D188" i="14"/>
  <c r="F188" i="14"/>
  <c r="G188" i="14"/>
  <c r="E188" i="14"/>
  <c r="B189" i="14"/>
  <c r="C189" i="14"/>
  <c r="D189" i="14"/>
  <c r="F189" i="14"/>
  <c r="H189" i="14"/>
  <c r="E189" i="14"/>
  <c r="B190" i="14"/>
  <c r="C190" i="14"/>
  <c r="D190" i="14"/>
  <c r="F190" i="14"/>
  <c r="E190" i="14"/>
  <c r="B191" i="14"/>
  <c r="C191" i="14"/>
  <c r="D191" i="14"/>
  <c r="F191" i="14"/>
  <c r="G191" i="14"/>
  <c r="E191" i="14"/>
  <c r="B192" i="14"/>
  <c r="C192" i="14"/>
  <c r="D192" i="14"/>
  <c r="F192" i="14"/>
  <c r="E192" i="14"/>
  <c r="B193" i="14"/>
  <c r="C193" i="14"/>
  <c r="D193" i="14"/>
  <c r="F193" i="14"/>
  <c r="H193" i="14"/>
  <c r="E193" i="14"/>
  <c r="B194" i="14"/>
  <c r="C194" i="14"/>
  <c r="D194" i="14"/>
  <c r="F194" i="14"/>
  <c r="G194" i="14"/>
  <c r="E194" i="14"/>
  <c r="B195" i="14"/>
  <c r="C195" i="14"/>
  <c r="D195" i="14"/>
  <c r="F195" i="14"/>
  <c r="H195" i="14"/>
  <c r="E195" i="14"/>
  <c r="B196" i="14"/>
  <c r="C196" i="14"/>
  <c r="D196" i="14"/>
  <c r="F196" i="14"/>
  <c r="G196" i="14"/>
  <c r="E196" i="14"/>
  <c r="B197" i="14"/>
  <c r="C197" i="14"/>
  <c r="D197" i="14"/>
  <c r="F197" i="14"/>
  <c r="H197" i="14"/>
  <c r="E197" i="14"/>
  <c r="B198" i="14"/>
  <c r="C198" i="14"/>
  <c r="D198" i="14"/>
  <c r="F198" i="14"/>
  <c r="E198" i="14"/>
  <c r="B199" i="14"/>
  <c r="C199" i="14"/>
  <c r="D199" i="14"/>
  <c r="F199" i="14"/>
  <c r="H199" i="14"/>
  <c r="E199" i="14"/>
  <c r="B200" i="14"/>
  <c r="C200" i="14"/>
  <c r="D200" i="14"/>
  <c r="F200" i="14"/>
  <c r="E200" i="14"/>
  <c r="B201" i="14"/>
  <c r="C201" i="14"/>
  <c r="D201" i="14"/>
  <c r="F201" i="14"/>
  <c r="E201" i="14"/>
  <c r="B202" i="14"/>
  <c r="C202" i="14"/>
  <c r="D202" i="14"/>
  <c r="E202" i="14"/>
  <c r="F202" i="14"/>
  <c r="G202" i="14"/>
  <c r="B203" i="14"/>
  <c r="C203" i="14"/>
  <c r="D203" i="14"/>
  <c r="F203" i="14"/>
  <c r="H203" i="14"/>
  <c r="E203" i="14"/>
  <c r="B204" i="14"/>
  <c r="C204" i="14"/>
  <c r="D204" i="14"/>
  <c r="F204" i="14"/>
  <c r="G204" i="14"/>
  <c r="E204" i="14"/>
  <c r="B205" i="14"/>
  <c r="C205" i="14"/>
  <c r="D205" i="14"/>
  <c r="F205" i="14"/>
  <c r="H205" i="14"/>
  <c r="E205" i="14"/>
  <c r="B206" i="14"/>
  <c r="C206" i="14"/>
  <c r="D206" i="14"/>
  <c r="F206" i="14"/>
  <c r="E206" i="14"/>
  <c r="B207" i="14"/>
  <c r="C207" i="14"/>
  <c r="D207" i="14"/>
  <c r="F207" i="14"/>
  <c r="G207" i="14"/>
  <c r="E207" i="14"/>
  <c r="B208" i="14"/>
  <c r="C208" i="14"/>
  <c r="D208" i="14"/>
  <c r="F208" i="14"/>
  <c r="E208" i="14"/>
  <c r="B209" i="14"/>
  <c r="C209" i="14"/>
  <c r="D209" i="14"/>
  <c r="F209" i="14"/>
  <c r="H209" i="14"/>
  <c r="E209" i="14"/>
  <c r="B210" i="14"/>
  <c r="C210" i="14"/>
  <c r="D210" i="14"/>
  <c r="F210" i="14"/>
  <c r="G210" i="14"/>
  <c r="E210" i="14"/>
  <c r="B211" i="14"/>
  <c r="C211" i="14"/>
  <c r="D211" i="14"/>
  <c r="F211" i="14"/>
  <c r="H211" i="14"/>
  <c r="E211" i="14"/>
  <c r="B212" i="14"/>
  <c r="C212" i="14"/>
  <c r="D212" i="14"/>
  <c r="F212" i="14"/>
  <c r="G212" i="14"/>
  <c r="E212" i="14"/>
  <c r="B213" i="14"/>
  <c r="C213" i="14"/>
  <c r="D213" i="14"/>
  <c r="F213" i="14"/>
  <c r="H213" i="14"/>
  <c r="E213" i="14"/>
  <c r="B214" i="14"/>
  <c r="C214" i="14"/>
  <c r="D214" i="14"/>
  <c r="F214" i="14"/>
  <c r="E214" i="14"/>
  <c r="B215" i="14"/>
  <c r="C215" i="14"/>
  <c r="D215" i="14"/>
  <c r="F215" i="14"/>
  <c r="H215" i="14"/>
  <c r="E215" i="14"/>
  <c r="B216" i="14"/>
  <c r="C216" i="14"/>
  <c r="D216" i="14"/>
  <c r="F216" i="14"/>
  <c r="E216" i="14"/>
  <c r="B217" i="14"/>
  <c r="C217" i="14"/>
  <c r="D217" i="14"/>
  <c r="F217" i="14"/>
  <c r="E217" i="14"/>
  <c r="B218" i="14"/>
  <c r="C218" i="14"/>
  <c r="D218" i="14"/>
  <c r="F218" i="14"/>
  <c r="G218" i="14"/>
  <c r="E218" i="14"/>
  <c r="B219" i="14"/>
  <c r="C219" i="14"/>
  <c r="D219" i="14"/>
  <c r="F219" i="14"/>
  <c r="B220" i="14"/>
  <c r="C220" i="14"/>
  <c r="D220" i="14"/>
  <c r="F220" i="14"/>
  <c r="E220" i="14"/>
  <c r="B221" i="14"/>
  <c r="C221" i="14"/>
  <c r="D221" i="14"/>
  <c r="F221" i="14"/>
  <c r="H221" i="14"/>
  <c r="E221" i="14"/>
  <c r="B222" i="14"/>
  <c r="C222" i="14"/>
  <c r="D222" i="14"/>
  <c r="F222" i="14"/>
  <c r="G222" i="14"/>
  <c r="E222" i="14"/>
  <c r="B223" i="14"/>
  <c r="C223" i="14"/>
  <c r="D223" i="14"/>
  <c r="F223" i="14"/>
  <c r="E223" i="14"/>
  <c r="B224" i="14"/>
  <c r="C224" i="14"/>
  <c r="D224" i="14"/>
  <c r="F224" i="14"/>
  <c r="E224" i="14"/>
  <c r="B225" i="14"/>
  <c r="C225" i="14"/>
  <c r="D225" i="14"/>
  <c r="F225" i="14"/>
  <c r="H225" i="14"/>
  <c r="E225" i="14"/>
  <c r="B226" i="14"/>
  <c r="C226" i="14"/>
  <c r="D226" i="14"/>
  <c r="F226" i="14"/>
  <c r="G226" i="14"/>
  <c r="E226" i="14"/>
  <c r="B227" i="14"/>
  <c r="C227" i="14"/>
  <c r="D227" i="14"/>
  <c r="F227" i="14"/>
  <c r="E227" i="14"/>
  <c r="B228" i="14"/>
  <c r="C228" i="14"/>
  <c r="D228" i="14"/>
  <c r="F228" i="14"/>
  <c r="E228" i="14"/>
  <c r="B229" i="14"/>
  <c r="C229" i="14"/>
  <c r="D229" i="14"/>
  <c r="F229" i="14"/>
  <c r="H229" i="14"/>
  <c r="E229" i="14"/>
  <c r="B230" i="14"/>
  <c r="C230" i="14"/>
  <c r="D230" i="14"/>
  <c r="F230" i="14"/>
  <c r="G230" i="14"/>
  <c r="E230" i="14"/>
  <c r="B231" i="14"/>
  <c r="C231" i="14"/>
  <c r="D231" i="14"/>
  <c r="F231" i="14"/>
  <c r="H231" i="14"/>
  <c r="E231" i="14"/>
  <c r="B232" i="14"/>
  <c r="C232" i="14"/>
  <c r="D232" i="14"/>
  <c r="F232" i="14"/>
  <c r="G232" i="14"/>
  <c r="E232" i="14"/>
  <c r="B233" i="14"/>
  <c r="C233" i="14"/>
  <c r="D233" i="14"/>
  <c r="F233" i="14"/>
  <c r="H233" i="14"/>
  <c r="E233" i="14"/>
  <c r="B234" i="14"/>
  <c r="C234" i="14"/>
  <c r="D234" i="14"/>
  <c r="F234" i="14"/>
  <c r="E234" i="14"/>
  <c r="B235" i="14"/>
  <c r="C235" i="14"/>
  <c r="D235" i="14"/>
  <c r="F235" i="14"/>
  <c r="H235" i="14"/>
  <c r="E235" i="14"/>
  <c r="B236" i="14"/>
  <c r="C236" i="14"/>
  <c r="D236" i="14"/>
  <c r="F236" i="14"/>
  <c r="G236" i="14"/>
  <c r="E236" i="14"/>
  <c r="B237" i="14"/>
  <c r="C237" i="14"/>
  <c r="D237" i="14"/>
  <c r="F237" i="14"/>
  <c r="H237" i="14"/>
  <c r="E237" i="14"/>
  <c r="B238" i="14"/>
  <c r="C238" i="14"/>
  <c r="D238" i="14"/>
  <c r="F238" i="14"/>
  <c r="E238" i="14"/>
  <c r="B239" i="14"/>
  <c r="C239" i="14"/>
  <c r="D239" i="14"/>
  <c r="F239" i="14"/>
  <c r="H239" i="14"/>
  <c r="E239" i="14"/>
  <c r="B240" i="14"/>
  <c r="C240" i="14"/>
  <c r="D240" i="14"/>
  <c r="F240" i="14"/>
  <c r="G240" i="14"/>
  <c r="E240" i="14"/>
  <c r="B241" i="14"/>
  <c r="C241" i="14"/>
  <c r="D241" i="14"/>
  <c r="F241" i="14"/>
  <c r="H241" i="14"/>
  <c r="E241" i="14"/>
  <c r="B242" i="14"/>
  <c r="C242" i="14"/>
  <c r="D242" i="14"/>
  <c r="F242" i="14"/>
  <c r="E242" i="14"/>
  <c r="B243" i="14"/>
  <c r="C243" i="14"/>
  <c r="D243" i="14"/>
  <c r="F243" i="14"/>
  <c r="H243" i="14"/>
  <c r="E243" i="14"/>
  <c r="B244" i="14"/>
  <c r="C244" i="14"/>
  <c r="D244" i="14"/>
  <c r="F244" i="14"/>
  <c r="G244" i="14"/>
  <c r="E244" i="14"/>
  <c r="B245" i="14"/>
  <c r="C245" i="14"/>
  <c r="D245" i="14"/>
  <c r="F245" i="14"/>
  <c r="H245" i="14"/>
  <c r="E245" i="14"/>
  <c r="B246" i="14"/>
  <c r="C246" i="14"/>
  <c r="D246" i="14"/>
  <c r="F246" i="14"/>
  <c r="E246" i="14"/>
  <c r="B247" i="14"/>
  <c r="C247" i="14"/>
  <c r="D247" i="14"/>
  <c r="F247" i="14"/>
  <c r="H247" i="14"/>
  <c r="E247" i="14"/>
  <c r="B248" i="14"/>
  <c r="C248" i="14"/>
  <c r="D248" i="14"/>
  <c r="F248" i="14"/>
  <c r="G248" i="14"/>
  <c r="E248" i="14"/>
  <c r="B249" i="14"/>
  <c r="C249" i="14"/>
  <c r="D249" i="14"/>
  <c r="F249" i="14"/>
  <c r="E249" i="14"/>
  <c r="B250" i="14"/>
  <c r="C250" i="14"/>
  <c r="D250" i="14"/>
  <c r="F250" i="14"/>
  <c r="H250" i="14"/>
  <c r="E250" i="14"/>
  <c r="B251" i="14"/>
  <c r="C251" i="14"/>
  <c r="D251" i="14"/>
  <c r="F251" i="14"/>
  <c r="H251" i="14"/>
  <c r="E251" i="14"/>
  <c r="B252" i="14"/>
  <c r="C252" i="14"/>
  <c r="D252" i="14"/>
  <c r="F252" i="14"/>
  <c r="G252" i="14"/>
  <c r="E252" i="14"/>
  <c r="B253" i="14"/>
  <c r="C253" i="14"/>
  <c r="D253" i="14"/>
  <c r="F253" i="14"/>
  <c r="E253" i="14"/>
  <c r="B254" i="14"/>
  <c r="C254" i="14"/>
  <c r="D254" i="14"/>
  <c r="F254" i="14"/>
  <c r="H254" i="14"/>
  <c r="E254" i="14"/>
  <c r="B255" i="14"/>
  <c r="C255" i="14"/>
  <c r="D255" i="14"/>
  <c r="F255" i="14"/>
  <c r="G255" i="14"/>
  <c r="E255" i="14"/>
  <c r="B256" i="14"/>
  <c r="C256" i="14"/>
  <c r="D256" i="14"/>
  <c r="F256" i="14"/>
  <c r="G256" i="14"/>
  <c r="E256" i="14"/>
  <c r="B257" i="14"/>
  <c r="C257" i="14"/>
  <c r="D257" i="14"/>
  <c r="F257" i="14"/>
  <c r="E257" i="14"/>
  <c r="B258" i="14"/>
  <c r="C258" i="14"/>
  <c r="D258" i="14"/>
  <c r="F258" i="14"/>
  <c r="H258" i="14"/>
  <c r="E258" i="14"/>
  <c r="B259" i="14"/>
  <c r="C259" i="14"/>
  <c r="D259" i="14"/>
  <c r="F259" i="14"/>
  <c r="E259" i="14"/>
  <c r="B260" i="14"/>
  <c r="C260" i="14"/>
  <c r="D260" i="14"/>
  <c r="F260" i="14"/>
  <c r="H260" i="14"/>
  <c r="E260" i="14"/>
  <c r="B261" i="14"/>
  <c r="C261" i="14"/>
  <c r="D261" i="14"/>
  <c r="F261" i="14"/>
  <c r="E261" i="14"/>
  <c r="B262" i="14"/>
  <c r="C262" i="14"/>
  <c r="D262" i="14"/>
  <c r="F262" i="14"/>
  <c r="E262" i="14"/>
  <c r="B263" i="14"/>
  <c r="C263" i="14"/>
  <c r="D263" i="14"/>
  <c r="F263" i="14"/>
  <c r="G263" i="14"/>
  <c r="E263" i="14"/>
  <c r="B264" i="14"/>
  <c r="C264" i="14"/>
  <c r="D264" i="14"/>
  <c r="F264" i="14"/>
  <c r="G264" i="14"/>
  <c r="E264" i="14"/>
  <c r="B265" i="14"/>
  <c r="C265" i="14"/>
  <c r="D265" i="14"/>
  <c r="F265" i="14"/>
  <c r="G265" i="14"/>
  <c r="E265" i="14"/>
  <c r="B266" i="14"/>
  <c r="C266" i="14"/>
  <c r="D266" i="14"/>
  <c r="F266" i="14"/>
  <c r="E266" i="14"/>
  <c r="B267" i="14"/>
  <c r="C267" i="14"/>
  <c r="D267" i="14"/>
  <c r="F267" i="14"/>
  <c r="E267" i="14"/>
  <c r="B268" i="14"/>
  <c r="C268" i="14"/>
  <c r="D268" i="14"/>
  <c r="F268" i="14"/>
  <c r="H268" i="14"/>
  <c r="E268" i="14"/>
  <c r="B269" i="14"/>
  <c r="C269" i="14"/>
  <c r="D269" i="14"/>
  <c r="F269" i="14"/>
  <c r="E269" i="14"/>
  <c r="B270" i="14"/>
  <c r="C270" i="14"/>
  <c r="D270" i="14"/>
  <c r="F270" i="14"/>
  <c r="E270" i="14"/>
  <c r="B271" i="14"/>
  <c r="C271" i="14"/>
  <c r="D271" i="14"/>
  <c r="F271" i="14"/>
  <c r="G271" i="14"/>
  <c r="E271" i="14"/>
  <c r="B272" i="14"/>
  <c r="C272" i="14"/>
  <c r="D272" i="14"/>
  <c r="F272" i="14"/>
  <c r="G272" i="14"/>
  <c r="E272" i="14"/>
  <c r="B273" i="14"/>
  <c r="C273" i="14"/>
  <c r="D273" i="14"/>
  <c r="F273" i="14"/>
  <c r="E273" i="14"/>
  <c r="B274" i="14"/>
  <c r="C274" i="14"/>
  <c r="D274" i="14"/>
  <c r="F274" i="14"/>
  <c r="E274" i="14"/>
  <c r="B275" i="14"/>
  <c r="C275" i="14"/>
  <c r="D275" i="14"/>
  <c r="F275" i="14"/>
  <c r="G275" i="14"/>
  <c r="E275" i="14"/>
  <c r="B276" i="14"/>
  <c r="C276" i="14"/>
  <c r="D276" i="14"/>
  <c r="F276" i="14"/>
  <c r="H276" i="14"/>
  <c r="E276" i="14"/>
  <c r="B277" i="14"/>
  <c r="C277" i="14"/>
  <c r="D277" i="14"/>
  <c r="F277" i="14"/>
  <c r="E277" i="14"/>
  <c r="B278" i="14"/>
  <c r="C278" i="14"/>
  <c r="D278" i="14"/>
  <c r="F278" i="14"/>
  <c r="E278" i="14"/>
  <c r="B279" i="14"/>
  <c r="C279" i="14"/>
  <c r="D279" i="14"/>
  <c r="E279" i="14"/>
  <c r="F279" i="14"/>
  <c r="B280" i="14"/>
  <c r="C280" i="14"/>
  <c r="D280" i="14"/>
  <c r="F280" i="14"/>
  <c r="E280" i="14"/>
  <c r="B281" i="14"/>
  <c r="C281" i="14"/>
  <c r="D281" i="14"/>
  <c r="F281" i="14"/>
  <c r="E281" i="14"/>
  <c r="B282" i="14"/>
  <c r="C282" i="14"/>
  <c r="D282" i="14"/>
  <c r="F282" i="14"/>
  <c r="E282" i="14"/>
  <c r="B283" i="14"/>
  <c r="C283" i="14"/>
  <c r="D283" i="14"/>
  <c r="F283" i="14"/>
  <c r="G283" i="14"/>
  <c r="E283" i="14"/>
  <c r="B284" i="14"/>
  <c r="C284" i="14"/>
  <c r="D284" i="14"/>
  <c r="F284" i="14"/>
  <c r="E284" i="14"/>
  <c r="B285" i="14"/>
  <c r="C285" i="14"/>
  <c r="D285" i="14"/>
  <c r="F285" i="14"/>
  <c r="E285" i="14"/>
  <c r="B286" i="14"/>
  <c r="C286" i="14"/>
  <c r="D286" i="14"/>
  <c r="F286" i="14"/>
  <c r="E286" i="14"/>
  <c r="B287" i="14"/>
  <c r="C287" i="14"/>
  <c r="D287" i="14"/>
  <c r="F287" i="14"/>
  <c r="E287" i="14"/>
  <c r="B288" i="14"/>
  <c r="C288" i="14"/>
  <c r="D288" i="14"/>
  <c r="F288" i="14"/>
  <c r="E288" i="14"/>
  <c r="B289" i="14"/>
  <c r="C289" i="14"/>
  <c r="D289" i="14"/>
  <c r="F289" i="14"/>
  <c r="E289" i="14"/>
  <c r="B290" i="14"/>
  <c r="C290" i="14"/>
  <c r="D290" i="14"/>
  <c r="F290" i="14"/>
  <c r="E290" i="14"/>
  <c r="B291" i="14"/>
  <c r="C291" i="14"/>
  <c r="D291" i="14"/>
  <c r="F291" i="14"/>
  <c r="E291" i="14"/>
  <c r="B292" i="14"/>
  <c r="C292" i="14"/>
  <c r="D292" i="14"/>
  <c r="F292" i="14"/>
  <c r="H292" i="14"/>
  <c r="E292" i="14"/>
  <c r="B293" i="14"/>
  <c r="C293" i="14"/>
  <c r="D293" i="14"/>
  <c r="F293" i="14"/>
  <c r="G293" i="14"/>
  <c r="E293" i="14"/>
  <c r="B294" i="14"/>
  <c r="C294" i="14"/>
  <c r="D294" i="14"/>
  <c r="F294" i="14"/>
  <c r="H294" i="14"/>
  <c r="E294" i="14"/>
  <c r="B295" i="14"/>
  <c r="C295" i="14"/>
  <c r="D295" i="14"/>
  <c r="F295" i="14"/>
  <c r="E295" i="14"/>
  <c r="B296" i="14"/>
  <c r="C296" i="14"/>
  <c r="D296" i="14"/>
  <c r="F296" i="14"/>
  <c r="H296" i="14"/>
  <c r="E296" i="14"/>
  <c r="B297" i="14"/>
  <c r="C297" i="14"/>
  <c r="D297" i="14"/>
  <c r="F297" i="14"/>
  <c r="E297" i="14"/>
  <c r="B298" i="14"/>
  <c r="C298" i="14"/>
  <c r="D298" i="14"/>
  <c r="F298" i="14"/>
  <c r="E298" i="14"/>
  <c r="B299" i="14"/>
  <c r="C299" i="14"/>
  <c r="D299" i="14"/>
  <c r="F299" i="14"/>
  <c r="E299" i="14"/>
  <c r="B300" i="14"/>
  <c r="C300" i="14"/>
  <c r="D300" i="14"/>
  <c r="F300" i="14"/>
  <c r="H300" i="14"/>
  <c r="E300" i="14"/>
  <c r="B301" i="14"/>
  <c r="C301" i="14"/>
  <c r="D301" i="14"/>
  <c r="F301" i="14"/>
  <c r="E301" i="14"/>
  <c r="B302" i="14"/>
  <c r="C302" i="14"/>
  <c r="D302" i="14"/>
  <c r="F302" i="14"/>
  <c r="E302" i="14"/>
  <c r="B303" i="14"/>
  <c r="C303" i="14"/>
  <c r="D303" i="14"/>
  <c r="F303" i="14"/>
  <c r="G303" i="14"/>
  <c r="E303" i="14"/>
  <c r="B304" i="14"/>
  <c r="C304" i="14"/>
  <c r="D304" i="14"/>
  <c r="F304" i="14"/>
  <c r="H304" i="14"/>
  <c r="E304" i="14"/>
  <c r="B305" i="14"/>
  <c r="C305" i="14"/>
  <c r="D305" i="14"/>
  <c r="F305" i="14"/>
  <c r="E305" i="14"/>
  <c r="B306" i="14"/>
  <c r="C306" i="14"/>
  <c r="D306" i="14"/>
  <c r="F306" i="14"/>
  <c r="H306" i="14"/>
  <c r="E306" i="14"/>
  <c r="B307" i="14"/>
  <c r="C307" i="14"/>
  <c r="D307" i="14"/>
  <c r="F307" i="14"/>
  <c r="G307" i="14"/>
  <c r="E307" i="14"/>
  <c r="B308" i="14"/>
  <c r="C308" i="14"/>
  <c r="D308" i="14"/>
  <c r="F308" i="14"/>
  <c r="H308" i="14"/>
  <c r="E308" i="14"/>
  <c r="B309" i="14"/>
  <c r="C309" i="14"/>
  <c r="D309" i="14"/>
  <c r="F309" i="14"/>
  <c r="G309" i="14"/>
  <c r="E309" i="14"/>
  <c r="B310" i="14"/>
  <c r="C310" i="14"/>
  <c r="D310" i="14"/>
  <c r="F310" i="14"/>
  <c r="H310" i="14"/>
  <c r="E310" i="14"/>
  <c r="B311" i="14"/>
  <c r="C311" i="14"/>
  <c r="D311" i="14"/>
  <c r="F311" i="14"/>
  <c r="E311" i="14"/>
  <c r="B312" i="14"/>
  <c r="C312" i="14"/>
  <c r="D312" i="14"/>
  <c r="F312" i="14"/>
  <c r="H312" i="14"/>
  <c r="E312" i="14"/>
  <c r="B313" i="14"/>
  <c r="C313" i="14"/>
  <c r="D313" i="14"/>
  <c r="F313" i="14"/>
  <c r="E313" i="14"/>
  <c r="B314" i="14"/>
  <c r="C314" i="14"/>
  <c r="D314" i="14"/>
  <c r="F314" i="14"/>
  <c r="H314" i="14"/>
  <c r="E314" i="14"/>
  <c r="B315" i="14"/>
  <c r="C315" i="14"/>
  <c r="D315" i="14"/>
  <c r="F315" i="14"/>
  <c r="E315" i="14"/>
  <c r="B316" i="14"/>
  <c r="C316" i="14"/>
  <c r="D316" i="14"/>
  <c r="F316" i="14"/>
  <c r="G316" i="14"/>
  <c r="E316" i="14"/>
  <c r="B317" i="14"/>
  <c r="C317" i="14"/>
  <c r="D317" i="14"/>
  <c r="F317" i="14"/>
  <c r="G317" i="14"/>
  <c r="E317" i="14"/>
  <c r="B318" i="14"/>
  <c r="C318" i="14"/>
  <c r="D318" i="14"/>
  <c r="F318" i="14"/>
  <c r="E318" i="14"/>
  <c r="B319" i="14"/>
  <c r="C319" i="14"/>
  <c r="D319" i="14"/>
  <c r="F319" i="14"/>
  <c r="E319" i="14"/>
  <c r="B320" i="14"/>
  <c r="C320" i="14"/>
  <c r="D320" i="14"/>
  <c r="F320" i="14"/>
  <c r="E320" i="14"/>
  <c r="B321" i="14"/>
  <c r="C321" i="14"/>
  <c r="D321" i="14"/>
  <c r="F321" i="14"/>
  <c r="E321" i="14"/>
  <c r="B322" i="14"/>
  <c r="C322" i="14"/>
  <c r="D322" i="14"/>
  <c r="E322" i="14"/>
  <c r="F322" i="14"/>
  <c r="B323" i="14"/>
  <c r="C323" i="14"/>
  <c r="D323" i="14"/>
  <c r="F323" i="14"/>
  <c r="H323" i="14"/>
  <c r="E323" i="14"/>
  <c r="B324" i="14"/>
  <c r="C324" i="14"/>
  <c r="D324" i="14"/>
  <c r="F324" i="14"/>
  <c r="G324" i="14"/>
  <c r="B325" i="14"/>
  <c r="C325" i="14"/>
  <c r="D325" i="14"/>
  <c r="F325" i="14"/>
  <c r="G325" i="14"/>
  <c r="E325" i="14"/>
  <c r="B326" i="14"/>
  <c r="C326" i="14"/>
  <c r="D326" i="14"/>
  <c r="F326" i="14"/>
  <c r="H326" i="14"/>
  <c r="E326" i="14"/>
  <c r="B327" i="14"/>
  <c r="C327" i="14"/>
  <c r="D327" i="14"/>
  <c r="F327" i="14"/>
  <c r="E327" i="14"/>
  <c r="B328" i="14"/>
  <c r="C328" i="14"/>
  <c r="D328" i="14"/>
  <c r="F328" i="14"/>
  <c r="H328" i="14"/>
  <c r="E328" i="14"/>
  <c r="B329" i="14"/>
  <c r="C329" i="14"/>
  <c r="D329" i="14"/>
  <c r="F329" i="14"/>
  <c r="E329" i="14"/>
  <c r="B330" i="14"/>
  <c r="C330" i="14"/>
  <c r="D330" i="14"/>
  <c r="F330" i="14"/>
  <c r="H330" i="14"/>
  <c r="E330" i="14"/>
  <c r="B331" i="14"/>
  <c r="C331" i="14"/>
  <c r="D331" i="14"/>
  <c r="F331" i="14"/>
  <c r="H331" i="14"/>
  <c r="E331" i="14"/>
  <c r="B332" i="14"/>
  <c r="C332" i="14"/>
  <c r="D332" i="14"/>
  <c r="F332" i="14"/>
  <c r="G332" i="14"/>
  <c r="E332" i="14"/>
  <c r="B333" i="14"/>
  <c r="C333" i="14"/>
  <c r="D333" i="14"/>
  <c r="F333" i="14"/>
  <c r="G333" i="14"/>
  <c r="E333" i="14"/>
  <c r="B334" i="14"/>
  <c r="C334" i="14"/>
  <c r="D334" i="14"/>
  <c r="F334" i="14"/>
  <c r="E334" i="14"/>
  <c r="B335" i="14"/>
  <c r="C335" i="14"/>
  <c r="D335" i="14"/>
  <c r="F335" i="14"/>
  <c r="E335" i="14"/>
  <c r="B336" i="14"/>
  <c r="C336" i="14"/>
  <c r="D336" i="14"/>
  <c r="F336" i="14"/>
  <c r="H336" i="14"/>
  <c r="E336" i="14"/>
  <c r="B337" i="14"/>
  <c r="C337" i="14"/>
  <c r="D337" i="14"/>
  <c r="F337" i="14"/>
  <c r="E337" i="14"/>
  <c r="B338" i="14"/>
  <c r="C338" i="14"/>
  <c r="D338" i="14"/>
  <c r="F338" i="14"/>
  <c r="E338" i="14"/>
  <c r="B339" i="14"/>
  <c r="C339" i="14"/>
  <c r="D339" i="14"/>
  <c r="F339" i="14"/>
  <c r="E339" i="14"/>
  <c r="B340" i="14"/>
  <c r="C340" i="14"/>
  <c r="D340" i="14"/>
  <c r="F340" i="14"/>
  <c r="H340" i="14"/>
  <c r="E340" i="14"/>
  <c r="B341" i="14"/>
  <c r="C341" i="14"/>
  <c r="D341" i="14"/>
  <c r="F341" i="14"/>
  <c r="H341" i="14"/>
  <c r="E341" i="14"/>
  <c r="B342" i="14"/>
  <c r="C342" i="14"/>
  <c r="D342" i="14"/>
  <c r="F342" i="14"/>
  <c r="E342" i="14"/>
  <c r="B343" i="14"/>
  <c r="C343" i="14"/>
  <c r="D343" i="14"/>
  <c r="F343" i="14"/>
  <c r="E343" i="14"/>
  <c r="B344" i="14"/>
  <c r="C344" i="14"/>
  <c r="D344" i="14"/>
  <c r="F344" i="14"/>
  <c r="H344" i="14"/>
  <c r="E344" i="14"/>
  <c r="B345" i="14"/>
  <c r="C345" i="14"/>
  <c r="D345" i="14"/>
  <c r="F345" i="14"/>
  <c r="E345" i="14"/>
  <c r="B346" i="14"/>
  <c r="C346" i="14"/>
  <c r="D346" i="14"/>
  <c r="F346" i="14"/>
  <c r="E346" i="14"/>
  <c r="B347" i="14"/>
  <c r="C347" i="14"/>
  <c r="D347" i="14"/>
  <c r="F347" i="14"/>
  <c r="E347" i="14"/>
  <c r="B348" i="14"/>
  <c r="C348" i="14"/>
  <c r="D348" i="14"/>
  <c r="F348" i="14"/>
  <c r="H348" i="14"/>
  <c r="E348" i="14"/>
  <c r="B349" i="14"/>
  <c r="C349" i="14"/>
  <c r="D349" i="14"/>
  <c r="F349" i="14"/>
  <c r="E349" i="14"/>
  <c r="B350" i="14"/>
  <c r="C350" i="14"/>
  <c r="D350" i="14"/>
  <c r="F350" i="14"/>
  <c r="E350" i="14"/>
  <c r="B351" i="14"/>
  <c r="C351" i="14"/>
  <c r="D351" i="14"/>
  <c r="F351" i="14"/>
  <c r="E351" i="14"/>
  <c r="B352" i="14"/>
  <c r="C352" i="14"/>
  <c r="D352" i="14"/>
  <c r="F352" i="14"/>
  <c r="H352" i="14"/>
  <c r="E352" i="14"/>
  <c r="B353" i="14"/>
  <c r="C353" i="14"/>
  <c r="D353" i="14"/>
  <c r="F353" i="14"/>
  <c r="H353" i="14"/>
  <c r="E353" i="14"/>
  <c r="B354" i="14"/>
  <c r="C354" i="14"/>
  <c r="D354" i="14"/>
  <c r="F354" i="14"/>
  <c r="E354" i="14"/>
  <c r="B355" i="14"/>
  <c r="C355" i="14"/>
  <c r="D355" i="14"/>
  <c r="F355" i="14"/>
  <c r="E355" i="14"/>
  <c r="B356" i="14"/>
  <c r="C356" i="14"/>
  <c r="D356" i="14"/>
  <c r="F356" i="14"/>
  <c r="H356" i="14"/>
  <c r="E356" i="14"/>
  <c r="B357" i="14"/>
  <c r="C357" i="14"/>
  <c r="D357" i="14"/>
  <c r="F357" i="14"/>
  <c r="H357" i="14"/>
  <c r="E357" i="14"/>
  <c r="B358" i="14"/>
  <c r="C358" i="14"/>
  <c r="D358" i="14"/>
  <c r="F358" i="14"/>
  <c r="E358" i="14"/>
  <c r="B359" i="14"/>
  <c r="C359" i="14"/>
  <c r="D359" i="14"/>
  <c r="F359" i="14"/>
  <c r="E359" i="14"/>
  <c r="B360" i="14"/>
  <c r="C360" i="14"/>
  <c r="D360" i="14"/>
  <c r="F360" i="14"/>
  <c r="H360" i="14"/>
  <c r="E360" i="14"/>
  <c r="B361" i="14"/>
  <c r="C361" i="14"/>
  <c r="D361" i="14"/>
  <c r="F361" i="14"/>
  <c r="E361" i="14"/>
  <c r="B362" i="14"/>
  <c r="C362" i="14"/>
  <c r="D362" i="14"/>
  <c r="F362" i="14"/>
  <c r="E362" i="14"/>
  <c r="B363" i="14"/>
  <c r="C363" i="14"/>
  <c r="D363" i="14"/>
  <c r="F363" i="14"/>
  <c r="E363" i="14"/>
  <c r="B364" i="14"/>
  <c r="C364" i="14"/>
  <c r="D364" i="14"/>
  <c r="F364" i="14"/>
  <c r="H364" i="14"/>
  <c r="E364" i="14"/>
  <c r="B365" i="14"/>
  <c r="C365" i="14"/>
  <c r="D365" i="14"/>
  <c r="F365" i="14"/>
  <c r="E365" i="14"/>
  <c r="B366" i="14"/>
  <c r="C366" i="14"/>
  <c r="D366" i="14"/>
  <c r="F366" i="14"/>
  <c r="E366" i="14"/>
  <c r="B367" i="14"/>
  <c r="C367" i="14"/>
  <c r="D367" i="14"/>
  <c r="F367" i="14"/>
  <c r="E367" i="14"/>
  <c r="B368" i="14"/>
  <c r="C368" i="14"/>
  <c r="D368" i="14"/>
  <c r="F368" i="14"/>
  <c r="H368" i="14"/>
  <c r="E368" i="14"/>
  <c r="B369" i="14"/>
  <c r="C369" i="14"/>
  <c r="D369" i="14"/>
  <c r="F369" i="14"/>
  <c r="E369" i="14"/>
  <c r="B370" i="14"/>
  <c r="C370" i="14"/>
  <c r="D370" i="14"/>
  <c r="F370" i="14"/>
  <c r="E370" i="14"/>
  <c r="B371" i="14"/>
  <c r="C371" i="14"/>
  <c r="D371" i="14"/>
  <c r="F371" i="14"/>
  <c r="E371" i="14"/>
  <c r="B372" i="14"/>
  <c r="C372" i="14"/>
  <c r="D372" i="14"/>
  <c r="F372" i="14"/>
  <c r="H372" i="14"/>
  <c r="E372" i="14"/>
  <c r="B373" i="14"/>
  <c r="C373" i="14"/>
  <c r="D373" i="14"/>
  <c r="F373" i="14"/>
  <c r="H373" i="14"/>
  <c r="E373" i="14"/>
  <c r="B374" i="14"/>
  <c r="C374" i="14"/>
  <c r="D374" i="14"/>
  <c r="F374" i="14"/>
  <c r="E374" i="14"/>
  <c r="B375" i="14"/>
  <c r="C375" i="14"/>
  <c r="D375" i="14"/>
  <c r="F375" i="14"/>
  <c r="E375" i="14"/>
  <c r="B376" i="14"/>
  <c r="C376" i="14"/>
  <c r="D376" i="14"/>
  <c r="E376" i="14"/>
  <c r="F376" i="14"/>
  <c r="H376" i="14"/>
  <c r="B377" i="14"/>
  <c r="C377" i="14"/>
  <c r="D377" i="14"/>
  <c r="F377" i="14"/>
  <c r="E377" i="14"/>
  <c r="B378" i="14"/>
  <c r="C378" i="14"/>
  <c r="D378" i="14"/>
  <c r="F378" i="14"/>
  <c r="E378" i="14"/>
  <c r="B379" i="14"/>
  <c r="C379" i="14"/>
  <c r="D379" i="14"/>
  <c r="F379" i="14"/>
  <c r="E379" i="14"/>
  <c r="B380" i="14"/>
  <c r="C380" i="14"/>
  <c r="D380" i="14"/>
  <c r="F380" i="14"/>
  <c r="H380" i="14"/>
  <c r="E380" i="14"/>
  <c r="B381" i="14"/>
  <c r="C381" i="14"/>
  <c r="D381" i="14"/>
  <c r="F381" i="14"/>
  <c r="E381" i="14"/>
  <c r="B382" i="14"/>
  <c r="C382" i="14"/>
  <c r="D382" i="14"/>
  <c r="F382" i="14"/>
  <c r="E382" i="14"/>
  <c r="B383" i="14"/>
  <c r="C383" i="14"/>
  <c r="D383" i="14"/>
  <c r="F383" i="14"/>
  <c r="E383" i="14"/>
  <c r="B384" i="14"/>
  <c r="C384" i="14"/>
  <c r="D384" i="14"/>
  <c r="F384" i="14"/>
  <c r="H384" i="14"/>
  <c r="E384" i="14"/>
  <c r="B385" i="14"/>
  <c r="C385" i="14"/>
  <c r="D385" i="14"/>
  <c r="F385" i="14"/>
  <c r="H385" i="14"/>
  <c r="E385" i="14"/>
  <c r="B386" i="14"/>
  <c r="C386" i="14"/>
  <c r="D386" i="14"/>
  <c r="F386" i="14"/>
  <c r="E386" i="14"/>
  <c r="B387" i="14"/>
  <c r="C387" i="14"/>
  <c r="D387" i="14"/>
  <c r="F387" i="14"/>
  <c r="E387" i="14"/>
  <c r="B388" i="14"/>
  <c r="C388" i="14"/>
  <c r="D388" i="14"/>
  <c r="F388" i="14"/>
  <c r="H388" i="14"/>
  <c r="E388" i="14"/>
  <c r="B389" i="14"/>
  <c r="C389" i="14"/>
  <c r="D389" i="14"/>
  <c r="F389" i="14"/>
  <c r="H389" i="14"/>
  <c r="E389" i="14"/>
  <c r="B390" i="14"/>
  <c r="C390" i="14"/>
  <c r="D390" i="14"/>
  <c r="F390" i="14"/>
  <c r="E390" i="14"/>
  <c r="B391" i="14"/>
  <c r="C391" i="14"/>
  <c r="D391" i="14"/>
  <c r="F391" i="14"/>
  <c r="E391" i="14"/>
  <c r="B392" i="14"/>
  <c r="C392" i="14"/>
  <c r="D392" i="14"/>
  <c r="F392" i="14"/>
  <c r="H392" i="14"/>
  <c r="E392" i="14"/>
  <c r="B393" i="14"/>
  <c r="C393" i="14"/>
  <c r="D393" i="14"/>
  <c r="F393" i="14"/>
  <c r="E393" i="14"/>
  <c r="B394" i="14"/>
  <c r="C394" i="14"/>
  <c r="D394" i="14"/>
  <c r="F394" i="14"/>
  <c r="E394" i="14"/>
  <c r="B395" i="14"/>
  <c r="C395" i="14"/>
  <c r="D395" i="14"/>
  <c r="F395" i="14"/>
  <c r="E395" i="14"/>
  <c r="B396" i="14"/>
  <c r="C396" i="14"/>
  <c r="D396" i="14"/>
  <c r="F396" i="14"/>
  <c r="B397" i="14"/>
  <c r="C397" i="14"/>
  <c r="D397" i="14"/>
  <c r="F397" i="14"/>
  <c r="E397" i="14"/>
  <c r="B398" i="14"/>
  <c r="C398" i="14"/>
  <c r="D398" i="14"/>
  <c r="F398" i="14"/>
  <c r="G398" i="14"/>
  <c r="E398" i="14"/>
  <c r="B399" i="14"/>
  <c r="C399" i="14"/>
  <c r="D399" i="14"/>
  <c r="F399" i="14"/>
  <c r="E399" i="14"/>
  <c r="B400" i="14"/>
  <c r="C400" i="14"/>
  <c r="D400" i="14"/>
  <c r="F400" i="14"/>
  <c r="E400" i="14"/>
  <c r="B401" i="14"/>
  <c r="C401" i="14"/>
  <c r="D401" i="14"/>
  <c r="F401" i="14"/>
  <c r="E401" i="14"/>
  <c r="B402" i="14"/>
  <c r="C402" i="14"/>
  <c r="D402" i="14"/>
  <c r="F402" i="14"/>
  <c r="G402" i="14"/>
  <c r="B403" i="14"/>
  <c r="C403" i="14"/>
  <c r="D403" i="14"/>
  <c r="F403" i="14"/>
  <c r="E403" i="14"/>
  <c r="B404" i="14"/>
  <c r="C404" i="14"/>
  <c r="D404" i="14"/>
  <c r="F404" i="14"/>
  <c r="B405" i="14"/>
  <c r="C405" i="14"/>
  <c r="D405" i="14"/>
  <c r="F405" i="14"/>
  <c r="E405" i="14"/>
  <c r="B406" i="14"/>
  <c r="C406" i="14"/>
  <c r="D406" i="14"/>
  <c r="F406" i="14"/>
  <c r="G406" i="14"/>
  <c r="E406" i="14"/>
  <c r="B407" i="14"/>
  <c r="C407" i="14"/>
  <c r="D407" i="14"/>
  <c r="F407" i="14"/>
  <c r="E407" i="14"/>
  <c r="B408" i="14"/>
  <c r="C408" i="14"/>
  <c r="D408" i="14"/>
  <c r="F408" i="14"/>
  <c r="B409" i="14"/>
  <c r="C409" i="14"/>
  <c r="D409" i="14"/>
  <c r="F409" i="14"/>
  <c r="E409" i="14"/>
  <c r="B410" i="14"/>
  <c r="C410" i="14"/>
  <c r="D410" i="14"/>
  <c r="F410" i="14"/>
  <c r="G410" i="14"/>
  <c r="E410" i="14"/>
  <c r="B411" i="14"/>
  <c r="C411" i="14"/>
  <c r="D411" i="14"/>
  <c r="F411" i="14"/>
  <c r="B412" i="14"/>
  <c r="C412" i="14"/>
  <c r="D412" i="14"/>
  <c r="F412" i="14"/>
  <c r="E412" i="14"/>
  <c r="B413" i="14"/>
  <c r="C413" i="14"/>
  <c r="D413" i="14"/>
  <c r="F413" i="14"/>
  <c r="E413" i="14"/>
  <c r="B414" i="14"/>
  <c r="C414" i="14"/>
  <c r="D414" i="14"/>
  <c r="F414" i="14"/>
  <c r="G414" i="14"/>
  <c r="E414" i="14"/>
  <c r="B415" i="14"/>
  <c r="C415" i="14"/>
  <c r="D415" i="14"/>
  <c r="F415" i="14"/>
  <c r="B416" i="14"/>
  <c r="C416" i="14"/>
  <c r="D416" i="14"/>
  <c r="F416" i="14"/>
  <c r="E416" i="14"/>
  <c r="B417" i="14"/>
  <c r="C417" i="14"/>
  <c r="D417" i="14"/>
  <c r="F417" i="14"/>
  <c r="E417" i="14"/>
  <c r="B418" i="14"/>
  <c r="C418" i="14"/>
  <c r="D418" i="14"/>
  <c r="F418" i="14"/>
  <c r="G418" i="14"/>
  <c r="E418" i="14"/>
  <c r="B419" i="14"/>
  <c r="C419" i="14"/>
  <c r="D419" i="14"/>
  <c r="F419" i="14"/>
  <c r="E419" i="14"/>
  <c r="B420" i="14"/>
  <c r="C420" i="14"/>
  <c r="D420" i="14"/>
  <c r="F420" i="14"/>
  <c r="E420" i="14"/>
  <c r="B421" i="14"/>
  <c r="C421" i="14"/>
  <c r="D421" i="14"/>
  <c r="F421" i="14"/>
  <c r="E421" i="14"/>
  <c r="B422" i="14"/>
  <c r="C422" i="14"/>
  <c r="D422" i="14"/>
  <c r="F422" i="14"/>
  <c r="G422" i="14"/>
  <c r="E422" i="14"/>
  <c r="B423" i="14"/>
  <c r="C423" i="14"/>
  <c r="D423" i="14"/>
  <c r="F423" i="14"/>
  <c r="E423" i="14"/>
  <c r="B424" i="14"/>
  <c r="C424" i="14"/>
  <c r="D424" i="14"/>
  <c r="F424" i="14"/>
  <c r="E424" i="14"/>
  <c r="B425" i="14"/>
  <c r="C425" i="14"/>
  <c r="D425" i="14"/>
  <c r="F425" i="14"/>
  <c r="E425" i="14"/>
  <c r="B426" i="14"/>
  <c r="C426" i="14"/>
  <c r="D426" i="14"/>
  <c r="F426" i="14"/>
  <c r="E426" i="14"/>
  <c r="B427" i="14"/>
  <c r="C427" i="14"/>
  <c r="D427" i="14"/>
  <c r="F427" i="14"/>
  <c r="H427" i="14"/>
  <c r="E427" i="14"/>
  <c r="B428" i="14"/>
  <c r="C428" i="14"/>
  <c r="D428" i="14"/>
  <c r="F428" i="14"/>
  <c r="E428" i="14"/>
  <c r="B429" i="14"/>
  <c r="C429" i="14"/>
  <c r="D429" i="14"/>
  <c r="F429" i="14"/>
  <c r="H429" i="14"/>
  <c r="E429" i="14"/>
  <c r="B430" i="14"/>
  <c r="C430" i="14"/>
  <c r="D430" i="14"/>
  <c r="F430" i="14"/>
  <c r="E430" i="14"/>
  <c r="B431" i="14"/>
  <c r="C431" i="14"/>
  <c r="D431" i="14"/>
  <c r="F431" i="14"/>
  <c r="H431" i="14"/>
  <c r="E431" i="14"/>
  <c r="B432" i="14"/>
  <c r="C432" i="14"/>
  <c r="D432" i="14"/>
  <c r="F432" i="14"/>
  <c r="E432" i="14"/>
  <c r="B433" i="14"/>
  <c r="C433" i="14"/>
  <c r="D433" i="14"/>
  <c r="F433" i="14"/>
  <c r="H433" i="14"/>
  <c r="E433" i="14"/>
  <c r="B434" i="14"/>
  <c r="C434" i="14"/>
  <c r="D434" i="14"/>
  <c r="F434" i="14"/>
  <c r="G434" i="14"/>
  <c r="E434" i="14"/>
  <c r="B435" i="14"/>
  <c r="C435" i="14"/>
  <c r="D435" i="14"/>
  <c r="F435" i="14"/>
  <c r="H435" i="14"/>
  <c r="E435" i="14"/>
  <c r="B436" i="14"/>
  <c r="C436" i="14"/>
  <c r="D436" i="14"/>
  <c r="F436" i="14"/>
  <c r="G436" i="14"/>
  <c r="E436" i="14"/>
  <c r="B437" i="14"/>
  <c r="C437" i="14"/>
  <c r="D437" i="14"/>
  <c r="F437" i="14"/>
  <c r="E437" i="14"/>
  <c r="B438" i="14"/>
  <c r="C438" i="14"/>
  <c r="D438" i="14"/>
  <c r="F438" i="14"/>
  <c r="G438" i="14"/>
  <c r="E438" i="14"/>
  <c r="B439" i="14"/>
  <c r="C439" i="14"/>
  <c r="D439" i="14"/>
  <c r="F439" i="14"/>
  <c r="H439" i="14"/>
  <c r="E439" i="14"/>
  <c r="B440" i="14"/>
  <c r="C440" i="14"/>
  <c r="D440" i="14"/>
  <c r="F440" i="14"/>
  <c r="E440" i="14"/>
  <c r="B441" i="14"/>
  <c r="C441" i="14"/>
  <c r="D441" i="14"/>
  <c r="F441" i="14"/>
  <c r="E441" i="14"/>
  <c r="B442" i="14"/>
  <c r="C442" i="14"/>
  <c r="D442" i="14"/>
  <c r="F442" i="14"/>
  <c r="G442" i="14"/>
  <c r="E442" i="14"/>
  <c r="B443" i="14"/>
  <c r="C443" i="14"/>
  <c r="D443" i="14"/>
  <c r="F443" i="14"/>
  <c r="G443" i="14"/>
  <c r="B444" i="14"/>
  <c r="C444" i="14"/>
  <c r="D444" i="14"/>
  <c r="F444" i="14"/>
  <c r="G444" i="14"/>
  <c r="E444" i="14"/>
  <c r="B445" i="14"/>
  <c r="C445" i="14"/>
  <c r="D445" i="14"/>
  <c r="F445" i="14"/>
  <c r="H445" i="14"/>
  <c r="E445" i="14"/>
  <c r="B446" i="14"/>
  <c r="C446" i="14"/>
  <c r="D446" i="14"/>
  <c r="F446" i="14"/>
  <c r="E446" i="14"/>
  <c r="B447" i="14"/>
  <c r="C447" i="14"/>
  <c r="D447" i="14"/>
  <c r="F447" i="14"/>
  <c r="H447" i="14"/>
  <c r="E447" i="14"/>
  <c r="B448" i="14"/>
  <c r="C448" i="14"/>
  <c r="D448" i="14"/>
  <c r="F448" i="14"/>
  <c r="E448" i="14"/>
  <c r="B449" i="14"/>
  <c r="C449" i="14"/>
  <c r="D449" i="14"/>
  <c r="F449" i="14"/>
  <c r="B450" i="14"/>
  <c r="C450" i="14"/>
  <c r="D450" i="14"/>
  <c r="F450" i="14"/>
  <c r="G450" i="14"/>
  <c r="B451" i="14"/>
  <c r="C451" i="14"/>
  <c r="D451" i="14"/>
  <c r="F451" i="14"/>
  <c r="G451" i="14"/>
  <c r="E451" i="14"/>
  <c r="B452" i="14"/>
  <c r="C452" i="14"/>
  <c r="D452" i="14"/>
  <c r="F452" i="14"/>
  <c r="G452" i="14"/>
  <c r="E452" i="14"/>
  <c r="B453" i="14"/>
  <c r="C453" i="14"/>
  <c r="D453" i="14"/>
  <c r="F453" i="14"/>
  <c r="H453" i="14"/>
  <c r="E453" i="14"/>
  <c r="B454" i="14"/>
  <c r="C454" i="14"/>
  <c r="D454" i="14"/>
  <c r="F454" i="14"/>
  <c r="E454" i="14"/>
  <c r="B455" i="14"/>
  <c r="C455" i="14"/>
  <c r="D455" i="14"/>
  <c r="F455" i="14"/>
  <c r="H455" i="14"/>
  <c r="E455" i="14"/>
  <c r="B456" i="14"/>
  <c r="C456" i="14"/>
  <c r="D456" i="14"/>
  <c r="F456" i="14"/>
  <c r="E456" i="14"/>
  <c r="B457" i="14"/>
  <c r="C457" i="14"/>
  <c r="D457" i="14"/>
  <c r="F457" i="14"/>
  <c r="H457" i="14"/>
  <c r="E457" i="14"/>
  <c r="B458" i="14"/>
  <c r="C458" i="14"/>
  <c r="D458" i="14"/>
  <c r="E458" i="14"/>
  <c r="F458" i="14"/>
  <c r="G458" i="14"/>
  <c r="B459" i="14"/>
  <c r="C459" i="14"/>
  <c r="D459" i="14"/>
  <c r="F459" i="14"/>
  <c r="G459" i="14"/>
  <c r="E459" i="14"/>
  <c r="B460" i="14"/>
  <c r="C460" i="14"/>
  <c r="D460" i="14"/>
  <c r="F460" i="14"/>
  <c r="G460" i="14"/>
  <c r="E460" i="14"/>
  <c r="B461" i="14"/>
  <c r="C461" i="14"/>
  <c r="D461" i="14"/>
  <c r="F461" i="14"/>
  <c r="H461" i="14"/>
  <c r="E461" i="14"/>
  <c r="B462" i="14"/>
  <c r="C462" i="14"/>
  <c r="D462" i="14"/>
  <c r="F462" i="14"/>
  <c r="E462" i="14"/>
  <c r="B463" i="14"/>
  <c r="C463" i="14"/>
  <c r="D463" i="14"/>
  <c r="F463" i="14"/>
  <c r="G463" i="14"/>
  <c r="E463" i="14"/>
  <c r="B464" i="14"/>
  <c r="C464" i="14"/>
  <c r="D464" i="14"/>
  <c r="F464" i="14"/>
  <c r="E464" i="14"/>
  <c r="B465" i="14"/>
  <c r="C465" i="14"/>
  <c r="D465" i="14"/>
  <c r="F465" i="14"/>
  <c r="H465" i="14"/>
  <c r="E465" i="14"/>
  <c r="B466" i="14"/>
  <c r="C466" i="14"/>
  <c r="D466" i="14"/>
  <c r="F466" i="14"/>
  <c r="G466" i="14"/>
  <c r="E466" i="14"/>
  <c r="B467" i="14"/>
  <c r="C467" i="14"/>
  <c r="D467" i="14"/>
  <c r="F467" i="14"/>
  <c r="G467" i="14"/>
  <c r="E467" i="14"/>
  <c r="B468" i="14"/>
  <c r="C468" i="14"/>
  <c r="D468" i="14"/>
  <c r="F468" i="14"/>
  <c r="E468" i="14"/>
  <c r="B469" i="14"/>
  <c r="C469" i="14"/>
  <c r="D469" i="14"/>
  <c r="F469" i="14"/>
  <c r="H469" i="14"/>
  <c r="E469" i="14"/>
  <c r="B470" i="14"/>
  <c r="C470" i="14"/>
  <c r="D470" i="14"/>
  <c r="F470" i="14"/>
  <c r="G470" i="14"/>
  <c r="E470" i="14"/>
  <c r="B471" i="14"/>
  <c r="C471" i="14"/>
  <c r="D471" i="14"/>
  <c r="F471" i="14"/>
  <c r="G471" i="14"/>
  <c r="E471" i="14"/>
  <c r="B472" i="14"/>
  <c r="C472" i="14"/>
  <c r="D472" i="14"/>
  <c r="F472" i="14"/>
  <c r="E472" i="14"/>
  <c r="B473" i="14"/>
  <c r="C473" i="14"/>
  <c r="D473" i="14"/>
  <c r="E473" i="14"/>
  <c r="F473" i="14"/>
  <c r="H473" i="14"/>
  <c r="B474" i="14"/>
  <c r="C474" i="14"/>
  <c r="D474" i="14"/>
  <c r="F474" i="14"/>
  <c r="E474" i="14"/>
  <c r="B475" i="14"/>
  <c r="C475" i="14"/>
  <c r="D475" i="14"/>
  <c r="F475" i="14"/>
  <c r="E475" i="14"/>
  <c r="B476" i="14"/>
  <c r="C476" i="14"/>
  <c r="D476" i="14"/>
  <c r="F476" i="14"/>
  <c r="E476" i="14"/>
  <c r="B477" i="14"/>
  <c r="C477" i="14"/>
  <c r="D477" i="14"/>
  <c r="F477" i="14"/>
  <c r="H477" i="14"/>
  <c r="B478" i="14"/>
  <c r="C478" i="14"/>
  <c r="D478" i="14"/>
  <c r="F478" i="14"/>
  <c r="G478" i="14"/>
  <c r="E478" i="14"/>
  <c r="B479" i="14"/>
  <c r="C479" i="14"/>
  <c r="D479" i="14"/>
  <c r="F479" i="14"/>
  <c r="H479" i="14"/>
  <c r="E479" i="14"/>
  <c r="B480" i="14"/>
  <c r="C480" i="14"/>
  <c r="D480" i="14"/>
  <c r="F480" i="14"/>
  <c r="E480" i="14"/>
  <c r="B481" i="14"/>
  <c r="C481" i="14"/>
  <c r="D481" i="14"/>
  <c r="F481" i="14"/>
  <c r="E481" i="14"/>
  <c r="B482" i="14"/>
  <c r="C482" i="14"/>
  <c r="D482" i="14"/>
  <c r="F482" i="14"/>
  <c r="E482" i="14"/>
  <c r="B483" i="14"/>
  <c r="C483" i="14"/>
  <c r="D483" i="14"/>
  <c r="F483" i="14"/>
  <c r="E483" i="14"/>
  <c r="B484" i="14"/>
  <c r="C484" i="14"/>
  <c r="D484" i="14"/>
  <c r="F484" i="14"/>
  <c r="E484" i="14"/>
  <c r="B485" i="14"/>
  <c r="C485" i="14"/>
  <c r="D485" i="14"/>
  <c r="F485" i="14"/>
  <c r="H485" i="14"/>
  <c r="E485" i="14"/>
  <c r="B486" i="14"/>
  <c r="C486" i="14"/>
  <c r="D486" i="14"/>
  <c r="F486" i="14"/>
  <c r="G486" i="14"/>
  <c r="E486" i="14"/>
  <c r="B487" i="14"/>
  <c r="C487" i="14"/>
  <c r="D487" i="14"/>
  <c r="F487" i="14"/>
  <c r="E487" i="14"/>
  <c r="B488" i="14"/>
  <c r="C488" i="14"/>
  <c r="D488" i="14"/>
  <c r="F488" i="14"/>
  <c r="E488" i="14"/>
  <c r="B489" i="14"/>
  <c r="C489" i="14"/>
  <c r="D489" i="14"/>
  <c r="F489" i="14"/>
  <c r="G489" i="14"/>
  <c r="E489" i="14"/>
  <c r="B490" i="14"/>
  <c r="C490" i="14"/>
  <c r="D490" i="14"/>
  <c r="F490" i="14"/>
  <c r="G490" i="14"/>
  <c r="E490" i="14"/>
  <c r="B491" i="14"/>
  <c r="C491" i="14"/>
  <c r="D491" i="14"/>
  <c r="F491" i="14"/>
  <c r="H491" i="14"/>
  <c r="E491" i="14"/>
  <c r="B492" i="14"/>
  <c r="C492" i="14"/>
  <c r="D492" i="14"/>
  <c r="F492" i="14"/>
  <c r="E492" i="14"/>
  <c r="B493" i="14"/>
  <c r="C493" i="14"/>
  <c r="D493" i="14"/>
  <c r="F493" i="14"/>
  <c r="G493" i="14"/>
  <c r="E493" i="14"/>
  <c r="B494" i="14"/>
  <c r="C494" i="14"/>
  <c r="D494" i="14"/>
  <c r="F494" i="14"/>
  <c r="E494" i="14"/>
  <c r="B495" i="14"/>
  <c r="C495" i="14"/>
  <c r="D495" i="14"/>
  <c r="F495" i="14"/>
  <c r="H495" i="14"/>
  <c r="E495" i="14"/>
  <c r="B496" i="14"/>
  <c r="C496" i="14"/>
  <c r="D496" i="14"/>
  <c r="F496" i="14"/>
  <c r="H496" i="14"/>
  <c r="E496" i="14"/>
  <c r="B497" i="14"/>
  <c r="C497" i="14"/>
  <c r="D497" i="14"/>
  <c r="F497" i="14"/>
  <c r="G497" i="14"/>
  <c r="B498" i="14"/>
  <c r="C498" i="14"/>
  <c r="D498" i="14"/>
  <c r="F498" i="14"/>
  <c r="E498" i="14"/>
  <c r="B499" i="14"/>
  <c r="C499" i="14"/>
  <c r="D499" i="14"/>
  <c r="F499" i="14"/>
  <c r="H499" i="14"/>
  <c r="E499" i="14"/>
  <c r="B500" i="14"/>
  <c r="C500" i="14"/>
  <c r="D500" i="14"/>
  <c r="F500" i="14"/>
  <c r="H500" i="14"/>
  <c r="B501" i="14"/>
  <c r="C501" i="14"/>
  <c r="D501" i="14"/>
  <c r="F501" i="14"/>
  <c r="G501" i="14"/>
  <c r="E501" i="14"/>
  <c r="B502" i="14"/>
  <c r="C502" i="14"/>
  <c r="D502" i="14"/>
  <c r="F502" i="14"/>
  <c r="H502" i="14"/>
  <c r="E502" i="14"/>
  <c r="B503" i="14"/>
  <c r="C503" i="14"/>
  <c r="D503" i="14"/>
  <c r="F503" i="14"/>
  <c r="E503" i="14"/>
  <c r="B504" i="14"/>
  <c r="C504" i="14"/>
  <c r="D504" i="14"/>
  <c r="F504" i="14"/>
  <c r="G504" i="14"/>
  <c r="E504" i="14"/>
  <c r="B505" i="14"/>
  <c r="C505" i="14"/>
  <c r="D505" i="14"/>
  <c r="F505" i="14"/>
  <c r="E505" i="14"/>
  <c r="B506" i="14"/>
  <c r="C506" i="14"/>
  <c r="D506" i="14"/>
  <c r="F506" i="14"/>
  <c r="E506" i="14"/>
  <c r="B507" i="14"/>
  <c r="C507" i="14"/>
  <c r="D507" i="14"/>
  <c r="F507" i="14"/>
  <c r="H507" i="14"/>
  <c r="E507" i="14"/>
  <c r="B508" i="14"/>
  <c r="C508" i="14"/>
  <c r="D508" i="14"/>
  <c r="F508" i="14"/>
  <c r="G508" i="14"/>
  <c r="E508" i="14"/>
  <c r="B509" i="14"/>
  <c r="C509" i="14"/>
  <c r="D509" i="14"/>
  <c r="E509" i="14"/>
  <c r="F509" i="14"/>
  <c r="G509" i="14"/>
  <c r="B510" i="14"/>
  <c r="C510" i="14"/>
  <c r="D510" i="14"/>
  <c r="F510" i="14"/>
  <c r="H510" i="14"/>
  <c r="E510" i="14"/>
  <c r="B511" i="14"/>
  <c r="C511" i="14"/>
  <c r="D511" i="14"/>
  <c r="F511" i="14"/>
  <c r="B512" i="14"/>
  <c r="C512" i="14"/>
  <c r="D512" i="14"/>
  <c r="F512" i="14"/>
  <c r="E512" i="14"/>
  <c r="B513" i="14"/>
  <c r="C513" i="14"/>
  <c r="D513" i="14"/>
  <c r="F513" i="14"/>
  <c r="E513" i="14"/>
  <c r="B514" i="14"/>
  <c r="C514" i="14"/>
  <c r="D514" i="14"/>
  <c r="F514" i="14"/>
  <c r="H514" i="14"/>
  <c r="E514" i="14"/>
  <c r="B515" i="14"/>
  <c r="C515" i="14"/>
  <c r="D515" i="14"/>
  <c r="F515" i="14"/>
  <c r="H515" i="14"/>
  <c r="E515" i="14"/>
  <c r="B516" i="14"/>
  <c r="C516" i="14"/>
  <c r="D516" i="14"/>
  <c r="F516" i="14"/>
  <c r="G516" i="14"/>
  <c r="E516" i="14"/>
  <c r="B517" i="14"/>
  <c r="C517" i="14"/>
  <c r="D517" i="14"/>
  <c r="F517" i="14"/>
  <c r="G517" i="14"/>
  <c r="E517" i="14"/>
  <c r="B518" i="14"/>
  <c r="C518" i="14"/>
  <c r="D518" i="14"/>
  <c r="F518" i="14"/>
  <c r="H518" i="14"/>
  <c r="E518" i="14"/>
  <c r="B519" i="14"/>
  <c r="C519" i="14"/>
  <c r="D519" i="14"/>
  <c r="F519" i="14"/>
  <c r="E519" i="14"/>
  <c r="B520" i="14"/>
  <c r="C520" i="14"/>
  <c r="D520" i="14"/>
  <c r="F520" i="14"/>
  <c r="G520" i="14"/>
  <c r="E520" i="14"/>
  <c r="B521" i="14"/>
  <c r="C521" i="14"/>
  <c r="D521" i="14"/>
  <c r="F521" i="14"/>
  <c r="E521" i="14"/>
  <c r="B522" i="14"/>
  <c r="C522" i="14"/>
  <c r="D522" i="14"/>
  <c r="F522" i="14"/>
  <c r="E522" i="14"/>
  <c r="B523" i="14"/>
  <c r="C523" i="14"/>
  <c r="D523" i="14"/>
  <c r="F523" i="14"/>
  <c r="H523" i="14"/>
  <c r="E523" i="14"/>
  <c r="B524" i="14"/>
  <c r="C524" i="14"/>
  <c r="D524" i="14"/>
  <c r="F524" i="14"/>
  <c r="G524" i="14"/>
  <c r="E524" i="14"/>
  <c r="B525" i="14"/>
  <c r="C525" i="14"/>
  <c r="D525" i="14"/>
  <c r="F525" i="14"/>
  <c r="G525" i="14"/>
  <c r="E525" i="14"/>
  <c r="B526" i="14"/>
  <c r="C526" i="14"/>
  <c r="D526" i="14"/>
  <c r="F526" i="14"/>
  <c r="H526" i="14"/>
  <c r="E526" i="14"/>
  <c r="B527" i="14"/>
  <c r="C527" i="14"/>
  <c r="D527" i="14"/>
  <c r="F527" i="14"/>
  <c r="E527" i="14"/>
  <c r="B528" i="14"/>
  <c r="C528" i="14"/>
  <c r="D528" i="14"/>
  <c r="F528" i="14"/>
  <c r="E528" i="14"/>
  <c r="B529" i="14"/>
  <c r="C529" i="14"/>
  <c r="D529" i="14"/>
  <c r="F529" i="14"/>
  <c r="E529" i="14"/>
  <c r="B530" i="14"/>
  <c r="C530" i="14"/>
  <c r="D530" i="14"/>
  <c r="F530" i="14"/>
  <c r="H530" i="14"/>
  <c r="E530" i="14"/>
  <c r="B531" i="14"/>
  <c r="C531" i="14"/>
  <c r="D531" i="14"/>
  <c r="F531" i="14"/>
  <c r="H531" i="14"/>
  <c r="E531" i="14"/>
  <c r="B532" i="14"/>
  <c r="C532" i="14"/>
  <c r="D532" i="14"/>
  <c r="F532" i="14"/>
  <c r="G532" i="14"/>
  <c r="E532" i="14"/>
  <c r="B533" i="14"/>
  <c r="C533" i="14"/>
  <c r="D533" i="14"/>
  <c r="F533" i="14"/>
  <c r="G533" i="14"/>
  <c r="E533" i="14"/>
  <c r="B534" i="14"/>
  <c r="C534" i="14"/>
  <c r="D534" i="14"/>
  <c r="F534" i="14"/>
  <c r="H534" i="14"/>
  <c r="B535" i="14"/>
  <c r="C535" i="14"/>
  <c r="D535" i="14"/>
  <c r="F535" i="14"/>
  <c r="E535" i="14"/>
  <c r="B536" i="14"/>
  <c r="C536" i="14"/>
  <c r="D536" i="14"/>
  <c r="F536" i="14"/>
  <c r="E536" i="14"/>
  <c r="B537" i="14"/>
  <c r="C537" i="14"/>
  <c r="D537" i="14"/>
  <c r="F537" i="14"/>
  <c r="H537" i="14"/>
  <c r="E537" i="14"/>
  <c r="B538" i="14"/>
  <c r="C538" i="14"/>
  <c r="D538" i="14"/>
  <c r="F538" i="14"/>
  <c r="H538" i="14"/>
  <c r="E538" i="14"/>
  <c r="B539" i="14"/>
  <c r="C539" i="14"/>
  <c r="D539" i="14"/>
  <c r="F539" i="14"/>
  <c r="E539" i="14"/>
  <c r="B540" i="14"/>
  <c r="C540" i="14"/>
  <c r="D540" i="14"/>
  <c r="F540" i="14"/>
  <c r="E540" i="14"/>
  <c r="B541" i="14"/>
  <c r="C541" i="14"/>
  <c r="D541" i="14"/>
  <c r="F541" i="14"/>
  <c r="H541" i="14"/>
  <c r="E541" i="14"/>
  <c r="B542" i="14"/>
  <c r="C542" i="14"/>
  <c r="D542" i="14"/>
  <c r="F542" i="14"/>
  <c r="H542" i="14"/>
  <c r="E542" i="14"/>
  <c r="B543" i="14"/>
  <c r="C543" i="14"/>
  <c r="D543" i="14"/>
  <c r="F543" i="14"/>
  <c r="E543" i="14"/>
  <c r="B544" i="14"/>
  <c r="C544" i="14"/>
  <c r="D544" i="14"/>
  <c r="F544" i="14"/>
  <c r="B545" i="14"/>
  <c r="C545" i="14"/>
  <c r="D545" i="14"/>
  <c r="F545" i="14"/>
  <c r="H545" i="14"/>
  <c r="E545" i="14"/>
  <c r="B546" i="14"/>
  <c r="C546" i="14"/>
  <c r="D546" i="14"/>
  <c r="F546" i="14"/>
  <c r="E546" i="14"/>
  <c r="B547" i="14"/>
  <c r="C547" i="14"/>
  <c r="D547" i="14"/>
  <c r="F547" i="14"/>
  <c r="E547" i="14"/>
  <c r="B548" i="14"/>
  <c r="C548" i="14"/>
  <c r="D548" i="14"/>
  <c r="F548" i="14"/>
  <c r="E548" i="14"/>
  <c r="B549" i="14"/>
  <c r="C549" i="14"/>
  <c r="D549" i="14"/>
  <c r="F549" i="14"/>
  <c r="H549" i="14"/>
  <c r="E549" i="14"/>
  <c r="B550" i="14"/>
  <c r="C550" i="14"/>
  <c r="D550" i="14"/>
  <c r="F550" i="14"/>
  <c r="H550" i="14"/>
  <c r="E550" i="14"/>
  <c r="B551" i="14"/>
  <c r="C551" i="14"/>
  <c r="D551" i="14"/>
  <c r="F551" i="14"/>
  <c r="E551" i="14"/>
  <c r="B552" i="14"/>
  <c r="C552" i="14"/>
  <c r="D552" i="14"/>
  <c r="F552" i="14"/>
  <c r="E552" i="14"/>
  <c r="B553" i="14"/>
  <c r="C553" i="14"/>
  <c r="D553" i="14"/>
  <c r="F553" i="14"/>
  <c r="H553" i="14"/>
  <c r="E553" i="14"/>
  <c r="B554" i="14"/>
  <c r="C554" i="14"/>
  <c r="D554" i="14"/>
  <c r="F554" i="14"/>
  <c r="E554" i="14"/>
  <c r="B555" i="14"/>
  <c r="C555" i="14"/>
  <c r="D555" i="14"/>
  <c r="F555" i="14"/>
  <c r="E555" i="14"/>
  <c r="B556" i="14"/>
  <c r="C556" i="14"/>
  <c r="D556" i="14"/>
  <c r="F556" i="14"/>
  <c r="E556" i="14"/>
  <c r="B557" i="14"/>
  <c r="C557" i="14"/>
  <c r="D557" i="14"/>
  <c r="F557" i="14"/>
  <c r="H557" i="14"/>
  <c r="E557" i="14"/>
  <c r="B558" i="14"/>
  <c r="C558" i="14"/>
  <c r="D558" i="14"/>
  <c r="F558" i="14"/>
  <c r="H558" i="14"/>
  <c r="E558" i="14"/>
  <c r="B559" i="14"/>
  <c r="C559" i="14"/>
  <c r="D559" i="14"/>
  <c r="F559" i="14"/>
  <c r="G559" i="14"/>
  <c r="E559" i="14"/>
  <c r="B560" i="14"/>
  <c r="C560" i="14"/>
  <c r="D560" i="14"/>
  <c r="F560" i="14"/>
  <c r="E560" i="14"/>
  <c r="B561" i="14"/>
  <c r="C561" i="14"/>
  <c r="D561" i="14"/>
  <c r="F561" i="14"/>
  <c r="E561" i="14"/>
  <c r="B562" i="14"/>
  <c r="C562" i="14"/>
  <c r="D562" i="14"/>
  <c r="F562" i="14"/>
  <c r="E562" i="14"/>
  <c r="B563" i="14"/>
  <c r="C563" i="14"/>
  <c r="D563" i="14"/>
  <c r="F563" i="14"/>
  <c r="G563" i="14"/>
  <c r="E563" i="14"/>
  <c r="B564" i="14"/>
  <c r="C564" i="14"/>
  <c r="D564" i="14"/>
  <c r="F564" i="14"/>
  <c r="E564" i="14"/>
  <c r="B565" i="14"/>
  <c r="C565" i="14"/>
  <c r="D565" i="14"/>
  <c r="F565" i="14"/>
  <c r="B566" i="14"/>
  <c r="C566" i="14"/>
  <c r="D566" i="14"/>
  <c r="F566" i="14"/>
  <c r="H566" i="14"/>
  <c r="E566" i="14"/>
  <c r="B567" i="14"/>
  <c r="C567" i="14"/>
  <c r="D567" i="14"/>
  <c r="F567" i="14"/>
  <c r="G567" i="14"/>
  <c r="E567" i="14"/>
  <c r="B568" i="14"/>
  <c r="C568" i="14"/>
  <c r="D568" i="14"/>
  <c r="F568" i="14"/>
  <c r="E568" i="14"/>
  <c r="B569" i="14"/>
  <c r="C569" i="14"/>
  <c r="D569" i="14"/>
  <c r="F569" i="14"/>
  <c r="E569" i="14"/>
  <c r="B570" i="14"/>
  <c r="C570" i="14"/>
  <c r="D570" i="14"/>
  <c r="F570" i="14"/>
  <c r="H570" i="14"/>
  <c r="E570" i="14"/>
  <c r="B571" i="14"/>
  <c r="C571" i="14"/>
  <c r="D571" i="14"/>
  <c r="F571" i="14"/>
  <c r="G571" i="14"/>
  <c r="E571" i="14"/>
  <c r="B572" i="14"/>
  <c r="C572" i="14"/>
  <c r="D572" i="14"/>
  <c r="F572" i="14"/>
  <c r="E572" i="14"/>
  <c r="B573" i="14"/>
  <c r="C573" i="14"/>
  <c r="D573" i="14"/>
  <c r="F573" i="14"/>
  <c r="E573" i="14"/>
  <c r="B574" i="14"/>
  <c r="C574" i="14"/>
  <c r="D574" i="14"/>
  <c r="F574" i="14"/>
  <c r="H574" i="14"/>
  <c r="E574" i="14"/>
  <c r="B575" i="14"/>
  <c r="C575" i="14"/>
  <c r="D575" i="14"/>
  <c r="F575" i="14"/>
  <c r="G575" i="14"/>
  <c r="E575" i="14"/>
  <c r="B576" i="14"/>
  <c r="C576" i="14"/>
  <c r="D576" i="14"/>
  <c r="F576" i="14"/>
  <c r="E576" i="14"/>
  <c r="B577" i="14"/>
  <c r="C577" i="14"/>
  <c r="D577" i="14"/>
  <c r="F577" i="14"/>
  <c r="E577" i="14"/>
  <c r="B578" i="14"/>
  <c r="C578" i="14"/>
  <c r="D578" i="14"/>
  <c r="F578" i="14"/>
  <c r="E578" i="14"/>
  <c r="B579" i="14"/>
  <c r="C579" i="14"/>
  <c r="D579" i="14"/>
  <c r="F579" i="14"/>
  <c r="G579" i="14"/>
  <c r="E579" i="14"/>
  <c r="B580" i="14"/>
  <c r="C580" i="14"/>
  <c r="D580" i="14"/>
  <c r="F580" i="14"/>
  <c r="G580" i="14"/>
  <c r="E580" i="14"/>
  <c r="B581" i="14"/>
  <c r="C581" i="14"/>
  <c r="D581" i="14"/>
  <c r="F581" i="14"/>
  <c r="E581" i="14"/>
  <c r="B582" i="14"/>
  <c r="C582" i="14"/>
  <c r="D582" i="14"/>
  <c r="F582" i="14"/>
  <c r="H582" i="14"/>
  <c r="B583" i="14"/>
  <c r="C583" i="14"/>
  <c r="D583" i="14"/>
  <c r="F583" i="14"/>
  <c r="E583" i="14"/>
  <c r="B9" i="14"/>
  <c r="E9" i="14"/>
  <c r="D9" i="14"/>
  <c r="F9" i="14"/>
  <c r="H9" i="14"/>
  <c r="C9" i="14"/>
  <c r="H48" i="14"/>
  <c r="H109" i="14"/>
  <c r="G153" i="14"/>
  <c r="G500" i="14"/>
  <c r="G455" i="14"/>
  <c r="G328" i="14"/>
  <c r="G104" i="14"/>
  <c r="H35" i="14"/>
  <c r="G447" i="14"/>
  <c r="H303" i="14"/>
  <c r="G199" i="14"/>
  <c r="G43" i="14"/>
  <c r="G294" i="14"/>
  <c r="G268" i="14"/>
  <c r="G215" i="14"/>
  <c r="H51" i="14"/>
  <c r="G582" i="14"/>
  <c r="G550" i="14"/>
  <c r="H183" i="14"/>
  <c r="G479" i="14"/>
  <c r="H470" i="14"/>
  <c r="G326" i="14"/>
  <c r="H283" i="14"/>
  <c r="H207" i="14"/>
  <c r="H191" i="14"/>
  <c r="G583" i="14"/>
  <c r="H583" i="14"/>
  <c r="H578" i="14"/>
  <c r="G578" i="14"/>
  <c r="G570" i="14"/>
  <c r="H157" i="14"/>
  <c r="G157" i="14"/>
  <c r="H425" i="14"/>
  <c r="G425" i="14"/>
  <c r="H417" i="14"/>
  <c r="G417" i="14"/>
  <c r="H409" i="14"/>
  <c r="G409" i="14"/>
  <c r="H401" i="14"/>
  <c r="G401" i="14"/>
  <c r="H282" i="14"/>
  <c r="G282" i="14"/>
  <c r="H562" i="14"/>
  <c r="G562" i="14"/>
  <c r="H369" i="14"/>
  <c r="G369" i="14"/>
  <c r="H421" i="14"/>
  <c r="G421" i="14"/>
  <c r="H413" i="14"/>
  <c r="G413" i="14"/>
  <c r="H405" i="14"/>
  <c r="G405" i="14"/>
  <c r="G305" i="14"/>
  <c r="H305" i="14"/>
  <c r="G308" i="14"/>
  <c r="G276" i="14"/>
  <c r="H232" i="14"/>
  <c r="H175" i="14"/>
  <c r="H129" i="14"/>
  <c r="H121" i="14"/>
  <c r="H117" i="14"/>
  <c r="G100" i="14"/>
  <c r="H59" i="14"/>
  <c r="H44" i="14"/>
  <c r="H520" i="14"/>
  <c r="H504" i="14"/>
  <c r="G385" i="14"/>
  <c r="G353" i="14"/>
  <c r="G314" i="14"/>
  <c r="G304" i="14"/>
  <c r="G292" i="14"/>
  <c r="H255" i="14"/>
  <c r="H248" i="14"/>
  <c r="H244" i="14"/>
  <c r="G132" i="14"/>
  <c r="G473" i="14"/>
  <c r="G465" i="14"/>
  <c r="G429" i="14"/>
  <c r="G310" i="14"/>
  <c r="H96" i="14"/>
  <c r="G47" i="14"/>
  <c r="H554" i="14"/>
  <c r="G554" i="14"/>
  <c r="G566" i="14"/>
  <c r="G542" i="14"/>
  <c r="H492" i="14"/>
  <c r="G492" i="14"/>
  <c r="H488" i="14"/>
  <c r="G488" i="14"/>
  <c r="H441" i="14"/>
  <c r="G441" i="14"/>
  <c r="H437" i="14"/>
  <c r="G437" i="14"/>
  <c r="H393" i="14"/>
  <c r="G393" i="14"/>
  <c r="H381" i="14"/>
  <c r="G381" i="14"/>
  <c r="H361" i="14"/>
  <c r="G361" i="14"/>
  <c r="H349" i="14"/>
  <c r="G349" i="14"/>
  <c r="H337" i="14"/>
  <c r="G337" i="14"/>
  <c r="H318" i="14"/>
  <c r="G318" i="14"/>
  <c r="G574" i="14"/>
  <c r="G558" i="14"/>
  <c r="G530" i="14"/>
  <c r="H522" i="14"/>
  <c r="G522" i="14"/>
  <c r="G514" i="14"/>
  <c r="H506" i="14"/>
  <c r="G506" i="14"/>
  <c r="H546" i="14"/>
  <c r="G546" i="14"/>
  <c r="G538" i="14"/>
  <c r="H528" i="14"/>
  <c r="G528" i="14"/>
  <c r="H512" i="14"/>
  <c r="G512" i="14"/>
  <c r="H481" i="14"/>
  <c r="G481" i="14"/>
  <c r="H449" i="14"/>
  <c r="G449" i="14"/>
  <c r="H397" i="14"/>
  <c r="G397" i="14"/>
  <c r="H377" i="14"/>
  <c r="G377" i="14"/>
  <c r="H365" i="14"/>
  <c r="G365" i="14"/>
  <c r="H345" i="14"/>
  <c r="G345" i="14"/>
  <c r="G496" i="14"/>
  <c r="G457" i="14"/>
  <c r="G435" i="14"/>
  <c r="G433" i="14"/>
  <c r="G389" i="14"/>
  <c r="G373" i="14"/>
  <c r="G357" i="14"/>
  <c r="G341" i="14"/>
  <c r="G306" i="14"/>
  <c r="G291" i="14"/>
  <c r="H291" i="14"/>
  <c r="H322" i="14"/>
  <c r="G322" i="14"/>
  <c r="H320" i="14"/>
  <c r="G320" i="14"/>
  <c r="H302" i="14"/>
  <c r="G302" i="14"/>
  <c r="H217" i="14"/>
  <c r="G217" i="14"/>
  <c r="H201" i="14"/>
  <c r="G201" i="14"/>
  <c r="H471" i="14"/>
  <c r="H463" i="14"/>
  <c r="H290" i="14"/>
  <c r="G290" i="14"/>
  <c r="H286" i="14"/>
  <c r="G286" i="14"/>
  <c r="H284" i="14"/>
  <c r="G284" i="14"/>
  <c r="H274" i="14"/>
  <c r="G274" i="14"/>
  <c r="H266" i="14"/>
  <c r="G266" i="14"/>
  <c r="H262" i="14"/>
  <c r="G262" i="14"/>
  <c r="G439" i="14"/>
  <c r="G330" i="14"/>
  <c r="H298" i="14"/>
  <c r="G298" i="14"/>
  <c r="H278" i="14"/>
  <c r="G278" i="14"/>
  <c r="H270" i="14"/>
  <c r="G270" i="14"/>
  <c r="H252" i="14"/>
  <c r="H236" i="14"/>
  <c r="H67" i="14"/>
  <c r="G67" i="14"/>
  <c r="H30" i="14"/>
  <c r="G30" i="14"/>
  <c r="H14" i="14"/>
  <c r="G14" i="14"/>
  <c r="G254" i="14"/>
  <c r="G209" i="14"/>
  <c r="G193" i="14"/>
  <c r="G185" i="14"/>
  <c r="H169" i="14"/>
  <c r="G169" i="14"/>
  <c r="H124" i="14"/>
  <c r="G124" i="14"/>
  <c r="H75" i="14"/>
  <c r="G75" i="14"/>
  <c r="H46" i="14"/>
  <c r="G46" i="14"/>
  <c r="H177" i="14"/>
  <c r="G177" i="14"/>
  <c r="H149" i="14"/>
  <c r="G149" i="14"/>
  <c r="H145" i="14"/>
  <c r="G145" i="14"/>
  <c r="G134" i="14"/>
  <c r="H134" i="14"/>
  <c r="G110" i="14"/>
  <c r="H110" i="14"/>
  <c r="H83" i="14"/>
  <c r="G83" i="14"/>
  <c r="H26" i="14"/>
  <c r="G26" i="14"/>
  <c r="G260" i="14"/>
  <c r="G251" i="14"/>
  <c r="H240" i="14"/>
  <c r="H173" i="14"/>
  <c r="G173" i="14"/>
  <c r="H165" i="14"/>
  <c r="G165" i="14"/>
  <c r="H161" i="14"/>
  <c r="G161" i="14"/>
  <c r="H91" i="14"/>
  <c r="G91" i="14"/>
  <c r="H38" i="14"/>
  <c r="G38" i="14"/>
  <c r="H133" i="14"/>
  <c r="H113" i="14"/>
  <c r="H101" i="14"/>
  <c r="H97" i="14"/>
  <c r="H39" i="14"/>
  <c r="G141" i="14"/>
  <c r="G137" i="14"/>
  <c r="H126" i="14"/>
  <c r="H125" i="14"/>
  <c r="G116" i="14"/>
  <c r="G103" i="14"/>
  <c r="G87" i="14"/>
  <c r="G79" i="14"/>
  <c r="G71" i="14"/>
  <c r="H64" i="14"/>
  <c r="H56" i="14"/>
  <c r="G42" i="14"/>
  <c r="H40" i="14"/>
  <c r="G22" i="14"/>
  <c r="H118" i="14"/>
  <c r="G95" i="14"/>
  <c r="G62" i="14"/>
  <c r="G61" i="14"/>
  <c r="G54" i="14"/>
  <c r="G53" i="14"/>
  <c r="G34" i="14"/>
  <c r="G18" i="14"/>
  <c r="G556" i="14"/>
  <c r="H556" i="14"/>
  <c r="G547" i="14"/>
  <c r="H547" i="14"/>
  <c r="G540" i="14"/>
  <c r="H540" i="14"/>
  <c r="H577" i="14"/>
  <c r="G577" i="14"/>
  <c r="G576" i="14"/>
  <c r="H576" i="14"/>
  <c r="H573" i="14"/>
  <c r="G573" i="14"/>
  <c r="G572" i="14"/>
  <c r="H572" i="14"/>
  <c r="H569" i="14"/>
  <c r="G569" i="14"/>
  <c r="G568" i="14"/>
  <c r="H568" i="14"/>
  <c r="H565" i="14"/>
  <c r="G565" i="14"/>
  <c r="G564" i="14"/>
  <c r="H564" i="14"/>
  <c r="H561" i="14"/>
  <c r="G561" i="14"/>
  <c r="G560" i="14"/>
  <c r="H560" i="14"/>
  <c r="G552" i="14"/>
  <c r="H552" i="14"/>
  <c r="G543" i="14"/>
  <c r="H543" i="14"/>
  <c r="G536" i="14"/>
  <c r="H536" i="14"/>
  <c r="G527" i="14"/>
  <c r="H527" i="14"/>
  <c r="G521" i="14"/>
  <c r="H521" i="14"/>
  <c r="G511" i="14"/>
  <c r="H511" i="14"/>
  <c r="G505" i="14"/>
  <c r="H505" i="14"/>
  <c r="G555" i="14"/>
  <c r="H555" i="14"/>
  <c r="G548" i="14"/>
  <c r="H548" i="14"/>
  <c r="G539" i="14"/>
  <c r="H539" i="14"/>
  <c r="H581" i="14"/>
  <c r="G581" i="14"/>
  <c r="H580" i="14"/>
  <c r="H579" i="14"/>
  <c r="H575" i="14"/>
  <c r="H571" i="14"/>
  <c r="H567" i="14"/>
  <c r="H563" i="14"/>
  <c r="H559" i="14"/>
  <c r="G551" i="14"/>
  <c r="H551" i="14"/>
  <c r="G544" i="14"/>
  <c r="H544" i="14"/>
  <c r="G535" i="14"/>
  <c r="H535" i="14"/>
  <c r="G529" i="14"/>
  <c r="H529" i="14"/>
  <c r="G519" i="14"/>
  <c r="H519" i="14"/>
  <c r="G513" i="14"/>
  <c r="H513" i="14"/>
  <c r="G503" i="14"/>
  <c r="H503" i="14"/>
  <c r="G557" i="14"/>
  <c r="G553" i="14"/>
  <c r="G549" i="14"/>
  <c r="G545" i="14"/>
  <c r="G541" i="14"/>
  <c r="G537" i="14"/>
  <c r="H533" i="14"/>
  <c r="G531" i="14"/>
  <c r="H525" i="14"/>
  <c r="G523" i="14"/>
  <c r="H517" i="14"/>
  <c r="G515" i="14"/>
  <c r="H509" i="14"/>
  <c r="G507" i="14"/>
  <c r="H501" i="14"/>
  <c r="G499" i="14"/>
  <c r="G498" i="14"/>
  <c r="H498" i="14"/>
  <c r="H497" i="14"/>
  <c r="G495" i="14"/>
  <c r="G494" i="14"/>
  <c r="H494" i="14"/>
  <c r="H493" i="14"/>
  <c r="G491" i="14"/>
  <c r="H486" i="14"/>
  <c r="G476" i="14"/>
  <c r="H476" i="14"/>
  <c r="G462" i="14"/>
  <c r="H462" i="14"/>
  <c r="G448" i="14"/>
  <c r="H448" i="14"/>
  <c r="G430" i="14"/>
  <c r="H430" i="14"/>
  <c r="G487" i="14"/>
  <c r="H487" i="14"/>
  <c r="G484" i="14"/>
  <c r="H484" i="14"/>
  <c r="G475" i="14"/>
  <c r="H475" i="14"/>
  <c r="G474" i="14"/>
  <c r="H474" i="14"/>
  <c r="G472" i="14"/>
  <c r="H472" i="14"/>
  <c r="G456" i="14"/>
  <c r="H456" i="14"/>
  <c r="G432" i="14"/>
  <c r="H432" i="14"/>
  <c r="G426" i="14"/>
  <c r="H426" i="14"/>
  <c r="H532" i="14"/>
  <c r="H524" i="14"/>
  <c r="H516" i="14"/>
  <c r="H508" i="14"/>
  <c r="G483" i="14"/>
  <c r="H483" i="14"/>
  <c r="G482" i="14"/>
  <c r="H482" i="14"/>
  <c r="G480" i="14"/>
  <c r="H480" i="14"/>
  <c r="G464" i="14"/>
  <c r="H464" i="14"/>
  <c r="G446" i="14"/>
  <c r="H446" i="14"/>
  <c r="G428" i="14"/>
  <c r="H428" i="14"/>
  <c r="G534" i="14"/>
  <c r="G526" i="14"/>
  <c r="G518" i="14"/>
  <c r="G510" i="14"/>
  <c r="G502" i="14"/>
  <c r="H489" i="14"/>
  <c r="H478" i="14"/>
  <c r="G468" i="14"/>
  <c r="H468" i="14"/>
  <c r="G454" i="14"/>
  <c r="H454" i="14"/>
  <c r="G440" i="14"/>
  <c r="H440" i="14"/>
  <c r="H424" i="14"/>
  <c r="G424" i="14"/>
  <c r="H420" i="14"/>
  <c r="G420" i="14"/>
  <c r="H416" i="14"/>
  <c r="G416" i="14"/>
  <c r="H412" i="14"/>
  <c r="G412" i="14"/>
  <c r="H408" i="14"/>
  <c r="G408" i="14"/>
  <c r="H404" i="14"/>
  <c r="G404" i="14"/>
  <c r="H400" i="14"/>
  <c r="G400" i="14"/>
  <c r="H396" i="14"/>
  <c r="G396" i="14"/>
  <c r="G390" i="14"/>
  <c r="H390" i="14"/>
  <c r="G387" i="14"/>
  <c r="H387" i="14"/>
  <c r="G374" i="14"/>
  <c r="H374" i="14"/>
  <c r="G371" i="14"/>
  <c r="H371" i="14"/>
  <c r="G358" i="14"/>
  <c r="H358" i="14"/>
  <c r="G355" i="14"/>
  <c r="H355" i="14"/>
  <c r="G342" i="14"/>
  <c r="H342" i="14"/>
  <c r="G339" i="14"/>
  <c r="H339" i="14"/>
  <c r="G329" i="14"/>
  <c r="H329" i="14"/>
  <c r="G327" i="14"/>
  <c r="H327" i="14"/>
  <c r="H490" i="14"/>
  <c r="H467" i="14"/>
  <c r="H459" i="14"/>
  <c r="H451" i="14"/>
  <c r="H443" i="14"/>
  <c r="G431" i="14"/>
  <c r="G423" i="14"/>
  <c r="H423" i="14"/>
  <c r="G419" i="14"/>
  <c r="H419" i="14"/>
  <c r="G415" i="14"/>
  <c r="H415" i="14"/>
  <c r="G411" i="14"/>
  <c r="H411" i="14"/>
  <c r="G407" i="14"/>
  <c r="H407" i="14"/>
  <c r="G403" i="14"/>
  <c r="H403" i="14"/>
  <c r="G399" i="14"/>
  <c r="H399" i="14"/>
  <c r="G395" i="14"/>
  <c r="H395" i="14"/>
  <c r="G386" i="14"/>
  <c r="H386" i="14"/>
  <c r="G383" i="14"/>
  <c r="H383" i="14"/>
  <c r="G370" i="14"/>
  <c r="H370" i="14"/>
  <c r="G367" i="14"/>
  <c r="H367" i="14"/>
  <c r="G354" i="14"/>
  <c r="H354" i="14"/>
  <c r="G351" i="14"/>
  <c r="H351" i="14"/>
  <c r="G338" i="14"/>
  <c r="H338" i="14"/>
  <c r="G335" i="14"/>
  <c r="H335" i="14"/>
  <c r="G321" i="14"/>
  <c r="H321" i="14"/>
  <c r="G319" i="14"/>
  <c r="H319" i="14"/>
  <c r="G315" i="14"/>
  <c r="H315" i="14"/>
  <c r="G299" i="14"/>
  <c r="H299" i="14"/>
  <c r="G295" i="14"/>
  <c r="H295" i="14"/>
  <c r="G485" i="14"/>
  <c r="G477" i="14"/>
  <c r="G469" i="14"/>
  <c r="H466" i="14"/>
  <c r="G461" i="14"/>
  <c r="H458" i="14"/>
  <c r="G453" i="14"/>
  <c r="H450" i="14"/>
  <c r="G445" i="14"/>
  <c r="H442" i="14"/>
  <c r="H438" i="14"/>
  <c r="G427" i="14"/>
  <c r="H422" i="14"/>
  <c r="H418" i="14"/>
  <c r="H414" i="14"/>
  <c r="H410" i="14"/>
  <c r="H406" i="14"/>
  <c r="H402" i="14"/>
  <c r="H398" i="14"/>
  <c r="G382" i="14"/>
  <c r="H382" i="14"/>
  <c r="G379" i="14"/>
  <c r="H379" i="14"/>
  <c r="G366" i="14"/>
  <c r="H366" i="14"/>
  <c r="G363" i="14"/>
  <c r="H363" i="14"/>
  <c r="G350" i="14"/>
  <c r="H350" i="14"/>
  <c r="G347" i="14"/>
  <c r="H347" i="14"/>
  <c r="G334" i="14"/>
  <c r="H334" i="14"/>
  <c r="G311" i="14"/>
  <c r="H311" i="14"/>
  <c r="G301" i="14"/>
  <c r="H301" i="14"/>
  <c r="G297" i="14"/>
  <c r="H297" i="14"/>
  <c r="H460" i="14"/>
  <c r="H452" i="14"/>
  <c r="H444" i="14"/>
  <c r="H436" i="14"/>
  <c r="H434" i="14"/>
  <c r="G394" i="14"/>
  <c r="H394" i="14"/>
  <c r="G391" i="14"/>
  <c r="H391" i="14"/>
  <c r="G378" i="14"/>
  <c r="H378" i="14"/>
  <c r="G375" i="14"/>
  <c r="H375" i="14"/>
  <c r="G362" i="14"/>
  <c r="H362" i="14"/>
  <c r="G359" i="14"/>
  <c r="H359" i="14"/>
  <c r="G346" i="14"/>
  <c r="H346" i="14"/>
  <c r="G343" i="14"/>
  <c r="H343" i="14"/>
  <c r="G313" i="14"/>
  <c r="H313" i="14"/>
  <c r="G392" i="14"/>
  <c r="G388" i="14"/>
  <c r="G384" i="14"/>
  <c r="G380" i="14"/>
  <c r="G376" i="14"/>
  <c r="G372" i="14"/>
  <c r="G368" i="14"/>
  <c r="G364" i="14"/>
  <c r="G360" i="14"/>
  <c r="G356" i="14"/>
  <c r="G352" i="14"/>
  <c r="G348" i="14"/>
  <c r="G344" i="14"/>
  <c r="G340" i="14"/>
  <c r="G336" i="14"/>
  <c r="H333" i="14"/>
  <c r="G331" i="14"/>
  <c r="H325" i="14"/>
  <c r="G323" i="14"/>
  <c r="H317" i="14"/>
  <c r="G312" i="14"/>
  <c r="H309" i="14"/>
  <c r="H307" i="14"/>
  <c r="G296" i="14"/>
  <c r="H293" i="14"/>
  <c r="G288" i="14"/>
  <c r="H288" i="14"/>
  <c r="G287" i="14"/>
  <c r="H287" i="14"/>
  <c r="G281" i="14"/>
  <c r="H281" i="14"/>
  <c r="G277" i="14"/>
  <c r="H277" i="14"/>
  <c r="G261" i="14"/>
  <c r="H261" i="14"/>
  <c r="G280" i="14"/>
  <c r="H280" i="14"/>
  <c r="G279" i="14"/>
  <c r="H279" i="14"/>
  <c r="G273" i="14"/>
  <c r="H273" i="14"/>
  <c r="H259" i="14"/>
  <c r="G259" i="14"/>
  <c r="H332" i="14"/>
  <c r="H324" i="14"/>
  <c r="H316" i="14"/>
  <c r="G300" i="14"/>
  <c r="G289" i="14"/>
  <c r="H289" i="14"/>
  <c r="G285" i="14"/>
  <c r="H285" i="14"/>
  <c r="H275" i="14"/>
  <c r="G269" i="14"/>
  <c r="H269" i="14"/>
  <c r="H267" i="14"/>
  <c r="G267" i="14"/>
  <c r="H272" i="14"/>
  <c r="H264" i="14"/>
  <c r="G258" i="14"/>
  <c r="H257" i="14"/>
  <c r="G257" i="14"/>
  <c r="H271" i="14"/>
  <c r="H263" i="14"/>
  <c r="H256" i="14"/>
  <c r="H253" i="14"/>
  <c r="G253" i="14"/>
  <c r="G247" i="14"/>
  <c r="G243" i="14"/>
  <c r="G239" i="14"/>
  <c r="G235" i="14"/>
  <c r="G231" i="14"/>
  <c r="G228" i="14"/>
  <c r="H228" i="14"/>
  <c r="G224" i="14"/>
  <c r="H224" i="14"/>
  <c r="G220" i="14"/>
  <c r="H220" i="14"/>
  <c r="G216" i="14"/>
  <c r="H216" i="14"/>
  <c r="G206" i="14"/>
  <c r="H206" i="14"/>
  <c r="G200" i="14"/>
  <c r="H200" i="14"/>
  <c r="G190" i="14"/>
  <c r="H190" i="14"/>
  <c r="G184" i="14"/>
  <c r="H184" i="14"/>
  <c r="G174" i="14"/>
  <c r="H174" i="14"/>
  <c r="H265" i="14"/>
  <c r="G250" i="14"/>
  <c r="H249" i="14"/>
  <c r="G249" i="14"/>
  <c r="G246" i="14"/>
  <c r="H246" i="14"/>
  <c r="G242" i="14"/>
  <c r="H242" i="14"/>
  <c r="G238" i="14"/>
  <c r="H238" i="14"/>
  <c r="G234" i="14"/>
  <c r="H234" i="14"/>
  <c r="G227" i="14"/>
  <c r="H227" i="14"/>
  <c r="G223" i="14"/>
  <c r="H223" i="14"/>
  <c r="G219" i="14"/>
  <c r="H219" i="14"/>
  <c r="G214" i="14"/>
  <c r="H214" i="14"/>
  <c r="G208" i="14"/>
  <c r="H208" i="14"/>
  <c r="G198" i="14"/>
  <c r="H198" i="14"/>
  <c r="G192" i="14"/>
  <c r="H192" i="14"/>
  <c r="G182" i="14"/>
  <c r="H182" i="14"/>
  <c r="G176" i="14"/>
  <c r="H176" i="14"/>
  <c r="G172" i="14"/>
  <c r="H172" i="14"/>
  <c r="G245" i="14"/>
  <c r="G241" i="14"/>
  <c r="G237" i="14"/>
  <c r="G233" i="14"/>
  <c r="H230" i="14"/>
  <c r="G229" i="14"/>
  <c r="H226" i="14"/>
  <c r="G225" i="14"/>
  <c r="H222" i="14"/>
  <c r="G221" i="14"/>
  <c r="H218" i="14"/>
  <c r="G213" i="14"/>
  <c r="G211" i="14"/>
  <c r="H210" i="14"/>
  <c r="G205" i="14"/>
  <c r="G203" i="14"/>
  <c r="H202" i="14"/>
  <c r="G197" i="14"/>
  <c r="G195" i="14"/>
  <c r="H194" i="14"/>
  <c r="G189" i="14"/>
  <c r="G187" i="14"/>
  <c r="H186" i="14"/>
  <c r="G181" i="14"/>
  <c r="G179" i="14"/>
  <c r="H178" i="14"/>
  <c r="H170" i="14"/>
  <c r="H166" i="14"/>
  <c r="G158" i="14"/>
  <c r="H158" i="14"/>
  <c r="G155" i="14"/>
  <c r="H155" i="14"/>
  <c r="H144" i="14"/>
  <c r="G144" i="14"/>
  <c r="H140" i="14"/>
  <c r="G140" i="14"/>
  <c r="G130" i="14"/>
  <c r="H130" i="14"/>
  <c r="G112" i="14"/>
  <c r="H112" i="14"/>
  <c r="H212" i="14"/>
  <c r="H204" i="14"/>
  <c r="H196" i="14"/>
  <c r="H188" i="14"/>
  <c r="H180" i="14"/>
  <c r="G171" i="14"/>
  <c r="G154" i="14"/>
  <c r="H154" i="14"/>
  <c r="G151" i="14"/>
  <c r="H151" i="14"/>
  <c r="G136" i="14"/>
  <c r="H136" i="14"/>
  <c r="G122" i="14"/>
  <c r="H122" i="14"/>
  <c r="H168" i="14"/>
  <c r="G168" i="14"/>
  <c r="G163" i="14"/>
  <c r="H163" i="14"/>
  <c r="G150" i="14"/>
  <c r="H150" i="14"/>
  <c r="G147" i="14"/>
  <c r="H147" i="14"/>
  <c r="G143" i="14"/>
  <c r="H143" i="14"/>
  <c r="G139" i="14"/>
  <c r="H139" i="14"/>
  <c r="G128" i="14"/>
  <c r="H128" i="14"/>
  <c r="G114" i="14"/>
  <c r="H114" i="14"/>
  <c r="G167" i="14"/>
  <c r="H167" i="14"/>
  <c r="G162" i="14"/>
  <c r="H162" i="14"/>
  <c r="G159" i="14"/>
  <c r="H159" i="14"/>
  <c r="G146" i="14"/>
  <c r="H146" i="14"/>
  <c r="G142" i="14"/>
  <c r="H142" i="14"/>
  <c r="G138" i="14"/>
  <c r="H138" i="14"/>
  <c r="G120" i="14"/>
  <c r="H120" i="14"/>
  <c r="G164" i="14"/>
  <c r="G160" i="14"/>
  <c r="G156" i="14"/>
  <c r="G152" i="14"/>
  <c r="G148" i="14"/>
  <c r="G135" i="14"/>
  <c r="G127" i="14"/>
  <c r="G119" i="14"/>
  <c r="G111" i="14"/>
  <c r="H108" i="14"/>
  <c r="G107" i="14"/>
  <c r="H106" i="14"/>
  <c r="G106" i="14"/>
  <c r="H92" i="14"/>
  <c r="H105" i="14"/>
  <c r="H102" i="14"/>
  <c r="G102" i="14"/>
  <c r="H94" i="14"/>
  <c r="G94" i="14"/>
  <c r="H88" i="14"/>
  <c r="G84" i="14"/>
  <c r="H84" i="14"/>
  <c r="G81" i="14"/>
  <c r="H81" i="14"/>
  <c r="G76" i="14"/>
  <c r="H76" i="14"/>
  <c r="G73" i="14"/>
  <c r="H73" i="14"/>
  <c r="G68" i="14"/>
  <c r="H68" i="14"/>
  <c r="G60" i="14"/>
  <c r="H60" i="14"/>
  <c r="G52" i="14"/>
  <c r="H52" i="14"/>
  <c r="G131" i="14"/>
  <c r="G123" i="14"/>
  <c r="G115" i="14"/>
  <c r="G99" i="14"/>
  <c r="H98" i="14"/>
  <c r="G98" i="14"/>
  <c r="G93" i="14"/>
  <c r="H93" i="14"/>
  <c r="H90" i="14"/>
  <c r="G90" i="14"/>
  <c r="G89" i="14"/>
  <c r="H89" i="14"/>
  <c r="G85" i="14"/>
  <c r="H85" i="14"/>
  <c r="G80" i="14"/>
  <c r="H80" i="14"/>
  <c r="G77" i="14"/>
  <c r="H77" i="14"/>
  <c r="G72" i="14"/>
  <c r="H72" i="14"/>
  <c r="G69" i="14"/>
  <c r="H69" i="14"/>
  <c r="G66" i="14"/>
  <c r="H66" i="14"/>
  <c r="G58" i="14"/>
  <c r="H58" i="14"/>
  <c r="G50" i="14"/>
  <c r="H50" i="14"/>
  <c r="G86" i="14"/>
  <c r="G82" i="14"/>
  <c r="G78" i="14"/>
  <c r="G74" i="14"/>
  <c r="G70" i="14"/>
  <c r="G65" i="14"/>
  <c r="G63" i="14"/>
  <c r="G57" i="14"/>
  <c r="G55" i="14"/>
  <c r="G49" i="14"/>
  <c r="G37" i="14"/>
  <c r="H37" i="14"/>
  <c r="H36" i="14"/>
  <c r="G36" i="14"/>
  <c r="H28" i="14"/>
  <c r="G28" i="14"/>
  <c r="G19" i="14"/>
  <c r="H19" i="14"/>
  <c r="G45" i="14"/>
  <c r="H45" i="14"/>
  <c r="G41" i="14"/>
  <c r="H41" i="14"/>
  <c r="G31" i="14"/>
  <c r="H31" i="14"/>
  <c r="H24" i="14"/>
  <c r="G24" i="14"/>
  <c r="G15" i="14"/>
  <c r="H15" i="14"/>
  <c r="H12" i="14"/>
  <c r="G12" i="14"/>
  <c r="G10" i="14"/>
  <c r="H10" i="14"/>
  <c r="G27" i="14"/>
  <c r="H27" i="14"/>
  <c r="H20" i="14"/>
  <c r="G20" i="14"/>
  <c r="H32" i="14"/>
  <c r="G32" i="14"/>
  <c r="G23" i="14"/>
  <c r="H23" i="14"/>
  <c r="H16" i="14"/>
  <c r="G16" i="14"/>
  <c r="G11" i="14"/>
  <c r="H11" i="14"/>
  <c r="H33" i="14"/>
  <c r="H29" i="14"/>
  <c r="H25" i="14"/>
  <c r="H21" i="14"/>
  <c r="H17" i="14"/>
  <c r="H13" i="14"/>
  <c r="G9" i="14"/>
  <c r="I9" i="14"/>
  <c r="L9" i="14" s="1"/>
  <c r="U88" i="3"/>
  <c r="U56" i="3"/>
  <c r="U36" i="3"/>
  <c r="U83" i="3"/>
  <c r="U62" i="3"/>
  <c r="U89" i="3"/>
  <c r="U90" i="3"/>
  <c r="U91" i="3"/>
  <c r="U28" i="3"/>
  <c r="U84" i="3"/>
  <c r="U65" i="3"/>
  <c r="U92" i="3"/>
  <c r="U73" i="3"/>
  <c r="U94" i="3"/>
  <c r="U95" i="3"/>
  <c r="U96" i="3"/>
  <c r="U64" i="3"/>
  <c r="U85" i="3"/>
  <c r="U98" i="3"/>
  <c r="U99" i="3"/>
  <c r="U100" i="3"/>
  <c r="U102" i="3"/>
  <c r="U103" i="3"/>
  <c r="U20" i="3"/>
  <c r="U105" i="3"/>
  <c r="U106" i="3"/>
  <c r="U107" i="3"/>
  <c r="U21" i="3"/>
  <c r="U108" i="3"/>
  <c r="U109" i="3"/>
  <c r="U111" i="3"/>
  <c r="U47" i="3"/>
  <c r="U52" i="3"/>
  <c r="U50" i="3"/>
  <c r="U22" i="3"/>
  <c r="U66" i="3"/>
  <c r="U49" i="3"/>
  <c r="U113" i="3"/>
  <c r="U40" i="3"/>
  <c r="U54" i="3"/>
  <c r="U75" i="3"/>
  <c r="U114" i="3"/>
  <c r="U116" i="3"/>
  <c r="U117" i="3"/>
  <c r="U118" i="3"/>
  <c r="U119" i="3"/>
  <c r="U26" i="3"/>
  <c r="U29" i="3"/>
  <c r="U121" i="3"/>
  <c r="U122" i="3"/>
  <c r="U123" i="3"/>
  <c r="U125" i="3"/>
  <c r="U39" i="3"/>
  <c r="U126" i="3"/>
  <c r="U127" i="3"/>
  <c r="U128" i="3"/>
  <c r="U129" i="3"/>
  <c r="U57" i="3"/>
  <c r="U131" i="3"/>
  <c r="U132" i="3"/>
  <c r="U133" i="3"/>
  <c r="U48" i="3"/>
  <c r="U58" i="3"/>
  <c r="U134" i="3"/>
  <c r="U135" i="3"/>
  <c r="U63" i="3"/>
  <c r="U74" i="3"/>
  <c r="U72" i="3"/>
  <c r="U136" i="3"/>
  <c r="U138" i="3"/>
  <c r="U139" i="3"/>
  <c r="U76" i="3"/>
  <c r="U141" i="3"/>
  <c r="U142" i="3"/>
  <c r="U35" i="3"/>
  <c r="U55" i="3"/>
  <c r="U42" i="3"/>
  <c r="U143" i="3"/>
  <c r="U80" i="3"/>
  <c r="U145" i="3"/>
  <c r="U81" i="3"/>
  <c r="U46" i="3"/>
  <c r="U69" i="3"/>
  <c r="U43" i="3"/>
  <c r="U60" i="3"/>
  <c r="U41" i="3"/>
  <c r="U45" i="3"/>
  <c r="U149" i="3"/>
  <c r="U67" i="3"/>
  <c r="U150" i="3"/>
  <c r="U152" i="3"/>
  <c r="U25" i="3"/>
  <c r="U23" i="3"/>
  <c r="U154" i="3"/>
  <c r="U155" i="3"/>
  <c r="U156" i="3"/>
  <c r="U33" i="3"/>
  <c r="U158" i="3"/>
  <c r="U159" i="3"/>
  <c r="U71" i="3"/>
  <c r="U161" i="3"/>
  <c r="U162" i="3"/>
  <c r="U164" i="3"/>
  <c r="U82" i="3"/>
  <c r="U165" i="3"/>
  <c r="U166" i="3"/>
  <c r="U167" i="3"/>
  <c r="U30" i="3"/>
  <c r="U169" i="3"/>
  <c r="U77" i="3"/>
  <c r="U86" i="3"/>
  <c r="U171" i="3"/>
  <c r="U70" i="3"/>
  <c r="U172" i="3"/>
  <c r="U174" i="3"/>
  <c r="U87" i="3"/>
  <c r="U53" i="3"/>
  <c r="B112" i="11"/>
  <c r="U37" i="3"/>
  <c r="U173" i="3"/>
  <c r="U170" i="3"/>
  <c r="U168" i="3"/>
  <c r="U32" i="3"/>
  <c r="U163" i="3"/>
  <c r="U160" i="3"/>
  <c r="U157" i="3"/>
  <c r="U153" i="3"/>
  <c r="U151" i="3"/>
  <c r="U148" i="3"/>
  <c r="U147" i="3"/>
  <c r="U146" i="3"/>
  <c r="U144" i="3"/>
  <c r="U38" i="3"/>
  <c r="U140" i="3"/>
  <c r="U137" i="3"/>
  <c r="U79" i="3"/>
  <c r="U59" i="3"/>
  <c r="U68" i="3"/>
  <c r="U130" i="3"/>
  <c r="U34" i="3"/>
  <c r="U124" i="3"/>
  <c r="U120" i="3"/>
  <c r="U61" i="3"/>
  <c r="U115" i="3"/>
  <c r="U27" i="3"/>
  <c r="U112" i="3"/>
  <c r="U24" i="3"/>
  <c r="U110" i="3"/>
  <c r="U31" i="3"/>
  <c r="U104" i="3"/>
  <c r="U101" i="3"/>
  <c r="U97" i="3"/>
  <c r="U78" i="3"/>
  <c r="U93" i="3"/>
  <c r="U51" i="3"/>
  <c r="U44" i="3"/>
  <c r="B93" i="11"/>
  <c r="E104" i="11"/>
  <c r="F104" i="11"/>
  <c r="G104" i="11"/>
  <c r="H104" i="11"/>
  <c r="D104" i="11"/>
  <c r="T110" i="3"/>
  <c r="AC87" i="3"/>
  <c r="AC88" i="3"/>
  <c r="AC56" i="3"/>
  <c r="AC36" i="3"/>
  <c r="AC37" i="3"/>
  <c r="AC83" i="3"/>
  <c r="AC62" i="3"/>
  <c r="AC89" i="3"/>
  <c r="AC44" i="3"/>
  <c r="AC90" i="3"/>
  <c r="AC91" i="3"/>
  <c r="AC28" i="3"/>
  <c r="AC51" i="3"/>
  <c r="AC84" i="3"/>
  <c r="AC65" i="3"/>
  <c r="AC92" i="3"/>
  <c r="AC93" i="3"/>
  <c r="AC73" i="3"/>
  <c r="AC94" i="3"/>
  <c r="AC95" i="3"/>
  <c r="AC78" i="3"/>
  <c r="AC96" i="3"/>
  <c r="AC64" i="3"/>
  <c r="AC85" i="3"/>
  <c r="AC97" i="3"/>
  <c r="AC98" i="3"/>
  <c r="AC99" i="3"/>
  <c r="AC100" i="3"/>
  <c r="AC101" i="3"/>
  <c r="AC102" i="3"/>
  <c r="AC103" i="3"/>
  <c r="AC68" i="3"/>
  <c r="AC133" i="3"/>
  <c r="AC48" i="3"/>
  <c r="AC58" i="3"/>
  <c r="AC59" i="3"/>
  <c r="AC134" i="3"/>
  <c r="AC135" i="3"/>
  <c r="AC63" i="3"/>
  <c r="AC79" i="3"/>
  <c r="AC74" i="3"/>
  <c r="AC72" i="3"/>
  <c r="AC136" i="3"/>
  <c r="AC137" i="3"/>
  <c r="AC138" i="3"/>
  <c r="AC139" i="3"/>
  <c r="AC76" i="3"/>
  <c r="AC140" i="3"/>
  <c r="AC141" i="3"/>
  <c r="AC142" i="3"/>
  <c r="AC35" i="3"/>
  <c r="AC38" i="3"/>
  <c r="AC55" i="3"/>
  <c r="AC42" i="3"/>
  <c r="AC143" i="3"/>
  <c r="AC144" i="3"/>
  <c r="AC80" i="3"/>
  <c r="AC145" i="3"/>
  <c r="AC81" i="3"/>
  <c r="AC146" i="3"/>
  <c r="AC46" i="3"/>
  <c r="AC69" i="3"/>
  <c r="AC43" i="3"/>
  <c r="AC147" i="3"/>
  <c r="AC60" i="3"/>
  <c r="AC41" i="3"/>
  <c r="AC45" i="3"/>
  <c r="AC148" i="3"/>
  <c r="AC149" i="3"/>
  <c r="AC67" i="3"/>
  <c r="AC150" i="3"/>
  <c r="AC151" i="3"/>
  <c r="AC152" i="3"/>
  <c r="AC25" i="3"/>
  <c r="AC23" i="3"/>
  <c r="AC153" i="3"/>
  <c r="AC154" i="3"/>
  <c r="AC155" i="3"/>
  <c r="AC156" i="3"/>
  <c r="AC157" i="3"/>
  <c r="AC33" i="3"/>
  <c r="AC158" i="3"/>
  <c r="AC159" i="3"/>
  <c r="AC160" i="3"/>
  <c r="AC71" i="3"/>
  <c r="AC161" i="3"/>
  <c r="AC162" i="3"/>
  <c r="AC163" i="3"/>
  <c r="AC164" i="3"/>
  <c r="AC82" i="3"/>
  <c r="AC165" i="3"/>
  <c r="AC32" i="3"/>
  <c r="AC166" i="3"/>
  <c r="AC167" i="3"/>
  <c r="AC30" i="3"/>
  <c r="AC168" i="3"/>
  <c r="AC169" i="3"/>
  <c r="AC77" i="3"/>
  <c r="AC86" i="3"/>
  <c r="AC170" i="3"/>
  <c r="AC171" i="3"/>
  <c r="AC70" i="3"/>
  <c r="AC172" i="3"/>
  <c r="AC173" i="3"/>
  <c r="AC174" i="3"/>
  <c r="AC104" i="3"/>
  <c r="AC105" i="3"/>
  <c r="AC106" i="3"/>
  <c r="AC53" i="3"/>
  <c r="E103" i="11"/>
  <c r="F103" i="11"/>
  <c r="F105" i="11"/>
  <c r="G103" i="11"/>
  <c r="H103" i="11"/>
  <c r="H105" i="11"/>
  <c r="D103" i="11"/>
  <c r="D105" i="11"/>
  <c r="D106" i="11"/>
  <c r="E105" i="11"/>
  <c r="T105" i="3"/>
  <c r="T174" i="3"/>
  <c r="T170" i="3"/>
  <c r="T173" i="3"/>
  <c r="T165" i="3"/>
  <c r="T163" i="3"/>
  <c r="T160" i="3"/>
  <c r="T156" i="3"/>
  <c r="T146" i="3"/>
  <c r="T144" i="3"/>
  <c r="T140" i="3"/>
  <c r="T150" i="3"/>
  <c r="T137" i="3"/>
  <c r="T148" i="3"/>
  <c r="T117" i="3"/>
  <c r="T108" i="3"/>
  <c r="T66" i="3"/>
  <c r="T132" i="3"/>
  <c r="T120" i="3"/>
  <c r="T95" i="3"/>
  <c r="T128" i="3"/>
  <c r="T126" i="3"/>
  <c r="T89" i="3"/>
  <c r="T124" i="3"/>
  <c r="T92" i="3"/>
  <c r="T172" i="3"/>
  <c r="T121" i="3"/>
  <c r="T90" i="3"/>
  <c r="T168" i="3"/>
  <c r="T166" i="3"/>
  <c r="T162" i="3"/>
  <c r="T97" i="3"/>
  <c r="T64" i="3"/>
  <c r="T81" i="3"/>
  <c r="T143" i="3"/>
  <c r="T65" i="3"/>
  <c r="T114" i="3"/>
  <c r="T136" i="3"/>
  <c r="T47" i="3"/>
  <c r="T21" i="3"/>
  <c r="T99" i="3"/>
  <c r="T131" i="3"/>
  <c r="T94" i="3"/>
  <c r="T127" i="3"/>
  <c r="T91" i="3"/>
  <c r="T111" i="3"/>
  <c r="T107" i="3"/>
  <c r="T115" i="3"/>
  <c r="T167" i="3"/>
  <c r="T119" i="3"/>
  <c r="T158" i="3"/>
  <c r="T164" i="3"/>
  <c r="T155" i="3"/>
  <c r="T161" i="3"/>
  <c r="T69" i="3"/>
  <c r="T112" i="3"/>
  <c r="T145" i="3"/>
  <c r="T153" i="3"/>
  <c r="T96" i="3"/>
  <c r="T142" i="3"/>
  <c r="T152" i="3"/>
  <c r="T139" i="3"/>
  <c r="T40" i="3"/>
  <c r="T135" i="3"/>
  <c r="T100" i="3"/>
  <c r="T102" i="3"/>
  <c r="T133" i="3"/>
  <c r="T129" i="3"/>
  <c r="T84" i="3"/>
  <c r="T125" i="3"/>
  <c r="T88" i="3"/>
  <c r="T123" i="3"/>
  <c r="T171" i="3"/>
  <c r="T169" i="3"/>
  <c r="T113" i="3"/>
  <c r="T154" i="3"/>
  <c r="T71" i="3"/>
  <c r="T159" i="3"/>
  <c r="T157" i="3"/>
  <c r="T109" i="3"/>
  <c r="T98" i="3"/>
  <c r="T118" i="3"/>
  <c r="T106" i="3"/>
  <c r="T141" i="3"/>
  <c r="T151" i="3"/>
  <c r="T138" i="3"/>
  <c r="T149" i="3"/>
  <c r="T54" i="3"/>
  <c r="T134" i="3"/>
  <c r="T60" i="3"/>
  <c r="T147" i="3"/>
  <c r="T101" i="3"/>
  <c r="T68" i="3"/>
  <c r="T130" i="3"/>
  <c r="T116" i="3"/>
  <c r="T103" i="3"/>
  <c r="T93" i="3"/>
  <c r="T87" i="3"/>
  <c r="T122" i="3"/>
  <c r="G105" i="11"/>
  <c r="E106" i="11"/>
  <c r="F106" i="11"/>
  <c r="G106" i="11"/>
  <c r="H106" i="11"/>
  <c r="H44" i="13"/>
  <c r="H43" i="13"/>
  <c r="I38" i="3"/>
  <c r="H42" i="13"/>
  <c r="H41" i="13"/>
  <c r="I106" i="3"/>
  <c r="H40" i="13"/>
  <c r="I105" i="3"/>
  <c r="H39" i="13"/>
  <c r="H38" i="13"/>
  <c r="I20" i="3"/>
  <c r="H37" i="13"/>
  <c r="I172" i="3"/>
  <c r="H36" i="13"/>
  <c r="I150" i="3"/>
  <c r="H35" i="13"/>
  <c r="H34" i="13"/>
  <c r="H33" i="13"/>
  <c r="H32" i="13"/>
  <c r="I169" i="3"/>
  <c r="H31" i="13"/>
  <c r="I30" i="3"/>
  <c r="H30" i="13"/>
  <c r="I32" i="3"/>
  <c r="H29" i="13"/>
  <c r="H28" i="13"/>
  <c r="I154" i="3"/>
  <c r="H27" i="13"/>
  <c r="I25" i="3"/>
  <c r="H26" i="13"/>
  <c r="H25" i="13"/>
  <c r="H24" i="13"/>
  <c r="H23" i="13"/>
  <c r="H22" i="13"/>
  <c r="H21" i="13"/>
  <c r="I171" i="3"/>
  <c r="H20" i="13"/>
  <c r="H19" i="13"/>
  <c r="H18" i="13"/>
  <c r="H17" i="13"/>
  <c r="I26" i="3"/>
  <c r="H16" i="13"/>
  <c r="H15" i="13"/>
  <c r="H14" i="13"/>
  <c r="I53" i="3"/>
  <c r="F15" i="13"/>
  <c r="F16" i="13"/>
  <c r="F17" i="13"/>
  <c r="H26" i="3"/>
  <c r="F18" i="13"/>
  <c r="F19" i="13"/>
  <c r="F20" i="13"/>
  <c r="F21" i="13"/>
  <c r="H170" i="3"/>
  <c r="F22" i="13"/>
  <c r="F23" i="13"/>
  <c r="F24" i="13"/>
  <c r="F25" i="13"/>
  <c r="F26" i="13"/>
  <c r="F27" i="13"/>
  <c r="H25" i="3"/>
  <c r="F28" i="13"/>
  <c r="H155" i="3"/>
  <c r="F29" i="13"/>
  <c r="H160" i="3"/>
  <c r="F30" i="13"/>
  <c r="H167" i="3"/>
  <c r="F31" i="13"/>
  <c r="H77" i="3"/>
  <c r="F32" i="13"/>
  <c r="H169" i="3"/>
  <c r="F33" i="13"/>
  <c r="F34" i="13"/>
  <c r="H149" i="3"/>
  <c r="F35" i="13"/>
  <c r="F36" i="13"/>
  <c r="H150" i="3"/>
  <c r="F37" i="13"/>
  <c r="H173" i="3"/>
  <c r="F38" i="13"/>
  <c r="H20" i="3"/>
  <c r="F39" i="13"/>
  <c r="F40" i="13"/>
  <c r="H105" i="3"/>
  <c r="F41" i="13"/>
  <c r="H106" i="3"/>
  <c r="F42" i="13"/>
  <c r="F43" i="13"/>
  <c r="H38" i="3"/>
  <c r="F44" i="13"/>
  <c r="F14" i="13"/>
  <c r="H53" i="3"/>
  <c r="D15" i="13"/>
  <c r="D16" i="13"/>
  <c r="D17" i="13"/>
  <c r="G26" i="3"/>
  <c r="D18" i="13"/>
  <c r="D19" i="13"/>
  <c r="D20" i="13"/>
  <c r="D21" i="13"/>
  <c r="G171" i="3"/>
  <c r="D22" i="13"/>
  <c r="D23" i="13"/>
  <c r="D24" i="13"/>
  <c r="D25" i="13"/>
  <c r="D26" i="13"/>
  <c r="D27" i="13"/>
  <c r="G25" i="3"/>
  <c r="D28" i="13"/>
  <c r="D29" i="13"/>
  <c r="G159" i="3"/>
  <c r="D30" i="13"/>
  <c r="G32" i="3"/>
  <c r="D31" i="13"/>
  <c r="G30" i="3"/>
  <c r="D32" i="13"/>
  <c r="G169" i="3"/>
  <c r="D33" i="13"/>
  <c r="D34" i="13"/>
  <c r="D35" i="13"/>
  <c r="D36" i="13"/>
  <c r="D37" i="13"/>
  <c r="G70" i="3"/>
  <c r="D38" i="13"/>
  <c r="G20" i="3"/>
  <c r="D39" i="13"/>
  <c r="D40" i="13"/>
  <c r="G105" i="3"/>
  <c r="D41" i="13"/>
  <c r="G106" i="3"/>
  <c r="D42" i="13"/>
  <c r="D43" i="13"/>
  <c r="G38" i="3"/>
  <c r="D44" i="13"/>
  <c r="D14" i="13"/>
  <c r="B63" i="11"/>
  <c r="R106" i="3"/>
  <c r="R169" i="3"/>
  <c r="R150" i="3"/>
  <c r="R105" i="3"/>
  <c r="Q159" i="3"/>
  <c r="Q105" i="3"/>
  <c r="Q169" i="3"/>
  <c r="Q106" i="3"/>
  <c r="Q171" i="3"/>
  <c r="I170" i="3"/>
  <c r="R170" i="3"/>
  <c r="I167" i="3"/>
  <c r="R167" i="3"/>
  <c r="H32" i="3"/>
  <c r="I174" i="3"/>
  <c r="G77" i="3"/>
  <c r="I166" i="3"/>
  <c r="I173" i="3"/>
  <c r="R173" i="3"/>
  <c r="H30" i="3"/>
  <c r="H166" i="3"/>
  <c r="G149" i="3"/>
  <c r="G146" i="3"/>
  <c r="G148" i="3"/>
  <c r="G45" i="3"/>
  <c r="G21" i="3"/>
  <c r="G109" i="3"/>
  <c r="G111" i="3"/>
  <c r="G108" i="3"/>
  <c r="G110" i="3"/>
  <c r="G47" i="3"/>
  <c r="H81" i="3"/>
  <c r="H43" i="3"/>
  <c r="H145" i="3"/>
  <c r="H69" i="3"/>
  <c r="H41" i="3"/>
  <c r="H46" i="3"/>
  <c r="H60" i="3"/>
  <c r="H147" i="3"/>
  <c r="I24" i="3"/>
  <c r="I52" i="3"/>
  <c r="I68" i="3"/>
  <c r="I59" i="3"/>
  <c r="I79" i="3"/>
  <c r="I137" i="3"/>
  <c r="I140" i="3"/>
  <c r="I58" i="3"/>
  <c r="I63" i="3"/>
  <c r="I136" i="3"/>
  <c r="I76" i="3"/>
  <c r="I48" i="3"/>
  <c r="I135" i="3"/>
  <c r="I72" i="3"/>
  <c r="I139" i="3"/>
  <c r="I133" i="3"/>
  <c r="I134" i="3"/>
  <c r="I74" i="3"/>
  <c r="I138" i="3"/>
  <c r="G56" i="3"/>
  <c r="G62" i="3"/>
  <c r="G91" i="3"/>
  <c r="G88" i="3"/>
  <c r="G83" i="3"/>
  <c r="G90" i="3"/>
  <c r="G87" i="3"/>
  <c r="G37" i="3"/>
  <c r="G44" i="3"/>
  <c r="G36" i="3"/>
  <c r="G89" i="3"/>
  <c r="G145" i="3"/>
  <c r="G69" i="3"/>
  <c r="G41" i="3"/>
  <c r="G46" i="3"/>
  <c r="G60" i="3"/>
  <c r="G147" i="3"/>
  <c r="G81" i="3"/>
  <c r="G43" i="3"/>
  <c r="G34" i="3"/>
  <c r="G128" i="3"/>
  <c r="G129" i="3"/>
  <c r="G126" i="3"/>
  <c r="G127" i="3"/>
  <c r="G86" i="3"/>
  <c r="G42" i="3"/>
  <c r="G55" i="3"/>
  <c r="G80" i="3"/>
  <c r="G144" i="3"/>
  <c r="G143" i="3"/>
  <c r="G61" i="3"/>
  <c r="G67" i="3"/>
  <c r="G119" i="3"/>
  <c r="G150" i="3"/>
  <c r="G23" i="3"/>
  <c r="G156" i="3"/>
  <c r="G39" i="3"/>
  <c r="G125" i="3"/>
  <c r="G50" i="3"/>
  <c r="G66" i="3"/>
  <c r="G49" i="3"/>
  <c r="G22" i="3"/>
  <c r="G112" i="3"/>
  <c r="G113" i="3"/>
  <c r="G107" i="3"/>
  <c r="G31" i="3"/>
  <c r="H58" i="3"/>
  <c r="H63" i="3"/>
  <c r="H136" i="3"/>
  <c r="H76" i="3"/>
  <c r="H48" i="3"/>
  <c r="H135" i="3"/>
  <c r="H72" i="3"/>
  <c r="H139" i="3"/>
  <c r="H133" i="3"/>
  <c r="H134" i="3"/>
  <c r="H74" i="3"/>
  <c r="H138" i="3"/>
  <c r="H68" i="3"/>
  <c r="H59" i="3"/>
  <c r="H79" i="3"/>
  <c r="H137" i="3"/>
  <c r="H140" i="3"/>
  <c r="I114" i="3"/>
  <c r="I27" i="3"/>
  <c r="I75" i="3"/>
  <c r="I40" i="3"/>
  <c r="I54" i="3"/>
  <c r="I129" i="3"/>
  <c r="I126" i="3"/>
  <c r="I127" i="3"/>
  <c r="I34" i="3"/>
  <c r="I128" i="3"/>
  <c r="I33" i="3"/>
  <c r="I71" i="3"/>
  <c r="I147" i="3"/>
  <c r="R147" i="3"/>
  <c r="I81" i="3"/>
  <c r="I43" i="3"/>
  <c r="I145" i="3"/>
  <c r="R145" i="3"/>
  <c r="I69" i="3"/>
  <c r="R69" i="3"/>
  <c r="I41" i="3"/>
  <c r="I46" i="3"/>
  <c r="I60" i="3"/>
  <c r="R60" i="3"/>
  <c r="G53" i="3"/>
  <c r="H174" i="3"/>
  <c r="I70" i="3"/>
  <c r="G170" i="3"/>
  <c r="I77" i="3"/>
  <c r="G168" i="3"/>
  <c r="I82" i="3"/>
  <c r="G163" i="3"/>
  <c r="I161" i="3"/>
  <c r="H159" i="3"/>
  <c r="H33" i="3"/>
  <c r="I156" i="3"/>
  <c r="G155" i="3"/>
  <c r="G153" i="3"/>
  <c r="I67" i="3"/>
  <c r="G48" i="3"/>
  <c r="G135" i="3"/>
  <c r="G72" i="3"/>
  <c r="G139" i="3"/>
  <c r="G133" i="3"/>
  <c r="G134" i="3"/>
  <c r="G74" i="3"/>
  <c r="G138" i="3"/>
  <c r="G68" i="3"/>
  <c r="G59" i="3"/>
  <c r="G79" i="3"/>
  <c r="G137" i="3"/>
  <c r="G140" i="3"/>
  <c r="G58" i="3"/>
  <c r="G63" i="3"/>
  <c r="G136" i="3"/>
  <c r="G76" i="3"/>
  <c r="G120" i="3"/>
  <c r="G122" i="3"/>
  <c r="G124" i="3"/>
  <c r="G29" i="3"/>
  <c r="G121" i="3"/>
  <c r="G123" i="3"/>
  <c r="G52" i="3"/>
  <c r="G24" i="3"/>
  <c r="G65" i="3"/>
  <c r="G94" i="3"/>
  <c r="G64" i="3"/>
  <c r="G99" i="3"/>
  <c r="G103" i="3"/>
  <c r="G84" i="3"/>
  <c r="G73" i="3"/>
  <c r="G96" i="3"/>
  <c r="G98" i="3"/>
  <c r="G102" i="3"/>
  <c r="G51" i="3"/>
  <c r="G93" i="3"/>
  <c r="G78" i="3"/>
  <c r="G97" i="3"/>
  <c r="G101" i="3"/>
  <c r="G28" i="3"/>
  <c r="G92" i="3"/>
  <c r="G95" i="3"/>
  <c r="G85" i="3"/>
  <c r="G100" i="3"/>
  <c r="H35" i="3"/>
  <c r="H142" i="3"/>
  <c r="H141" i="3"/>
  <c r="H45" i="3"/>
  <c r="H146" i="3"/>
  <c r="H148" i="3"/>
  <c r="H130" i="3"/>
  <c r="H131" i="3"/>
  <c r="H132" i="3"/>
  <c r="H57" i="3"/>
  <c r="H21" i="3"/>
  <c r="H109" i="3"/>
  <c r="H111" i="3"/>
  <c r="H108" i="3"/>
  <c r="H110" i="3"/>
  <c r="H47" i="3"/>
  <c r="I87" i="3"/>
  <c r="I37" i="3"/>
  <c r="I44" i="3"/>
  <c r="I36" i="3"/>
  <c r="I89" i="3"/>
  <c r="I56" i="3"/>
  <c r="I62" i="3"/>
  <c r="I91" i="3"/>
  <c r="I88" i="3"/>
  <c r="I83" i="3"/>
  <c r="I90" i="3"/>
  <c r="I108" i="3"/>
  <c r="I110" i="3"/>
  <c r="I47" i="3"/>
  <c r="I21" i="3"/>
  <c r="I109" i="3"/>
  <c r="R109" i="3"/>
  <c r="I111" i="3"/>
  <c r="R111" i="3"/>
  <c r="I57" i="3"/>
  <c r="I130" i="3"/>
  <c r="R130" i="3"/>
  <c r="I131" i="3"/>
  <c r="R131" i="3"/>
  <c r="I132" i="3"/>
  <c r="R132" i="3"/>
  <c r="I146" i="3"/>
  <c r="I148" i="3"/>
  <c r="I45" i="3"/>
  <c r="R45" i="3"/>
  <c r="I149" i="3"/>
  <c r="R149" i="3"/>
  <c r="I35" i="3"/>
  <c r="I142" i="3"/>
  <c r="I141" i="3"/>
  <c r="G174" i="3"/>
  <c r="H70" i="3"/>
  <c r="I86" i="3"/>
  <c r="G166" i="3"/>
  <c r="I165" i="3"/>
  <c r="H82" i="3"/>
  <c r="G164" i="3"/>
  <c r="I162" i="3"/>
  <c r="H161" i="3"/>
  <c r="I160" i="3"/>
  <c r="R160" i="3"/>
  <c r="I158" i="3"/>
  <c r="G33" i="3"/>
  <c r="H156" i="3"/>
  <c r="H154" i="3"/>
  <c r="R154" i="3"/>
  <c r="I23" i="3"/>
  <c r="G151" i="3"/>
  <c r="H67" i="3"/>
  <c r="H172" i="3"/>
  <c r="R172" i="3"/>
  <c r="H86" i="3"/>
  <c r="I168" i="3"/>
  <c r="G167" i="3"/>
  <c r="H165" i="3"/>
  <c r="G82" i="3"/>
  <c r="I163" i="3"/>
  <c r="H162" i="3"/>
  <c r="G161" i="3"/>
  <c r="G160" i="3"/>
  <c r="H158" i="3"/>
  <c r="I157" i="3"/>
  <c r="I155" i="3"/>
  <c r="R155" i="3"/>
  <c r="G154" i="3"/>
  <c r="H23" i="3"/>
  <c r="H152" i="3"/>
  <c r="I51" i="3"/>
  <c r="I93" i="3"/>
  <c r="I78" i="3"/>
  <c r="I97" i="3"/>
  <c r="I101" i="3"/>
  <c r="I28" i="3"/>
  <c r="I92" i="3"/>
  <c r="I95" i="3"/>
  <c r="I85" i="3"/>
  <c r="I100" i="3"/>
  <c r="I65" i="3"/>
  <c r="I94" i="3"/>
  <c r="I64" i="3"/>
  <c r="I99" i="3"/>
  <c r="I103" i="3"/>
  <c r="I84" i="3"/>
  <c r="I73" i="3"/>
  <c r="I96" i="3"/>
  <c r="I98" i="3"/>
  <c r="I102" i="3"/>
  <c r="G115" i="3"/>
  <c r="G118" i="3"/>
  <c r="G117" i="3"/>
  <c r="G116" i="3"/>
  <c r="H125" i="3"/>
  <c r="H39" i="3"/>
  <c r="H31" i="3"/>
  <c r="H107" i="3"/>
  <c r="I125" i="3"/>
  <c r="R125" i="3"/>
  <c r="I39" i="3"/>
  <c r="I144" i="3"/>
  <c r="I143" i="3"/>
  <c r="I42" i="3"/>
  <c r="I55" i="3"/>
  <c r="I80" i="3"/>
  <c r="H168" i="3"/>
  <c r="G165" i="3"/>
  <c r="I164" i="3"/>
  <c r="H163" i="3"/>
  <c r="G162" i="3"/>
  <c r="H71" i="3"/>
  <c r="I159" i="3"/>
  <c r="R159" i="3"/>
  <c r="G158" i="3"/>
  <c r="G157" i="3"/>
  <c r="I153" i="3"/>
  <c r="G152" i="3"/>
  <c r="G142" i="3"/>
  <c r="G141" i="3"/>
  <c r="G35" i="3"/>
  <c r="G130" i="3"/>
  <c r="G131" i="3"/>
  <c r="G132" i="3"/>
  <c r="G57" i="3"/>
  <c r="H36" i="3"/>
  <c r="H89" i="3"/>
  <c r="H56" i="3"/>
  <c r="H62" i="3"/>
  <c r="H91" i="3"/>
  <c r="H88" i="3"/>
  <c r="H83" i="3"/>
  <c r="H90" i="3"/>
  <c r="H87" i="3"/>
  <c r="H37" i="3"/>
  <c r="H44" i="3"/>
  <c r="H116" i="3"/>
  <c r="H115" i="3"/>
  <c r="H118" i="3"/>
  <c r="H117" i="3"/>
  <c r="H126" i="3"/>
  <c r="H127" i="3"/>
  <c r="H34" i="3"/>
  <c r="H128" i="3"/>
  <c r="H129" i="3"/>
  <c r="H27" i="3"/>
  <c r="H75" i="3"/>
  <c r="H40" i="3"/>
  <c r="H54" i="3"/>
  <c r="H114" i="3"/>
  <c r="I29" i="3"/>
  <c r="I121" i="3"/>
  <c r="I123" i="3"/>
  <c r="I120" i="3"/>
  <c r="I122" i="3"/>
  <c r="I124" i="3"/>
  <c r="G40" i="3"/>
  <c r="G54" i="3"/>
  <c r="G114" i="3"/>
  <c r="G27" i="3"/>
  <c r="G75" i="3"/>
  <c r="H143" i="3"/>
  <c r="H42" i="3"/>
  <c r="H55" i="3"/>
  <c r="H80" i="3"/>
  <c r="H144" i="3"/>
  <c r="H119" i="3"/>
  <c r="H61" i="3"/>
  <c r="H151" i="3"/>
  <c r="H153" i="3"/>
  <c r="H157" i="3"/>
  <c r="H113" i="3"/>
  <c r="H50" i="3"/>
  <c r="H66" i="3"/>
  <c r="H49" i="3"/>
  <c r="H22" i="3"/>
  <c r="H112" i="3"/>
  <c r="I107" i="3"/>
  <c r="R107" i="3"/>
  <c r="I31" i="3"/>
  <c r="I22" i="3"/>
  <c r="I112" i="3"/>
  <c r="R112" i="3"/>
  <c r="I113" i="3"/>
  <c r="I50" i="3"/>
  <c r="I66" i="3"/>
  <c r="I49" i="3"/>
  <c r="I119" i="3"/>
  <c r="I61" i="3"/>
  <c r="I152" i="3"/>
  <c r="R152" i="3"/>
  <c r="G172" i="3"/>
  <c r="H29" i="3"/>
  <c r="H121" i="3"/>
  <c r="H123" i="3"/>
  <c r="H120" i="3"/>
  <c r="H122" i="3"/>
  <c r="H124" i="3"/>
  <c r="H52" i="3"/>
  <c r="H24" i="3"/>
  <c r="H28" i="3"/>
  <c r="H92" i="3"/>
  <c r="H95" i="3"/>
  <c r="H85" i="3"/>
  <c r="H100" i="3"/>
  <c r="H65" i="3"/>
  <c r="H94" i="3"/>
  <c r="H64" i="3"/>
  <c r="H99" i="3"/>
  <c r="H103" i="3"/>
  <c r="H84" i="3"/>
  <c r="H73" i="3"/>
  <c r="H96" i="3"/>
  <c r="H98" i="3"/>
  <c r="H102" i="3"/>
  <c r="H51" i="3"/>
  <c r="H93" i="3"/>
  <c r="H78" i="3"/>
  <c r="H97" i="3"/>
  <c r="H101" i="3"/>
  <c r="I117" i="3"/>
  <c r="R117" i="3"/>
  <c r="I116" i="3"/>
  <c r="R116" i="3"/>
  <c r="I115" i="3"/>
  <c r="I118" i="3"/>
  <c r="G173" i="3"/>
  <c r="H171" i="3"/>
  <c r="R171" i="3"/>
  <c r="H164" i="3"/>
  <c r="G71" i="3"/>
  <c r="I151" i="3"/>
  <c r="R151" i="3"/>
  <c r="R142" i="3"/>
  <c r="R148" i="3"/>
  <c r="R141" i="3"/>
  <c r="R81" i="3"/>
  <c r="R115" i="3"/>
  <c r="R110" i="3"/>
  <c r="R146" i="3"/>
  <c r="R113" i="3"/>
  <c r="R119" i="3"/>
  <c r="R46" i="3"/>
  <c r="R43" i="3"/>
  <c r="R118" i="3"/>
  <c r="R108" i="3"/>
  <c r="R166" i="3"/>
  <c r="R122" i="3"/>
  <c r="R144" i="3"/>
  <c r="R98" i="3"/>
  <c r="R103" i="3"/>
  <c r="R65" i="3"/>
  <c r="R92" i="3"/>
  <c r="R163" i="3"/>
  <c r="R168" i="3"/>
  <c r="R162" i="3"/>
  <c r="R91" i="3"/>
  <c r="R156" i="3"/>
  <c r="R71" i="3"/>
  <c r="R127" i="3"/>
  <c r="R74" i="3"/>
  <c r="R72" i="3"/>
  <c r="R136" i="3"/>
  <c r="R137" i="3"/>
  <c r="R120" i="3"/>
  <c r="R164" i="3"/>
  <c r="R96" i="3"/>
  <c r="R99" i="3"/>
  <c r="R100" i="3"/>
  <c r="R93" i="3"/>
  <c r="R158" i="3"/>
  <c r="R90" i="3"/>
  <c r="R126" i="3"/>
  <c r="R134" i="3"/>
  <c r="R135" i="3"/>
  <c r="R63" i="3"/>
  <c r="R79" i="3"/>
  <c r="R174" i="3"/>
  <c r="R123" i="3"/>
  <c r="R153" i="3"/>
  <c r="R101" i="3"/>
  <c r="R128" i="3"/>
  <c r="R129" i="3"/>
  <c r="R133" i="3"/>
  <c r="R48" i="3"/>
  <c r="R58" i="3"/>
  <c r="R59" i="3"/>
  <c r="R124" i="3"/>
  <c r="R121" i="3"/>
  <c r="R143" i="3"/>
  <c r="R102" i="3"/>
  <c r="R84" i="3"/>
  <c r="R94" i="3"/>
  <c r="R95" i="3"/>
  <c r="R97" i="3"/>
  <c r="R157" i="3"/>
  <c r="R165" i="3"/>
  <c r="R88" i="3"/>
  <c r="R89" i="3"/>
  <c r="R87" i="3"/>
  <c r="R161" i="3"/>
  <c r="R114" i="3"/>
  <c r="R138" i="3"/>
  <c r="R139" i="3"/>
  <c r="R76" i="3"/>
  <c r="R140" i="3"/>
  <c r="R68" i="3"/>
  <c r="Q173" i="3"/>
  <c r="Q130" i="3"/>
  <c r="Q118" i="3"/>
  <c r="Q154" i="3"/>
  <c r="Q71" i="3"/>
  <c r="Q172" i="3"/>
  <c r="Q165" i="3"/>
  <c r="Q115" i="3"/>
  <c r="Q161" i="3"/>
  <c r="Q95" i="3"/>
  <c r="Q97" i="3"/>
  <c r="Q102" i="3"/>
  <c r="Q84" i="3"/>
  <c r="Q94" i="3"/>
  <c r="Q123" i="3"/>
  <c r="Q122" i="3"/>
  <c r="Q63" i="3"/>
  <c r="Q79" i="3"/>
  <c r="Q74" i="3"/>
  <c r="Q72" i="3"/>
  <c r="Q153" i="3"/>
  <c r="Q168" i="3"/>
  <c r="Q107" i="3"/>
  <c r="Q119" i="3"/>
  <c r="Q144" i="3"/>
  <c r="Q128" i="3"/>
  <c r="Q147" i="3"/>
  <c r="Q69" i="3"/>
  <c r="Q109" i="3"/>
  <c r="Q146" i="3"/>
  <c r="Q132" i="3"/>
  <c r="Q141" i="3"/>
  <c r="Q157" i="3"/>
  <c r="Q162" i="3"/>
  <c r="Q116" i="3"/>
  <c r="Q167" i="3"/>
  <c r="Q174" i="3"/>
  <c r="Q92" i="3"/>
  <c r="Q98" i="3"/>
  <c r="Q103" i="3"/>
  <c r="Q65" i="3"/>
  <c r="Q121" i="3"/>
  <c r="Q120" i="3"/>
  <c r="Q58" i="3"/>
  <c r="Q59" i="3"/>
  <c r="Q134" i="3"/>
  <c r="Q135" i="3"/>
  <c r="Q155" i="3"/>
  <c r="Q113" i="3"/>
  <c r="Q156" i="3"/>
  <c r="Q127" i="3"/>
  <c r="Q60" i="3"/>
  <c r="Q145" i="3"/>
  <c r="Q88" i="3"/>
  <c r="Q110" i="3"/>
  <c r="Q149" i="3"/>
  <c r="Q114" i="3"/>
  <c r="Q131" i="3"/>
  <c r="Q142" i="3"/>
  <c r="Q158" i="3"/>
  <c r="Q117" i="3"/>
  <c r="Q151" i="3"/>
  <c r="Q166" i="3"/>
  <c r="Q100" i="3"/>
  <c r="Q93" i="3"/>
  <c r="Q96" i="3"/>
  <c r="Q99" i="3"/>
  <c r="Q76" i="3"/>
  <c r="Q140" i="3"/>
  <c r="Q68" i="3"/>
  <c r="Q133" i="3"/>
  <c r="Q48" i="3"/>
  <c r="Q163" i="3"/>
  <c r="Q170" i="3"/>
  <c r="Q112" i="3"/>
  <c r="Q126" i="3"/>
  <c r="Q43" i="3"/>
  <c r="Q46" i="3"/>
  <c r="Q89" i="3"/>
  <c r="Q87" i="3"/>
  <c r="Q91" i="3"/>
  <c r="Q108" i="3"/>
  <c r="Q45" i="3"/>
  <c r="Q152" i="3"/>
  <c r="Q160" i="3"/>
  <c r="Q164" i="3"/>
  <c r="Q101" i="3"/>
  <c r="Q124" i="3"/>
  <c r="Q136" i="3"/>
  <c r="Q137" i="3"/>
  <c r="Q138" i="3"/>
  <c r="Q139" i="3"/>
  <c r="Q125" i="3"/>
  <c r="Q150" i="3"/>
  <c r="Q143" i="3"/>
  <c r="Q129" i="3"/>
  <c r="Q81" i="3"/>
  <c r="Q90" i="3"/>
  <c r="Q111" i="3"/>
  <c r="Q148" i="3"/>
  <c r="B29" i="11"/>
  <c r="B86" i="11"/>
  <c r="E38" i="11"/>
  <c r="B38" i="11"/>
  <c r="D53" i="12"/>
  <c r="B61" i="12"/>
  <c r="P61" i="12"/>
  <c r="P90" i="12"/>
  <c r="Q61" i="12"/>
  <c r="R61" i="12"/>
  <c r="B62" i="12"/>
  <c r="P62" i="12"/>
  <c r="Q62" i="12"/>
  <c r="R62" i="12"/>
  <c r="B63" i="12"/>
  <c r="P63" i="12"/>
  <c r="Q63" i="12"/>
  <c r="R63" i="12"/>
  <c r="B64" i="12"/>
  <c r="P64" i="12"/>
  <c r="Q64" i="12"/>
  <c r="R64" i="12"/>
  <c r="B65" i="12"/>
  <c r="P65" i="12"/>
  <c r="Q65" i="12"/>
  <c r="R65" i="12"/>
  <c r="B66" i="12"/>
  <c r="P66" i="12"/>
  <c r="Q66" i="12"/>
  <c r="R66" i="12"/>
  <c r="B67" i="12"/>
  <c r="P67" i="12"/>
  <c r="Q67" i="12"/>
  <c r="R67" i="12"/>
  <c r="B68" i="12"/>
  <c r="P68" i="12"/>
  <c r="Q68" i="12"/>
  <c r="R68" i="12"/>
  <c r="B69" i="12"/>
  <c r="P69" i="12"/>
  <c r="Q69" i="12"/>
  <c r="R69" i="12"/>
  <c r="B70" i="12"/>
  <c r="P70" i="12"/>
  <c r="Q70" i="12"/>
  <c r="R70" i="12"/>
  <c r="B71" i="12"/>
  <c r="P71" i="12"/>
  <c r="Q71" i="12"/>
  <c r="R71" i="12"/>
  <c r="B72" i="12"/>
  <c r="P72" i="12"/>
  <c r="Q72" i="12"/>
  <c r="R72" i="12"/>
  <c r="B73" i="12"/>
  <c r="P73" i="12"/>
  <c r="Q73" i="12"/>
  <c r="R73" i="12"/>
  <c r="B74" i="12"/>
  <c r="P74" i="12"/>
  <c r="Q74" i="12"/>
  <c r="R74" i="12"/>
  <c r="B75" i="12"/>
  <c r="P75" i="12"/>
  <c r="Q75" i="12"/>
  <c r="R75" i="12"/>
  <c r="B76" i="12"/>
  <c r="P76" i="12"/>
  <c r="Q76" i="12"/>
  <c r="R76" i="12"/>
  <c r="B77" i="12"/>
  <c r="P77" i="12"/>
  <c r="Q77" i="12"/>
  <c r="R77" i="12"/>
  <c r="B78" i="12"/>
  <c r="P78" i="12"/>
  <c r="Q78" i="12"/>
  <c r="R78" i="12"/>
  <c r="B79" i="12"/>
  <c r="P79" i="12"/>
  <c r="Q79" i="12"/>
  <c r="R79" i="12"/>
  <c r="B80" i="12"/>
  <c r="P80" i="12"/>
  <c r="Q80" i="12"/>
  <c r="R80" i="12"/>
  <c r="B81" i="12"/>
  <c r="P81" i="12"/>
  <c r="Q81" i="12"/>
  <c r="R81" i="12"/>
  <c r="B82" i="12"/>
  <c r="P82" i="12"/>
  <c r="Q82" i="12"/>
  <c r="R82" i="12"/>
  <c r="B83" i="12"/>
  <c r="P83" i="12"/>
  <c r="Q83" i="12"/>
  <c r="R83" i="12"/>
  <c r="B84" i="12"/>
  <c r="P84" i="12"/>
  <c r="Q84" i="12"/>
  <c r="R84" i="12"/>
  <c r="B85" i="12"/>
  <c r="P85" i="12"/>
  <c r="Q85" i="12"/>
  <c r="R85" i="12"/>
  <c r="B86" i="12"/>
  <c r="P86" i="12"/>
  <c r="Q86" i="12"/>
  <c r="R86" i="12"/>
  <c r="B87" i="12"/>
  <c r="P87" i="12"/>
  <c r="Q87" i="12"/>
  <c r="R87" i="12"/>
  <c r="B88" i="12"/>
  <c r="P88" i="12"/>
  <c r="Q88" i="12"/>
  <c r="R88" i="12"/>
  <c r="B89" i="12"/>
  <c r="P89" i="12"/>
  <c r="Q89" i="12"/>
  <c r="R89" i="12"/>
  <c r="D90" i="12"/>
  <c r="E90" i="12"/>
  <c r="F90" i="12"/>
  <c r="G90" i="12"/>
  <c r="H90" i="12"/>
  <c r="I90" i="12"/>
  <c r="J90" i="12"/>
  <c r="K90" i="12"/>
  <c r="L90" i="12"/>
  <c r="M90" i="12"/>
  <c r="N90" i="12"/>
  <c r="O90" i="12"/>
  <c r="B88" i="11"/>
  <c r="B53" i="3"/>
  <c r="N53" i="3"/>
  <c r="B87" i="3"/>
  <c r="N87" i="3"/>
  <c r="B88" i="3"/>
  <c r="N88" i="3"/>
  <c r="B56" i="3"/>
  <c r="N56" i="3"/>
  <c r="B36" i="3"/>
  <c r="N36" i="3"/>
  <c r="B37" i="3"/>
  <c r="N37" i="3"/>
  <c r="B83" i="3"/>
  <c r="N83" i="3"/>
  <c r="B62" i="3"/>
  <c r="N62" i="3"/>
  <c r="B89" i="3"/>
  <c r="N89" i="3"/>
  <c r="B44" i="3"/>
  <c r="N44" i="3"/>
  <c r="B90" i="3"/>
  <c r="N90" i="3"/>
  <c r="B91" i="3"/>
  <c r="B28" i="3"/>
  <c r="N28" i="3"/>
  <c r="B51" i="3"/>
  <c r="N51" i="3"/>
  <c r="B84" i="3"/>
  <c r="N84" i="3"/>
  <c r="B65" i="3"/>
  <c r="N65" i="3"/>
  <c r="B92" i="3"/>
  <c r="N92" i="3"/>
  <c r="B93" i="3"/>
  <c r="B73" i="3"/>
  <c r="N73" i="3"/>
  <c r="B94" i="3"/>
  <c r="N94" i="3"/>
  <c r="B95" i="3"/>
  <c r="N95" i="3"/>
  <c r="B78" i="3"/>
  <c r="N78" i="3"/>
  <c r="B96" i="3"/>
  <c r="N96" i="3"/>
  <c r="B64" i="3"/>
  <c r="N64" i="3"/>
  <c r="B85" i="3"/>
  <c r="N85" i="3"/>
  <c r="B97" i="3"/>
  <c r="N97" i="3"/>
  <c r="B98" i="3"/>
  <c r="B99" i="3"/>
  <c r="N99" i="3"/>
  <c r="B100" i="3"/>
  <c r="N100" i="3"/>
  <c r="B101" i="3"/>
  <c r="N101" i="3"/>
  <c r="B102" i="3"/>
  <c r="N102" i="3"/>
  <c r="B103" i="3"/>
  <c r="B31" i="3"/>
  <c r="N31" i="3"/>
  <c r="B107" i="3"/>
  <c r="N107" i="3"/>
  <c r="B26" i="3"/>
  <c r="N26" i="3"/>
  <c r="B21" i="3"/>
  <c r="N21" i="3"/>
  <c r="B29" i="3"/>
  <c r="N29" i="3"/>
  <c r="B108" i="3"/>
  <c r="B120" i="3"/>
  <c r="B109" i="3"/>
  <c r="B121" i="3"/>
  <c r="B110" i="3"/>
  <c r="B122" i="3"/>
  <c r="B111" i="3"/>
  <c r="B123" i="3"/>
  <c r="B47" i="3"/>
  <c r="N47" i="3"/>
  <c r="B124" i="3"/>
  <c r="N124" i="3"/>
  <c r="B52" i="3"/>
  <c r="N52" i="3"/>
  <c r="B125" i="3"/>
  <c r="N125" i="3"/>
  <c r="B24" i="3"/>
  <c r="N24" i="3"/>
  <c r="B39" i="3"/>
  <c r="N39" i="3"/>
  <c r="B50" i="3"/>
  <c r="N50" i="3"/>
  <c r="B126" i="3"/>
  <c r="B22" i="3"/>
  <c r="N22" i="3"/>
  <c r="B34" i="3"/>
  <c r="N34" i="3"/>
  <c r="B66" i="3"/>
  <c r="N66" i="3"/>
  <c r="B127" i="3"/>
  <c r="N127" i="3"/>
  <c r="B112" i="3"/>
  <c r="N112" i="3"/>
  <c r="B128" i="3"/>
  <c r="N128" i="3"/>
  <c r="B49" i="3"/>
  <c r="N49" i="3"/>
  <c r="B113" i="3"/>
  <c r="N113" i="3"/>
  <c r="B129" i="3"/>
  <c r="N129" i="3"/>
  <c r="B40" i="3"/>
  <c r="N40" i="3"/>
  <c r="B130" i="3"/>
  <c r="B27" i="3"/>
  <c r="N27" i="3"/>
  <c r="B57" i="3"/>
  <c r="N57" i="3"/>
  <c r="B54" i="3"/>
  <c r="N54" i="3"/>
  <c r="B131" i="3"/>
  <c r="N131" i="3"/>
  <c r="B75" i="3"/>
  <c r="N75" i="3"/>
  <c r="B114" i="3"/>
  <c r="N114" i="3"/>
  <c r="B132" i="3"/>
  <c r="B115" i="3"/>
  <c r="N115" i="3"/>
  <c r="B116" i="3"/>
  <c r="B117" i="3"/>
  <c r="N117" i="3"/>
  <c r="B118" i="3"/>
  <c r="N118" i="3"/>
  <c r="B61" i="3"/>
  <c r="N61" i="3"/>
  <c r="B119" i="3"/>
  <c r="N119" i="3"/>
  <c r="B68" i="3"/>
  <c r="N68" i="3"/>
  <c r="B133" i="3"/>
  <c r="N133" i="3"/>
  <c r="B48" i="3"/>
  <c r="N48" i="3"/>
  <c r="B58" i="3"/>
  <c r="N58" i="3"/>
  <c r="B59" i="3"/>
  <c r="N59" i="3"/>
  <c r="B134" i="3"/>
  <c r="N134" i="3"/>
  <c r="B135" i="3"/>
  <c r="B63" i="3"/>
  <c r="N63" i="3"/>
  <c r="B79" i="3"/>
  <c r="N79" i="3"/>
  <c r="B74" i="3"/>
  <c r="N74" i="3"/>
  <c r="B72" i="3"/>
  <c r="N72" i="3"/>
  <c r="B136" i="3"/>
  <c r="B137" i="3"/>
  <c r="N137" i="3"/>
  <c r="B138" i="3"/>
  <c r="N138" i="3"/>
  <c r="B139" i="3"/>
  <c r="N76" i="3"/>
  <c r="B140" i="3"/>
  <c r="N140" i="3"/>
  <c r="B141" i="3"/>
  <c r="N141" i="3"/>
  <c r="B142" i="3"/>
  <c r="N142" i="3"/>
  <c r="B35" i="3"/>
  <c r="N35" i="3"/>
  <c r="B38" i="3"/>
  <c r="N38" i="3"/>
  <c r="B55" i="3"/>
  <c r="N55" i="3"/>
  <c r="B42" i="3"/>
  <c r="N42" i="3"/>
  <c r="B143" i="3"/>
  <c r="B144" i="3"/>
  <c r="B80" i="3"/>
  <c r="N80" i="3"/>
  <c r="B145" i="3"/>
  <c r="N145" i="3"/>
  <c r="B81" i="3"/>
  <c r="N81" i="3"/>
  <c r="B146" i="3"/>
  <c r="N146" i="3"/>
  <c r="B46" i="3"/>
  <c r="N46" i="3"/>
  <c r="B69" i="3"/>
  <c r="N69" i="3"/>
  <c r="B43" i="3"/>
  <c r="N43" i="3"/>
  <c r="B147" i="3"/>
  <c r="N147" i="3"/>
  <c r="B60" i="3"/>
  <c r="N60" i="3"/>
  <c r="B41" i="3"/>
  <c r="N41" i="3"/>
  <c r="B45" i="3"/>
  <c r="N45" i="3"/>
  <c r="B148" i="3"/>
  <c r="N148" i="3"/>
  <c r="B149" i="3"/>
  <c r="N149" i="3"/>
  <c r="B67" i="3"/>
  <c r="N67" i="3"/>
  <c r="B150" i="3"/>
  <c r="B151" i="3"/>
  <c r="N151" i="3"/>
  <c r="B152" i="3"/>
  <c r="N152" i="3"/>
  <c r="B25" i="3"/>
  <c r="N25" i="3"/>
  <c r="B23" i="3"/>
  <c r="N23" i="3"/>
  <c r="B153" i="3"/>
  <c r="N153" i="3"/>
  <c r="B154" i="3"/>
  <c r="N154" i="3"/>
  <c r="B155" i="3"/>
  <c r="N155" i="3"/>
  <c r="B156" i="3"/>
  <c r="N156" i="3"/>
  <c r="B157" i="3"/>
  <c r="N157" i="3"/>
  <c r="B33" i="3"/>
  <c r="N33" i="3"/>
  <c r="B158" i="3"/>
  <c r="N158" i="3"/>
  <c r="B159" i="3"/>
  <c r="B160" i="3"/>
  <c r="N160" i="3"/>
  <c r="B71" i="3"/>
  <c r="N71" i="3"/>
  <c r="B161" i="3"/>
  <c r="B162" i="3"/>
  <c r="N162" i="3"/>
  <c r="B163" i="3"/>
  <c r="N163" i="3"/>
  <c r="B164" i="3"/>
  <c r="B82" i="3"/>
  <c r="N82" i="3"/>
  <c r="B165" i="3"/>
  <c r="N165" i="3"/>
  <c r="B32" i="3"/>
  <c r="N32" i="3"/>
  <c r="B166" i="3"/>
  <c r="N166" i="3"/>
  <c r="B167" i="3"/>
  <c r="B30" i="3"/>
  <c r="N30" i="3"/>
  <c r="B168" i="3"/>
  <c r="B169" i="3"/>
  <c r="N169" i="3"/>
  <c r="B77" i="3"/>
  <c r="N77" i="3"/>
  <c r="B86" i="3"/>
  <c r="N86" i="3"/>
  <c r="B170" i="3"/>
  <c r="N170" i="3"/>
  <c r="B171" i="3"/>
  <c r="B70" i="3"/>
  <c r="N70" i="3"/>
  <c r="B172" i="3"/>
  <c r="N172" i="3"/>
  <c r="B173" i="3"/>
  <c r="N173" i="3"/>
  <c r="B174" i="3"/>
  <c r="N174" i="3"/>
  <c r="B20" i="3"/>
  <c r="N20" i="3"/>
  <c r="B105" i="3"/>
  <c r="B106" i="3"/>
  <c r="N106" i="3"/>
  <c r="G8" i="2"/>
  <c r="G9" i="2"/>
  <c r="F10" i="2"/>
  <c r="G10" i="2"/>
  <c r="F11" i="2"/>
  <c r="G11" i="2"/>
  <c r="F12" i="2"/>
  <c r="G12" i="2"/>
  <c r="F13" i="2"/>
  <c r="G13" i="2"/>
  <c r="F14" i="2"/>
  <c r="G14" i="2"/>
  <c r="F15" i="2"/>
  <c r="G15" i="2"/>
  <c r="F16" i="2"/>
  <c r="G16" i="2"/>
  <c r="F17" i="2"/>
  <c r="G17" i="2"/>
  <c r="D18" i="2"/>
  <c r="F18" i="2"/>
  <c r="G18" i="2"/>
  <c r="D19" i="2"/>
  <c r="F19" i="2"/>
  <c r="G19" i="2"/>
  <c r="F20" i="2"/>
  <c r="G20" i="2"/>
  <c r="D21" i="2"/>
  <c r="F21" i="2"/>
  <c r="G21" i="2"/>
  <c r="D22" i="2"/>
  <c r="F22" i="2"/>
  <c r="G22" i="2"/>
  <c r="D23" i="2"/>
  <c r="F23" i="2"/>
  <c r="G23" i="2"/>
  <c r="D24" i="2"/>
  <c r="F24" i="2"/>
  <c r="G24" i="2"/>
  <c r="F25" i="2"/>
  <c r="G25" i="2"/>
  <c r="D26" i="2"/>
  <c r="F26" i="2"/>
  <c r="G26" i="2"/>
  <c r="D27" i="2"/>
  <c r="F27" i="2"/>
  <c r="G27" i="2"/>
  <c r="D28" i="2"/>
  <c r="F28" i="2"/>
  <c r="G28" i="2"/>
  <c r="F29" i="2"/>
  <c r="G29" i="2"/>
  <c r="D30" i="2"/>
  <c r="F30" i="2"/>
  <c r="G30" i="2"/>
  <c r="F31" i="2"/>
  <c r="G31" i="2"/>
  <c r="F32" i="2"/>
  <c r="G32" i="2"/>
  <c r="D33" i="2"/>
  <c r="F33" i="2"/>
  <c r="G33" i="2"/>
  <c r="D34" i="2"/>
  <c r="F34" i="2"/>
  <c r="G34" i="2"/>
  <c r="D35" i="2"/>
  <c r="F35" i="2"/>
  <c r="G35" i="2"/>
  <c r="D36" i="2"/>
  <c r="F36" i="2"/>
  <c r="G36" i="2"/>
  <c r="F37" i="2"/>
  <c r="G37" i="2"/>
  <c r="F38" i="2"/>
  <c r="G38" i="2"/>
  <c r="F39" i="2"/>
  <c r="G39" i="2"/>
  <c r="F40" i="2"/>
  <c r="G40" i="2"/>
  <c r="F41" i="2"/>
  <c r="G41" i="2"/>
  <c r="D42" i="2"/>
  <c r="F42" i="2"/>
  <c r="G42" i="2"/>
  <c r="D43" i="2"/>
  <c r="F43" i="2"/>
  <c r="G43" i="2"/>
  <c r="D44" i="2"/>
  <c r="F44" i="2"/>
  <c r="G44" i="2"/>
  <c r="D45" i="2"/>
  <c r="F45" i="2"/>
  <c r="G45" i="2"/>
  <c r="F46" i="2"/>
  <c r="G46" i="2"/>
  <c r="F47" i="2"/>
  <c r="G47" i="2"/>
  <c r="F48" i="2"/>
  <c r="G48" i="2"/>
  <c r="F49" i="2"/>
  <c r="G49" i="2"/>
  <c r="F50" i="2"/>
  <c r="G50" i="2"/>
  <c r="D51" i="2"/>
  <c r="F51" i="2"/>
  <c r="G51" i="2"/>
  <c r="D52" i="2"/>
  <c r="F52" i="2"/>
  <c r="G52" i="2"/>
  <c r="F53" i="2"/>
  <c r="G53" i="2"/>
  <c r="D54" i="2"/>
  <c r="F54" i="2"/>
  <c r="G54" i="2"/>
  <c r="F55" i="2"/>
  <c r="G55" i="2"/>
  <c r="F56" i="2"/>
  <c r="G56" i="2"/>
  <c r="D57" i="2"/>
  <c r="F57" i="2"/>
  <c r="G57" i="2"/>
  <c r="D58" i="2"/>
  <c r="F58" i="2"/>
  <c r="G58" i="2"/>
  <c r="D59" i="2"/>
  <c r="F59" i="2"/>
  <c r="G59" i="2"/>
  <c r="F60" i="2"/>
  <c r="G60" i="2"/>
  <c r="D61" i="2"/>
  <c r="F61" i="2"/>
  <c r="G61" i="2"/>
  <c r="D62" i="2"/>
  <c r="F62" i="2"/>
  <c r="G62" i="2"/>
  <c r="D63" i="2"/>
  <c r="F63" i="2"/>
  <c r="G63" i="2"/>
  <c r="F64" i="2"/>
  <c r="G64" i="2"/>
  <c r="D65" i="2"/>
  <c r="F65" i="2"/>
  <c r="G65" i="2"/>
  <c r="F66" i="2"/>
  <c r="G66" i="2"/>
  <c r="F67" i="2"/>
  <c r="G67" i="2"/>
  <c r="F68" i="2"/>
  <c r="G68" i="2"/>
  <c r="F69" i="2"/>
  <c r="G69" i="2"/>
  <c r="F70" i="2"/>
  <c r="G70" i="2"/>
  <c r="D71"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D98" i="2"/>
  <c r="F98" i="2"/>
  <c r="G98" i="2"/>
  <c r="F99" i="2"/>
  <c r="G99" i="2"/>
  <c r="F100" i="2"/>
  <c r="G100" i="2"/>
  <c r="F101" i="2"/>
  <c r="G101" i="2"/>
  <c r="D102" i="2"/>
  <c r="F102" i="2"/>
  <c r="G102" i="2"/>
  <c r="F103" i="2"/>
  <c r="G103" i="2"/>
  <c r="F104" i="2"/>
  <c r="G104" i="2"/>
  <c r="F105" i="2"/>
  <c r="G105" i="2"/>
  <c r="F106" i="2"/>
  <c r="G106" i="2"/>
  <c r="F107" i="2"/>
  <c r="G107" i="2"/>
  <c r="F108" i="2"/>
  <c r="G108" i="2"/>
  <c r="F109" i="2"/>
  <c r="G109" i="2"/>
  <c r="D110" i="2"/>
  <c r="F110" i="2"/>
  <c r="G110" i="2"/>
  <c r="D111" i="2"/>
  <c r="F111" i="2"/>
  <c r="G111" i="2"/>
  <c r="D112" i="2"/>
  <c r="F112" i="2"/>
  <c r="G112" i="2"/>
  <c r="D113" i="2"/>
  <c r="F113" i="2"/>
  <c r="G113" i="2"/>
  <c r="D114" i="2"/>
  <c r="F114" i="2"/>
  <c r="G114" i="2"/>
  <c r="F115" i="2"/>
  <c r="G115" i="2"/>
  <c r="D116" i="2"/>
  <c r="F116" i="2"/>
  <c r="G116" i="2"/>
  <c r="D117" i="2"/>
  <c r="F117" i="2"/>
  <c r="G117" i="2"/>
  <c r="D118" i="2"/>
  <c r="F118" i="2"/>
  <c r="G118" i="2"/>
  <c r="F119" i="2"/>
  <c r="G119" i="2"/>
  <c r="D120" i="2"/>
  <c r="F120" i="2"/>
  <c r="G120" i="2"/>
  <c r="D121" i="2"/>
  <c r="F121" i="2"/>
  <c r="G121" i="2"/>
  <c r="D122" i="2"/>
  <c r="F122" i="2"/>
  <c r="G122" i="2"/>
  <c r="D123" i="2"/>
  <c r="F123" i="2"/>
  <c r="G123" i="2"/>
  <c r="F124" i="2"/>
  <c r="G124" i="2"/>
  <c r="D125" i="2"/>
  <c r="F125" i="2"/>
  <c r="G125" i="2"/>
  <c r="F126" i="2"/>
  <c r="G126" i="2"/>
  <c r="D127" i="2"/>
  <c r="F127" i="2"/>
  <c r="G127" i="2"/>
  <c r="D128" i="2"/>
  <c r="F128" i="2"/>
  <c r="G128" i="2"/>
  <c r="F129" i="2"/>
  <c r="G129" i="2"/>
  <c r="D130" i="2"/>
  <c r="F130" i="2"/>
  <c r="G130" i="2"/>
  <c r="D131" i="2"/>
  <c r="F131" i="2"/>
  <c r="G131" i="2"/>
  <c r="F132" i="2"/>
  <c r="G132" i="2"/>
  <c r="F133" i="2"/>
  <c r="G133" i="2"/>
  <c r="D134" i="2"/>
  <c r="F134" i="2"/>
  <c r="G134" i="2"/>
  <c r="F135" i="2"/>
  <c r="G135" i="2"/>
  <c r="F136" i="2"/>
  <c r="G136" i="2"/>
  <c r="D137" i="2"/>
  <c r="F137" i="2"/>
  <c r="G137" i="2"/>
  <c r="D138"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F209" i="2"/>
  <c r="G209" i="2"/>
  <c r="F210" i="2"/>
  <c r="G210" i="2"/>
  <c r="F211" i="2"/>
  <c r="G211" i="2"/>
  <c r="F212" i="2"/>
  <c r="G212" i="2"/>
  <c r="Y173" i="3"/>
  <c r="Z173" i="3"/>
  <c r="Y49" i="3"/>
  <c r="Z49" i="3"/>
  <c r="Y171" i="3"/>
  <c r="Z171" i="3"/>
  <c r="Y115" i="3"/>
  <c r="Z115" i="3"/>
  <c r="Y28" i="3"/>
  <c r="Z28" i="3"/>
  <c r="Y119" i="3"/>
  <c r="Z119" i="3"/>
  <c r="Y167" i="3"/>
  <c r="Z167" i="3"/>
  <c r="Y165" i="3"/>
  <c r="Z165" i="3"/>
  <c r="Y164" i="3"/>
  <c r="Z164" i="3"/>
  <c r="Y163" i="3"/>
  <c r="Z163" i="3"/>
  <c r="Y161" i="3"/>
  <c r="Z161" i="3"/>
  <c r="Y160" i="3"/>
  <c r="Z160" i="3"/>
  <c r="Y37" i="3"/>
  <c r="Z37" i="3"/>
  <c r="Y158" i="3"/>
  <c r="Z158" i="3"/>
  <c r="Y22" i="3"/>
  <c r="Z22" i="3"/>
  <c r="Y156" i="3"/>
  <c r="Z156" i="3"/>
  <c r="Y78" i="3"/>
  <c r="Z78" i="3"/>
  <c r="Y155" i="3"/>
  <c r="Z155" i="3"/>
  <c r="Y112" i="3"/>
  <c r="Z112" i="3"/>
  <c r="Y154" i="3"/>
  <c r="Z154" i="3"/>
  <c r="Y153" i="3"/>
  <c r="Z153" i="3"/>
  <c r="Y96" i="3"/>
  <c r="Z96" i="3"/>
  <c r="Y73" i="3"/>
  <c r="Z73" i="3"/>
  <c r="Y152" i="3"/>
  <c r="Z152" i="3"/>
  <c r="Y150" i="3"/>
  <c r="Z150" i="3"/>
  <c r="Y149" i="3"/>
  <c r="Z149" i="3"/>
  <c r="Y54" i="3"/>
  <c r="Z54" i="3"/>
  <c r="Y47" i="3"/>
  <c r="Z47" i="3"/>
  <c r="Y60" i="3"/>
  <c r="Z60" i="3"/>
  <c r="Y21" i="3"/>
  <c r="Z21" i="3"/>
  <c r="Y147" i="3"/>
  <c r="Z147" i="3"/>
  <c r="Y142" i="3"/>
  <c r="Z142" i="3"/>
  <c r="Y141" i="3"/>
  <c r="Z141" i="3"/>
  <c r="Y75" i="3"/>
  <c r="Z75" i="3"/>
  <c r="Y105" i="3"/>
  <c r="Z105" i="3"/>
  <c r="Y62" i="3"/>
  <c r="Z62" i="3"/>
  <c r="Y95" i="3"/>
  <c r="Z95" i="3"/>
  <c r="Y137" i="3"/>
  <c r="Z137" i="3"/>
  <c r="Y81" i="3"/>
  <c r="Z81" i="3"/>
  <c r="Y145" i="3"/>
  <c r="Z145" i="3"/>
  <c r="Y84" i="3"/>
  <c r="Z84" i="3"/>
  <c r="Y94" i="3"/>
  <c r="Z94" i="3"/>
  <c r="Y144" i="3"/>
  <c r="Z144" i="3"/>
  <c r="Y143" i="3"/>
  <c r="Z143" i="3"/>
  <c r="Y44" i="3"/>
  <c r="Z44" i="3"/>
  <c r="Y83" i="3"/>
  <c r="Z83" i="3"/>
  <c r="Y91" i="3"/>
  <c r="Z91" i="3"/>
  <c r="Y133" i="3"/>
  <c r="Z133" i="3"/>
  <c r="Y132" i="3"/>
  <c r="Z132" i="3"/>
  <c r="Y120" i="3"/>
  <c r="Z120" i="3"/>
  <c r="Y129" i="3"/>
  <c r="Z129" i="3"/>
  <c r="Y128" i="3"/>
  <c r="Z128" i="3"/>
  <c r="Y27" i="3"/>
  <c r="Z27" i="3"/>
  <c r="Y126" i="3"/>
  <c r="Z126" i="3"/>
  <c r="Y29" i="3"/>
  <c r="Z29" i="3"/>
  <c r="Y89" i="3"/>
  <c r="Z89" i="3"/>
  <c r="Y125" i="3"/>
  <c r="Z125" i="3"/>
  <c r="Y124" i="3"/>
  <c r="Z124" i="3"/>
  <c r="Y26" i="3"/>
  <c r="Z26" i="3"/>
  <c r="Y92" i="3"/>
  <c r="Z92" i="3"/>
  <c r="Y123" i="3"/>
  <c r="Z123" i="3"/>
  <c r="Y104" i="3"/>
  <c r="Z104" i="3"/>
  <c r="Y174" i="3"/>
  <c r="Z174" i="3"/>
  <c r="Y121" i="3"/>
  <c r="Z121" i="3"/>
  <c r="Y170" i="3"/>
  <c r="Z170" i="3"/>
  <c r="Y90" i="3"/>
  <c r="Z90" i="3"/>
  <c r="Y169" i="3"/>
  <c r="Z169" i="3"/>
  <c r="Y168" i="3"/>
  <c r="Z168" i="3"/>
  <c r="Y113" i="3"/>
  <c r="Z113" i="3"/>
  <c r="Y51" i="3"/>
  <c r="Z51" i="3"/>
  <c r="Y162" i="3"/>
  <c r="Z162" i="3"/>
  <c r="Y71" i="3"/>
  <c r="Z71" i="3"/>
  <c r="Y56" i="3"/>
  <c r="Z56" i="3"/>
  <c r="Y159" i="3"/>
  <c r="Z159" i="3"/>
  <c r="Y157" i="3"/>
  <c r="Z157" i="3"/>
  <c r="Y97" i="3"/>
  <c r="Z97" i="3"/>
  <c r="Y109" i="3"/>
  <c r="Z109" i="3"/>
  <c r="Y64" i="3"/>
  <c r="Z64" i="3"/>
  <c r="Y98" i="3"/>
  <c r="Z98" i="3"/>
  <c r="Y61" i="3"/>
  <c r="Z61" i="3"/>
  <c r="Y118" i="3"/>
  <c r="Z118" i="3"/>
  <c r="Y106" i="3"/>
  <c r="Z106" i="3"/>
  <c r="Y65" i="3"/>
  <c r="Z65" i="3"/>
  <c r="Y151" i="3"/>
  <c r="Z151" i="3"/>
  <c r="Y114" i="3"/>
  <c r="Z114" i="3"/>
  <c r="Y134" i="3"/>
  <c r="Z134" i="3"/>
  <c r="Y172" i="3"/>
  <c r="Z172" i="3"/>
  <c r="Y166" i="3"/>
  <c r="Z166" i="3"/>
  <c r="Y148" i="3"/>
  <c r="Z148" i="3"/>
  <c r="Y40" i="3"/>
  <c r="Z40" i="3"/>
  <c r="Y117" i="3"/>
  <c r="Z117" i="3"/>
  <c r="Y108" i="3"/>
  <c r="Z108" i="3"/>
  <c r="Y100" i="3"/>
  <c r="Z100" i="3"/>
  <c r="Y66" i="3"/>
  <c r="Z66" i="3"/>
  <c r="Y110" i="3"/>
  <c r="Z110" i="3"/>
  <c r="Y140" i="3"/>
  <c r="Z140" i="3"/>
  <c r="Y139" i="3"/>
  <c r="Z139" i="3"/>
  <c r="Y138" i="3"/>
  <c r="Z138" i="3"/>
  <c r="Y69" i="3"/>
  <c r="Z69" i="3"/>
  <c r="Y31" i="3"/>
  <c r="Z31" i="3"/>
  <c r="Y146" i="3"/>
  <c r="Z146" i="3"/>
  <c r="Y101" i="3"/>
  <c r="Z101" i="3"/>
  <c r="Y136" i="3"/>
  <c r="Z136" i="3"/>
  <c r="Y50" i="3"/>
  <c r="Z50" i="3"/>
  <c r="Y88" i="3"/>
  <c r="Z88" i="3"/>
  <c r="Y102" i="3"/>
  <c r="Z102" i="3"/>
  <c r="Y36" i="3"/>
  <c r="Z36" i="3"/>
  <c r="Y20" i="3"/>
  <c r="Z20" i="3"/>
  <c r="Y99" i="3"/>
  <c r="Z99" i="3"/>
  <c r="Y87" i="3"/>
  <c r="Z87" i="3"/>
  <c r="Y135" i="3"/>
  <c r="Z135" i="3"/>
  <c r="Y68" i="3"/>
  <c r="Z68" i="3"/>
  <c r="Y131" i="3"/>
  <c r="Z131" i="3"/>
  <c r="Y130" i="3"/>
  <c r="Z130" i="3"/>
  <c r="Y52" i="3"/>
  <c r="Z52" i="3"/>
  <c r="Y116" i="3"/>
  <c r="Z116" i="3"/>
  <c r="Y127" i="3"/>
  <c r="Z127" i="3"/>
  <c r="Y24" i="3"/>
  <c r="Z24" i="3"/>
  <c r="Y103" i="3"/>
  <c r="Z103" i="3"/>
  <c r="Y85" i="3"/>
  <c r="Z85" i="3"/>
  <c r="Y111" i="3"/>
  <c r="Z111" i="3"/>
  <c r="Y93" i="3"/>
  <c r="Z93" i="3"/>
  <c r="Y107" i="3"/>
  <c r="Z107" i="3"/>
  <c r="Y122" i="3"/>
  <c r="Z122" i="3"/>
  <c r="W106" i="3"/>
  <c r="X106" i="3"/>
  <c r="W104" i="3"/>
  <c r="W174" i="3"/>
  <c r="X174" i="3"/>
  <c r="W172" i="3"/>
  <c r="X172" i="3"/>
  <c r="W171" i="3"/>
  <c r="X171" i="3"/>
  <c r="W169" i="3"/>
  <c r="X169" i="3"/>
  <c r="X30" i="3"/>
  <c r="W166" i="3"/>
  <c r="X166" i="3"/>
  <c r="W165" i="3"/>
  <c r="X165" i="3"/>
  <c r="W164" i="3"/>
  <c r="X164" i="3"/>
  <c r="W162" i="3"/>
  <c r="X162" i="3"/>
  <c r="W71" i="3"/>
  <c r="X71" i="3"/>
  <c r="W159" i="3"/>
  <c r="X159" i="3"/>
  <c r="X33" i="3"/>
  <c r="W156" i="3"/>
  <c r="X156" i="3"/>
  <c r="W154" i="3"/>
  <c r="X154" i="3"/>
  <c r="X23" i="3"/>
  <c r="W152" i="3"/>
  <c r="X152" i="3"/>
  <c r="W150" i="3"/>
  <c r="X150" i="3"/>
  <c r="W149" i="3"/>
  <c r="X149" i="3"/>
  <c r="X45" i="3"/>
  <c r="W60" i="3"/>
  <c r="X60" i="3"/>
  <c r="X43" i="3"/>
  <c r="X46" i="3"/>
  <c r="W81" i="3"/>
  <c r="X81" i="3"/>
  <c r="X80" i="3"/>
  <c r="W143" i="3"/>
  <c r="X143" i="3"/>
  <c r="X55" i="3"/>
  <c r="X35" i="3"/>
  <c r="W141" i="3"/>
  <c r="X141" i="3"/>
  <c r="X76" i="3"/>
  <c r="W139" i="3"/>
  <c r="X139" i="3"/>
  <c r="W137" i="3"/>
  <c r="X137" i="3"/>
  <c r="X72" i="3"/>
  <c r="X79" i="3"/>
  <c r="W135" i="3"/>
  <c r="X135" i="3"/>
  <c r="X59" i="3"/>
  <c r="X48" i="3"/>
  <c r="W68" i="3"/>
  <c r="X68" i="3"/>
  <c r="W61" i="3"/>
  <c r="X61" i="3"/>
  <c r="W117" i="3"/>
  <c r="X117" i="3"/>
  <c r="W115" i="3"/>
  <c r="X115" i="3"/>
  <c r="W114" i="3"/>
  <c r="X114" i="3"/>
  <c r="W131" i="3"/>
  <c r="X131" i="3"/>
  <c r="X57" i="3"/>
  <c r="W130" i="3"/>
  <c r="X130" i="3"/>
  <c r="W129" i="3"/>
  <c r="X129" i="3"/>
  <c r="W49" i="3"/>
  <c r="X49" i="3"/>
  <c r="W112" i="3"/>
  <c r="X112" i="3"/>
  <c r="W66" i="3"/>
  <c r="X66" i="3"/>
  <c r="W22" i="3"/>
  <c r="X22" i="3"/>
  <c r="W50" i="3"/>
  <c r="X50" i="3"/>
  <c r="W24" i="3"/>
  <c r="X24" i="3"/>
  <c r="W52" i="3"/>
  <c r="X52" i="3"/>
  <c r="W47" i="3"/>
  <c r="X47" i="3"/>
  <c r="W111" i="3"/>
  <c r="X111" i="3"/>
  <c r="W110" i="3"/>
  <c r="X110" i="3"/>
  <c r="W109" i="3"/>
  <c r="X109" i="3"/>
  <c r="W108" i="3"/>
  <c r="X108" i="3"/>
  <c r="W21" i="3"/>
  <c r="X21" i="3"/>
  <c r="W107" i="3"/>
  <c r="X107" i="3"/>
  <c r="W103" i="3"/>
  <c r="X103" i="3"/>
  <c r="W101" i="3"/>
  <c r="X101" i="3"/>
  <c r="W99" i="3"/>
  <c r="X99" i="3"/>
  <c r="W97" i="3"/>
  <c r="X97" i="3"/>
  <c r="W64" i="3"/>
  <c r="X64" i="3"/>
  <c r="W78" i="3"/>
  <c r="X78" i="3"/>
  <c r="W94" i="3"/>
  <c r="X94" i="3"/>
  <c r="W93" i="3"/>
  <c r="X93" i="3"/>
  <c r="W65" i="3"/>
  <c r="X65" i="3"/>
  <c r="W51" i="3"/>
  <c r="X51" i="3"/>
  <c r="W91" i="3"/>
  <c r="X91" i="3"/>
  <c r="W44" i="3"/>
  <c r="X44" i="3"/>
  <c r="W62" i="3"/>
  <c r="X62" i="3"/>
  <c r="W37" i="3"/>
  <c r="X37" i="3"/>
  <c r="W56" i="3"/>
  <c r="X56" i="3"/>
  <c r="W87" i="3"/>
  <c r="X87" i="3"/>
  <c r="W105" i="3"/>
  <c r="X105" i="3"/>
  <c r="W20" i="3"/>
  <c r="X20" i="3"/>
  <c r="W173" i="3"/>
  <c r="X173" i="3"/>
  <c r="X70" i="3"/>
  <c r="W170" i="3"/>
  <c r="X170" i="3"/>
  <c r="X77" i="3"/>
  <c r="W168" i="3"/>
  <c r="X168" i="3"/>
  <c r="W167" i="3"/>
  <c r="X167" i="3"/>
  <c r="X32" i="3"/>
  <c r="X82" i="3"/>
  <c r="W163" i="3"/>
  <c r="X163" i="3"/>
  <c r="W161" i="3"/>
  <c r="X161" i="3"/>
  <c r="W160" i="3"/>
  <c r="X160" i="3"/>
  <c r="W158" i="3"/>
  <c r="X158" i="3"/>
  <c r="W157" i="3"/>
  <c r="X157" i="3"/>
  <c r="W155" i="3"/>
  <c r="X155" i="3"/>
  <c r="W153" i="3"/>
  <c r="X153" i="3"/>
  <c r="X25" i="3"/>
  <c r="W151" i="3"/>
  <c r="X151" i="3"/>
  <c r="X67" i="3"/>
  <c r="W148" i="3"/>
  <c r="X148" i="3"/>
  <c r="X41" i="3"/>
  <c r="W147" i="3"/>
  <c r="X147" i="3"/>
  <c r="W69" i="3"/>
  <c r="X69" i="3"/>
  <c r="W146" i="3"/>
  <c r="X146" i="3"/>
  <c r="W145" i="3"/>
  <c r="X145" i="3"/>
  <c r="W144" i="3"/>
  <c r="X144" i="3"/>
  <c r="X42" i="3"/>
  <c r="X38" i="3"/>
  <c r="W142" i="3"/>
  <c r="X142" i="3"/>
  <c r="W140" i="3"/>
  <c r="X140" i="3"/>
  <c r="W138" i="3"/>
  <c r="X138" i="3"/>
  <c r="W136" i="3"/>
  <c r="X136" i="3"/>
  <c r="X74" i="3"/>
  <c r="X63" i="3"/>
  <c r="W134" i="3"/>
  <c r="X134" i="3"/>
  <c r="X58" i="3"/>
  <c r="W133" i="3"/>
  <c r="X133" i="3"/>
  <c r="W119" i="3"/>
  <c r="X119" i="3"/>
  <c r="W118" i="3"/>
  <c r="X118" i="3"/>
  <c r="W116" i="3"/>
  <c r="X116" i="3"/>
  <c r="W132" i="3"/>
  <c r="X132" i="3"/>
  <c r="W75" i="3"/>
  <c r="X75" i="3"/>
  <c r="W54" i="3"/>
  <c r="X54" i="3"/>
  <c r="W27" i="3"/>
  <c r="X27" i="3"/>
  <c r="W40" i="3"/>
  <c r="X40" i="3"/>
  <c r="W113" i="3"/>
  <c r="X113" i="3"/>
  <c r="W128" i="3"/>
  <c r="X128" i="3"/>
  <c r="W127" i="3"/>
  <c r="X127" i="3"/>
  <c r="X34" i="3"/>
  <c r="W126" i="3"/>
  <c r="X126" i="3"/>
  <c r="X39" i="3"/>
  <c r="W125" i="3"/>
  <c r="X125" i="3"/>
  <c r="W124" i="3"/>
  <c r="X124" i="3"/>
  <c r="W123" i="3"/>
  <c r="X123" i="3"/>
  <c r="W122" i="3"/>
  <c r="X122" i="3"/>
  <c r="W121" i="3"/>
  <c r="X121" i="3"/>
  <c r="W120" i="3"/>
  <c r="X120" i="3"/>
  <c r="W29" i="3"/>
  <c r="X29" i="3"/>
  <c r="W26" i="3"/>
  <c r="X26" i="3"/>
  <c r="W31" i="3"/>
  <c r="X31" i="3"/>
  <c r="W102" i="3"/>
  <c r="X102" i="3"/>
  <c r="W100" i="3"/>
  <c r="X100" i="3"/>
  <c r="W98" i="3"/>
  <c r="X98" i="3"/>
  <c r="W85" i="3"/>
  <c r="W96" i="3"/>
  <c r="X96" i="3"/>
  <c r="W95" i="3"/>
  <c r="X95" i="3"/>
  <c r="W73" i="3"/>
  <c r="X73" i="3"/>
  <c r="W92" i="3"/>
  <c r="X92" i="3"/>
  <c r="W84" i="3"/>
  <c r="X84" i="3"/>
  <c r="W28" i="3"/>
  <c r="X28" i="3"/>
  <c r="W90" i="3"/>
  <c r="X90" i="3"/>
  <c r="W89" i="3"/>
  <c r="X89" i="3"/>
  <c r="W83" i="3"/>
  <c r="X83" i="3"/>
  <c r="W36" i="3"/>
  <c r="X36" i="3"/>
  <c r="W88" i="3"/>
  <c r="X88" i="3"/>
  <c r="W53" i="3"/>
  <c r="X53" i="3"/>
  <c r="R90" i="12"/>
  <c r="B93" i="12"/>
  <c r="B92" i="12"/>
  <c r="B37" i="11"/>
  <c r="B40" i="11"/>
  <c r="B36" i="11"/>
  <c r="B35" i="11"/>
  <c r="B94" i="12"/>
  <c r="B47" i="11"/>
  <c r="Z53" i="3"/>
  <c r="Y53" i="3"/>
  <c r="B57" i="11" l="1"/>
  <c r="B96" i="11"/>
  <c r="AA37" i="3" l="1"/>
  <c r="AB37" i="3" s="1"/>
  <c r="AA62" i="3"/>
  <c r="AB62" i="3" s="1"/>
  <c r="AA28" i="3"/>
  <c r="AB28" i="3" s="1"/>
  <c r="AA64" i="3"/>
  <c r="AB64" i="3" s="1"/>
  <c r="AA85" i="3"/>
  <c r="AB85" i="3" s="1"/>
  <c r="K68" i="14" s="1"/>
  <c r="AA20" i="3"/>
  <c r="AB20" i="3" s="1"/>
  <c r="AA53" i="3"/>
  <c r="AB53" i="3" s="1"/>
  <c r="AA51" i="3"/>
  <c r="AB51" i="3" s="1"/>
  <c r="AA73" i="3"/>
  <c r="AB73" i="3" s="1"/>
  <c r="K60" i="14" s="1"/>
  <c r="AA31" i="3"/>
  <c r="AB31" i="3" s="1"/>
  <c r="AA78" i="3"/>
  <c r="AB78" i="3" s="1"/>
  <c r="K61" i="14" s="1"/>
  <c r="AA47" i="3"/>
  <c r="AB47" i="3" s="1"/>
  <c r="AA52" i="3"/>
  <c r="AB52" i="3" s="1"/>
  <c r="AA24" i="3"/>
  <c r="AB24" i="3" s="1"/>
  <c r="AA56" i="3"/>
  <c r="AB56" i="3" s="1"/>
  <c r="K14" i="14" s="1"/>
  <c r="AA36" i="3"/>
  <c r="AB36" i="3" s="1"/>
  <c r="AA83" i="3"/>
  <c r="AB83" i="3" s="1"/>
  <c r="K30" i="14" s="1"/>
  <c r="AA44" i="3"/>
  <c r="AB44" i="3" s="1"/>
  <c r="AA104" i="3"/>
  <c r="AB104" i="3" s="1"/>
  <c r="AA26" i="3"/>
  <c r="AB26" i="3" s="1"/>
  <c r="AA21" i="3"/>
  <c r="AB21" i="3" s="1"/>
  <c r="AA29" i="3"/>
  <c r="AB29" i="3" s="1"/>
  <c r="AA34" i="3"/>
  <c r="AB34" i="3" s="1"/>
  <c r="AA39" i="3"/>
  <c r="AB39" i="3" s="1"/>
  <c r="AA50" i="3"/>
  <c r="AB50" i="3" s="1"/>
  <c r="AA22" i="3"/>
  <c r="AB22" i="3" s="1"/>
  <c r="AA40" i="3"/>
  <c r="AB40" i="3" s="1"/>
  <c r="AA66" i="3"/>
  <c r="AB66" i="3" s="1"/>
  <c r="AA75" i="3"/>
  <c r="AB75" i="3" s="1"/>
  <c r="AA61" i="3"/>
  <c r="AB61" i="3" s="1"/>
  <c r="AA59" i="3"/>
  <c r="AB59" i="3" s="1"/>
  <c r="AA63" i="3"/>
  <c r="AB63" i="3" s="1"/>
  <c r="K409" i="14" s="1"/>
  <c r="AA79" i="3"/>
  <c r="AB79" i="3" s="1"/>
  <c r="K410" i="14" s="1"/>
  <c r="AA72" i="3"/>
  <c r="AB72" i="3" s="1"/>
  <c r="K416" i="14" s="1"/>
  <c r="AA76" i="3"/>
  <c r="AB76" i="3" s="1"/>
  <c r="K417" i="14" s="1"/>
  <c r="AA35" i="3"/>
  <c r="AB35" i="3" s="1"/>
  <c r="AA38" i="3"/>
  <c r="AB38" i="3" s="1"/>
  <c r="AA42" i="3"/>
  <c r="AB42" i="3" s="1"/>
  <c r="AA46" i="3"/>
  <c r="AB46" i="3" s="1"/>
  <c r="AA43" i="3"/>
  <c r="AB43" i="3" s="1"/>
  <c r="AA41" i="3"/>
  <c r="AB41" i="3" s="1"/>
  <c r="AA45" i="3"/>
  <c r="AB45" i="3" s="1"/>
  <c r="AA67" i="3"/>
  <c r="AB67" i="3" s="1"/>
  <c r="AA23" i="3"/>
  <c r="AB23" i="3" s="1"/>
  <c r="AA33" i="3"/>
  <c r="AB33" i="3" s="1"/>
  <c r="AA49" i="3"/>
  <c r="AB49" i="3" s="1"/>
  <c r="AA27" i="3"/>
  <c r="AB27" i="3" s="1"/>
  <c r="AA57" i="3"/>
  <c r="AB57" i="3" s="1"/>
  <c r="AA54" i="3"/>
  <c r="AB54" i="3" s="1"/>
  <c r="AA48" i="3"/>
  <c r="AB48" i="3" s="1"/>
  <c r="AA58" i="3"/>
  <c r="AB58" i="3" s="1"/>
  <c r="K403" i="14" s="1"/>
  <c r="AA74" i="3"/>
  <c r="AB74" i="3" s="1"/>
  <c r="AA55" i="3"/>
  <c r="AB55" i="3" s="1"/>
  <c r="AA80" i="3"/>
  <c r="AB80" i="3" s="1"/>
  <c r="K442" i="14" s="1"/>
  <c r="AA82" i="3"/>
  <c r="AB82" i="3" s="1"/>
  <c r="K545" i="14" s="1"/>
  <c r="AA32" i="3"/>
  <c r="AB32" i="3" s="1"/>
  <c r="AA30" i="3"/>
  <c r="AB30" i="3" s="1"/>
  <c r="AA77" i="3"/>
  <c r="AB77" i="3" s="1"/>
  <c r="K580" i="14" s="1"/>
  <c r="AA86" i="3"/>
  <c r="AB86" i="3" s="1"/>
  <c r="K581" i="14" s="1"/>
  <c r="AA70" i="3"/>
  <c r="AB70" i="3" s="1"/>
  <c r="K583" i="14" s="1"/>
  <c r="AA25" i="3"/>
  <c r="AB25" i="3" s="1"/>
  <c r="AA93" i="3"/>
  <c r="AB93" i="3" s="1"/>
  <c r="AA101" i="3"/>
  <c r="AB101" i="3" s="1"/>
  <c r="AA112" i="3"/>
  <c r="AB112" i="3" s="1"/>
  <c r="AA120" i="3"/>
  <c r="AB120" i="3" s="1"/>
  <c r="AA130" i="3"/>
  <c r="AB130" i="3" s="1"/>
  <c r="AA137" i="3"/>
  <c r="AB137" i="3" s="1"/>
  <c r="AA144" i="3"/>
  <c r="AB144" i="3" s="1"/>
  <c r="AA147" i="3"/>
  <c r="AB147" i="3" s="1"/>
  <c r="AA151" i="3"/>
  <c r="AB151" i="3" s="1"/>
  <c r="AA157" i="3"/>
  <c r="AB157" i="3" s="1"/>
  <c r="AA163" i="3"/>
  <c r="AB163" i="3" s="1"/>
  <c r="AA90" i="3"/>
  <c r="AB90" i="3" s="1"/>
  <c r="AA96" i="3"/>
  <c r="AB96" i="3" s="1"/>
  <c r="AA102" i="3"/>
  <c r="AB102" i="3" s="1"/>
  <c r="AA111" i="3"/>
  <c r="AB111" i="3" s="1"/>
  <c r="AA119" i="3"/>
  <c r="AB119" i="3" s="1"/>
  <c r="AA125" i="3"/>
  <c r="AB125" i="3" s="1"/>
  <c r="AA133" i="3"/>
  <c r="AB133" i="3" s="1"/>
  <c r="AA138" i="3"/>
  <c r="AB138" i="3" s="1"/>
  <c r="AA60" i="3"/>
  <c r="AB60" i="3" s="1"/>
  <c r="AA152" i="3"/>
  <c r="AB152" i="3" s="1"/>
  <c r="AA71" i="3"/>
  <c r="AB71" i="3" s="1"/>
  <c r="AA166" i="3"/>
  <c r="AB166" i="3" s="1"/>
  <c r="AA171" i="3"/>
  <c r="AB171" i="3" s="1"/>
  <c r="AA91" i="3"/>
  <c r="AB91" i="3" s="1"/>
  <c r="AA94" i="3"/>
  <c r="AB94" i="3" s="1"/>
  <c r="AA103" i="3"/>
  <c r="AB103" i="3" s="1"/>
  <c r="AA108" i="3"/>
  <c r="AB108" i="3" s="1"/>
  <c r="AA117" i="3"/>
  <c r="AB117" i="3" s="1"/>
  <c r="AA128" i="3"/>
  <c r="AB128" i="3" s="1"/>
  <c r="AA135" i="3"/>
  <c r="AB135" i="3" s="1"/>
  <c r="AA142" i="3"/>
  <c r="AB142" i="3" s="1"/>
  <c r="AA69" i="3"/>
  <c r="AB69" i="3" s="1"/>
  <c r="AA92" i="3"/>
  <c r="AB92" i="3" s="1"/>
  <c r="AA100" i="3"/>
  <c r="AB100" i="3" s="1"/>
  <c r="AA109" i="3"/>
  <c r="AB109" i="3" s="1"/>
  <c r="AA118" i="3"/>
  <c r="AB118" i="3" s="1"/>
  <c r="AA126" i="3"/>
  <c r="AB126" i="3" s="1"/>
  <c r="AA132" i="3"/>
  <c r="AB132" i="3" s="1"/>
  <c r="AA143" i="3"/>
  <c r="AB143" i="3" s="1"/>
  <c r="AA150" i="3"/>
  <c r="AB150" i="3" s="1"/>
  <c r="AA159" i="3"/>
  <c r="AB159" i="3" s="1"/>
  <c r="AA165" i="3"/>
  <c r="AB165" i="3" s="1"/>
  <c r="AA158" i="3"/>
  <c r="AB158" i="3" s="1"/>
  <c r="AA173" i="3"/>
  <c r="AB173" i="3" s="1"/>
  <c r="AA170" i="3"/>
  <c r="AB170" i="3" s="1"/>
  <c r="AA167" i="3"/>
  <c r="AB167" i="3" s="1"/>
  <c r="AA148" i="3"/>
  <c r="AB148" i="3" s="1"/>
  <c r="AA164" i="3"/>
  <c r="AB164" i="3" s="1"/>
  <c r="AA113" i="3"/>
  <c r="AB113" i="3" s="1"/>
  <c r="AA95" i="3"/>
  <c r="AB95" i="3" s="1"/>
  <c r="AA129" i="3"/>
  <c r="AB129" i="3" s="1"/>
  <c r="AA168" i="3"/>
  <c r="AB168" i="3" s="1"/>
  <c r="AA97" i="3"/>
  <c r="AB97" i="3" s="1"/>
  <c r="AA115" i="3"/>
  <c r="AB115" i="3" s="1"/>
  <c r="AA68" i="3"/>
  <c r="AB68" i="3" s="1"/>
  <c r="AA146" i="3"/>
  <c r="AB146" i="3" s="1"/>
  <c r="AA153" i="3"/>
  <c r="AB153" i="3" s="1"/>
  <c r="AA88" i="3"/>
  <c r="AB88" i="3" s="1"/>
  <c r="AA98" i="3"/>
  <c r="AB98" i="3" s="1"/>
  <c r="AA116" i="3"/>
  <c r="AB116" i="3" s="1"/>
  <c r="AA127" i="3"/>
  <c r="AB127" i="3" s="1"/>
  <c r="AA141" i="3"/>
  <c r="AB141" i="3" s="1"/>
  <c r="AA154" i="3"/>
  <c r="AB154" i="3" s="1"/>
  <c r="AA169" i="3"/>
  <c r="AB169" i="3" s="1"/>
  <c r="AA65" i="3"/>
  <c r="AB65" i="3" s="1"/>
  <c r="AA106" i="3"/>
  <c r="AB106" i="3" s="1"/>
  <c r="AA122" i="3"/>
  <c r="AB122" i="3" s="1"/>
  <c r="AA139" i="3"/>
  <c r="AB139" i="3" s="1"/>
  <c r="AA89" i="3"/>
  <c r="AB89" i="3" s="1"/>
  <c r="AA107" i="3"/>
  <c r="AB107" i="3" s="1"/>
  <c r="AA123" i="3"/>
  <c r="AB123" i="3" s="1"/>
  <c r="AA136" i="3"/>
  <c r="AB136" i="3" s="1"/>
  <c r="AA156" i="3"/>
  <c r="AB156" i="3" s="1"/>
  <c r="AA172" i="3"/>
  <c r="AB172" i="3" s="1"/>
  <c r="AA161" i="3"/>
  <c r="AB161" i="3" s="1"/>
  <c r="AA87" i="3"/>
  <c r="AB87" i="3" s="1"/>
  <c r="AA110" i="3"/>
  <c r="AB110" i="3" s="1"/>
  <c r="AA124" i="3"/>
  <c r="AB124" i="3" s="1"/>
  <c r="AA140" i="3"/>
  <c r="AB140" i="3" s="1"/>
  <c r="AA160" i="3"/>
  <c r="AB160" i="3" s="1"/>
  <c r="AA84" i="3"/>
  <c r="AB84" i="3" s="1"/>
  <c r="AA105" i="3"/>
  <c r="AB105" i="3" s="1"/>
  <c r="AA121" i="3"/>
  <c r="AB121" i="3" s="1"/>
  <c r="AA134" i="3"/>
  <c r="AB134" i="3" s="1"/>
  <c r="AA149" i="3"/>
  <c r="AB149" i="3" s="1"/>
  <c r="AA174" i="3"/>
  <c r="AB174" i="3" s="1"/>
  <c r="AA99" i="3"/>
  <c r="AB99" i="3" s="1"/>
  <c r="AA131" i="3"/>
  <c r="AB131" i="3" s="1"/>
  <c r="AA145" i="3"/>
  <c r="AB145" i="3" s="1"/>
  <c r="AA114" i="3"/>
  <c r="AB114" i="3" s="1"/>
  <c r="AA81" i="3"/>
  <c r="AB81" i="3" s="1"/>
  <c r="AA162" i="3"/>
  <c r="AB162" i="3" s="1"/>
  <c r="AA155" i="3"/>
  <c r="AB155" i="3" s="1"/>
  <c r="B69" i="11"/>
  <c r="B68" i="11"/>
  <c r="E44" i="11"/>
  <c r="E47" i="11" s="1"/>
  <c r="B28" i="11"/>
  <c r="B87" i="11" l="1"/>
  <c r="B85" i="11"/>
  <c r="B92" i="11"/>
  <c r="I24" i="14"/>
  <c r="I25" i="14"/>
  <c r="I56" i="14"/>
  <c r="I59" i="14"/>
  <c r="I66" i="14"/>
  <c r="I78" i="14"/>
  <c r="I79" i="14"/>
  <c r="I80" i="14"/>
  <c r="I81" i="14"/>
  <c r="I82" i="14"/>
  <c r="I46" i="14"/>
  <c r="I97" i="14"/>
  <c r="I101" i="14"/>
  <c r="I106" i="14"/>
  <c r="I108" i="14"/>
  <c r="I120" i="14"/>
  <c r="I121" i="14"/>
  <c r="I140" i="14"/>
  <c r="I141" i="14"/>
  <c r="I147" i="14"/>
  <c r="I149" i="14"/>
  <c r="I167" i="14"/>
  <c r="I169" i="14"/>
  <c r="I109" i="14"/>
  <c r="I114" i="14"/>
  <c r="I142" i="14"/>
  <c r="I150" i="14"/>
  <c r="I168" i="14"/>
  <c r="I47" i="14"/>
  <c r="I107" i="14"/>
  <c r="I122" i="14"/>
  <c r="I123" i="14"/>
  <c r="I148" i="14"/>
  <c r="I157" i="14"/>
  <c r="I170" i="14"/>
  <c r="I186" i="14"/>
  <c r="I198" i="14"/>
  <c r="I197" i="14"/>
  <c r="I224" i="14"/>
  <c r="I226" i="14"/>
  <c r="I255" i="14"/>
  <c r="I256" i="14"/>
  <c r="I259" i="14"/>
  <c r="I267" i="14"/>
  <c r="I268" i="14"/>
  <c r="I275" i="14"/>
  <c r="I276" i="14"/>
  <c r="I288" i="14"/>
  <c r="I289" i="14"/>
  <c r="I184" i="14"/>
  <c r="I185" i="14"/>
  <c r="I199" i="14"/>
  <c r="I208" i="14"/>
  <c r="I209" i="14"/>
  <c r="I215" i="14"/>
  <c r="I216" i="14"/>
  <c r="I218" i="14"/>
  <c r="I225" i="14"/>
  <c r="I227" i="14"/>
  <c r="I257" i="14"/>
  <c r="I258" i="14"/>
  <c r="I266" i="14"/>
  <c r="I269" i="14"/>
  <c r="I277" i="14"/>
  <c r="I287" i="14"/>
  <c r="I290" i="14"/>
  <c r="I314" i="14"/>
  <c r="I300" i="14"/>
  <c r="I315" i="14"/>
  <c r="I321" i="14"/>
  <c r="I329" i="14"/>
  <c r="I330" i="14"/>
  <c r="I331" i="14"/>
  <c r="I332" i="14"/>
  <c r="I358" i="14"/>
  <c r="I359" i="14"/>
  <c r="I360" i="14"/>
  <c r="I361" i="14"/>
  <c r="I375" i="14"/>
  <c r="I399" i="14"/>
  <c r="I427" i="14"/>
  <c r="I428" i="14"/>
  <c r="I437" i="14"/>
  <c r="I471" i="14"/>
  <c r="I505" i="14"/>
  <c r="I519" i="14"/>
  <c r="I520" i="14"/>
  <c r="I521" i="14"/>
  <c r="I522" i="14"/>
  <c r="I531" i="14"/>
  <c r="I532" i="14"/>
  <c r="I538" i="14"/>
  <c r="I550" i="14"/>
  <c r="I552" i="14"/>
  <c r="I562" i="14"/>
  <c r="I377" i="14"/>
  <c r="I407" i="14"/>
  <c r="I413" i="14"/>
  <c r="I420" i="14"/>
  <c r="I433" i="14"/>
  <c r="I472" i="14"/>
  <c r="I476" i="14"/>
  <c r="I539" i="14"/>
  <c r="I551" i="14"/>
  <c r="I581" i="14"/>
  <c r="I593" i="14"/>
  <c r="I609" i="14"/>
  <c r="I618" i="14"/>
  <c r="I622" i="14"/>
  <c r="I634" i="14"/>
  <c r="I648" i="14"/>
  <c r="I652" i="14"/>
  <c r="I664" i="14"/>
  <c r="I669" i="14"/>
  <c r="I672" i="14"/>
  <c r="I685" i="14"/>
  <c r="I506" i="14"/>
  <c r="I553" i="14"/>
  <c r="I569" i="14"/>
  <c r="I570" i="14"/>
  <c r="I571" i="14"/>
  <c r="I577" i="14"/>
  <c r="I588" i="14"/>
  <c r="I596" i="14"/>
  <c r="I600" i="14"/>
  <c r="I604" i="14"/>
  <c r="I612" i="14"/>
  <c r="I619" i="14"/>
  <c r="I632" i="14"/>
  <c r="I636" i="14"/>
  <c r="I640" i="14"/>
  <c r="I643" i="14"/>
  <c r="I655" i="14"/>
  <c r="I675" i="14"/>
  <c r="I679" i="14"/>
  <c r="I682" i="14"/>
  <c r="K501" i="14"/>
  <c r="K506" i="14"/>
  <c r="K507" i="14"/>
  <c r="K510" i="14"/>
  <c r="K502" i="14"/>
  <c r="K503" i="14"/>
  <c r="K504" i="14"/>
  <c r="K505" i="14"/>
  <c r="K508" i="14"/>
  <c r="K509" i="14"/>
  <c r="K567" i="14"/>
  <c r="K568" i="14"/>
  <c r="K569" i="14"/>
  <c r="K570" i="14"/>
  <c r="K571" i="14"/>
  <c r="K572" i="14"/>
  <c r="K573" i="14"/>
  <c r="K574" i="14"/>
  <c r="K575" i="14"/>
  <c r="K576" i="14"/>
  <c r="K577" i="14"/>
  <c r="K578" i="14"/>
  <c r="K579" i="14"/>
  <c r="K566" i="14"/>
  <c r="K432" i="14"/>
  <c r="K433" i="14"/>
  <c r="K434" i="14"/>
  <c r="K431" i="14"/>
  <c r="K656" i="14"/>
  <c r="K654" i="14"/>
  <c r="K655" i="14"/>
  <c r="K384" i="14"/>
  <c r="K385" i="14"/>
  <c r="K386" i="14"/>
  <c r="K383" i="14"/>
  <c r="K326" i="14"/>
  <c r="K325"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637" i="14"/>
  <c r="K638" i="14"/>
  <c r="K641" i="14"/>
  <c r="K684" i="14"/>
  <c r="K685" i="14"/>
  <c r="K635" i="14"/>
  <c r="K636" i="14"/>
  <c r="K639" i="14"/>
  <c r="K640" i="14"/>
  <c r="K686" i="14"/>
  <c r="K535" i="14"/>
  <c r="K536" i="14"/>
  <c r="K537" i="14"/>
  <c r="K538" i="14"/>
  <c r="K539" i="14"/>
  <c r="K540" i="14"/>
  <c r="K541" i="14"/>
  <c r="K542" i="14"/>
  <c r="K543" i="14"/>
  <c r="K498" i="14"/>
  <c r="K499" i="14"/>
  <c r="K455" i="14"/>
  <c r="K456" i="14"/>
  <c r="K457" i="14"/>
  <c r="K458" i="14"/>
  <c r="K459" i="14"/>
  <c r="K460" i="14"/>
  <c r="K461" i="14"/>
  <c r="K462" i="14"/>
  <c r="K463" i="14"/>
  <c r="K464" i="14"/>
  <c r="K465" i="14"/>
  <c r="K466" i="14"/>
  <c r="K467" i="14"/>
  <c r="K468" i="14"/>
  <c r="K469" i="14"/>
  <c r="K470" i="14"/>
  <c r="K471" i="14"/>
  <c r="K472" i="14"/>
  <c r="K473" i="14"/>
  <c r="K474" i="14"/>
  <c r="K475" i="14"/>
  <c r="K476" i="14"/>
  <c r="K688" i="14"/>
  <c r="K658" i="14"/>
  <c r="K659" i="14"/>
  <c r="K687" i="14"/>
  <c r="K444" i="14"/>
  <c r="K445" i="14"/>
  <c r="K446" i="14"/>
  <c r="K447" i="14"/>
  <c r="K448" i="14"/>
  <c r="K425" i="14"/>
  <c r="K426" i="14"/>
  <c r="K427" i="14"/>
  <c r="K428" i="14"/>
  <c r="K429" i="14"/>
  <c r="K430" i="14"/>
  <c r="K652" i="14"/>
  <c r="K653" i="14"/>
  <c r="K651" i="14"/>
  <c r="K405" i="14"/>
  <c r="K406" i="14"/>
  <c r="K407" i="14"/>
  <c r="K387" i="14"/>
  <c r="K388" i="14"/>
  <c r="K312" i="14"/>
  <c r="K319" i="14"/>
  <c r="K320" i="14"/>
  <c r="K323" i="14"/>
  <c r="K313" i="14"/>
  <c r="K314" i="14"/>
  <c r="K317" i="14"/>
  <c r="K318" i="14"/>
  <c r="K315" i="14"/>
  <c r="K316" i="14"/>
  <c r="K321" i="14"/>
  <c r="K322" i="14"/>
  <c r="K633" i="14"/>
  <c r="K634" i="14"/>
  <c r="K631" i="14"/>
  <c r="K632" i="14"/>
  <c r="K208" i="14"/>
  <c r="K209" i="14"/>
  <c r="K210" i="14"/>
  <c r="K211" i="14"/>
  <c r="K212" i="14"/>
  <c r="K213" i="14"/>
  <c r="K214" i="14"/>
  <c r="K215" i="14"/>
  <c r="K216" i="14"/>
  <c r="K217" i="14"/>
  <c r="K218" i="14"/>
  <c r="K207" i="14"/>
  <c r="K609" i="14"/>
  <c r="K610" i="14"/>
  <c r="K283" i="14"/>
  <c r="K284" i="14"/>
  <c r="K285" i="14"/>
  <c r="K286" i="14"/>
  <c r="K287" i="14"/>
  <c r="K288" i="14"/>
  <c r="K289" i="14"/>
  <c r="K292" i="14"/>
  <c r="K293" i="14"/>
  <c r="K296" i="14"/>
  <c r="K290" i="14"/>
  <c r="K291" i="14"/>
  <c r="K294" i="14"/>
  <c r="K295" i="14"/>
  <c r="K297" i="14"/>
  <c r="K298" i="14"/>
  <c r="K301" i="14"/>
  <c r="K302" i="14"/>
  <c r="K299" i="14"/>
  <c r="K300" i="14"/>
  <c r="K621" i="14"/>
  <c r="K622" i="14"/>
  <c r="K625" i="14"/>
  <c r="K626" i="14"/>
  <c r="K681" i="14"/>
  <c r="K623" i="14"/>
  <c r="K624" i="14"/>
  <c r="K682" i="14"/>
  <c r="K683" i="14"/>
  <c r="K117" i="14"/>
  <c r="K120" i="14"/>
  <c r="K121" i="14"/>
  <c r="K124" i="14"/>
  <c r="K125" i="14"/>
  <c r="K128" i="14"/>
  <c r="K129" i="14"/>
  <c r="K132" i="14"/>
  <c r="K133" i="14"/>
  <c r="K136" i="14"/>
  <c r="K137" i="14"/>
  <c r="K140" i="14"/>
  <c r="K141" i="14"/>
  <c r="K116" i="14"/>
  <c r="K122" i="14"/>
  <c r="K123" i="14"/>
  <c r="K130" i="14"/>
  <c r="K131" i="14"/>
  <c r="K138" i="14"/>
  <c r="K139" i="14"/>
  <c r="K118" i="14"/>
  <c r="K119" i="14"/>
  <c r="K126" i="14"/>
  <c r="K127" i="14"/>
  <c r="K134" i="14"/>
  <c r="K135" i="14"/>
  <c r="K142" i="14"/>
  <c r="K589" i="14"/>
  <c r="K590" i="14"/>
  <c r="K593" i="14"/>
  <c r="K664" i="14"/>
  <c r="K665" i="14"/>
  <c r="K587" i="14"/>
  <c r="K588" i="14"/>
  <c r="K591" i="14"/>
  <c r="K592" i="14"/>
  <c r="K663" i="14"/>
  <c r="K666" i="14"/>
  <c r="K667" i="14"/>
  <c r="K90" i="14"/>
  <c r="K91" i="14"/>
  <c r="K92" i="14"/>
  <c r="K93" i="14"/>
  <c r="K161" i="14"/>
  <c r="K160" i="14"/>
  <c r="K12" i="14"/>
  <c r="K11" i="14"/>
  <c r="K10" i="14"/>
  <c r="K41" i="14"/>
  <c r="K42" i="14"/>
  <c r="K43" i="14"/>
  <c r="K44" i="14"/>
  <c r="K45" i="14"/>
  <c r="K46" i="14"/>
  <c r="K47" i="14"/>
  <c r="K48" i="14"/>
  <c r="K49" i="14"/>
  <c r="K50" i="14"/>
  <c r="K51" i="14"/>
  <c r="K21" i="14"/>
  <c r="K22" i="14"/>
  <c r="K23" i="14"/>
  <c r="K24" i="14"/>
  <c r="K26" i="14"/>
  <c r="K27" i="14"/>
  <c r="K29" i="14"/>
  <c r="K25" i="14"/>
  <c r="K28" i="14"/>
  <c r="S37" i="3"/>
  <c r="S62" i="3"/>
  <c r="S51" i="3"/>
  <c r="S78" i="3"/>
  <c r="S20" i="3"/>
  <c r="S56" i="3"/>
  <c r="S36" i="3"/>
  <c r="S83" i="3"/>
  <c r="S44" i="3"/>
  <c r="S31" i="3"/>
  <c r="S53" i="3"/>
  <c r="S28" i="3"/>
  <c r="S73" i="3"/>
  <c r="S104" i="3"/>
  <c r="S47" i="3"/>
  <c r="S52" i="3"/>
  <c r="S24" i="3"/>
  <c r="S64" i="3"/>
  <c r="S85" i="3"/>
  <c r="S26" i="3"/>
  <c r="S21" i="3"/>
  <c r="S29" i="3"/>
  <c r="S39" i="3"/>
  <c r="S50" i="3"/>
  <c r="S22" i="3"/>
  <c r="S34" i="3"/>
  <c r="S49" i="3"/>
  <c r="S40" i="3"/>
  <c r="S66" i="3"/>
  <c r="S57" i="3"/>
  <c r="S75" i="3"/>
  <c r="S48" i="3"/>
  <c r="S58" i="3"/>
  <c r="S74" i="3"/>
  <c r="S35" i="3"/>
  <c r="S38" i="3"/>
  <c r="S42" i="3"/>
  <c r="S41" i="3"/>
  <c r="S45" i="3"/>
  <c r="S67" i="3"/>
  <c r="S23" i="3"/>
  <c r="S33" i="3"/>
  <c r="S27" i="3"/>
  <c r="S54" i="3"/>
  <c r="S61" i="3"/>
  <c r="S59" i="3"/>
  <c r="S63" i="3"/>
  <c r="S79" i="3"/>
  <c r="S72" i="3"/>
  <c r="S76" i="3"/>
  <c r="S55" i="3"/>
  <c r="S80" i="3"/>
  <c r="S46" i="3"/>
  <c r="S43" i="3"/>
  <c r="S82" i="3"/>
  <c r="S32" i="3"/>
  <c r="S30" i="3"/>
  <c r="S77" i="3"/>
  <c r="S86" i="3"/>
  <c r="S70" i="3"/>
  <c r="S25" i="3"/>
  <c r="S87" i="3"/>
  <c r="S112" i="3"/>
  <c r="S68" i="3"/>
  <c r="S147" i="3"/>
  <c r="S168" i="3"/>
  <c r="S125" i="3"/>
  <c r="S149" i="3"/>
  <c r="S171" i="3"/>
  <c r="S99" i="3"/>
  <c r="S128" i="3"/>
  <c r="S132" i="3"/>
  <c r="S124" i="3"/>
  <c r="S160" i="3"/>
  <c r="S90" i="3"/>
  <c r="S111" i="3"/>
  <c r="S127" i="3"/>
  <c r="S174" i="3"/>
  <c r="S103" i="3"/>
  <c r="S69" i="3"/>
  <c r="S107" i="3"/>
  <c r="S97" i="3"/>
  <c r="S115" i="3"/>
  <c r="S151" i="3"/>
  <c r="S173" i="3"/>
  <c r="S102" i="3"/>
  <c r="S138" i="3"/>
  <c r="S166" i="3"/>
  <c r="S106" i="3"/>
  <c r="S122" i="3"/>
  <c r="S158" i="3"/>
  <c r="S109" i="3"/>
  <c r="S126" i="3"/>
  <c r="S150" i="3"/>
  <c r="S172" i="3"/>
  <c r="S130" i="3"/>
  <c r="S146" i="3"/>
  <c r="S88" i="3"/>
  <c r="S121" i="3"/>
  <c r="S141" i="3"/>
  <c r="S169" i="3"/>
  <c r="S135" i="3"/>
  <c r="S100" i="3"/>
  <c r="S129" i="3"/>
  <c r="S81" i="3"/>
  <c r="S92" i="3"/>
  <c r="S164" i="3"/>
  <c r="S155" i="3"/>
  <c r="S159" i="3"/>
  <c r="S120" i="3"/>
  <c r="S157" i="3"/>
  <c r="S134" i="3"/>
  <c r="S91" i="3"/>
  <c r="S145" i="3"/>
  <c r="S148" i="3"/>
  <c r="S98" i="3"/>
  <c r="S152" i="3"/>
  <c r="S131" i="3"/>
  <c r="S123" i="3"/>
  <c r="S144" i="3"/>
  <c r="S84" i="3"/>
  <c r="S154" i="3"/>
  <c r="S113" i="3"/>
  <c r="S89" i="3"/>
  <c r="S143" i="3"/>
  <c r="S101" i="3"/>
  <c r="S153" i="3"/>
  <c r="S133" i="3"/>
  <c r="S108" i="3"/>
  <c r="S118" i="3"/>
  <c r="S165" i="3"/>
  <c r="S139" i="3"/>
  <c r="S93" i="3"/>
  <c r="S140" i="3"/>
  <c r="S96" i="3"/>
  <c r="S71" i="3"/>
  <c r="S117" i="3"/>
  <c r="S170" i="3"/>
  <c r="S116" i="3"/>
  <c r="S65" i="3"/>
  <c r="S167" i="3"/>
  <c r="S110" i="3"/>
  <c r="S163" i="3"/>
  <c r="S119" i="3"/>
  <c r="S94" i="3"/>
  <c r="S142" i="3"/>
  <c r="S114" i="3"/>
  <c r="S162" i="3"/>
  <c r="S137" i="3"/>
  <c r="S105" i="3"/>
  <c r="S60" i="3"/>
  <c r="S161" i="3"/>
  <c r="S136" i="3"/>
  <c r="S156" i="3"/>
  <c r="S95" i="3"/>
  <c r="I19" i="14"/>
  <c r="I27" i="14"/>
  <c r="I28" i="14"/>
  <c r="I29" i="14"/>
  <c r="I38" i="14"/>
  <c r="I39" i="14"/>
  <c r="I61" i="14"/>
  <c r="I67" i="14"/>
  <c r="I83" i="14"/>
  <c r="I84" i="14"/>
  <c r="I85" i="14"/>
  <c r="I86" i="14"/>
  <c r="I87" i="14"/>
  <c r="I88" i="14"/>
  <c r="I89" i="14"/>
  <c r="I11" i="14"/>
  <c r="I34" i="14"/>
  <c r="I48" i="14"/>
  <c r="I50" i="14"/>
  <c r="I58" i="14"/>
  <c r="I92" i="14"/>
  <c r="I98" i="14"/>
  <c r="I99" i="14"/>
  <c r="I110" i="14"/>
  <c r="I112" i="14"/>
  <c r="I124" i="14"/>
  <c r="I125" i="14"/>
  <c r="I128" i="14"/>
  <c r="I129" i="14"/>
  <c r="I151" i="14"/>
  <c r="I153" i="14"/>
  <c r="I154" i="14"/>
  <c r="I158" i="14"/>
  <c r="I171" i="14"/>
  <c r="I49" i="14"/>
  <c r="I93" i="14"/>
  <c r="I113" i="14"/>
  <c r="I126" i="14"/>
  <c r="I127" i="14"/>
  <c r="I134" i="14"/>
  <c r="I135" i="14"/>
  <c r="I12" i="14"/>
  <c r="I51" i="14"/>
  <c r="I111" i="14"/>
  <c r="I130" i="14"/>
  <c r="I131" i="14"/>
  <c r="I152" i="14"/>
  <c r="I161" i="14"/>
  <c r="I173" i="14"/>
  <c r="I175" i="14"/>
  <c r="I178" i="14"/>
  <c r="I179" i="14"/>
  <c r="I182" i="14"/>
  <c r="I183" i="14"/>
  <c r="B70" i="11"/>
  <c r="I200" i="14"/>
  <c r="I202" i="14"/>
  <c r="I174" i="14"/>
  <c r="I180" i="14"/>
  <c r="I181" i="14"/>
  <c r="I201" i="14"/>
  <c r="I228" i="14"/>
  <c r="I230" i="14"/>
  <c r="I232" i="14"/>
  <c r="I234" i="14"/>
  <c r="I236" i="14"/>
  <c r="I239" i="14"/>
  <c r="I240" i="14"/>
  <c r="I271" i="14"/>
  <c r="I272" i="14"/>
  <c r="I292" i="14"/>
  <c r="I293" i="14"/>
  <c r="I172" i="14"/>
  <c r="I176" i="14"/>
  <c r="I177" i="14"/>
  <c r="I203" i="14"/>
  <c r="I204" i="14"/>
  <c r="I210" i="14"/>
  <c r="I211" i="14"/>
  <c r="I212" i="14"/>
  <c r="I217" i="14"/>
  <c r="I229" i="14"/>
  <c r="I231" i="14"/>
  <c r="I233" i="14"/>
  <c r="I235" i="14"/>
  <c r="I237" i="14"/>
  <c r="I238" i="14"/>
  <c r="I270" i="14"/>
  <c r="I273" i="14"/>
  <c r="I274" i="14"/>
  <c r="I291" i="14"/>
  <c r="I294" i="14"/>
  <c r="I295" i="14"/>
  <c r="I301" i="14"/>
  <c r="I308" i="14"/>
  <c r="I309" i="14"/>
  <c r="I316" i="14"/>
  <c r="I323" i="14"/>
  <c r="I322" i="14"/>
  <c r="I335" i="14"/>
  <c r="I336" i="14"/>
  <c r="I337" i="14"/>
  <c r="I338" i="14"/>
  <c r="I339" i="14"/>
  <c r="I340" i="14"/>
  <c r="I341" i="14"/>
  <c r="I342" i="14"/>
  <c r="I343" i="14"/>
  <c r="I344" i="14"/>
  <c r="I345" i="14"/>
  <c r="I367" i="14"/>
  <c r="I368" i="14"/>
  <c r="I369" i="14"/>
  <c r="I370" i="14"/>
  <c r="I371" i="14"/>
  <c r="I372" i="14"/>
  <c r="I373" i="14"/>
  <c r="I374" i="14"/>
  <c r="I378" i="14"/>
  <c r="I379" i="14"/>
  <c r="I401" i="14"/>
  <c r="I414" i="14"/>
  <c r="I421" i="14"/>
  <c r="I429" i="14"/>
  <c r="I430" i="14"/>
  <c r="I438" i="14"/>
  <c r="I439" i="14"/>
  <c r="I447" i="14"/>
  <c r="I452" i="14"/>
  <c r="I459" i="14"/>
  <c r="I461" i="14"/>
  <c r="I463" i="14"/>
  <c r="I473" i="14"/>
  <c r="I475" i="14"/>
  <c r="I482" i="14"/>
  <c r="I484" i="14"/>
  <c r="I494" i="14"/>
  <c r="I496" i="14"/>
  <c r="I507" i="14"/>
  <c r="I509" i="14"/>
  <c r="I524" i="14"/>
  <c r="I525" i="14"/>
  <c r="I526" i="14"/>
  <c r="I527" i="14"/>
  <c r="I528" i="14"/>
  <c r="I529" i="14"/>
  <c r="I530" i="14"/>
  <c r="I533" i="14"/>
  <c r="I542" i="14"/>
  <c r="I554" i="14"/>
  <c r="I556" i="14"/>
  <c r="I558" i="14"/>
  <c r="I560" i="14"/>
  <c r="I310" i="14"/>
  <c r="I317" i="14"/>
  <c r="I318" i="14"/>
  <c r="I422" i="14"/>
  <c r="I434" i="14"/>
  <c r="I446" i="14"/>
  <c r="I448" i="14"/>
  <c r="I453" i="14"/>
  <c r="I454" i="14"/>
  <c r="I460" i="14"/>
  <c r="I462" i="14"/>
  <c r="I464" i="14"/>
  <c r="I474" i="14"/>
  <c r="I481" i="14"/>
  <c r="I483" i="14"/>
  <c r="I485" i="14"/>
  <c r="I493" i="14"/>
  <c r="I508" i="14"/>
  <c r="I541" i="14"/>
  <c r="I555" i="14"/>
  <c r="I559" i="14"/>
  <c r="I572" i="14"/>
  <c r="I576" i="14"/>
  <c r="I580" i="14"/>
  <c r="I586" i="14"/>
  <c r="I589" i="14"/>
  <c r="I590" i="14"/>
  <c r="I597" i="14"/>
  <c r="I598" i="14"/>
  <c r="I605" i="14"/>
  <c r="I606" i="14"/>
  <c r="I610" i="14"/>
  <c r="I613" i="14"/>
  <c r="I614" i="14"/>
  <c r="I629" i="14"/>
  <c r="I633" i="14"/>
  <c r="I637" i="14"/>
  <c r="I638" i="14"/>
  <c r="I645" i="14"/>
  <c r="I649" i="14"/>
  <c r="I653" i="14"/>
  <c r="I656" i="14"/>
  <c r="I661" i="14"/>
  <c r="I665" i="14"/>
  <c r="I673" i="14"/>
  <c r="I676" i="14"/>
  <c r="I677" i="14"/>
  <c r="I688" i="14"/>
  <c r="I689" i="14"/>
  <c r="I495" i="14"/>
  <c r="I510" i="14"/>
  <c r="I543" i="14"/>
  <c r="I557" i="14"/>
  <c r="I573" i="14"/>
  <c r="I574" i="14"/>
  <c r="I575" i="14"/>
  <c r="I599" i="14"/>
  <c r="I615" i="14"/>
  <c r="I623" i="14"/>
  <c r="I624" i="14"/>
  <c r="I628" i="14"/>
  <c r="I644" i="14"/>
  <c r="I659" i="14"/>
  <c r="I666" i="14"/>
  <c r="I670" i="14"/>
  <c r="I671" i="14"/>
  <c r="I683" i="14"/>
  <c r="I686" i="14"/>
  <c r="K547" i="14"/>
  <c r="K548" i="14"/>
  <c r="K549" i="14"/>
  <c r="K550" i="14"/>
  <c r="K551" i="14"/>
  <c r="K552" i="14"/>
  <c r="K553" i="14"/>
  <c r="K554" i="14"/>
  <c r="K555" i="14"/>
  <c r="K556" i="14"/>
  <c r="K557" i="14"/>
  <c r="K558" i="14"/>
  <c r="K559" i="14"/>
  <c r="K560" i="14"/>
  <c r="K561" i="14"/>
  <c r="K562" i="14"/>
  <c r="K563" i="14"/>
  <c r="K564" i="14"/>
  <c r="K689" i="14"/>
  <c r="K546" i="14"/>
  <c r="K412" i="14"/>
  <c r="K413" i="14"/>
  <c r="K414" i="14"/>
  <c r="K397" i="14"/>
  <c r="K398" i="14"/>
  <c r="K399" i="14"/>
  <c r="K400" i="14"/>
  <c r="K401" i="14"/>
  <c r="K376" i="14"/>
  <c r="K377" i="14"/>
  <c r="K378" i="14"/>
  <c r="K379" i="14"/>
  <c r="K380" i="14"/>
  <c r="K381" i="14"/>
  <c r="K382" i="14"/>
  <c r="K642" i="14"/>
  <c r="K645" i="14"/>
  <c r="K646" i="14"/>
  <c r="K643" i="14"/>
  <c r="K644" i="14"/>
  <c r="K308" i="14"/>
  <c r="K309" i="14"/>
  <c r="K306" i="14"/>
  <c r="K310" i="14"/>
  <c r="K311" i="14"/>
  <c r="K307" i="14"/>
  <c r="K629" i="14"/>
  <c r="K630" i="14"/>
  <c r="K627" i="14"/>
  <c r="K628" i="14"/>
  <c r="K512" i="14"/>
  <c r="K513" i="14"/>
  <c r="K514" i="14"/>
  <c r="K515" i="14"/>
  <c r="K516" i="14"/>
  <c r="K517" i="14"/>
  <c r="K518" i="14"/>
  <c r="K519" i="14"/>
  <c r="K521" i="14"/>
  <c r="K523" i="14"/>
  <c r="K524" i="14"/>
  <c r="K526" i="14"/>
  <c r="K528" i="14"/>
  <c r="K530" i="14"/>
  <c r="K532" i="14"/>
  <c r="K520" i="14"/>
  <c r="K522" i="14"/>
  <c r="K525" i="14"/>
  <c r="K527" i="14"/>
  <c r="K529" i="14"/>
  <c r="K531" i="14"/>
  <c r="K533" i="14"/>
  <c r="K478" i="14"/>
  <c r="K479" i="14"/>
  <c r="K480" i="14"/>
  <c r="K481" i="14"/>
  <c r="K482" i="14"/>
  <c r="K483" i="14"/>
  <c r="K484" i="14"/>
  <c r="K485" i="14"/>
  <c r="K495" i="14"/>
  <c r="K496" i="14"/>
  <c r="K660" i="14"/>
  <c r="K661" i="14"/>
  <c r="K486" i="14"/>
  <c r="K487" i="14"/>
  <c r="K488" i="14"/>
  <c r="K489" i="14"/>
  <c r="K490" i="14"/>
  <c r="K491" i="14"/>
  <c r="K492" i="14"/>
  <c r="K493" i="14"/>
  <c r="K494" i="14"/>
  <c r="K451" i="14"/>
  <c r="K452" i="14"/>
  <c r="K453" i="14"/>
  <c r="K454" i="14"/>
  <c r="K435" i="14"/>
  <c r="K436" i="14"/>
  <c r="K437" i="14"/>
  <c r="K438" i="14"/>
  <c r="K439" i="14"/>
  <c r="K440" i="14"/>
  <c r="K441" i="14"/>
  <c r="K657" i="14"/>
  <c r="K418" i="14"/>
  <c r="K419" i="14"/>
  <c r="K420" i="14"/>
  <c r="K421" i="14"/>
  <c r="K422" i="14"/>
  <c r="K423" i="14"/>
  <c r="K424" i="14"/>
  <c r="K648" i="14"/>
  <c r="K649" i="14"/>
  <c r="K647" i="14"/>
  <c r="K650" i="14"/>
  <c r="K389" i="14"/>
  <c r="K390" i="14"/>
  <c r="K391" i="14"/>
  <c r="K392" i="14"/>
  <c r="K393" i="14"/>
  <c r="K394" i="14"/>
  <c r="K395" i="14"/>
  <c r="K304" i="14"/>
  <c r="K305" i="14"/>
  <c r="K303" i="14"/>
  <c r="K239" i="14"/>
  <c r="K240" i="14"/>
  <c r="K243" i="14"/>
  <c r="K244" i="14"/>
  <c r="K247" i="14"/>
  <c r="K248" i="14"/>
  <c r="K251" i="14"/>
  <c r="K252" i="14"/>
  <c r="K255" i="14"/>
  <c r="K256" i="14"/>
  <c r="K259" i="14"/>
  <c r="K260" i="14"/>
  <c r="K263" i="14"/>
  <c r="K264" i="14"/>
  <c r="K267" i="14"/>
  <c r="K268" i="14"/>
  <c r="K271" i="14"/>
  <c r="K272" i="14"/>
  <c r="K275" i="14"/>
  <c r="K276" i="14"/>
  <c r="K278" i="14"/>
  <c r="K279" i="14"/>
  <c r="K282" i="14"/>
  <c r="K220" i="14"/>
  <c r="K221" i="14"/>
  <c r="K222" i="14"/>
  <c r="K223" i="14"/>
  <c r="K224" i="14"/>
  <c r="K225" i="14"/>
  <c r="K226" i="14"/>
  <c r="K227" i="14"/>
  <c r="K228" i="14"/>
  <c r="K229" i="14"/>
  <c r="K230" i="14"/>
  <c r="K231" i="14"/>
  <c r="K232" i="14"/>
  <c r="K233" i="14"/>
  <c r="K234" i="14"/>
  <c r="K235" i="14"/>
  <c r="K236" i="14"/>
  <c r="K237" i="14"/>
  <c r="K238" i="14"/>
  <c r="K241" i="14"/>
  <c r="K242" i="14"/>
  <c r="K245" i="14"/>
  <c r="K246" i="14"/>
  <c r="K249" i="14"/>
  <c r="K250" i="14"/>
  <c r="K253" i="14"/>
  <c r="K254" i="14"/>
  <c r="K257" i="14"/>
  <c r="K258" i="14"/>
  <c r="K261" i="14"/>
  <c r="K262" i="14"/>
  <c r="K265" i="14"/>
  <c r="K266" i="14"/>
  <c r="K269" i="14"/>
  <c r="K270" i="14"/>
  <c r="K273" i="14"/>
  <c r="K274" i="14"/>
  <c r="K277" i="14"/>
  <c r="K280" i="14"/>
  <c r="K281" i="14"/>
  <c r="K613" i="14"/>
  <c r="K614" i="14"/>
  <c r="K617" i="14"/>
  <c r="K618" i="14"/>
  <c r="K676" i="14"/>
  <c r="K677" i="14"/>
  <c r="K680" i="14"/>
  <c r="K611" i="14"/>
  <c r="K612" i="14"/>
  <c r="K615" i="14"/>
  <c r="K616" i="14"/>
  <c r="K619" i="14"/>
  <c r="K620" i="14"/>
  <c r="K674" i="14"/>
  <c r="K675" i="14"/>
  <c r="K678" i="14"/>
  <c r="K679" i="14"/>
  <c r="K194" i="14"/>
  <c r="K199" i="14"/>
  <c r="K200" i="14"/>
  <c r="K203" i="14"/>
  <c r="K204" i="14"/>
  <c r="K205" i="14"/>
  <c r="K206" i="14"/>
  <c r="K195" i="14"/>
  <c r="K196" i="14"/>
  <c r="K197" i="14"/>
  <c r="K198" i="14"/>
  <c r="K201" i="14"/>
  <c r="K202" i="14"/>
  <c r="K605" i="14"/>
  <c r="K606" i="14"/>
  <c r="K672" i="14"/>
  <c r="K673" i="14"/>
  <c r="K603" i="14"/>
  <c r="K604" i="14"/>
  <c r="K607" i="14"/>
  <c r="K608" i="14"/>
  <c r="K153" i="14"/>
  <c r="K154" i="14"/>
  <c r="K143" i="14"/>
  <c r="K148" i="14"/>
  <c r="K149" i="14"/>
  <c r="K152" i="14"/>
  <c r="K144" i="14"/>
  <c r="K145" i="14"/>
  <c r="K146" i="14"/>
  <c r="K147" i="14"/>
  <c r="K150" i="14"/>
  <c r="K151" i="14"/>
  <c r="K102" i="14"/>
  <c r="K107" i="14"/>
  <c r="K108" i="14"/>
  <c r="K111" i="14"/>
  <c r="K112" i="14"/>
  <c r="K103" i="14"/>
  <c r="K104" i="14"/>
  <c r="K105" i="14"/>
  <c r="K106" i="14"/>
  <c r="K109" i="14"/>
  <c r="K110" i="14"/>
  <c r="K113" i="14"/>
  <c r="K114" i="14"/>
  <c r="K36" i="14"/>
  <c r="K37" i="14"/>
  <c r="K38" i="14"/>
  <c r="K39" i="14"/>
  <c r="K16" i="14"/>
  <c r="K17" i="14"/>
  <c r="K18" i="14"/>
  <c r="K19" i="14"/>
  <c r="K164" i="14"/>
  <c r="K165" i="14"/>
  <c r="K166" i="14"/>
  <c r="K167" i="14"/>
  <c r="K170" i="14"/>
  <c r="K171" i="14"/>
  <c r="K163" i="14"/>
  <c r="K168" i="14"/>
  <c r="K169" i="14"/>
  <c r="K172" i="14"/>
  <c r="K178" i="14"/>
  <c r="K179" i="14"/>
  <c r="K182" i="14"/>
  <c r="K183" i="14"/>
  <c r="K186" i="14"/>
  <c r="K187" i="14"/>
  <c r="K190" i="14"/>
  <c r="K191" i="14"/>
  <c r="K192" i="14"/>
  <c r="K173" i="14"/>
  <c r="K176" i="14"/>
  <c r="K177" i="14"/>
  <c r="K184" i="14"/>
  <c r="K185" i="14"/>
  <c r="K188" i="14"/>
  <c r="K189" i="14"/>
  <c r="K174" i="14"/>
  <c r="K175" i="14"/>
  <c r="K180" i="14"/>
  <c r="K181" i="14"/>
  <c r="K193" i="14"/>
  <c r="K597" i="14"/>
  <c r="K598" i="14"/>
  <c r="K601" i="14"/>
  <c r="K602" i="14"/>
  <c r="K668" i="14"/>
  <c r="K669" i="14"/>
  <c r="K595" i="14"/>
  <c r="K596" i="14"/>
  <c r="K599" i="14"/>
  <c r="K600" i="14"/>
  <c r="K670" i="14"/>
  <c r="K671" i="14"/>
  <c r="K156" i="14"/>
  <c r="K157" i="14"/>
  <c r="K158" i="14"/>
  <c r="K155" i="14"/>
  <c r="K594" i="14"/>
  <c r="K95" i="14"/>
  <c r="K98" i="14"/>
  <c r="K100" i="14"/>
  <c r="K101" i="14"/>
  <c r="K96" i="14"/>
  <c r="K97" i="14"/>
  <c r="K99" i="14"/>
  <c r="K585" i="14"/>
  <c r="K586" i="14"/>
  <c r="K54" i="14"/>
  <c r="K55" i="14"/>
  <c r="K56" i="14"/>
  <c r="K53" i="14"/>
  <c r="K57" i="14"/>
  <c r="K58" i="14"/>
  <c r="K59" i="14"/>
  <c r="K70" i="14"/>
  <c r="K79" i="14"/>
  <c r="K81" i="14"/>
  <c r="K83" i="14"/>
  <c r="K85" i="14"/>
  <c r="K87" i="14"/>
  <c r="K89" i="14"/>
  <c r="K80" i="14"/>
  <c r="K84" i="14"/>
  <c r="K88" i="14"/>
  <c r="K71" i="14"/>
  <c r="K72" i="14"/>
  <c r="K73" i="14"/>
  <c r="K74" i="14"/>
  <c r="K75" i="14"/>
  <c r="K76" i="14"/>
  <c r="K77" i="14"/>
  <c r="K78" i="14"/>
  <c r="K82" i="14"/>
  <c r="K86" i="14"/>
  <c r="K584" i="14"/>
  <c r="K662" i="14"/>
  <c r="K63" i="14"/>
  <c r="K67" i="14"/>
  <c r="K64" i="14"/>
  <c r="K65" i="14"/>
  <c r="K66" i="14"/>
  <c r="K32" i="14"/>
  <c r="K33" i="14"/>
  <c r="K34" i="14"/>
  <c r="V37" i="3" l="1"/>
  <c r="P36" i="3"/>
  <c r="V36" i="3" s="1"/>
  <c r="P44" i="3"/>
  <c r="V44" i="3" s="1"/>
  <c r="P37" i="3"/>
  <c r="P28" i="3"/>
  <c r="V28" i="3" s="1"/>
  <c r="P64" i="3"/>
  <c r="V64" i="3" s="1"/>
  <c r="P56" i="3"/>
  <c r="V56" i="3" s="1"/>
  <c r="J14" i="14" s="1"/>
  <c r="L14" i="14" s="1"/>
  <c r="N14" i="14" s="1"/>
  <c r="P83" i="3"/>
  <c r="V83" i="3" s="1"/>
  <c r="J30" i="14" s="1"/>
  <c r="L30" i="14" s="1"/>
  <c r="N30" i="14" s="1"/>
  <c r="P53" i="3"/>
  <c r="V53" i="3" s="1"/>
  <c r="P62" i="3"/>
  <c r="V62" i="3" s="1"/>
  <c r="P73" i="3"/>
  <c r="V73" i="3" s="1"/>
  <c r="J60" i="14" s="1"/>
  <c r="L60" i="14" s="1"/>
  <c r="N60" i="14" s="1"/>
  <c r="P47" i="3"/>
  <c r="V47" i="3" s="1"/>
  <c r="P78" i="3"/>
  <c r="V78" i="3" s="1"/>
  <c r="J61" i="14" s="1"/>
  <c r="L61" i="14" s="1"/>
  <c r="N61" i="14" s="1"/>
  <c r="P26" i="3"/>
  <c r="V26" i="3" s="1"/>
  <c r="P29" i="3"/>
  <c r="V29" i="3" s="1"/>
  <c r="P52" i="3"/>
  <c r="V52" i="3" s="1"/>
  <c r="P51" i="3"/>
  <c r="V51" i="3" s="1"/>
  <c r="P31" i="3"/>
  <c r="V31" i="3" s="1"/>
  <c r="P39" i="3"/>
  <c r="V39" i="3" s="1"/>
  <c r="P22" i="3"/>
  <c r="V22" i="3" s="1"/>
  <c r="P66" i="3"/>
  <c r="V66" i="3" s="1"/>
  <c r="J304" i="14" s="1"/>
  <c r="P49" i="3"/>
  <c r="V49" i="3" s="1"/>
  <c r="P61" i="3"/>
  <c r="V61" i="3" s="1"/>
  <c r="P63" i="3"/>
  <c r="V63" i="3" s="1"/>
  <c r="J409" i="14" s="1"/>
  <c r="L409" i="14" s="1"/>
  <c r="N409" i="14" s="1"/>
  <c r="P72" i="3"/>
  <c r="V72" i="3" s="1"/>
  <c r="J416" i="14" s="1"/>
  <c r="L416" i="14" s="1"/>
  <c r="N416" i="14" s="1"/>
  <c r="P55" i="3"/>
  <c r="V55" i="3" s="1"/>
  <c r="P46" i="3"/>
  <c r="V46" i="3" s="1"/>
  <c r="P25" i="3"/>
  <c r="V25" i="3" s="1"/>
  <c r="P32" i="3"/>
  <c r="V32" i="3" s="1"/>
  <c r="P40" i="3"/>
  <c r="V40" i="3" s="1"/>
  <c r="P75" i="3"/>
  <c r="V75" i="3" s="1"/>
  <c r="J388" i="14" s="1"/>
  <c r="P58" i="3"/>
  <c r="V58" i="3" s="1"/>
  <c r="J403" i="14" s="1"/>
  <c r="L403" i="14" s="1"/>
  <c r="N403" i="14" s="1"/>
  <c r="P35" i="3"/>
  <c r="V35" i="3" s="1"/>
  <c r="P42" i="3"/>
  <c r="V42" i="3" s="1"/>
  <c r="P45" i="3"/>
  <c r="V45" i="3" s="1"/>
  <c r="P23" i="3"/>
  <c r="V23" i="3" s="1"/>
  <c r="P77" i="3"/>
  <c r="V77" i="3" s="1"/>
  <c r="J580" i="14" s="1"/>
  <c r="L580" i="14" s="1"/>
  <c r="N580" i="14" s="1"/>
  <c r="P70" i="3"/>
  <c r="V70" i="3" s="1"/>
  <c r="J583" i="14" s="1"/>
  <c r="L583" i="14" s="1"/>
  <c r="N583" i="14" s="1"/>
  <c r="P146" i="3"/>
  <c r="V146" i="3" s="1"/>
  <c r="P95" i="3"/>
  <c r="V95" i="3" s="1"/>
  <c r="P149" i="3"/>
  <c r="V149" i="3" s="1"/>
  <c r="P171" i="3"/>
  <c r="V171" i="3" s="1"/>
  <c r="P71" i="3"/>
  <c r="V71" i="3" s="1"/>
  <c r="P174" i="3"/>
  <c r="V174" i="3" s="1"/>
  <c r="P65" i="3"/>
  <c r="V65" i="3" s="1"/>
  <c r="P145" i="3"/>
  <c r="V145" i="3" s="1"/>
  <c r="P110" i="3"/>
  <c r="V110" i="3" s="1"/>
  <c r="P150" i="3"/>
  <c r="V150" i="3" s="1"/>
  <c r="P136" i="3"/>
  <c r="V136" i="3" s="1"/>
  <c r="P140" i="3"/>
  <c r="V140" i="3" s="1"/>
  <c r="P116" i="3"/>
  <c r="V116" i="3" s="1"/>
  <c r="P97" i="3"/>
  <c r="V97" i="3" s="1"/>
  <c r="P127" i="3"/>
  <c r="V127" i="3" s="1"/>
  <c r="P153" i="3"/>
  <c r="V153" i="3" s="1"/>
  <c r="P114" i="3"/>
  <c r="V114" i="3" s="1"/>
  <c r="P170" i="3"/>
  <c r="V170" i="3" s="1"/>
  <c r="P121" i="3"/>
  <c r="V121" i="3" s="1"/>
  <c r="P160" i="3"/>
  <c r="V160" i="3" s="1"/>
  <c r="P109" i="3"/>
  <c r="V109" i="3" s="1"/>
  <c r="P135" i="3"/>
  <c r="V135" i="3" s="1"/>
  <c r="P130" i="3"/>
  <c r="V130" i="3" s="1"/>
  <c r="P132" i="3"/>
  <c r="V132" i="3" s="1"/>
  <c r="P152" i="3"/>
  <c r="V152" i="3" s="1"/>
  <c r="P159" i="3"/>
  <c r="V159" i="3" s="1"/>
  <c r="P157" i="3"/>
  <c r="V157" i="3" s="1"/>
  <c r="P128" i="3"/>
  <c r="V128" i="3" s="1"/>
  <c r="P87" i="3"/>
  <c r="V87" i="3" s="1"/>
  <c r="P101" i="3"/>
  <c r="V101" i="3" s="1"/>
  <c r="P138" i="3"/>
  <c r="V138" i="3" s="1"/>
  <c r="P125" i="3"/>
  <c r="V125" i="3" s="1"/>
  <c r="P172" i="3"/>
  <c r="V172" i="3" s="1"/>
  <c r="P90" i="3"/>
  <c r="V90" i="3" s="1"/>
  <c r="P158" i="3"/>
  <c r="V158" i="3" s="1"/>
  <c r="P151" i="3"/>
  <c r="V151" i="3" s="1"/>
  <c r="P155" i="3"/>
  <c r="V155" i="3" s="1"/>
  <c r="P143" i="3"/>
  <c r="V143" i="3" s="1"/>
  <c r="P169" i="3"/>
  <c r="V169" i="3" s="1"/>
  <c r="P81" i="3"/>
  <c r="V81" i="3" s="1"/>
  <c r="P106" i="3"/>
  <c r="V106" i="3" s="1"/>
  <c r="P126" i="3"/>
  <c r="V126" i="3" s="1"/>
  <c r="P115" i="3"/>
  <c r="V115" i="3" s="1"/>
  <c r="P98" i="3"/>
  <c r="V98" i="3" s="1"/>
  <c r="P92" i="3"/>
  <c r="V92" i="3" s="1"/>
  <c r="P100" i="3"/>
  <c r="V100" i="3" s="1"/>
  <c r="P123" i="3"/>
  <c r="V123" i="3" s="1"/>
  <c r="P20" i="3"/>
  <c r="V20" i="3" s="1"/>
  <c r="P21" i="3"/>
  <c r="V21" i="3" s="1"/>
  <c r="P24" i="3"/>
  <c r="V24" i="3" s="1"/>
  <c r="P104" i="3"/>
  <c r="V104" i="3" s="1"/>
  <c r="P85" i="3"/>
  <c r="V85" i="3" s="1"/>
  <c r="J68" i="14" s="1"/>
  <c r="L68" i="14" s="1"/>
  <c r="N68" i="14" s="1"/>
  <c r="P50" i="3"/>
  <c r="V50" i="3" s="1"/>
  <c r="P34" i="3"/>
  <c r="V34" i="3" s="1"/>
  <c r="P27" i="3"/>
  <c r="V27" i="3" s="1"/>
  <c r="P54" i="3"/>
  <c r="V54" i="3" s="1"/>
  <c r="P59" i="3"/>
  <c r="V59" i="3" s="1"/>
  <c r="P79" i="3"/>
  <c r="V79" i="3" s="1"/>
  <c r="J410" i="14" s="1"/>
  <c r="L410" i="14" s="1"/>
  <c r="N410" i="14" s="1"/>
  <c r="P76" i="3"/>
  <c r="V76" i="3" s="1"/>
  <c r="J417" i="14" s="1"/>
  <c r="L417" i="14" s="1"/>
  <c r="N417" i="14" s="1"/>
  <c r="P88" i="3"/>
  <c r="V88" i="3" s="1"/>
  <c r="P80" i="3"/>
  <c r="V80" i="3" s="1"/>
  <c r="J442" i="14" s="1"/>
  <c r="L442" i="14" s="1"/>
  <c r="N442" i="14" s="1"/>
  <c r="P82" i="3"/>
  <c r="V82" i="3" s="1"/>
  <c r="J545" i="14" s="1"/>
  <c r="L545" i="14" s="1"/>
  <c r="N545" i="14" s="1"/>
  <c r="P57" i="3"/>
  <c r="V57" i="3" s="1"/>
  <c r="P74" i="3"/>
  <c r="V74" i="3" s="1"/>
  <c r="P41" i="3"/>
  <c r="V41" i="3" s="1"/>
  <c r="P33" i="3"/>
  <c r="V33" i="3" s="1"/>
  <c r="P133" i="3"/>
  <c r="V133" i="3" s="1"/>
  <c r="P166" i="3"/>
  <c r="V166" i="3" s="1"/>
  <c r="P68" i="3"/>
  <c r="V68" i="3" s="1"/>
  <c r="P131" i="3"/>
  <c r="V131" i="3" s="1"/>
  <c r="P112" i="3"/>
  <c r="V112" i="3" s="1"/>
  <c r="P154" i="3"/>
  <c r="V154" i="3" s="1"/>
  <c r="P93" i="3"/>
  <c r="V93" i="3" s="1"/>
  <c r="P139" i="3"/>
  <c r="V139" i="3" s="1"/>
  <c r="P167" i="3"/>
  <c r="V167" i="3" s="1"/>
  <c r="P147" i="3"/>
  <c r="V147" i="3" s="1"/>
  <c r="P134" i="3"/>
  <c r="V134" i="3" s="1"/>
  <c r="P129" i="3"/>
  <c r="V129" i="3" s="1"/>
  <c r="P163" i="3"/>
  <c r="V163" i="3" s="1"/>
  <c r="P107" i="3"/>
  <c r="V107" i="3" s="1"/>
  <c r="P111" i="3"/>
  <c r="V111" i="3" s="1"/>
  <c r="P164" i="3"/>
  <c r="V164" i="3" s="1"/>
  <c r="P99" i="3"/>
  <c r="V99" i="3" s="1"/>
  <c r="P168" i="3"/>
  <c r="V168" i="3" s="1"/>
  <c r="P113" i="3"/>
  <c r="V113" i="3" s="1"/>
  <c r="P142" i="3"/>
  <c r="V142" i="3" s="1"/>
  <c r="P118" i="3"/>
  <c r="V118" i="3" s="1"/>
  <c r="P89" i="3"/>
  <c r="V89" i="3" s="1"/>
  <c r="P122" i="3"/>
  <c r="V122" i="3" s="1"/>
  <c r="P60" i="3"/>
  <c r="V60" i="3" s="1"/>
  <c r="P43" i="3"/>
  <c r="V43" i="3" s="1"/>
  <c r="P30" i="3"/>
  <c r="V30" i="3" s="1"/>
  <c r="P48" i="3"/>
  <c r="V48" i="3" s="1"/>
  <c r="P38" i="3"/>
  <c r="V38" i="3" s="1"/>
  <c r="P67" i="3"/>
  <c r="V67" i="3" s="1"/>
  <c r="P86" i="3"/>
  <c r="V86" i="3" s="1"/>
  <c r="J581" i="14" s="1"/>
  <c r="L581" i="14" s="1"/>
  <c r="N581" i="14" s="1"/>
  <c r="P108" i="3"/>
  <c r="V108" i="3" s="1"/>
  <c r="P69" i="3"/>
  <c r="V69" i="3" s="1"/>
  <c r="P124" i="3"/>
  <c r="V124" i="3" s="1"/>
  <c r="P137" i="3"/>
  <c r="V137" i="3" s="1"/>
  <c r="P120" i="3"/>
  <c r="V120" i="3" s="1"/>
  <c r="P96" i="3"/>
  <c r="V96" i="3" s="1"/>
  <c r="P117" i="3"/>
  <c r="V117" i="3" s="1"/>
  <c r="P105" i="3"/>
  <c r="V105" i="3" s="1"/>
  <c r="P94" i="3"/>
  <c r="V94" i="3" s="1"/>
  <c r="P119" i="3"/>
  <c r="V119" i="3" s="1"/>
  <c r="P148" i="3"/>
  <c r="V148" i="3" s="1"/>
  <c r="P84" i="3"/>
  <c r="V84" i="3" s="1"/>
  <c r="P161" i="3"/>
  <c r="V161" i="3" s="1"/>
  <c r="P173" i="3"/>
  <c r="V173" i="3" s="1"/>
  <c r="P102" i="3"/>
  <c r="V102" i="3" s="1"/>
  <c r="P165" i="3"/>
  <c r="V165" i="3" s="1"/>
  <c r="P91" i="3"/>
  <c r="V91" i="3" s="1"/>
  <c r="P141" i="3"/>
  <c r="V141" i="3" s="1"/>
  <c r="P144" i="3"/>
  <c r="V144" i="3" s="1"/>
  <c r="P156" i="3"/>
  <c r="V156" i="3" s="1"/>
  <c r="P103" i="3"/>
  <c r="V103" i="3" s="1"/>
  <c r="P162" i="3"/>
  <c r="V162" i="3" s="1"/>
  <c r="J521" i="14"/>
  <c r="L521" i="14" s="1"/>
  <c r="N521" i="14" s="1"/>
  <c r="J529" i="14"/>
  <c r="L529" i="14" s="1"/>
  <c r="N529" i="14" s="1"/>
  <c r="J478" i="14"/>
  <c r="L478" i="14" s="1"/>
  <c r="N478" i="14" s="1"/>
  <c r="J481" i="14"/>
  <c r="J485" i="14"/>
  <c r="J489" i="14"/>
  <c r="J493" i="14"/>
  <c r="L493" i="14" s="1"/>
  <c r="N493" i="14" s="1"/>
  <c r="J660" i="14"/>
  <c r="J496" i="14"/>
  <c r="L496" i="14" s="1"/>
  <c r="N496" i="14" s="1"/>
  <c r="J488" i="14"/>
  <c r="J480" i="14"/>
  <c r="J490" i="14"/>
  <c r="L490" i="14" s="1"/>
  <c r="N490" i="14" s="1"/>
  <c r="J482" i="14"/>
  <c r="L482" i="14" s="1"/>
  <c r="N482" i="14" s="1"/>
  <c r="J435" i="14"/>
  <c r="L435" i="14" s="1"/>
  <c r="N435" i="14" s="1"/>
  <c r="J436" i="14"/>
  <c r="J437" i="14"/>
  <c r="L437" i="14" s="1"/>
  <c r="N437" i="14" s="1"/>
  <c r="J438" i="14"/>
  <c r="L438" i="14" s="1"/>
  <c r="N438" i="14" s="1"/>
  <c r="J419" i="14"/>
  <c r="J423" i="14"/>
  <c r="J650" i="14"/>
  <c r="J649" i="14"/>
  <c r="J424" i="14"/>
  <c r="L424" i="14" s="1"/>
  <c r="N424" i="14" s="1"/>
  <c r="J387" i="14"/>
  <c r="J303" i="14"/>
  <c r="J305" i="14"/>
  <c r="J221" i="14"/>
  <c r="J225" i="14"/>
  <c r="J229" i="14"/>
  <c r="J233" i="14"/>
  <c r="J237" i="14"/>
  <c r="J241" i="14"/>
  <c r="J245" i="14"/>
  <c r="J249" i="14"/>
  <c r="J253" i="14"/>
  <c r="J257" i="14"/>
  <c r="J261" i="14"/>
  <c r="J265" i="14"/>
  <c r="J269" i="14"/>
  <c r="J273" i="14"/>
  <c r="J277" i="14"/>
  <c r="J281" i="14"/>
  <c r="J240" i="14"/>
  <c r="J244" i="14"/>
  <c r="J248" i="14"/>
  <c r="J252" i="14"/>
  <c r="L252" i="14" s="1"/>
  <c r="N252" i="14" s="1"/>
  <c r="J256" i="14"/>
  <c r="L256" i="14" s="1"/>
  <c r="N256" i="14" s="1"/>
  <c r="J260" i="14"/>
  <c r="L260" i="14" s="1"/>
  <c r="N260" i="14" s="1"/>
  <c r="J264" i="14"/>
  <c r="J268" i="14"/>
  <c r="L268" i="14" s="1"/>
  <c r="N268" i="14" s="1"/>
  <c r="J272" i="14"/>
  <c r="L272" i="14" s="1"/>
  <c r="N272" i="14" s="1"/>
  <c r="J276" i="14"/>
  <c r="L276" i="14" s="1"/>
  <c r="N276" i="14" s="1"/>
  <c r="J279" i="14"/>
  <c r="J611" i="14"/>
  <c r="J615" i="14"/>
  <c r="J619" i="14"/>
  <c r="J674" i="14"/>
  <c r="J678" i="14"/>
  <c r="J613" i="14"/>
  <c r="L613" i="14" s="1"/>
  <c r="N613" i="14" s="1"/>
  <c r="J617" i="14"/>
  <c r="J676" i="14"/>
  <c r="J680" i="14"/>
  <c r="L680" i="14" s="1"/>
  <c r="N680" i="14" s="1"/>
  <c r="J232" i="14"/>
  <c r="J224" i="14"/>
  <c r="L224" i="14" s="1"/>
  <c r="N224" i="14" s="1"/>
  <c r="J230" i="14"/>
  <c r="L230" i="14" s="1"/>
  <c r="N230" i="14" s="1"/>
  <c r="J222" i="14"/>
  <c r="L222" i="14" s="1"/>
  <c r="N222" i="14" s="1"/>
  <c r="J195" i="14"/>
  <c r="L195" i="14" s="1"/>
  <c r="N195" i="14" s="1"/>
  <c r="J199" i="14"/>
  <c r="L199" i="14" s="1"/>
  <c r="N199" i="14" s="1"/>
  <c r="J203" i="14"/>
  <c r="L203" i="14" s="1"/>
  <c r="N203" i="14" s="1"/>
  <c r="J206" i="14"/>
  <c r="J604" i="14"/>
  <c r="J608" i="14"/>
  <c r="J606" i="14"/>
  <c r="J673" i="14"/>
  <c r="J200" i="14"/>
  <c r="L200" i="14" s="1"/>
  <c r="N200" i="14" s="1"/>
  <c r="J202" i="14"/>
  <c r="L202" i="14" s="1"/>
  <c r="N202" i="14" s="1"/>
  <c r="J56" i="14"/>
  <c r="L56" i="14" s="1"/>
  <c r="N56" i="14" s="1"/>
  <c r="J58" i="14"/>
  <c r="J57" i="14"/>
  <c r="L57" i="14" s="1"/>
  <c r="N57" i="14" s="1"/>
  <c r="J59" i="14"/>
  <c r="L59" i="14" s="1"/>
  <c r="N59" i="14" s="1"/>
  <c r="L676" i="14"/>
  <c r="N676" i="14" s="1"/>
  <c r="L232" i="14"/>
  <c r="N232" i="14" s="1"/>
  <c r="L264" i="14"/>
  <c r="N264" i="14" s="1"/>
  <c r="L240" i="14"/>
  <c r="N240" i="14" s="1"/>
  <c r="L650" i="14"/>
  <c r="N650" i="14" s="1"/>
  <c r="L649" i="14"/>
  <c r="N649" i="14" s="1"/>
  <c r="L489" i="14"/>
  <c r="N489" i="14" s="1"/>
  <c r="L485" i="14"/>
  <c r="N485" i="14" s="1"/>
  <c r="L481" i="14"/>
  <c r="N481" i="14" s="1"/>
  <c r="J118" i="14"/>
  <c r="J119" i="14"/>
  <c r="J122" i="14"/>
  <c r="J123" i="14"/>
  <c r="J126" i="14"/>
  <c r="J127" i="14"/>
  <c r="J130" i="14"/>
  <c r="J131" i="14"/>
  <c r="J134" i="14"/>
  <c r="J135" i="14"/>
  <c r="J138" i="14"/>
  <c r="J139" i="14"/>
  <c r="J142" i="14"/>
  <c r="J116" i="14"/>
  <c r="J124" i="14"/>
  <c r="J125" i="14"/>
  <c r="J132" i="14"/>
  <c r="J137" i="14"/>
  <c r="J140" i="14"/>
  <c r="J141" i="14"/>
  <c r="J117" i="14"/>
  <c r="J120" i="14"/>
  <c r="J121" i="14"/>
  <c r="J128" i="14"/>
  <c r="J129" i="14"/>
  <c r="J133" i="14"/>
  <c r="J136" i="14"/>
  <c r="L136" i="14" s="1"/>
  <c r="N136" i="14" s="1"/>
  <c r="J587" i="14"/>
  <c r="J588" i="14"/>
  <c r="L588" i="14" s="1"/>
  <c r="N588" i="14" s="1"/>
  <c r="J591" i="14"/>
  <c r="J592" i="14"/>
  <c r="J663" i="14"/>
  <c r="J666" i="14"/>
  <c r="L666" i="14" s="1"/>
  <c r="N666" i="14" s="1"/>
  <c r="J667" i="14"/>
  <c r="J589" i="14"/>
  <c r="J590" i="14"/>
  <c r="J593" i="14"/>
  <c r="L593" i="14" s="1"/>
  <c r="N593" i="14" s="1"/>
  <c r="J664" i="14"/>
  <c r="J665" i="14"/>
  <c r="J163" i="14"/>
  <c r="J164" i="14"/>
  <c r="L164" i="14" s="1"/>
  <c r="N164" i="14" s="1"/>
  <c r="J166" i="14"/>
  <c r="J168" i="14"/>
  <c r="L168" i="14" s="1"/>
  <c r="N168" i="14" s="1"/>
  <c r="J170" i="14"/>
  <c r="J172" i="14"/>
  <c r="L172" i="14" s="1"/>
  <c r="N172" i="14" s="1"/>
  <c r="J174" i="14"/>
  <c r="J176" i="14"/>
  <c r="J177" i="14"/>
  <c r="L177" i="14" s="1"/>
  <c r="N177" i="14" s="1"/>
  <c r="J180" i="14"/>
  <c r="J181" i="14"/>
  <c r="L181" i="14" s="1"/>
  <c r="N181" i="14" s="1"/>
  <c r="J184" i="14"/>
  <c r="L184" i="14" s="1"/>
  <c r="N184" i="14" s="1"/>
  <c r="J185" i="14"/>
  <c r="L185" i="14" s="1"/>
  <c r="N185" i="14" s="1"/>
  <c r="J188" i="14"/>
  <c r="J189" i="14"/>
  <c r="L189" i="14" s="1"/>
  <c r="N189" i="14" s="1"/>
  <c r="J193" i="14"/>
  <c r="J178" i="14"/>
  <c r="L178" i="14" s="1"/>
  <c r="N178" i="14" s="1"/>
  <c r="J179" i="14"/>
  <c r="L179" i="14" s="1"/>
  <c r="N179" i="14" s="1"/>
  <c r="J186" i="14"/>
  <c r="J187" i="14"/>
  <c r="L187" i="14" s="1"/>
  <c r="N187" i="14" s="1"/>
  <c r="J190" i="14"/>
  <c r="J191" i="14"/>
  <c r="J192" i="14"/>
  <c r="J182" i="14"/>
  <c r="L182" i="14" s="1"/>
  <c r="N182" i="14" s="1"/>
  <c r="J183" i="14"/>
  <c r="L183" i="14" s="1"/>
  <c r="N183" i="14" s="1"/>
  <c r="J595" i="14"/>
  <c r="L595" i="14" s="1"/>
  <c r="N595" i="14" s="1"/>
  <c r="J596" i="14"/>
  <c r="L596" i="14" s="1"/>
  <c r="N596" i="14" s="1"/>
  <c r="J599" i="14"/>
  <c r="L599" i="14" s="1"/>
  <c r="N599" i="14" s="1"/>
  <c r="J600" i="14"/>
  <c r="J670" i="14"/>
  <c r="L670" i="14" s="1"/>
  <c r="N670" i="14" s="1"/>
  <c r="J671" i="14"/>
  <c r="L671" i="14" s="1"/>
  <c r="N671" i="14" s="1"/>
  <c r="J597" i="14"/>
  <c r="L597" i="14" s="1"/>
  <c r="N597" i="14" s="1"/>
  <c r="J598" i="14"/>
  <c r="L598" i="14" s="1"/>
  <c r="N598" i="14" s="1"/>
  <c r="J601" i="14"/>
  <c r="L601" i="14" s="1"/>
  <c r="N601" i="14" s="1"/>
  <c r="J602" i="14"/>
  <c r="J668" i="14"/>
  <c r="L668" i="14" s="1"/>
  <c r="N668" i="14" s="1"/>
  <c r="J669" i="14"/>
  <c r="J173" i="14"/>
  <c r="L173" i="14" s="1"/>
  <c r="N173" i="14" s="1"/>
  <c r="J169" i="14"/>
  <c r="J165" i="14"/>
  <c r="L165" i="14" s="1"/>
  <c r="N165" i="14" s="1"/>
  <c r="J175" i="14"/>
  <c r="L175" i="14" s="1"/>
  <c r="N175" i="14" s="1"/>
  <c r="J171" i="14"/>
  <c r="L171" i="14" s="1"/>
  <c r="N171" i="14" s="1"/>
  <c r="J167" i="14"/>
  <c r="L167" i="14" s="1"/>
  <c r="N167" i="14" s="1"/>
  <c r="J283" i="14"/>
  <c r="L283" i="14" s="1"/>
  <c r="N283" i="14" s="1"/>
  <c r="J290" i="14"/>
  <c r="J291" i="14"/>
  <c r="J294" i="14"/>
  <c r="L294" i="14" s="1"/>
  <c r="N294" i="14" s="1"/>
  <c r="J295" i="14"/>
  <c r="J297" i="14"/>
  <c r="J284" i="14"/>
  <c r="J286" i="14"/>
  <c r="J288" i="14"/>
  <c r="J289" i="14"/>
  <c r="J292" i="14"/>
  <c r="J293" i="14"/>
  <c r="L293" i="14" s="1"/>
  <c r="N293" i="14" s="1"/>
  <c r="J296" i="14"/>
  <c r="J299" i="14"/>
  <c r="J300" i="14"/>
  <c r="J298" i="14"/>
  <c r="J301" i="14"/>
  <c r="L301" i="14" s="1"/>
  <c r="N301" i="14" s="1"/>
  <c r="J302" i="14"/>
  <c r="J623" i="14"/>
  <c r="J624" i="14"/>
  <c r="J682" i="14"/>
  <c r="J683" i="14"/>
  <c r="L683" i="14" s="1"/>
  <c r="N683" i="14" s="1"/>
  <c r="J621" i="14"/>
  <c r="L621" i="14" s="1"/>
  <c r="N621" i="14" s="1"/>
  <c r="J622" i="14"/>
  <c r="J625" i="14"/>
  <c r="J626" i="14"/>
  <c r="J681" i="14"/>
  <c r="L681" i="14" s="1"/>
  <c r="N681" i="14" s="1"/>
  <c r="J285" i="14"/>
  <c r="L285" i="14" s="1"/>
  <c r="N285" i="14" s="1"/>
  <c r="J287" i="14"/>
  <c r="L287" i="14" s="1"/>
  <c r="N287" i="14" s="1"/>
  <c r="J384" i="14"/>
  <c r="J386" i="14"/>
  <c r="J385" i="14"/>
  <c r="J383" i="14"/>
  <c r="J379" i="14"/>
  <c r="L379" i="14" s="1"/>
  <c r="N379" i="14" s="1"/>
  <c r="J377" i="14"/>
  <c r="L377" i="14" s="1"/>
  <c r="N377" i="14" s="1"/>
  <c r="J381" i="14"/>
  <c r="J643" i="14"/>
  <c r="L643" i="14" s="1"/>
  <c r="N643" i="14" s="1"/>
  <c r="J644" i="14"/>
  <c r="L644" i="14" s="1"/>
  <c r="N644" i="14" s="1"/>
  <c r="J642" i="14"/>
  <c r="L642" i="14" s="1"/>
  <c r="N642" i="14" s="1"/>
  <c r="J645" i="14"/>
  <c r="J646" i="14"/>
  <c r="J378" i="14"/>
  <c r="L378" i="14" s="1"/>
  <c r="N378" i="14" s="1"/>
  <c r="J382" i="14"/>
  <c r="L382" i="14" s="1"/>
  <c r="N382" i="14" s="1"/>
  <c r="J376" i="14"/>
  <c r="J380" i="14"/>
  <c r="J412" i="14"/>
  <c r="L412" i="14" s="1"/>
  <c r="N412" i="14" s="1"/>
  <c r="J413" i="14"/>
  <c r="L413" i="14" s="1"/>
  <c r="N413" i="14" s="1"/>
  <c r="J414" i="14"/>
  <c r="L414" i="14" s="1"/>
  <c r="N414" i="14" s="1"/>
  <c r="J455" i="14"/>
  <c r="L455" i="14" s="1"/>
  <c r="N455" i="14" s="1"/>
  <c r="J456" i="14"/>
  <c r="J458" i="14"/>
  <c r="L458" i="14" s="1"/>
  <c r="N458" i="14" s="1"/>
  <c r="J460" i="14"/>
  <c r="L460" i="14" s="1"/>
  <c r="N460" i="14" s="1"/>
  <c r="J462" i="14"/>
  <c r="L462" i="14" s="1"/>
  <c r="N462" i="14" s="1"/>
  <c r="J464" i="14"/>
  <c r="J466" i="14"/>
  <c r="L466" i="14" s="1"/>
  <c r="N466" i="14" s="1"/>
  <c r="J468" i="14"/>
  <c r="L468" i="14" s="1"/>
  <c r="N468" i="14" s="1"/>
  <c r="J470" i="14"/>
  <c r="L470" i="14" s="1"/>
  <c r="N470" i="14" s="1"/>
  <c r="J472" i="14"/>
  <c r="J474" i="14"/>
  <c r="L474" i="14" s="1"/>
  <c r="N474" i="14" s="1"/>
  <c r="J476" i="14"/>
  <c r="L476" i="14" s="1"/>
  <c r="N476" i="14" s="1"/>
  <c r="J658" i="14"/>
  <c r="L658" i="14" s="1"/>
  <c r="N658" i="14" s="1"/>
  <c r="J659" i="14"/>
  <c r="J687" i="14"/>
  <c r="L687" i="14" s="1"/>
  <c r="N687" i="14" s="1"/>
  <c r="J688" i="14"/>
  <c r="J473" i="14"/>
  <c r="J469" i="14"/>
  <c r="J465" i="14"/>
  <c r="J461" i="14"/>
  <c r="J457" i="14"/>
  <c r="J475" i="14"/>
  <c r="L475" i="14" s="1"/>
  <c r="N475" i="14" s="1"/>
  <c r="J471" i="14"/>
  <c r="L471" i="14" s="1"/>
  <c r="N471" i="14" s="1"/>
  <c r="J467" i="14"/>
  <c r="L467" i="14" s="1"/>
  <c r="N467" i="14" s="1"/>
  <c r="J463" i="14"/>
  <c r="L463" i="14" s="1"/>
  <c r="N463" i="14" s="1"/>
  <c r="J459" i="14"/>
  <c r="L459" i="14" s="1"/>
  <c r="N459" i="14" s="1"/>
  <c r="J535" i="14"/>
  <c r="L535" i="14" s="1"/>
  <c r="N535" i="14" s="1"/>
  <c r="J536" i="14"/>
  <c r="J538" i="14"/>
  <c r="J540" i="14"/>
  <c r="J542" i="14"/>
  <c r="J543" i="14"/>
  <c r="L543" i="14" s="1"/>
  <c r="N543" i="14" s="1"/>
  <c r="J539" i="14"/>
  <c r="L539" i="14" s="1"/>
  <c r="N539" i="14" s="1"/>
  <c r="J541" i="14"/>
  <c r="L541" i="14" s="1"/>
  <c r="N541" i="14" s="1"/>
  <c r="J537" i="14"/>
  <c r="L537" i="14" s="1"/>
  <c r="N537" i="14" s="1"/>
  <c r="J12" i="14"/>
  <c r="L12" i="14" s="1"/>
  <c r="N12" i="14" s="1"/>
  <c r="J11" i="14"/>
  <c r="L11" i="14" s="1"/>
  <c r="N11" i="14" s="1"/>
  <c r="J10" i="14"/>
  <c r="L10" i="14" s="1"/>
  <c r="N10" i="14" s="1"/>
  <c r="J36" i="14"/>
  <c r="L36" i="14" s="1"/>
  <c r="N36" i="14" s="1"/>
  <c r="J37" i="14"/>
  <c r="L37" i="14" s="1"/>
  <c r="N37" i="14" s="1"/>
  <c r="J38" i="14"/>
  <c r="L38" i="14" s="1"/>
  <c r="N38" i="14" s="1"/>
  <c r="J39" i="14"/>
  <c r="L39" i="14" s="1"/>
  <c r="N39" i="14" s="1"/>
  <c r="J23" i="14"/>
  <c r="L23" i="14" s="1"/>
  <c r="N23" i="14" s="1"/>
  <c r="J28" i="14"/>
  <c r="L28" i="14" s="1"/>
  <c r="N28" i="14" s="1"/>
  <c r="J24" i="14"/>
  <c r="L24" i="14" s="1"/>
  <c r="N24" i="14" s="1"/>
  <c r="J27" i="14"/>
  <c r="L27" i="14" s="1"/>
  <c r="N27" i="14" s="1"/>
  <c r="J21" i="14"/>
  <c r="L21" i="14" s="1"/>
  <c r="N21" i="14" s="1"/>
  <c r="J26" i="14"/>
  <c r="L26" i="14" s="1"/>
  <c r="N26" i="14" s="1"/>
  <c r="J22" i="14"/>
  <c r="L22" i="14" s="1"/>
  <c r="N22" i="14" s="1"/>
  <c r="J25" i="14"/>
  <c r="L25" i="14" s="1"/>
  <c r="N25" i="14" s="1"/>
  <c r="J29" i="14"/>
  <c r="L29" i="14" s="1"/>
  <c r="N29" i="14" s="1"/>
  <c r="L592" i="14"/>
  <c r="N592" i="14" s="1"/>
  <c r="L665" i="14"/>
  <c r="N665" i="14" s="1"/>
  <c r="L589" i="14"/>
  <c r="N589" i="14" s="1"/>
  <c r="L135" i="14"/>
  <c r="N135" i="14" s="1"/>
  <c r="L127" i="14"/>
  <c r="N127" i="14" s="1"/>
  <c r="L119" i="14"/>
  <c r="N119" i="14" s="1"/>
  <c r="L139" i="14"/>
  <c r="N139" i="14" s="1"/>
  <c r="L131" i="14"/>
  <c r="N131" i="14" s="1"/>
  <c r="L123" i="14"/>
  <c r="N123" i="14" s="1"/>
  <c r="L116" i="14"/>
  <c r="N116" i="14" s="1"/>
  <c r="L140" i="14"/>
  <c r="N140" i="14" s="1"/>
  <c r="L132" i="14"/>
  <c r="N132" i="14" s="1"/>
  <c r="L128" i="14"/>
  <c r="N128" i="14" s="1"/>
  <c r="L124" i="14"/>
  <c r="N124" i="14" s="1"/>
  <c r="L120" i="14"/>
  <c r="N120" i="14" s="1"/>
  <c r="L624" i="14"/>
  <c r="N624" i="14" s="1"/>
  <c r="L299" i="14"/>
  <c r="N299" i="14" s="1"/>
  <c r="L290" i="14"/>
  <c r="N290" i="14" s="1"/>
  <c r="L289" i="14"/>
  <c r="N289" i="14" s="1"/>
  <c r="L472" i="14"/>
  <c r="N472" i="14" s="1"/>
  <c r="L464" i="14"/>
  <c r="N464" i="14" s="1"/>
  <c r="L456" i="14"/>
  <c r="N456" i="14" s="1"/>
  <c r="L58" i="14"/>
  <c r="N58" i="14" s="1"/>
  <c r="L600" i="14"/>
  <c r="N600" i="14" s="1"/>
  <c r="L669" i="14"/>
  <c r="N669" i="14" s="1"/>
  <c r="L180" i="14"/>
  <c r="N180" i="14" s="1"/>
  <c r="L174" i="14"/>
  <c r="N174" i="14" s="1"/>
  <c r="L188" i="14"/>
  <c r="N188" i="14" s="1"/>
  <c r="L176" i="14"/>
  <c r="N176" i="14" s="1"/>
  <c r="L186" i="14"/>
  <c r="N186" i="14" s="1"/>
  <c r="L169" i="14"/>
  <c r="N169" i="14" s="1"/>
  <c r="L163" i="14"/>
  <c r="N163" i="14" s="1"/>
  <c r="L170" i="14"/>
  <c r="N170" i="14" s="1"/>
  <c r="L166" i="14"/>
  <c r="N166" i="14" s="1"/>
  <c r="L604" i="14"/>
  <c r="N604" i="14" s="1"/>
  <c r="L673" i="14"/>
  <c r="N673" i="14" s="1"/>
  <c r="L606" i="14"/>
  <c r="N606" i="14" s="1"/>
  <c r="L674" i="14"/>
  <c r="N674" i="14" s="1"/>
  <c r="L619" i="14"/>
  <c r="N619" i="14" s="1"/>
  <c r="L615" i="14"/>
  <c r="N615" i="14" s="1"/>
  <c r="L611" i="14"/>
  <c r="N611" i="14" s="1"/>
  <c r="L277" i="14"/>
  <c r="N277" i="14" s="1"/>
  <c r="L273" i="14"/>
  <c r="N273" i="14" s="1"/>
  <c r="L269" i="14"/>
  <c r="N269" i="14" s="1"/>
  <c r="L265" i="14"/>
  <c r="N265" i="14" s="1"/>
  <c r="L261" i="14"/>
  <c r="N261" i="14" s="1"/>
  <c r="L257" i="14"/>
  <c r="N257" i="14" s="1"/>
  <c r="L253" i="14"/>
  <c r="N253" i="14" s="1"/>
  <c r="L249" i="14"/>
  <c r="N249" i="14" s="1"/>
  <c r="L237" i="14"/>
  <c r="N237" i="14" s="1"/>
  <c r="L233" i="14"/>
  <c r="N233" i="14" s="1"/>
  <c r="L229" i="14"/>
  <c r="N229" i="14" s="1"/>
  <c r="L225" i="14"/>
  <c r="N225" i="14" s="1"/>
  <c r="L221" i="14"/>
  <c r="N221" i="14" s="1"/>
  <c r="L423" i="14"/>
  <c r="N423" i="14" s="1"/>
  <c r="L419" i="14"/>
  <c r="N419" i="14" s="1"/>
  <c r="L436" i="14"/>
  <c r="N436" i="14" s="1"/>
  <c r="L488" i="14"/>
  <c r="N488" i="14" s="1"/>
  <c r="L660" i="14"/>
  <c r="N660" i="14" s="1"/>
  <c r="L480" i="14"/>
  <c r="N480" i="14" s="1"/>
  <c r="L645" i="14"/>
  <c r="N645" i="14" s="1"/>
  <c r="L376" i="14"/>
  <c r="N376" i="14" s="1"/>
  <c r="J584" i="14"/>
  <c r="L584" i="14" s="1"/>
  <c r="N584" i="14" s="1"/>
  <c r="J662" i="14"/>
  <c r="L662" i="14" s="1"/>
  <c r="N662" i="14" s="1"/>
  <c r="J70" i="14"/>
  <c r="L70" i="14" s="1"/>
  <c r="N70" i="14" s="1"/>
  <c r="J74" i="14"/>
  <c r="L74" i="14" s="1"/>
  <c r="N74" i="14" s="1"/>
  <c r="J78" i="14"/>
  <c r="L78" i="14" s="1"/>
  <c r="N78" i="14" s="1"/>
  <c r="J82" i="14"/>
  <c r="L82" i="14" s="1"/>
  <c r="N82" i="14" s="1"/>
  <c r="J86" i="14"/>
  <c r="L86" i="14" s="1"/>
  <c r="N86" i="14" s="1"/>
  <c r="J71" i="14"/>
  <c r="L71" i="14" s="1"/>
  <c r="N71" i="14" s="1"/>
  <c r="J75" i="14"/>
  <c r="L75" i="14" s="1"/>
  <c r="N75" i="14" s="1"/>
  <c r="J79" i="14"/>
  <c r="L79" i="14" s="1"/>
  <c r="N79" i="14" s="1"/>
  <c r="J83" i="14"/>
  <c r="L83" i="14" s="1"/>
  <c r="N83" i="14" s="1"/>
  <c r="J87" i="14"/>
  <c r="L87" i="14" s="1"/>
  <c r="N87" i="14" s="1"/>
  <c r="J72" i="14"/>
  <c r="L72" i="14" s="1"/>
  <c r="N72" i="14" s="1"/>
  <c r="J76" i="14"/>
  <c r="L76" i="14" s="1"/>
  <c r="N76" i="14" s="1"/>
  <c r="J80" i="14"/>
  <c r="L80" i="14" s="1"/>
  <c r="N80" i="14" s="1"/>
  <c r="J84" i="14"/>
  <c r="L84" i="14" s="1"/>
  <c r="N84" i="14" s="1"/>
  <c r="J88" i="14"/>
  <c r="L88" i="14" s="1"/>
  <c r="N88" i="14" s="1"/>
  <c r="J73" i="14"/>
  <c r="L73" i="14" s="1"/>
  <c r="N73" i="14" s="1"/>
  <c r="J77" i="14"/>
  <c r="L77" i="14" s="1"/>
  <c r="N77" i="14" s="1"/>
  <c r="J81" i="14"/>
  <c r="L81" i="14" s="1"/>
  <c r="N81" i="14" s="1"/>
  <c r="J85" i="14"/>
  <c r="L85" i="14" s="1"/>
  <c r="N85" i="14" s="1"/>
  <c r="J89" i="14"/>
  <c r="L89" i="14" s="1"/>
  <c r="N89" i="14" s="1"/>
  <c r="J155" i="14"/>
  <c r="L155" i="14" s="1"/>
  <c r="N155" i="14" s="1"/>
  <c r="J156" i="14"/>
  <c r="L156" i="14" s="1"/>
  <c r="N156" i="14" s="1"/>
  <c r="J158" i="14"/>
  <c r="L158" i="14" s="1"/>
  <c r="N158" i="14" s="1"/>
  <c r="J594" i="14"/>
  <c r="L594" i="14" s="1"/>
  <c r="N594" i="14" s="1"/>
  <c r="J157" i="14"/>
  <c r="L157" i="14" s="1"/>
  <c r="N157" i="14" s="1"/>
  <c r="J90" i="14"/>
  <c r="L90" i="14" s="1"/>
  <c r="N90" i="14" s="1"/>
  <c r="J91" i="14"/>
  <c r="J93" i="14"/>
  <c r="L93" i="14" s="1"/>
  <c r="N93" i="14" s="1"/>
  <c r="J92" i="14"/>
  <c r="L92" i="14" s="1"/>
  <c r="N92" i="14" s="1"/>
  <c r="J609" i="14"/>
  <c r="L609" i="14" s="1"/>
  <c r="N609" i="14" s="1"/>
  <c r="J610" i="14"/>
  <c r="J207" i="14"/>
  <c r="L207" i="14" s="1"/>
  <c r="N207" i="14" s="1"/>
  <c r="J211" i="14"/>
  <c r="L211" i="14" s="1"/>
  <c r="N211" i="14" s="1"/>
  <c r="J215" i="14"/>
  <c r="L215" i="14" s="1"/>
  <c r="N215" i="14" s="1"/>
  <c r="J208" i="14"/>
  <c r="L208" i="14" s="1"/>
  <c r="N208" i="14" s="1"/>
  <c r="J212" i="14"/>
  <c r="L212" i="14" s="1"/>
  <c r="N212" i="14" s="1"/>
  <c r="J216" i="14"/>
  <c r="L216" i="14" s="1"/>
  <c r="N216" i="14" s="1"/>
  <c r="J209" i="14"/>
  <c r="L209" i="14" s="1"/>
  <c r="N209" i="14" s="1"/>
  <c r="J213" i="14"/>
  <c r="L213" i="14" s="1"/>
  <c r="N213" i="14" s="1"/>
  <c r="J217" i="14"/>
  <c r="L217" i="14" s="1"/>
  <c r="N217" i="14" s="1"/>
  <c r="J210" i="14"/>
  <c r="L210" i="14" s="1"/>
  <c r="N210" i="14" s="1"/>
  <c r="J214" i="14"/>
  <c r="L214" i="14" s="1"/>
  <c r="N214" i="14" s="1"/>
  <c r="J218" i="14"/>
  <c r="L218" i="14" s="1"/>
  <c r="N218" i="14" s="1"/>
  <c r="J635" i="14"/>
  <c r="L635" i="14" s="1"/>
  <c r="N635" i="14" s="1"/>
  <c r="J636" i="14"/>
  <c r="L636" i="14" s="1"/>
  <c r="N636" i="14" s="1"/>
  <c r="J639" i="14"/>
  <c r="L639" i="14" s="1"/>
  <c r="N639" i="14" s="1"/>
  <c r="J640" i="14"/>
  <c r="L640" i="14" s="1"/>
  <c r="N640" i="14" s="1"/>
  <c r="J686" i="14"/>
  <c r="L686" i="14" s="1"/>
  <c r="N686" i="14" s="1"/>
  <c r="J637" i="14"/>
  <c r="L637" i="14" s="1"/>
  <c r="N637" i="14" s="1"/>
  <c r="J638" i="14"/>
  <c r="L638" i="14" s="1"/>
  <c r="N638" i="14" s="1"/>
  <c r="J641" i="14"/>
  <c r="L641" i="14" s="1"/>
  <c r="N641" i="14" s="1"/>
  <c r="J684" i="14"/>
  <c r="J685" i="14"/>
  <c r="L685" i="14" s="1"/>
  <c r="N685" i="14" s="1"/>
  <c r="J326" i="14"/>
  <c r="L326" i="14" s="1"/>
  <c r="N326" i="14" s="1"/>
  <c r="J330" i="14"/>
  <c r="L330" i="14" s="1"/>
  <c r="N330" i="14" s="1"/>
  <c r="J334" i="14"/>
  <c r="L334" i="14" s="1"/>
  <c r="N334" i="14" s="1"/>
  <c r="J338" i="14"/>
  <c r="L338" i="14" s="1"/>
  <c r="N338" i="14" s="1"/>
  <c r="J342" i="14"/>
  <c r="L342" i="14" s="1"/>
  <c r="N342" i="14" s="1"/>
  <c r="J346" i="14"/>
  <c r="J350" i="14"/>
  <c r="J354" i="14"/>
  <c r="L354" i="14" s="1"/>
  <c r="N354" i="14" s="1"/>
  <c r="J358" i="14"/>
  <c r="L358" i="14" s="1"/>
  <c r="N358" i="14" s="1"/>
  <c r="J362" i="14"/>
  <c r="L362" i="14" s="1"/>
  <c r="N362" i="14" s="1"/>
  <c r="J366" i="14"/>
  <c r="L366" i="14" s="1"/>
  <c r="N366" i="14" s="1"/>
  <c r="J370" i="14"/>
  <c r="L370" i="14" s="1"/>
  <c r="N370" i="14" s="1"/>
  <c r="J374" i="14"/>
  <c r="L374" i="14" s="1"/>
  <c r="N374" i="14" s="1"/>
  <c r="J327" i="14"/>
  <c r="L327" i="14" s="1"/>
  <c r="N327" i="14" s="1"/>
  <c r="J331" i="14"/>
  <c r="L331" i="14" s="1"/>
  <c r="N331" i="14" s="1"/>
  <c r="J335" i="14"/>
  <c r="L335" i="14" s="1"/>
  <c r="N335" i="14" s="1"/>
  <c r="J339" i="14"/>
  <c r="L339" i="14" s="1"/>
  <c r="N339" i="14" s="1"/>
  <c r="J343" i="14"/>
  <c r="L343" i="14" s="1"/>
  <c r="N343" i="14" s="1"/>
  <c r="J347" i="14"/>
  <c r="L347" i="14" s="1"/>
  <c r="N347" i="14" s="1"/>
  <c r="J351" i="14"/>
  <c r="L351" i="14" s="1"/>
  <c r="N351" i="14" s="1"/>
  <c r="J355" i="14"/>
  <c r="L355" i="14" s="1"/>
  <c r="N355" i="14" s="1"/>
  <c r="J359" i="14"/>
  <c r="L359" i="14" s="1"/>
  <c r="N359" i="14" s="1"/>
  <c r="J363" i="14"/>
  <c r="L363" i="14" s="1"/>
  <c r="N363" i="14" s="1"/>
  <c r="J367" i="14"/>
  <c r="L367" i="14" s="1"/>
  <c r="N367" i="14" s="1"/>
  <c r="J371" i="14"/>
  <c r="L371" i="14" s="1"/>
  <c r="N371" i="14" s="1"/>
  <c r="J375" i="14"/>
  <c r="L375" i="14" s="1"/>
  <c r="N375" i="14" s="1"/>
  <c r="J328" i="14"/>
  <c r="L328" i="14" s="1"/>
  <c r="N328" i="14" s="1"/>
  <c r="J332" i="14"/>
  <c r="L332" i="14" s="1"/>
  <c r="N332" i="14" s="1"/>
  <c r="J336" i="14"/>
  <c r="L336" i="14" s="1"/>
  <c r="N336" i="14" s="1"/>
  <c r="J340" i="14"/>
  <c r="L340" i="14" s="1"/>
  <c r="N340" i="14" s="1"/>
  <c r="J344" i="14"/>
  <c r="L344" i="14" s="1"/>
  <c r="N344" i="14" s="1"/>
  <c r="J348" i="14"/>
  <c r="J352" i="14"/>
  <c r="L352" i="14" s="1"/>
  <c r="N352" i="14" s="1"/>
  <c r="J356" i="14"/>
  <c r="L356" i="14" s="1"/>
  <c r="N356" i="14" s="1"/>
  <c r="J360" i="14"/>
  <c r="L360" i="14" s="1"/>
  <c r="N360" i="14" s="1"/>
  <c r="J364" i="14"/>
  <c r="L364" i="14" s="1"/>
  <c r="N364" i="14" s="1"/>
  <c r="J368" i="14"/>
  <c r="L368" i="14" s="1"/>
  <c r="N368" i="14" s="1"/>
  <c r="J372" i="14"/>
  <c r="L372" i="14" s="1"/>
  <c r="N372" i="14" s="1"/>
  <c r="J325" i="14"/>
  <c r="L325" i="14" s="1"/>
  <c r="N325" i="14" s="1"/>
  <c r="J329" i="14"/>
  <c r="L329" i="14" s="1"/>
  <c r="N329" i="14" s="1"/>
  <c r="J333" i="14"/>
  <c r="J337" i="14"/>
  <c r="L337" i="14" s="1"/>
  <c r="N337" i="14" s="1"/>
  <c r="J341" i="14"/>
  <c r="L341" i="14" s="1"/>
  <c r="N341" i="14" s="1"/>
  <c r="J345" i="14"/>
  <c r="L345" i="14" s="1"/>
  <c r="N345" i="14" s="1"/>
  <c r="J349" i="14"/>
  <c r="L349" i="14" s="1"/>
  <c r="N349" i="14" s="1"/>
  <c r="J353" i="14"/>
  <c r="L353" i="14" s="1"/>
  <c r="N353" i="14" s="1"/>
  <c r="J357" i="14"/>
  <c r="L357" i="14" s="1"/>
  <c r="N357" i="14" s="1"/>
  <c r="J361" i="14"/>
  <c r="L361" i="14" s="1"/>
  <c r="N361" i="14" s="1"/>
  <c r="J365" i="14"/>
  <c r="L365" i="14" s="1"/>
  <c r="N365" i="14" s="1"/>
  <c r="J369" i="14"/>
  <c r="L369" i="14" s="1"/>
  <c r="N369" i="14" s="1"/>
  <c r="J373" i="14"/>
  <c r="L373" i="14" s="1"/>
  <c r="N373" i="14" s="1"/>
  <c r="J407" i="14"/>
  <c r="J405" i="14"/>
  <c r="L405" i="14" s="1"/>
  <c r="N405" i="14" s="1"/>
  <c r="J406" i="14"/>
  <c r="L406" i="14" s="1"/>
  <c r="N406" i="14" s="1"/>
  <c r="J453" i="14"/>
  <c r="L453" i="14" s="1"/>
  <c r="N453" i="14" s="1"/>
  <c r="J454" i="14"/>
  <c r="L454" i="14" s="1"/>
  <c r="N454" i="14" s="1"/>
  <c r="J451" i="14"/>
  <c r="L451" i="14" s="1"/>
  <c r="N451" i="14" s="1"/>
  <c r="J452" i="14"/>
  <c r="L452" i="14" s="1"/>
  <c r="N452" i="14" s="1"/>
  <c r="J566" i="14"/>
  <c r="L566" i="14" s="1"/>
  <c r="N566" i="14" s="1"/>
  <c r="J568" i="14"/>
  <c r="J572" i="14"/>
  <c r="L572" i="14" s="1"/>
  <c r="N572" i="14" s="1"/>
  <c r="J576" i="14"/>
  <c r="J574" i="14"/>
  <c r="L574" i="14" s="1"/>
  <c r="N574" i="14" s="1"/>
  <c r="J569" i="14"/>
  <c r="L569" i="14" s="1"/>
  <c r="N569" i="14" s="1"/>
  <c r="J573" i="14"/>
  <c r="L573" i="14" s="1"/>
  <c r="N573" i="14" s="1"/>
  <c r="J577" i="14"/>
  <c r="L577" i="14" s="1"/>
  <c r="N577" i="14" s="1"/>
  <c r="J578" i="14"/>
  <c r="L578" i="14" s="1"/>
  <c r="N578" i="14" s="1"/>
  <c r="J570" i="14"/>
  <c r="L570" i="14" s="1"/>
  <c r="N570" i="14" s="1"/>
  <c r="J567" i="14"/>
  <c r="L567" i="14" s="1"/>
  <c r="N567" i="14" s="1"/>
  <c r="J571" i="14"/>
  <c r="L571" i="14" s="1"/>
  <c r="N571" i="14" s="1"/>
  <c r="J575" i="14"/>
  <c r="L575" i="14" s="1"/>
  <c r="N575" i="14" s="1"/>
  <c r="J579" i="14"/>
  <c r="L579" i="14" s="1"/>
  <c r="N579" i="14" s="1"/>
  <c r="J398" i="14"/>
  <c r="L398" i="14" s="1"/>
  <c r="N398" i="14" s="1"/>
  <c r="J400" i="14"/>
  <c r="L400" i="14" s="1"/>
  <c r="N400" i="14" s="1"/>
  <c r="J397" i="14"/>
  <c r="L397" i="14" s="1"/>
  <c r="N397" i="14" s="1"/>
  <c r="J401" i="14"/>
  <c r="L401" i="14" s="1"/>
  <c r="N401" i="14" s="1"/>
  <c r="J399" i="14"/>
  <c r="L399" i="14" s="1"/>
  <c r="N399" i="14" s="1"/>
  <c r="J651" i="14"/>
  <c r="L651" i="14" s="1"/>
  <c r="N651" i="14" s="1"/>
  <c r="J652" i="14"/>
  <c r="L652" i="14" s="1"/>
  <c r="N652" i="14" s="1"/>
  <c r="J653" i="14"/>
  <c r="J427" i="14"/>
  <c r="L427" i="14" s="1"/>
  <c r="N427" i="14" s="1"/>
  <c r="J426" i="14"/>
  <c r="L426" i="14" s="1"/>
  <c r="N426" i="14" s="1"/>
  <c r="J430" i="14"/>
  <c r="L430" i="14" s="1"/>
  <c r="N430" i="14" s="1"/>
  <c r="J425" i="14"/>
  <c r="L425" i="14" s="1"/>
  <c r="N425" i="14" s="1"/>
  <c r="J429" i="14"/>
  <c r="L429" i="14" s="1"/>
  <c r="N429" i="14" s="1"/>
  <c r="J428" i="14"/>
  <c r="L428" i="14" s="1"/>
  <c r="N428" i="14" s="1"/>
  <c r="J498" i="14"/>
  <c r="J499" i="14"/>
  <c r="L499" i="14" s="1"/>
  <c r="N499" i="14" s="1"/>
  <c r="I191" i="14"/>
  <c r="I192" i="14"/>
  <c r="L192" i="14" s="1"/>
  <c r="N192" i="14" s="1"/>
  <c r="I193" i="14"/>
  <c r="I206" i="14"/>
  <c r="L206" i="14" s="1"/>
  <c r="N206" i="14" s="1"/>
  <c r="I243" i="14"/>
  <c r="I244" i="14"/>
  <c r="L244" i="14" s="1"/>
  <c r="N244" i="14" s="1"/>
  <c r="I247" i="14"/>
  <c r="I248" i="14"/>
  <c r="L248" i="14" s="1"/>
  <c r="N248" i="14" s="1"/>
  <c r="I278" i="14"/>
  <c r="I279" i="14"/>
  <c r="L279" i="14" s="1"/>
  <c r="N279" i="14" s="1"/>
  <c r="I282" i="14"/>
  <c r="I296" i="14"/>
  <c r="I190" i="14"/>
  <c r="I241" i="14"/>
  <c r="L241" i="14" s="1"/>
  <c r="N241" i="14" s="1"/>
  <c r="I242" i="14"/>
  <c r="I245" i="14"/>
  <c r="L245" i="14" s="1"/>
  <c r="N245" i="14" s="1"/>
  <c r="I246" i="14"/>
  <c r="I280" i="14"/>
  <c r="I281" i="14"/>
  <c r="L281" i="14" s="1"/>
  <c r="N281" i="14" s="1"/>
  <c r="I297" i="14"/>
  <c r="L297" i="14" s="1"/>
  <c r="N297" i="14" s="1"/>
  <c r="I298" i="14"/>
  <c r="L298" i="14" s="1"/>
  <c r="N298" i="14" s="1"/>
  <c r="I302" i="14"/>
  <c r="I304" i="14"/>
  <c r="L304" i="14" s="1"/>
  <c r="N304" i="14" s="1"/>
  <c r="I305" i="14"/>
  <c r="L305" i="14" s="1"/>
  <c r="N305" i="14" s="1"/>
  <c r="I333" i="14"/>
  <c r="I334" i="14"/>
  <c r="I346" i="14"/>
  <c r="I347" i="14"/>
  <c r="I348" i="14"/>
  <c r="I349" i="14"/>
  <c r="I350" i="14"/>
  <c r="I380" i="14"/>
  <c r="I384" i="14"/>
  <c r="L384" i="14" s="1"/>
  <c r="N384" i="14" s="1"/>
  <c r="I386" i="14"/>
  <c r="I388" i="14"/>
  <c r="L388" i="14" s="1"/>
  <c r="N388" i="14" s="1"/>
  <c r="I394" i="14"/>
  <c r="I440" i="14"/>
  <c r="I465" i="14"/>
  <c r="I303" i="14"/>
  <c r="I381" i="14"/>
  <c r="I383" i="14"/>
  <c r="I385" i="14"/>
  <c r="L385" i="14" s="1"/>
  <c r="N385" i="14" s="1"/>
  <c r="I387" i="14"/>
  <c r="L387" i="14" s="1"/>
  <c r="N387" i="14" s="1"/>
  <c r="I391" i="14"/>
  <c r="I392" i="14"/>
  <c r="I393" i="14"/>
  <c r="I395" i="14"/>
  <c r="I602" i="14"/>
  <c r="L602" i="14" s="1"/>
  <c r="N602" i="14" s="1"/>
  <c r="I617" i="14"/>
  <c r="L617" i="14" s="1"/>
  <c r="N617" i="14" s="1"/>
  <c r="I625" i="14"/>
  <c r="I646" i="14"/>
  <c r="I561" i="14"/>
  <c r="I608" i="14"/>
  <c r="L608" i="14" s="1"/>
  <c r="N608" i="14" s="1"/>
  <c r="I616" i="14"/>
  <c r="I639" i="14"/>
  <c r="I678" i="14"/>
  <c r="L678" i="14" s="1"/>
  <c r="N678" i="14" s="1"/>
  <c r="J66" i="14"/>
  <c r="L66" i="14" s="1"/>
  <c r="N66" i="14" s="1"/>
  <c r="J67" i="14"/>
  <c r="L67" i="14" s="1"/>
  <c r="N67" i="14" s="1"/>
  <c r="J64" i="14"/>
  <c r="L64" i="14" s="1"/>
  <c r="N64" i="14" s="1"/>
  <c r="J63" i="14"/>
  <c r="L63" i="14" s="1"/>
  <c r="N63" i="14" s="1"/>
  <c r="J65" i="14"/>
  <c r="L65" i="14" s="1"/>
  <c r="N65" i="14" s="1"/>
  <c r="J42" i="14"/>
  <c r="L42" i="14" s="1"/>
  <c r="N42" i="14" s="1"/>
  <c r="J46" i="14"/>
  <c r="L46" i="14" s="1"/>
  <c r="N46" i="14" s="1"/>
  <c r="J50" i="14"/>
  <c r="L50" i="14" s="1"/>
  <c r="N50" i="14" s="1"/>
  <c r="J43" i="14"/>
  <c r="L43" i="14" s="1"/>
  <c r="N43" i="14" s="1"/>
  <c r="J47" i="14"/>
  <c r="L47" i="14" s="1"/>
  <c r="N47" i="14" s="1"/>
  <c r="J51" i="14"/>
  <c r="L51" i="14" s="1"/>
  <c r="N51" i="14" s="1"/>
  <c r="J44" i="14"/>
  <c r="L44" i="14" s="1"/>
  <c r="N44" i="14" s="1"/>
  <c r="J48" i="14"/>
  <c r="L48" i="14" s="1"/>
  <c r="N48" i="14" s="1"/>
  <c r="J41" i="14"/>
  <c r="L41" i="14" s="1"/>
  <c r="N41" i="14" s="1"/>
  <c r="J45" i="14"/>
  <c r="L45" i="14" s="1"/>
  <c r="N45" i="14" s="1"/>
  <c r="J49" i="14"/>
  <c r="L49" i="14" s="1"/>
  <c r="N49" i="14" s="1"/>
  <c r="L91" i="14"/>
  <c r="N91" i="14" s="1"/>
  <c r="L667" i="14"/>
  <c r="N667" i="14" s="1"/>
  <c r="L663" i="14"/>
  <c r="N663" i="14" s="1"/>
  <c r="L591" i="14"/>
  <c r="N591" i="14" s="1"/>
  <c r="L587" i="14"/>
  <c r="N587" i="14" s="1"/>
  <c r="L664" i="14"/>
  <c r="N664" i="14" s="1"/>
  <c r="L590" i="14"/>
  <c r="N590" i="14" s="1"/>
  <c r="L142" i="14"/>
  <c r="N142" i="14" s="1"/>
  <c r="L134" i="14"/>
  <c r="N134" i="14" s="1"/>
  <c r="L126" i="14"/>
  <c r="N126" i="14" s="1"/>
  <c r="L118" i="14"/>
  <c r="N118" i="14" s="1"/>
  <c r="L138" i="14"/>
  <c r="N138" i="14" s="1"/>
  <c r="L130" i="14"/>
  <c r="N130" i="14" s="1"/>
  <c r="L122" i="14"/>
  <c r="N122" i="14" s="1"/>
  <c r="L141" i="14"/>
  <c r="N141" i="14" s="1"/>
  <c r="L137" i="14"/>
  <c r="N137" i="14" s="1"/>
  <c r="L133" i="14"/>
  <c r="N133" i="14" s="1"/>
  <c r="L129" i="14"/>
  <c r="N129" i="14" s="1"/>
  <c r="L125" i="14"/>
  <c r="N125" i="14" s="1"/>
  <c r="L121" i="14"/>
  <c r="N121" i="14" s="1"/>
  <c r="L117" i="14"/>
  <c r="N117" i="14" s="1"/>
  <c r="L682" i="14"/>
  <c r="N682" i="14" s="1"/>
  <c r="L623" i="14"/>
  <c r="N623" i="14" s="1"/>
  <c r="L626" i="14"/>
  <c r="N626" i="14" s="1"/>
  <c r="L622" i="14"/>
  <c r="N622" i="14" s="1"/>
  <c r="L300" i="14"/>
  <c r="N300" i="14" s="1"/>
  <c r="L302" i="14"/>
  <c r="N302" i="14" s="1"/>
  <c r="L295" i="14"/>
  <c r="N295" i="14" s="1"/>
  <c r="L291" i="14"/>
  <c r="N291" i="14" s="1"/>
  <c r="L296" i="14"/>
  <c r="N296" i="14" s="1"/>
  <c r="L292" i="14"/>
  <c r="N292" i="14" s="1"/>
  <c r="L288" i="14"/>
  <c r="N288" i="14" s="1"/>
  <c r="L286" i="14"/>
  <c r="N286" i="14" s="1"/>
  <c r="L284" i="14"/>
  <c r="N284" i="14" s="1"/>
  <c r="L610" i="14"/>
  <c r="N610" i="14" s="1"/>
  <c r="L407" i="14"/>
  <c r="N407" i="14" s="1"/>
  <c r="L653" i="14"/>
  <c r="N653" i="14" s="1"/>
  <c r="L659" i="14"/>
  <c r="N659" i="14" s="1"/>
  <c r="L688" i="14"/>
  <c r="N688" i="14" s="1"/>
  <c r="L473" i="14"/>
  <c r="N473" i="14" s="1"/>
  <c r="L469" i="14"/>
  <c r="N469" i="14" s="1"/>
  <c r="L465" i="14"/>
  <c r="N465" i="14" s="1"/>
  <c r="L461" i="14"/>
  <c r="N461" i="14" s="1"/>
  <c r="L457" i="14"/>
  <c r="N457" i="14" s="1"/>
  <c r="L498" i="14"/>
  <c r="N498" i="14" s="1"/>
  <c r="L542" i="14"/>
  <c r="N542" i="14" s="1"/>
  <c r="L540" i="14"/>
  <c r="N540" i="14" s="1"/>
  <c r="L538" i="14"/>
  <c r="N538" i="14" s="1"/>
  <c r="L536" i="14"/>
  <c r="N536" i="14" s="1"/>
  <c r="L684" i="14"/>
  <c r="N684" i="14" s="1"/>
  <c r="L386" i="14"/>
  <c r="N386" i="14" s="1"/>
  <c r="L576" i="14"/>
  <c r="N576" i="14" s="1"/>
  <c r="L568" i="14"/>
  <c r="N568" i="14" s="1"/>
  <c r="L646" i="14" l="1"/>
  <c r="N646" i="14" s="1"/>
  <c r="L625" i="14"/>
  <c r="N625" i="14" s="1"/>
  <c r="L191" i="14"/>
  <c r="N191" i="14" s="1"/>
  <c r="L193" i="14"/>
  <c r="N193" i="14" s="1"/>
  <c r="L348" i="14"/>
  <c r="N348" i="14" s="1"/>
  <c r="L381" i="14"/>
  <c r="N381" i="14" s="1"/>
  <c r="J313" i="14"/>
  <c r="L313" i="14" s="1"/>
  <c r="N313" i="14" s="1"/>
  <c r="J317" i="14"/>
  <c r="L317" i="14" s="1"/>
  <c r="N317" i="14" s="1"/>
  <c r="J321" i="14"/>
  <c r="L321" i="14" s="1"/>
  <c r="N321" i="14" s="1"/>
  <c r="J319" i="14"/>
  <c r="L319" i="14" s="1"/>
  <c r="N319" i="14" s="1"/>
  <c r="J323" i="14"/>
  <c r="L323" i="14" s="1"/>
  <c r="N323" i="14" s="1"/>
  <c r="J632" i="14"/>
  <c r="L632" i="14" s="1"/>
  <c r="N632" i="14" s="1"/>
  <c r="J634" i="14"/>
  <c r="L634" i="14" s="1"/>
  <c r="N634" i="14" s="1"/>
  <c r="J316" i="14"/>
  <c r="L316" i="14" s="1"/>
  <c r="N316" i="14" s="1"/>
  <c r="J312" i="14"/>
  <c r="L312" i="14" s="1"/>
  <c r="N312" i="14" s="1"/>
  <c r="J315" i="14"/>
  <c r="L315" i="14" s="1"/>
  <c r="N315" i="14" s="1"/>
  <c r="J318" i="14"/>
  <c r="L318" i="14" s="1"/>
  <c r="N318" i="14" s="1"/>
  <c r="J322" i="14"/>
  <c r="L322" i="14" s="1"/>
  <c r="N322" i="14" s="1"/>
  <c r="J320" i="14"/>
  <c r="L320" i="14" s="1"/>
  <c r="N320" i="14" s="1"/>
  <c r="J631" i="14"/>
  <c r="L631" i="14" s="1"/>
  <c r="N631" i="14" s="1"/>
  <c r="J633" i="14"/>
  <c r="L633" i="14" s="1"/>
  <c r="N633" i="14" s="1"/>
  <c r="J314" i="14"/>
  <c r="L314" i="14" s="1"/>
  <c r="N314" i="14" s="1"/>
  <c r="J306" i="14"/>
  <c r="L306" i="14" s="1"/>
  <c r="N306" i="14" s="1"/>
  <c r="J310" i="14"/>
  <c r="L310" i="14" s="1"/>
  <c r="N310" i="14" s="1"/>
  <c r="J308" i="14"/>
  <c r="L308" i="14" s="1"/>
  <c r="N308" i="14" s="1"/>
  <c r="J627" i="14"/>
  <c r="L627" i="14" s="1"/>
  <c r="N627" i="14" s="1"/>
  <c r="J629" i="14"/>
  <c r="L629" i="14" s="1"/>
  <c r="N629" i="14" s="1"/>
  <c r="J307" i="14"/>
  <c r="L307" i="14" s="1"/>
  <c r="N307" i="14" s="1"/>
  <c r="J311" i="14"/>
  <c r="L311" i="14" s="1"/>
  <c r="N311" i="14" s="1"/>
  <c r="J309" i="14"/>
  <c r="L309" i="14" s="1"/>
  <c r="N309" i="14" s="1"/>
  <c r="J628" i="14"/>
  <c r="L628" i="14" s="1"/>
  <c r="N628" i="14" s="1"/>
  <c r="J630" i="14"/>
  <c r="L630" i="14" s="1"/>
  <c r="N630" i="14" s="1"/>
  <c r="J585" i="14"/>
  <c r="L585" i="14" s="1"/>
  <c r="N585" i="14" s="1"/>
  <c r="J97" i="14"/>
  <c r="L97" i="14" s="1"/>
  <c r="N97" i="14" s="1"/>
  <c r="J98" i="14"/>
  <c r="L98" i="14" s="1"/>
  <c r="N98" i="14" s="1"/>
  <c r="J99" i="14"/>
  <c r="L99" i="14" s="1"/>
  <c r="N99" i="14" s="1"/>
  <c r="J100" i="14"/>
  <c r="L100" i="14" s="1"/>
  <c r="N100" i="14" s="1"/>
  <c r="J586" i="14"/>
  <c r="L586" i="14" s="1"/>
  <c r="N586" i="14" s="1"/>
  <c r="J101" i="14"/>
  <c r="L101" i="14" s="1"/>
  <c r="N101" i="14" s="1"/>
  <c r="J95" i="14"/>
  <c r="L95" i="14" s="1"/>
  <c r="N95" i="14" s="1"/>
  <c r="J96" i="14"/>
  <c r="L96" i="14" s="1"/>
  <c r="N96" i="14" s="1"/>
  <c r="J160" i="14"/>
  <c r="L160" i="14" s="1"/>
  <c r="N160" i="14" s="1"/>
  <c r="J161" i="14"/>
  <c r="L161" i="14" s="1"/>
  <c r="N161" i="14" s="1"/>
  <c r="J103" i="14"/>
  <c r="L103" i="14" s="1"/>
  <c r="N103" i="14" s="1"/>
  <c r="J107" i="14"/>
  <c r="L107" i="14" s="1"/>
  <c r="N107" i="14" s="1"/>
  <c r="J111" i="14"/>
  <c r="L111" i="14" s="1"/>
  <c r="N111" i="14" s="1"/>
  <c r="J114" i="14"/>
  <c r="L114" i="14" s="1"/>
  <c r="N114" i="14" s="1"/>
  <c r="J108" i="14"/>
  <c r="L108" i="14" s="1"/>
  <c r="N108" i="14" s="1"/>
  <c r="J110" i="14"/>
  <c r="L110" i="14" s="1"/>
  <c r="N110" i="14" s="1"/>
  <c r="J102" i="14"/>
  <c r="L102" i="14" s="1"/>
  <c r="N102" i="14" s="1"/>
  <c r="J105" i="14"/>
  <c r="L105" i="14" s="1"/>
  <c r="N105" i="14" s="1"/>
  <c r="J109" i="14"/>
  <c r="L109" i="14" s="1"/>
  <c r="N109" i="14" s="1"/>
  <c r="J113" i="14"/>
  <c r="L113" i="14" s="1"/>
  <c r="N113" i="14" s="1"/>
  <c r="J112" i="14"/>
  <c r="L112" i="14" s="1"/>
  <c r="N112" i="14" s="1"/>
  <c r="J104" i="14"/>
  <c r="L104" i="14" s="1"/>
  <c r="N104" i="14" s="1"/>
  <c r="J106" i="14"/>
  <c r="L106" i="14" s="1"/>
  <c r="N106" i="14" s="1"/>
  <c r="J32" i="14"/>
  <c r="L32" i="14" s="1"/>
  <c r="N32" i="14" s="1"/>
  <c r="J34" i="14"/>
  <c r="L34" i="14" s="1"/>
  <c r="N34" i="14" s="1"/>
  <c r="J33" i="14"/>
  <c r="L33" i="14" s="1"/>
  <c r="N33" i="14" s="1"/>
  <c r="J17" i="14"/>
  <c r="L17" i="14" s="1"/>
  <c r="N17" i="14" s="1"/>
  <c r="J18" i="14"/>
  <c r="L18" i="14" s="1"/>
  <c r="N18" i="14" s="1"/>
  <c r="J16" i="14"/>
  <c r="L16" i="14" s="1"/>
  <c r="N16" i="14" s="1"/>
  <c r="J19" i="14"/>
  <c r="L19" i="14" s="1"/>
  <c r="N19" i="14" s="1"/>
  <c r="J479" i="14"/>
  <c r="L479" i="14" s="1"/>
  <c r="N479" i="14" s="1"/>
  <c r="J483" i="14"/>
  <c r="L483" i="14" s="1"/>
  <c r="N483" i="14" s="1"/>
  <c r="J487" i="14"/>
  <c r="L487" i="14" s="1"/>
  <c r="N487" i="14" s="1"/>
  <c r="J491" i="14"/>
  <c r="L491" i="14" s="1"/>
  <c r="N491" i="14" s="1"/>
  <c r="J495" i="14"/>
  <c r="L495" i="14" s="1"/>
  <c r="N495" i="14" s="1"/>
  <c r="J661" i="14"/>
  <c r="L661" i="14" s="1"/>
  <c r="N661" i="14" s="1"/>
  <c r="J492" i="14"/>
  <c r="L492" i="14" s="1"/>
  <c r="N492" i="14" s="1"/>
  <c r="J484" i="14"/>
  <c r="L484" i="14" s="1"/>
  <c r="N484" i="14" s="1"/>
  <c r="J494" i="14"/>
  <c r="L494" i="14" s="1"/>
  <c r="N494" i="14" s="1"/>
  <c r="J486" i="14"/>
  <c r="L486" i="14" s="1"/>
  <c r="N486" i="14" s="1"/>
  <c r="J418" i="14"/>
  <c r="L418" i="14" s="1"/>
  <c r="N418" i="14" s="1"/>
  <c r="J421" i="14"/>
  <c r="L421" i="14" s="1"/>
  <c r="N421" i="14" s="1"/>
  <c r="J647" i="14"/>
  <c r="L647" i="14" s="1"/>
  <c r="N647" i="14" s="1"/>
  <c r="J648" i="14"/>
  <c r="L648" i="14" s="1"/>
  <c r="N648" i="14" s="1"/>
  <c r="J422" i="14"/>
  <c r="L422" i="14" s="1"/>
  <c r="N422" i="14" s="1"/>
  <c r="J420" i="14"/>
  <c r="L420" i="14" s="1"/>
  <c r="N420" i="14" s="1"/>
  <c r="J548" i="14"/>
  <c r="L548" i="14" s="1"/>
  <c r="N548" i="14" s="1"/>
  <c r="J554" i="14"/>
  <c r="L554" i="14" s="1"/>
  <c r="N554" i="14" s="1"/>
  <c r="J562" i="14"/>
  <c r="L562" i="14" s="1"/>
  <c r="N562" i="14" s="1"/>
  <c r="J556" i="14"/>
  <c r="L556" i="14" s="1"/>
  <c r="N556" i="14" s="1"/>
  <c r="J564" i="14"/>
  <c r="L564" i="14" s="1"/>
  <c r="N564" i="14" s="1"/>
  <c r="J549" i="14"/>
  <c r="L549" i="14" s="1"/>
  <c r="N549" i="14" s="1"/>
  <c r="J557" i="14"/>
  <c r="L557" i="14" s="1"/>
  <c r="N557" i="14" s="1"/>
  <c r="J547" i="14"/>
  <c r="L547" i="14" s="1"/>
  <c r="N547" i="14" s="1"/>
  <c r="J555" i="14"/>
  <c r="L555" i="14" s="1"/>
  <c r="N555" i="14" s="1"/>
  <c r="J563" i="14"/>
  <c r="L563" i="14" s="1"/>
  <c r="N563" i="14" s="1"/>
  <c r="J546" i="14"/>
  <c r="L546" i="14" s="1"/>
  <c r="N546" i="14" s="1"/>
  <c r="J550" i="14"/>
  <c r="L550" i="14" s="1"/>
  <c r="N550" i="14" s="1"/>
  <c r="J558" i="14"/>
  <c r="L558" i="14" s="1"/>
  <c r="N558" i="14" s="1"/>
  <c r="J552" i="14"/>
  <c r="L552" i="14" s="1"/>
  <c r="N552" i="14" s="1"/>
  <c r="J560" i="14"/>
  <c r="L560" i="14" s="1"/>
  <c r="N560" i="14" s="1"/>
  <c r="J689" i="14"/>
  <c r="L689" i="14" s="1"/>
  <c r="N689" i="14" s="1"/>
  <c r="J553" i="14"/>
  <c r="L553" i="14" s="1"/>
  <c r="N553" i="14" s="1"/>
  <c r="J561" i="14"/>
  <c r="L561" i="14" s="1"/>
  <c r="N561" i="14" s="1"/>
  <c r="J551" i="14"/>
  <c r="L551" i="14" s="1"/>
  <c r="N551" i="14" s="1"/>
  <c r="J559" i="14"/>
  <c r="L559" i="14" s="1"/>
  <c r="N559" i="14" s="1"/>
  <c r="J445" i="14"/>
  <c r="L445" i="14" s="1"/>
  <c r="N445" i="14" s="1"/>
  <c r="J446" i="14"/>
  <c r="L446" i="14" s="1"/>
  <c r="N446" i="14" s="1"/>
  <c r="J444" i="14"/>
  <c r="L444" i="14" s="1"/>
  <c r="N444" i="14" s="1"/>
  <c r="J447" i="14"/>
  <c r="L447" i="14" s="1"/>
  <c r="N447" i="14" s="1"/>
  <c r="J448" i="14"/>
  <c r="L448" i="14" s="1"/>
  <c r="N448" i="14" s="1"/>
  <c r="J390" i="14"/>
  <c r="L390" i="14" s="1"/>
  <c r="N390" i="14" s="1"/>
  <c r="J391" i="14"/>
  <c r="J389" i="14"/>
  <c r="L389" i="14" s="1"/>
  <c r="N389" i="14" s="1"/>
  <c r="J392" i="14"/>
  <c r="J394" i="14"/>
  <c r="L394" i="14" s="1"/>
  <c r="N394" i="14" s="1"/>
  <c r="J395" i="14"/>
  <c r="J393" i="14"/>
  <c r="L393" i="14" s="1"/>
  <c r="N393" i="14" s="1"/>
  <c r="J194" i="14"/>
  <c r="L194" i="14" s="1"/>
  <c r="N194" i="14" s="1"/>
  <c r="J197" i="14"/>
  <c r="L197" i="14" s="1"/>
  <c r="N197" i="14" s="1"/>
  <c r="J201" i="14"/>
  <c r="L201" i="14" s="1"/>
  <c r="N201" i="14" s="1"/>
  <c r="J205" i="14"/>
  <c r="L205" i="14" s="1"/>
  <c r="N205" i="14" s="1"/>
  <c r="J603" i="14"/>
  <c r="L603" i="14" s="1"/>
  <c r="N603" i="14" s="1"/>
  <c r="J607" i="14"/>
  <c r="L607" i="14" s="1"/>
  <c r="N607" i="14" s="1"/>
  <c r="J605" i="14"/>
  <c r="L605" i="14" s="1"/>
  <c r="N605" i="14" s="1"/>
  <c r="J672" i="14"/>
  <c r="L672" i="14" s="1"/>
  <c r="N672" i="14" s="1"/>
  <c r="J204" i="14"/>
  <c r="L204" i="14" s="1"/>
  <c r="N204" i="14" s="1"/>
  <c r="J196" i="14"/>
  <c r="L196" i="14" s="1"/>
  <c r="N196" i="14" s="1"/>
  <c r="J198" i="14"/>
  <c r="L198" i="14" s="1"/>
  <c r="N198" i="14" s="1"/>
  <c r="J54" i="14"/>
  <c r="L54" i="14" s="1"/>
  <c r="N54" i="14" s="1"/>
  <c r="J53" i="14"/>
  <c r="L53" i="14" s="1"/>
  <c r="N53" i="14" s="1"/>
  <c r="J55" i="14"/>
  <c r="L55" i="14" s="1"/>
  <c r="N55" i="14" s="1"/>
  <c r="J146" i="14"/>
  <c r="L146" i="14" s="1"/>
  <c r="N146" i="14" s="1"/>
  <c r="J150" i="14"/>
  <c r="L150" i="14" s="1"/>
  <c r="N150" i="14" s="1"/>
  <c r="J153" i="14"/>
  <c r="L153" i="14" s="1"/>
  <c r="N153" i="14" s="1"/>
  <c r="J145" i="14"/>
  <c r="L145" i="14" s="1"/>
  <c r="N145" i="14" s="1"/>
  <c r="J143" i="14"/>
  <c r="L143" i="14" s="1"/>
  <c r="N143" i="14" s="1"/>
  <c r="J151" i="14"/>
  <c r="L151" i="14" s="1"/>
  <c r="N151" i="14" s="1"/>
  <c r="J144" i="14"/>
  <c r="L144" i="14" s="1"/>
  <c r="N144" i="14" s="1"/>
  <c r="J148" i="14"/>
  <c r="L148" i="14" s="1"/>
  <c r="N148" i="14" s="1"/>
  <c r="J152" i="14"/>
  <c r="L152" i="14" s="1"/>
  <c r="N152" i="14" s="1"/>
  <c r="J154" i="14"/>
  <c r="L154" i="14" s="1"/>
  <c r="N154" i="14" s="1"/>
  <c r="J149" i="14"/>
  <c r="L149" i="14" s="1"/>
  <c r="N149" i="14" s="1"/>
  <c r="J147" i="14"/>
  <c r="L147" i="14" s="1"/>
  <c r="N147" i="14" s="1"/>
  <c r="J512" i="14"/>
  <c r="L512" i="14" s="1"/>
  <c r="N512" i="14" s="1"/>
  <c r="J520" i="14"/>
  <c r="L520" i="14" s="1"/>
  <c r="N520" i="14" s="1"/>
  <c r="J528" i="14"/>
  <c r="L528" i="14" s="1"/>
  <c r="N528" i="14" s="1"/>
  <c r="J515" i="14"/>
  <c r="L515" i="14" s="1"/>
  <c r="N515" i="14" s="1"/>
  <c r="J523" i="14"/>
  <c r="L523" i="14" s="1"/>
  <c r="N523" i="14" s="1"/>
  <c r="J531" i="14"/>
  <c r="L531" i="14" s="1"/>
  <c r="N531" i="14" s="1"/>
  <c r="J518" i="14"/>
  <c r="L518" i="14" s="1"/>
  <c r="N518" i="14" s="1"/>
  <c r="J526" i="14"/>
  <c r="L526" i="14" s="1"/>
  <c r="N526" i="14" s="1"/>
  <c r="J513" i="14"/>
  <c r="L513" i="14" s="1"/>
  <c r="N513" i="14" s="1"/>
  <c r="J516" i="14"/>
  <c r="L516" i="14" s="1"/>
  <c r="N516" i="14" s="1"/>
  <c r="J524" i="14"/>
  <c r="L524" i="14" s="1"/>
  <c r="N524" i="14" s="1"/>
  <c r="J532" i="14"/>
  <c r="L532" i="14" s="1"/>
  <c r="N532" i="14" s="1"/>
  <c r="J519" i="14"/>
  <c r="L519" i="14" s="1"/>
  <c r="N519" i="14" s="1"/>
  <c r="J527" i="14"/>
  <c r="L527" i="14" s="1"/>
  <c r="N527" i="14" s="1"/>
  <c r="J514" i="14"/>
  <c r="L514" i="14" s="1"/>
  <c r="N514" i="14" s="1"/>
  <c r="J522" i="14"/>
  <c r="L522" i="14" s="1"/>
  <c r="N522" i="14" s="1"/>
  <c r="J530" i="14"/>
  <c r="L530" i="14" s="1"/>
  <c r="N530" i="14" s="1"/>
  <c r="J517" i="14"/>
  <c r="L517" i="14" s="1"/>
  <c r="N517" i="14" s="1"/>
  <c r="J525" i="14"/>
  <c r="L525" i="14" s="1"/>
  <c r="N525" i="14" s="1"/>
  <c r="J533" i="14"/>
  <c r="L533" i="14" s="1"/>
  <c r="N533" i="14" s="1"/>
  <c r="J657" i="14"/>
  <c r="L657" i="14" s="1"/>
  <c r="N657" i="14" s="1"/>
  <c r="J439" i="14"/>
  <c r="L439" i="14" s="1"/>
  <c r="N439" i="14" s="1"/>
  <c r="J440" i="14"/>
  <c r="L440" i="14" s="1"/>
  <c r="N440" i="14" s="1"/>
  <c r="J441" i="14"/>
  <c r="L441" i="14" s="1"/>
  <c r="N441" i="14" s="1"/>
  <c r="J502" i="14"/>
  <c r="L502" i="14" s="1"/>
  <c r="N502" i="14" s="1"/>
  <c r="J506" i="14"/>
  <c r="L506" i="14" s="1"/>
  <c r="N506" i="14" s="1"/>
  <c r="J510" i="14"/>
  <c r="L510" i="14" s="1"/>
  <c r="N510" i="14" s="1"/>
  <c r="J505" i="14"/>
  <c r="L505" i="14" s="1"/>
  <c r="N505" i="14" s="1"/>
  <c r="J503" i="14"/>
  <c r="L503" i="14" s="1"/>
  <c r="N503" i="14" s="1"/>
  <c r="J501" i="14"/>
  <c r="L501" i="14" s="1"/>
  <c r="N501" i="14" s="1"/>
  <c r="J504" i="14"/>
  <c r="L504" i="14" s="1"/>
  <c r="N504" i="14" s="1"/>
  <c r="J508" i="14"/>
  <c r="L508" i="14" s="1"/>
  <c r="N508" i="14" s="1"/>
  <c r="J509" i="14"/>
  <c r="L509" i="14" s="1"/>
  <c r="N509" i="14" s="1"/>
  <c r="J507" i="14"/>
  <c r="L507" i="14" s="1"/>
  <c r="N507" i="14" s="1"/>
  <c r="J654" i="14"/>
  <c r="L654" i="14" s="1"/>
  <c r="N654" i="14" s="1"/>
  <c r="J656" i="14"/>
  <c r="L656" i="14" s="1"/>
  <c r="N656" i="14" s="1"/>
  <c r="J432" i="14"/>
  <c r="L432" i="14" s="1"/>
  <c r="N432" i="14" s="1"/>
  <c r="J434" i="14"/>
  <c r="L434" i="14" s="1"/>
  <c r="N434" i="14" s="1"/>
  <c r="J655" i="14"/>
  <c r="L655" i="14" s="1"/>
  <c r="N655" i="14" s="1"/>
  <c r="J431" i="14"/>
  <c r="L431" i="14" s="1"/>
  <c r="N431" i="14" s="1"/>
  <c r="J433" i="14"/>
  <c r="L433" i="14" s="1"/>
  <c r="N433" i="14" s="1"/>
  <c r="J220" i="14"/>
  <c r="L220" i="14" s="1"/>
  <c r="N220" i="14" s="1"/>
  <c r="J223" i="14"/>
  <c r="L223" i="14" s="1"/>
  <c r="N223" i="14" s="1"/>
  <c r="J227" i="14"/>
  <c r="L227" i="14" s="1"/>
  <c r="N227" i="14" s="1"/>
  <c r="J231" i="14"/>
  <c r="L231" i="14" s="1"/>
  <c r="N231" i="14" s="1"/>
  <c r="J235" i="14"/>
  <c r="L235" i="14" s="1"/>
  <c r="N235" i="14" s="1"/>
  <c r="J238" i="14"/>
  <c r="L238" i="14" s="1"/>
  <c r="N238" i="14" s="1"/>
  <c r="J242" i="14"/>
  <c r="L242" i="14" s="1"/>
  <c r="N242" i="14" s="1"/>
  <c r="J246" i="14"/>
  <c r="L246" i="14" s="1"/>
  <c r="N246" i="14" s="1"/>
  <c r="J250" i="14"/>
  <c r="L250" i="14" s="1"/>
  <c r="N250" i="14" s="1"/>
  <c r="J254" i="14"/>
  <c r="L254" i="14" s="1"/>
  <c r="N254" i="14" s="1"/>
  <c r="J258" i="14"/>
  <c r="L258" i="14" s="1"/>
  <c r="N258" i="14" s="1"/>
  <c r="J262" i="14"/>
  <c r="L262" i="14" s="1"/>
  <c r="N262" i="14" s="1"/>
  <c r="J266" i="14"/>
  <c r="L266" i="14" s="1"/>
  <c r="N266" i="14" s="1"/>
  <c r="J270" i="14"/>
  <c r="L270" i="14" s="1"/>
  <c r="N270" i="14" s="1"/>
  <c r="J274" i="14"/>
  <c r="L274" i="14" s="1"/>
  <c r="N274" i="14" s="1"/>
  <c r="J280" i="14"/>
  <c r="L280" i="14" s="1"/>
  <c r="N280" i="14" s="1"/>
  <c r="J239" i="14"/>
  <c r="L239" i="14" s="1"/>
  <c r="N239" i="14" s="1"/>
  <c r="J243" i="14"/>
  <c r="L243" i="14" s="1"/>
  <c r="N243" i="14" s="1"/>
  <c r="J247" i="14"/>
  <c r="L247" i="14" s="1"/>
  <c r="N247" i="14" s="1"/>
  <c r="J251" i="14"/>
  <c r="L251" i="14" s="1"/>
  <c r="N251" i="14" s="1"/>
  <c r="J255" i="14"/>
  <c r="L255" i="14" s="1"/>
  <c r="N255" i="14" s="1"/>
  <c r="J259" i="14"/>
  <c r="L259" i="14" s="1"/>
  <c r="N259" i="14" s="1"/>
  <c r="J263" i="14"/>
  <c r="L263" i="14" s="1"/>
  <c r="N263" i="14" s="1"/>
  <c r="J267" i="14"/>
  <c r="L267" i="14" s="1"/>
  <c r="N267" i="14" s="1"/>
  <c r="J271" i="14"/>
  <c r="L271" i="14" s="1"/>
  <c r="N271" i="14" s="1"/>
  <c r="J275" i="14"/>
  <c r="L275" i="14" s="1"/>
  <c r="N275" i="14" s="1"/>
  <c r="J278" i="14"/>
  <c r="L278" i="14" s="1"/>
  <c r="N278" i="14" s="1"/>
  <c r="J282" i="14"/>
  <c r="L282" i="14" s="1"/>
  <c r="N282" i="14" s="1"/>
  <c r="J612" i="14"/>
  <c r="L612" i="14" s="1"/>
  <c r="N612" i="14" s="1"/>
  <c r="J616" i="14"/>
  <c r="L616" i="14" s="1"/>
  <c r="N616" i="14" s="1"/>
  <c r="J620" i="14"/>
  <c r="L620" i="14" s="1"/>
  <c r="N620" i="14" s="1"/>
  <c r="J675" i="14"/>
  <c r="L675" i="14" s="1"/>
  <c r="N675" i="14" s="1"/>
  <c r="J679" i="14"/>
  <c r="L679" i="14" s="1"/>
  <c r="N679" i="14" s="1"/>
  <c r="J614" i="14"/>
  <c r="L614" i="14" s="1"/>
  <c r="N614" i="14" s="1"/>
  <c r="J618" i="14"/>
  <c r="L618" i="14" s="1"/>
  <c r="N618" i="14" s="1"/>
  <c r="J677" i="14"/>
  <c r="L677" i="14" s="1"/>
  <c r="N677" i="14" s="1"/>
  <c r="J236" i="14"/>
  <c r="L236" i="14" s="1"/>
  <c r="N236" i="14" s="1"/>
  <c r="J228" i="14"/>
  <c r="L228" i="14" s="1"/>
  <c r="N228" i="14" s="1"/>
  <c r="J234" i="14"/>
  <c r="L234" i="14" s="1"/>
  <c r="N234" i="14" s="1"/>
  <c r="J226" i="14"/>
  <c r="L226" i="14" s="1"/>
  <c r="N226" i="14" s="1"/>
  <c r="L333" i="14"/>
  <c r="N333" i="14" s="1"/>
  <c r="L346" i="14"/>
  <c r="N346" i="14" s="1"/>
  <c r="L190" i="14"/>
  <c r="N190" i="14" s="1"/>
  <c r="L303" i="14"/>
  <c r="N303" i="14" s="1"/>
  <c r="L391" i="14"/>
  <c r="N391" i="14" s="1"/>
  <c r="L350" i="14"/>
  <c r="N350" i="14" s="1"/>
  <c r="L380" i="14"/>
  <c r="N380" i="14" s="1"/>
  <c r="L383" i="14"/>
  <c r="N383" i="14" s="1"/>
  <c r="L395" i="14"/>
  <c r="N395" i="14" s="1"/>
  <c r="L392" i="14"/>
  <c r="N392" i="14" s="1"/>
</calcChain>
</file>

<file path=xl/comments1.xml><?xml version="1.0" encoding="utf-8"?>
<comments xmlns="http://schemas.openxmlformats.org/spreadsheetml/2006/main">
  <authors>
    <author>Remko Verschuur</author>
  </authors>
  <commentList>
    <comment ref="B28" authorId="0">
      <text>
        <r>
          <rPr>
            <b/>
            <sz val="8"/>
            <color indexed="81"/>
            <rFont val="Tahoma"/>
            <family val="2"/>
          </rPr>
          <t>Remko Verschuur:</t>
        </r>
        <r>
          <rPr>
            <sz val="8"/>
            <color indexed="81"/>
            <rFont val="Tahoma"/>
            <family val="2"/>
          </rPr>
          <t xml:space="preserve">
To be updated in accordance with Spreadsheet ' Mobilisation_Demobilisation_Work and Travel Times Model.xlsx</t>
        </r>
      </text>
    </comment>
    <comment ref="B38" authorId="0">
      <text>
        <r>
          <rPr>
            <b/>
            <sz val="8"/>
            <color indexed="81"/>
            <rFont val="Tahoma"/>
            <family val="2"/>
          </rPr>
          <t>Remko Verschuur:</t>
        </r>
        <r>
          <rPr>
            <sz val="8"/>
            <color indexed="81"/>
            <rFont val="Tahoma"/>
            <family val="2"/>
          </rPr>
          <t xml:space="preserve">
Updated from 
Excel spreadsheet "Updated Labour-WACC" from Cathie Waddell</t>
        </r>
      </text>
    </comment>
    <comment ref="B39" authorId="0">
      <text>
        <r>
          <rPr>
            <b/>
            <sz val="8"/>
            <color indexed="81"/>
            <rFont val="Tahoma"/>
            <family val="2"/>
          </rPr>
          <t>Remko Verschuur:</t>
        </r>
        <r>
          <rPr>
            <sz val="8"/>
            <color indexed="81"/>
            <rFont val="Tahoma"/>
            <family val="2"/>
          </rPr>
          <t xml:space="preserve">
Updated from 
Excel spreadsheet "Updated Labour-WACC" from Cathie Waddell</t>
        </r>
      </text>
    </comment>
    <comment ref="B44" authorId="0">
      <text>
        <r>
          <rPr>
            <b/>
            <sz val="8"/>
            <color indexed="81"/>
            <rFont val="Tahoma"/>
            <family val="2"/>
          </rPr>
          <t>Remko Verschuur:</t>
        </r>
        <r>
          <rPr>
            <sz val="8"/>
            <color indexed="81"/>
            <rFont val="Tahoma"/>
            <family val="2"/>
          </rPr>
          <t xml:space="preserve">
Include in UAM rate</t>
        </r>
      </text>
    </comment>
    <comment ref="B55" authorId="0">
      <text>
        <r>
          <rPr>
            <b/>
            <sz val="8"/>
            <color indexed="81"/>
            <rFont val="Tahoma"/>
            <family val="2"/>
          </rPr>
          <t>Remko Verschuur:</t>
        </r>
        <r>
          <rPr>
            <sz val="8"/>
            <color indexed="81"/>
            <rFont val="Tahoma"/>
            <family val="2"/>
          </rPr>
          <t xml:space="preserve">
Updated from 
Excel spreadsheet "Updated Labour-WACC" from Cathie Waddell</t>
        </r>
      </text>
    </comment>
    <comment ref="B93" authorId="0">
      <text>
        <r>
          <rPr>
            <b/>
            <sz val="8"/>
            <color indexed="81"/>
            <rFont val="Tahoma"/>
            <family val="2"/>
          </rPr>
          <t>Remko Verschuur:</t>
        </r>
        <r>
          <rPr>
            <sz val="8"/>
            <color indexed="81"/>
            <rFont val="Tahoma"/>
            <family val="2"/>
          </rPr>
          <t xml:space="preserve">
Used 2014 UAM Contract Rate supplied by Jeremy Grey 30042014 and added CORP and DIV OH.</t>
        </r>
      </text>
    </comment>
  </commentList>
</comments>
</file>

<file path=xl/comments2.xml><?xml version="1.0" encoding="utf-8"?>
<comments xmlns="http://schemas.openxmlformats.org/spreadsheetml/2006/main">
  <authors>
    <author>Marcus Ludriks</author>
  </authors>
  <commentList>
    <comment ref="E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3"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2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6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6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9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5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6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21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2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96"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8"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1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43"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4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5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77"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97"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0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1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3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4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6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8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List>
</comments>
</file>

<file path=xl/sharedStrings.xml><?xml version="1.0" encoding="utf-8"?>
<sst xmlns="http://schemas.openxmlformats.org/spreadsheetml/2006/main" count="2394" uniqueCount="1480">
  <si>
    <t>101900</t>
  </si>
  <si>
    <t>111710</t>
  </si>
  <si>
    <t>Saddle Conduit 16mm Galv</t>
  </si>
  <si>
    <t>131182</t>
  </si>
  <si>
    <t>Spigot Adaptor 32mm to 25mm Pedestrian</t>
  </si>
  <si>
    <t>131187</t>
  </si>
  <si>
    <t>These PE cells are for D2 type cells that are required for the smaller lanterns</t>
  </si>
  <si>
    <t>D2 PE cell</t>
  </si>
  <si>
    <t>Trunion 360 Deg. Sylflood</t>
  </si>
  <si>
    <t>131190</t>
  </si>
  <si>
    <t>Spigot Adaptor 40mm to 25mm Streetlight</t>
  </si>
  <si>
    <t>131195</t>
  </si>
  <si>
    <t>Spigot Adaptor 50mm to 25mm Streetlight</t>
  </si>
  <si>
    <t>131200</t>
  </si>
  <si>
    <t>Task Estimation</t>
  </si>
  <si>
    <t>Adaptor Bracket Streetlight Outreach 3 Way(Pipe)</t>
  </si>
  <si>
    <t>131201</t>
  </si>
  <si>
    <t>Adaptor Bracket Streetlight Outreach 4 Way(Pipe)</t>
  </si>
  <si>
    <t>200555</t>
  </si>
  <si>
    <t>Fuse Holder C/W 6.5A Inline Cartridge</t>
  </si>
  <si>
    <t>202090</t>
  </si>
  <si>
    <t>Cartridge 6.5A Fuse Hrc Suit In Line Fuse Holder</t>
  </si>
  <si>
    <t>282360</t>
  </si>
  <si>
    <t>Conduit 20mm Corrugated Flexible PVC Medium Duty Grey UV Sta</t>
  </si>
  <si>
    <t>290170</t>
  </si>
  <si>
    <t>Photoelectric S/Light Control D2 Base Only C/W 300mm Leads</t>
  </si>
  <si>
    <t>290346</t>
  </si>
  <si>
    <t>Shade Suit Photo Elec Cell</t>
  </si>
  <si>
    <t>442639</t>
  </si>
  <si>
    <t>Cable 4.0mm 7/0.85 SDI Black Cu</t>
  </si>
  <si>
    <t>44331</t>
  </si>
  <si>
    <t>Silicone Sealant Clear 310gm</t>
  </si>
  <si>
    <t>502890</t>
  </si>
  <si>
    <t>Seal Rubber Suit Optispec Diffuser</t>
  </si>
  <si>
    <t>503218</t>
  </si>
  <si>
    <t>Diffuser Suit Nostalgia Type Lantern</t>
  </si>
  <si>
    <t>503225</t>
  </si>
  <si>
    <t>Bowl Sylvania Urban Glare Shield `</t>
  </si>
  <si>
    <t>60007000</t>
  </si>
  <si>
    <t>Spigot Adaptor S/L Outreach 45 Deg</t>
  </si>
  <si>
    <t>61010055</t>
  </si>
  <si>
    <t>Plug Shorting For Nema Pe Cell Base</t>
  </si>
  <si>
    <t>61010060</t>
  </si>
  <si>
    <t>Control Base for NEMA PE Cell Suits Rexel Lanterns</t>
  </si>
  <si>
    <t>64030004</t>
  </si>
  <si>
    <t>Guard Wire Sylvania B3000 Luminaire</t>
  </si>
  <si>
    <t>64030005</t>
  </si>
  <si>
    <t>Guard Wire Sylvania Urban Luminaire</t>
  </si>
  <si>
    <t>64030011</t>
  </si>
  <si>
    <t>Shroud Full No Guard Philips Tempo</t>
  </si>
  <si>
    <t>64030020</t>
  </si>
  <si>
    <t>Guard Mesh For Sentry Floodlight</t>
  </si>
  <si>
    <t>64030025</t>
  </si>
  <si>
    <t>Shieldtop 25 Degrees fro Sentry Floodlight</t>
  </si>
  <si>
    <t>64030036</t>
  </si>
  <si>
    <t>Shield Side 35 Degrees for Sentry Floodlight</t>
  </si>
  <si>
    <t>64040081</t>
  </si>
  <si>
    <t>Diffuser Ec80 Suit Gough  Lantern</t>
  </si>
  <si>
    <t>64040082</t>
  </si>
  <si>
    <t>Diffuser Bowl Sylvania Urban 80 W</t>
  </si>
  <si>
    <t>64040090</t>
  </si>
  <si>
    <t>Diffuser Bowl Glare Reducing Roadster Max 250W</t>
  </si>
  <si>
    <t>64065000</t>
  </si>
  <si>
    <t>Diffuser Toughened Acrylic Bowl To</t>
  </si>
  <si>
    <t>64065005</t>
  </si>
  <si>
    <t>Diffuser 250W Sonpe Gec Optispan</t>
  </si>
  <si>
    <t>64065010</t>
  </si>
  <si>
    <t>Diffuser Acrylic Bowl Gec Optispec</t>
  </si>
  <si>
    <t>785855</t>
  </si>
  <si>
    <t>Relay Contact To Suit Lcr-212</t>
  </si>
  <si>
    <t>Grand Total</t>
  </si>
  <si>
    <t>Item</t>
  </si>
  <si>
    <t>Pole Inspection Frequency</t>
  </si>
  <si>
    <t>COMPACT FLUORESCENT 42W</t>
  </si>
  <si>
    <t>FLU0360</t>
  </si>
  <si>
    <t>FLU0370</t>
  </si>
  <si>
    <t>No Ballast or igniter nor PE cell are required for this installation. All of these installs will be on control wires so no PE cell required.</t>
  </si>
  <si>
    <t>Cost of PE cells are the same as for the other flood lights ie $25.42. We don't have a cost for the ballasts as they aren’t in the cat inventory. We may have purched these some time but not in any number so wasn't added to the inventory. Have procurred a price for the 1000w lanterns from manufacture</t>
  </si>
  <si>
    <t>Remarks</t>
  </si>
  <si>
    <t>These PE cells are for D2 type cells that are required for the smaller lanterns.</t>
  </si>
  <si>
    <t>These are for Nema based PE cells.</t>
  </si>
  <si>
    <t>These are for Button type PE cells that are used for all flood lighting. Same is for 1000w flood light below</t>
  </si>
  <si>
    <t>Compact Fluorescent 1x42</t>
  </si>
  <si>
    <t>T5 2x14W</t>
  </si>
  <si>
    <t>T5 2x24W</t>
  </si>
  <si>
    <t>2x14</t>
  </si>
  <si>
    <t>2x24</t>
  </si>
  <si>
    <t>FLU0360-ST</t>
  </si>
  <si>
    <t>FLU0370-ST</t>
  </si>
  <si>
    <t>High Pressure Sodium 2x600</t>
  </si>
  <si>
    <t>2x600</t>
  </si>
  <si>
    <t>High Pressure Sodium 4x600</t>
  </si>
  <si>
    <t>4x600</t>
  </si>
  <si>
    <t>High Pressure Sodium 6x600</t>
  </si>
  <si>
    <t>6x600</t>
  </si>
  <si>
    <t>High Pressure Sodium 4x1000</t>
  </si>
  <si>
    <t>4x1000</t>
  </si>
  <si>
    <t>Incandescent 3x100</t>
  </si>
  <si>
    <t>3x100</t>
  </si>
  <si>
    <t>Incandescent 750</t>
  </si>
  <si>
    <t>Incandescent 1440</t>
  </si>
  <si>
    <t>Incandescent 2880</t>
  </si>
  <si>
    <t>90/100</t>
  </si>
  <si>
    <t>Low Pressure Sodium 160</t>
  </si>
  <si>
    <t>Metal Hallide (Constant Control Gear) 150</t>
  </si>
  <si>
    <t>Metal Hallide (Constant Control Gear) 250</t>
  </si>
  <si>
    <t>Metal Hallide (Constant Control Gear) 400</t>
  </si>
  <si>
    <t>Metal Hallide (Reactor Control Gear) 4x150</t>
  </si>
  <si>
    <t>4x150</t>
  </si>
  <si>
    <t>Metal Hallide (Reactor Control Gear) 175</t>
  </si>
  <si>
    <t>Metal Hallide (Reactor Control Gear) 2x400</t>
  </si>
  <si>
    <t>Metal Hallide (Reactor Control Gear) 1500</t>
  </si>
  <si>
    <t>Metal Hallide (Reactor Control Gear) 2000</t>
  </si>
  <si>
    <t>Metal Hallide (Reactor Control Gear) 3745</t>
  </si>
  <si>
    <t>Mercury Vapour 2x80</t>
  </si>
  <si>
    <t>Mercury Vapour 3x80</t>
  </si>
  <si>
    <t>Mercury Vapour 4x80</t>
  </si>
  <si>
    <t>Mercury Vapour 6x80</t>
  </si>
  <si>
    <t>Mercury Vapour 7x80</t>
  </si>
  <si>
    <t>7x80</t>
  </si>
  <si>
    <t>Lamp Type</t>
  </si>
  <si>
    <t>Ballast / Igniter Cost</t>
  </si>
  <si>
    <t>This sheet conatins the summary SLUOS Tariff Information per Tariff Code.</t>
  </si>
  <si>
    <t>Mercury Vapour 2x125</t>
  </si>
  <si>
    <t>Mercury Vapour 3x125</t>
  </si>
  <si>
    <t>3x125</t>
  </si>
  <si>
    <t>Mercury Vapour 6x125</t>
  </si>
  <si>
    <t>6x125</t>
  </si>
  <si>
    <t>Mercury Vapour 2x160</t>
  </si>
  <si>
    <t>2x160</t>
  </si>
  <si>
    <t>Mercury Vapour 3x160</t>
  </si>
  <si>
    <t>3x160</t>
  </si>
  <si>
    <t>Mercury Vapour 6x160</t>
  </si>
  <si>
    <t>6x160</t>
  </si>
  <si>
    <t>Mercury Vapour 9x160</t>
  </si>
  <si>
    <t>9x160</t>
  </si>
  <si>
    <t>Mercury Vapour 2x175</t>
  </si>
  <si>
    <t>2x175</t>
  </si>
  <si>
    <t>Mercury Vapour 2x250</t>
  </si>
  <si>
    <t>Mercury Vapour 3x250</t>
  </si>
  <si>
    <t>3x250</t>
  </si>
  <si>
    <t>Mercury Vapour 2x400</t>
  </si>
  <si>
    <t>Mercury Vapour 3x400</t>
  </si>
  <si>
    <t>Mercury Vapour 2x700</t>
  </si>
  <si>
    <t>2x700</t>
  </si>
  <si>
    <t>Mercury Vapour 800</t>
  </si>
  <si>
    <t>Mercury Vapour 4x1000</t>
  </si>
  <si>
    <t>Mercury Vapour 6x1000</t>
  </si>
  <si>
    <t>6x1000</t>
  </si>
  <si>
    <t>Mercury Vapour 1625</t>
  </si>
  <si>
    <t>Capital Code</t>
  </si>
  <si>
    <t>Minimum Hours for Controller</t>
  </si>
  <si>
    <t>FLU0010-ST</t>
  </si>
  <si>
    <t>FLU0020-ST</t>
  </si>
  <si>
    <t>FLU0030-ST</t>
  </si>
  <si>
    <t>FLU0040-ST</t>
  </si>
  <si>
    <t>FLU0050-ST</t>
  </si>
  <si>
    <t>FLU0060-ST</t>
  </si>
  <si>
    <t>FLU0070-ST</t>
  </si>
  <si>
    <t>FLU0080-ST</t>
  </si>
  <si>
    <t>FLU0100-ST</t>
  </si>
  <si>
    <t>FLU0110-ST</t>
  </si>
  <si>
    <t>FLU0130-ST</t>
  </si>
  <si>
    <t>FLU0140-ST</t>
  </si>
  <si>
    <t>FLU0150-ST</t>
  </si>
  <si>
    <t>FLU0160-ST</t>
  </si>
  <si>
    <t>FLU0170-ST</t>
  </si>
  <si>
    <t>FLU0180-ST</t>
  </si>
  <si>
    <t>FLU0190-ST</t>
  </si>
  <si>
    <t>FLU0200-ST</t>
  </si>
  <si>
    <t>FLU0240-ST</t>
  </si>
  <si>
    <t>FLU0250-ST</t>
  </si>
  <si>
    <t>FLU0260-ST</t>
  </si>
  <si>
    <t>FLU0300-ST</t>
  </si>
  <si>
    <t>HPS0010-ST</t>
  </si>
  <si>
    <t>HPS0010-TA</t>
  </si>
  <si>
    <t>HPS0020-ST</t>
  </si>
  <si>
    <t>HPS0020-TA</t>
  </si>
  <si>
    <t>HPS0070-ST</t>
  </si>
  <si>
    <t>HPS0070-TA</t>
  </si>
  <si>
    <t>HPS0080-ST</t>
  </si>
  <si>
    <t>HPS0090-ST</t>
  </si>
  <si>
    <t>HPS0090-TA</t>
  </si>
  <si>
    <t>HPS0100-ST</t>
  </si>
  <si>
    <t>HPS0110-ST</t>
  </si>
  <si>
    <t>HPS0110-TA</t>
  </si>
  <si>
    <t>HPS0120-ST</t>
  </si>
  <si>
    <t>HPS0120-TA</t>
  </si>
  <si>
    <t>HPS0140-ST</t>
  </si>
  <si>
    <t>HPS0160-ST</t>
  </si>
  <si>
    <t>HPS0170-ST</t>
  </si>
  <si>
    <t>HPS0170-TA</t>
  </si>
  <si>
    <t>HPS0180-ST</t>
  </si>
  <si>
    <t>HPS0180-TA</t>
  </si>
  <si>
    <t>HPS0190-ST</t>
  </si>
  <si>
    <t>HPS0210-ST</t>
  </si>
  <si>
    <t>HPS0250-ST</t>
  </si>
  <si>
    <t>INC0010-ST</t>
  </si>
  <si>
    <t>INC0020-ST</t>
  </si>
  <si>
    <t>INC0030-ST</t>
  </si>
  <si>
    <t>INC0040-ST</t>
  </si>
  <si>
    <t>INC0050-ST</t>
  </si>
  <si>
    <t>INC0070-ST</t>
  </si>
  <si>
    <t>INC0080-ST</t>
  </si>
  <si>
    <t>INC0090-ST</t>
  </si>
  <si>
    <t>INC0100-ST</t>
  </si>
  <si>
    <t>INC0110-ST</t>
  </si>
  <si>
    <t>INC0130-ST</t>
  </si>
  <si>
    <t>INC0140-ST</t>
  </si>
  <si>
    <t>INC0160-ST</t>
  </si>
  <si>
    <t>LPS0010-ST</t>
  </si>
  <si>
    <t>LPS0020-ST</t>
  </si>
  <si>
    <t>LPS0030-ST</t>
  </si>
  <si>
    <t>LPS0040-ST</t>
  </si>
  <si>
    <t>LPS0050-ST</t>
  </si>
  <si>
    <t>LPS0060-ST</t>
  </si>
  <si>
    <t>LPS0080-ST</t>
  </si>
  <si>
    <t>LPS0090-ST</t>
  </si>
  <si>
    <t>MHR0010-ST</t>
  </si>
  <si>
    <t>MHR0020-ST</t>
  </si>
  <si>
    <t>MHR0030-ST</t>
  </si>
  <si>
    <t>MHR0060-ST</t>
  </si>
  <si>
    <t>MHR0070-ST</t>
  </si>
  <si>
    <t>MHR0090-ST</t>
  </si>
  <si>
    <t>MHR0100-ST</t>
  </si>
  <si>
    <t>MVA0010-ST</t>
  </si>
  <si>
    <t>MVA0020-ST</t>
  </si>
  <si>
    <t>MVA0080-ST</t>
  </si>
  <si>
    <t>MVA0120-ST</t>
  </si>
  <si>
    <t>MVA0170-ST</t>
  </si>
  <si>
    <t>MVA0190-ST</t>
  </si>
  <si>
    <t>MVA0220-ST</t>
  </si>
  <si>
    <t>MVA0250-ST</t>
  </si>
  <si>
    <t>MVA0260-ST</t>
  </si>
  <si>
    <t>MVA0290-ST</t>
  </si>
  <si>
    <t>FLU0010</t>
  </si>
  <si>
    <t>FLU0020</t>
  </si>
  <si>
    <t>FLU0030</t>
  </si>
  <si>
    <t>FLU0040</t>
  </si>
  <si>
    <t>FLU0050</t>
  </si>
  <si>
    <t>FLU0060</t>
  </si>
  <si>
    <t>FLU0070</t>
  </si>
  <si>
    <t>FLU0080</t>
  </si>
  <si>
    <t>FLU0090</t>
  </si>
  <si>
    <t>FLU0100</t>
  </si>
  <si>
    <t>FLU0110</t>
  </si>
  <si>
    <t>FLU0120</t>
  </si>
  <si>
    <t>FLU0130</t>
  </si>
  <si>
    <t>FLU0140</t>
  </si>
  <si>
    <t>FLU0150</t>
  </si>
  <si>
    <t>FLU0160</t>
  </si>
  <si>
    <t>FLU0170</t>
  </si>
  <si>
    <t>FLU0180</t>
  </si>
  <si>
    <t>FLU0190</t>
  </si>
  <si>
    <t>FLU0200</t>
  </si>
  <si>
    <t>FLU0210</t>
  </si>
  <si>
    <t>FLU0220</t>
  </si>
  <si>
    <t>FLU0230</t>
  </si>
  <si>
    <t>FLU0240</t>
  </si>
  <si>
    <t>FLU0250</t>
  </si>
  <si>
    <t>FLU0260</t>
  </si>
  <si>
    <t>FLU0270</t>
  </si>
  <si>
    <t>FLU0280</t>
  </si>
  <si>
    <t>FLU0290</t>
  </si>
  <si>
    <t>FLU0300</t>
  </si>
  <si>
    <t>FLU0310</t>
  </si>
  <si>
    <t>FLU0320</t>
  </si>
  <si>
    <t>HPS0010</t>
  </si>
  <si>
    <t>HPS0020</t>
  </si>
  <si>
    <t>HPS0030</t>
  </si>
  <si>
    <t>HPS0040</t>
  </si>
  <si>
    <t>HPS0050</t>
  </si>
  <si>
    <t>HPS0060</t>
  </si>
  <si>
    <t>HPS0070</t>
  </si>
  <si>
    <t>HPS0080</t>
  </si>
  <si>
    <t>HPS0090</t>
  </si>
  <si>
    <t>HPS0100</t>
  </si>
  <si>
    <t>HPS0110</t>
  </si>
  <si>
    <t>HPS0120</t>
  </si>
  <si>
    <t>HPS0130</t>
  </si>
  <si>
    <t>HPS0140</t>
  </si>
  <si>
    <t>HPS0150</t>
  </si>
  <si>
    <t>FLU0350-ST</t>
  </si>
  <si>
    <t>FLU0350</t>
  </si>
  <si>
    <t>HPS0160</t>
  </si>
  <si>
    <t>HPS0170</t>
  </si>
  <si>
    <t>HPS0180</t>
  </si>
  <si>
    <t>HPS0190</t>
  </si>
  <si>
    <t>HPS0200</t>
  </si>
  <si>
    <t>HPS0210</t>
  </si>
  <si>
    <t>HPS0220</t>
  </si>
  <si>
    <t>HPS0230</t>
  </si>
  <si>
    <t>HPS0240</t>
  </si>
  <si>
    <t>HPS0250</t>
  </si>
  <si>
    <t>HPS0260</t>
  </si>
  <si>
    <t>INC0010</t>
  </si>
  <si>
    <t>INC0020</t>
  </si>
  <si>
    <t>INC0030</t>
  </si>
  <si>
    <t>INC0040</t>
  </si>
  <si>
    <t>INC0050</t>
  </si>
  <si>
    <t>INC0060</t>
  </si>
  <si>
    <t>INC0070</t>
  </si>
  <si>
    <t>INC0080</t>
  </si>
  <si>
    <t>INC0090</t>
  </si>
  <si>
    <t>INC0100</t>
  </si>
  <si>
    <t>INC0110</t>
  </si>
  <si>
    <t>INC0120</t>
  </si>
  <si>
    <t>INC0130</t>
  </si>
  <si>
    <t>INC0140</t>
  </si>
  <si>
    <t>INC0150</t>
  </si>
  <si>
    <t>INC0160</t>
  </si>
  <si>
    <t>INC0170</t>
  </si>
  <si>
    <t>LPS0010</t>
  </si>
  <si>
    <t>LPS0020</t>
  </si>
  <si>
    <t>LPS0030</t>
  </si>
  <si>
    <t>LPS0040</t>
  </si>
  <si>
    <t>LPS0050</t>
  </si>
  <si>
    <t>LPS0060</t>
  </si>
  <si>
    <t>LPS0070</t>
  </si>
  <si>
    <t>LPS0080</t>
  </si>
  <si>
    <t>LPS0090</t>
  </si>
  <si>
    <t>MHC0010</t>
  </si>
  <si>
    <t>MHC0020</t>
  </si>
  <si>
    <t>MHC0030</t>
  </si>
  <si>
    <t>MHR0010</t>
  </si>
  <si>
    <t>MHR0020</t>
  </si>
  <si>
    <t>MHR0030</t>
  </si>
  <si>
    <t>MHR0040</t>
  </si>
  <si>
    <t>MHR0050</t>
  </si>
  <si>
    <t>MHR0060</t>
  </si>
  <si>
    <t>MHR0070</t>
  </si>
  <si>
    <t>MHR0080</t>
  </si>
  <si>
    <t>MHR0090</t>
  </si>
  <si>
    <t>MHR0100</t>
  </si>
  <si>
    <t>MHR0110</t>
  </si>
  <si>
    <t>MHR0120</t>
  </si>
  <si>
    <t>MHR0130</t>
  </si>
  <si>
    <t>MVA0010</t>
  </si>
  <si>
    <t>MVA0020</t>
  </si>
  <si>
    <t>MVA0030</t>
  </si>
  <si>
    <t>MVA0040</t>
  </si>
  <si>
    <t>MVA0050</t>
  </si>
  <si>
    <t>MVA0060</t>
  </si>
  <si>
    <t>MVA0070</t>
  </si>
  <si>
    <t>MVA0080</t>
  </si>
  <si>
    <t>MVA0090</t>
  </si>
  <si>
    <t>MVA0100</t>
  </si>
  <si>
    <t>MVA0110</t>
  </si>
  <si>
    <t>MVA0120</t>
  </si>
  <si>
    <t>MVA0130</t>
  </si>
  <si>
    <t>MVA0140</t>
  </si>
  <si>
    <t>MVA0150</t>
  </si>
  <si>
    <t>MVA0160</t>
  </si>
  <si>
    <t>MVA0170</t>
  </si>
  <si>
    <t>MVA0180</t>
  </si>
  <si>
    <t>MVA0190</t>
  </si>
  <si>
    <t>MVA0200</t>
  </si>
  <si>
    <t>MVA0210</t>
  </si>
  <si>
    <t>MVA0220</t>
  </si>
  <si>
    <t>MVA0230</t>
  </si>
  <si>
    <t>MVA0240</t>
  </si>
  <si>
    <t>MVA0250</t>
  </si>
  <si>
    <t>MVA0260</t>
  </si>
  <si>
    <t>Inflation rate</t>
  </si>
  <si>
    <t>MVA0020-ST-0010-004-B</t>
  </si>
  <si>
    <t>MVA0270</t>
  </si>
  <si>
    <t>MVA0280</t>
  </si>
  <si>
    <t>MVA0290</t>
  </si>
  <si>
    <t>MVA0300</t>
  </si>
  <si>
    <t>MVA0310</t>
  </si>
  <si>
    <t>MVA0320</t>
  </si>
  <si>
    <t>FLU0090-ST</t>
  </si>
  <si>
    <t>FLU0270-ST</t>
  </si>
  <si>
    <t>HPS0010-INT</t>
  </si>
  <si>
    <t>HPS0030-ST</t>
  </si>
  <si>
    <t>HPS0030-TA</t>
  </si>
  <si>
    <t>HPS0040-ST</t>
  </si>
  <si>
    <t>HPS0040-TA</t>
  </si>
  <si>
    <t>HPS0050-ST</t>
  </si>
  <si>
    <t>HPS0050-TA</t>
  </si>
  <si>
    <t>HPS0080-TA</t>
  </si>
  <si>
    <t>HPS0100-TA</t>
  </si>
  <si>
    <t>HPS0130-ST</t>
  </si>
  <si>
    <t>HPS0130-TA</t>
  </si>
  <si>
    <t>HPS0150-ST</t>
  </si>
  <si>
    <t>HPS0150-TA</t>
  </si>
  <si>
    <t>HPS0160-TA</t>
  </si>
  <si>
    <t>HPS0200-ST</t>
  </si>
  <si>
    <t>HPS0200-TA</t>
  </si>
  <si>
    <t>HPS0240-ST</t>
  </si>
  <si>
    <t>MHR0120-ST</t>
  </si>
  <si>
    <t>MVA0030-ST</t>
  </si>
  <si>
    <t>MVA0090-ST</t>
  </si>
  <si>
    <t>MVA0200-ST</t>
  </si>
  <si>
    <t>MVA0230-ST</t>
  </si>
  <si>
    <t>Traffic Control</t>
  </si>
  <si>
    <t>Total</t>
  </si>
  <si>
    <t>Capital Code Schedules</t>
  </si>
  <si>
    <t>Mapping of the SLUOS Capital prices to the Capital Codes.</t>
  </si>
  <si>
    <t>Pole Maintenance</t>
  </si>
  <si>
    <t>Shared Poles - All pole inspection cost is attributed to the reticulation pole.</t>
  </si>
  <si>
    <t xml:space="preserve">2000 W MH FLOODLIGHT </t>
  </si>
  <si>
    <t>Other Maintenance</t>
  </si>
  <si>
    <t>&lt; 150 W</t>
  </si>
  <si>
    <t>&gt;= 150 W</t>
  </si>
  <si>
    <t>Bulk Replacement Labour and Plant Cost</t>
  </si>
  <si>
    <t>Number of Lamps</t>
  </si>
  <si>
    <t>Lamp Cost</t>
  </si>
  <si>
    <t>Ballast / Ignitor Cost</t>
  </si>
  <si>
    <t>Labour &amp; Plant</t>
  </si>
  <si>
    <t>Material</t>
  </si>
  <si>
    <t>Other Repairs Material Cost</t>
  </si>
  <si>
    <t>Maintenance Costs</t>
  </si>
  <si>
    <t>The cells marked with aqua colour define the assumptions used in these calculations.</t>
  </si>
  <si>
    <t>This sheet models the typical maintenance costs associated  for both spot and bulk replacement for each lamp type.</t>
  </si>
  <si>
    <t>Minor roads. In many situations, the crew will just put out witches hats</t>
  </si>
  <si>
    <t>As above</t>
  </si>
  <si>
    <t>Traffic Route Lighting - more stringent safety regulations</t>
  </si>
  <si>
    <t>%</t>
  </si>
  <si>
    <t>MVA0010-ST-0010-004-B</t>
  </si>
  <si>
    <t>MVA0010-ST-0990-004-B</t>
  </si>
  <si>
    <t>MHR0100-ST-0120-004-B</t>
  </si>
  <si>
    <t>FLU0130-ST-0010-004-B</t>
  </si>
  <si>
    <t>FLU0120-ST</t>
  </si>
  <si>
    <t>FLU0210-ST</t>
  </si>
  <si>
    <t>FLU0220-ST</t>
  </si>
  <si>
    <t>FLU0230-ST</t>
  </si>
  <si>
    <t>FLU0280-ST</t>
  </si>
  <si>
    <t>FLU0290-ST</t>
  </si>
  <si>
    <t>FLU0310-ST</t>
  </si>
  <si>
    <t>FLU0320-ST</t>
  </si>
  <si>
    <t>HPS0060-ST</t>
  </si>
  <si>
    <t>HPS0060-TA</t>
  </si>
  <si>
    <t>HPS0220-ST</t>
  </si>
  <si>
    <t>HPS0230-ST</t>
  </si>
  <si>
    <t>HPS0260-ST</t>
  </si>
  <si>
    <t>INC0060-ST</t>
  </si>
  <si>
    <t>INC0120-ST</t>
  </si>
  <si>
    <t>INC0150-ST</t>
  </si>
  <si>
    <t>INC0170-ST</t>
  </si>
  <si>
    <t>LPS0070-ST</t>
  </si>
  <si>
    <t>MHC0010-ST</t>
  </si>
  <si>
    <t>MHC0020-ST</t>
  </si>
  <si>
    <t>MHC0030-ST</t>
  </si>
  <si>
    <t>MHR0040-ST</t>
  </si>
  <si>
    <t>MHR0050-ST</t>
  </si>
  <si>
    <t>MHR0080-ST</t>
  </si>
  <si>
    <t>MHR0110-ST</t>
  </si>
  <si>
    <t>MHR0130-ST</t>
  </si>
  <si>
    <t>MVA0050-ST</t>
  </si>
  <si>
    <t>MVA0060-ST</t>
  </si>
  <si>
    <t>MVA0070-ST</t>
  </si>
  <si>
    <t>MVA0100-ST</t>
  </si>
  <si>
    <t>MVA0110-ST</t>
  </si>
  <si>
    <t>MVA0130-ST</t>
  </si>
  <si>
    <t>MVA0140-ST</t>
  </si>
  <si>
    <t>COMPACT FLUORESCENT 32W</t>
  </si>
  <si>
    <t>FLU0355-ST</t>
  </si>
  <si>
    <t>FLU0355</t>
  </si>
  <si>
    <t>Compact Fluorescent 1x32</t>
  </si>
  <si>
    <t>FLU0355-ST-1980-004-B</t>
  </si>
  <si>
    <t>FLU0355-ST-2060-004-B</t>
  </si>
  <si>
    <t>MVA0150-ST</t>
  </si>
  <si>
    <t>MVA0160-ST</t>
  </si>
  <si>
    <t>MVA0180-ST</t>
  </si>
  <si>
    <t>MVA0210-ST</t>
  </si>
  <si>
    <t>MVA0240-ST</t>
  </si>
  <si>
    <t>MVA0270-ST</t>
  </si>
  <si>
    <t>MVA0280-ST</t>
  </si>
  <si>
    <t>MVA0300-ST</t>
  </si>
  <si>
    <t>MVA0310-ST</t>
  </si>
  <si>
    <t>MVA0320-ST</t>
  </si>
  <si>
    <t>Plant Assumptions</t>
  </si>
  <si>
    <t>Traffic Control Assumptions</t>
  </si>
  <si>
    <t>Labour Rates</t>
  </si>
  <si>
    <t>Streetlight Patrol</t>
  </si>
  <si>
    <t>Number of staff for patrol</t>
  </si>
  <si>
    <t>Number of Patrols per year</t>
  </si>
  <si>
    <t>Streetlights per kiliometre</t>
  </si>
  <si>
    <t>Number of inspections per hour</t>
  </si>
  <si>
    <t>Labour Cost per lantern</t>
  </si>
  <si>
    <t>Plant Cost per lantern</t>
  </si>
  <si>
    <t>Ute / Van</t>
  </si>
  <si>
    <t>Calculations</t>
  </si>
  <si>
    <t>Spot Replacement Hours</t>
  </si>
  <si>
    <t>Bulk Replacement Hours</t>
  </si>
  <si>
    <t>CE Standard Labour Rate</t>
  </si>
  <si>
    <t>Spot Replacement Labour Cost</t>
  </si>
  <si>
    <t>Bulk Replacement Labour Cost</t>
  </si>
  <si>
    <t>Plant Material Type</t>
  </si>
  <si>
    <t>Hourly Rate</t>
  </si>
  <si>
    <t>EWP</t>
  </si>
  <si>
    <t>Incandescent lights require less traffic control. The traffic control figure for lights &lt; 150W figure has been used for all lamp codes.</t>
  </si>
  <si>
    <t>Lantern Watts (Nominal)</t>
  </si>
  <si>
    <t>Lamp Replacement Frequency Spot % (Manufacturer's Data expressed as a pecentage chance of failure for year)</t>
  </si>
  <si>
    <t>Ballast / Ignitor Replacement Frequency (Manufacturer's Data expressed as a pecentage chance of failure for year)</t>
  </si>
  <si>
    <t>Starter / PE Cell Replacement Frequency expressed as a pecentage chance of failure for year</t>
  </si>
  <si>
    <t>Bulk % (expressed as a pecentage chance of failure for year)</t>
  </si>
  <si>
    <t>Borer</t>
  </si>
  <si>
    <t>Ditchwitch</t>
  </si>
  <si>
    <t>Trailer/Jinker</t>
  </si>
  <si>
    <t>4 tonne truck</t>
  </si>
  <si>
    <t>Bulk Replacement Plant Hours</t>
  </si>
  <si>
    <t>Spot Replacement Plant Hours</t>
  </si>
  <si>
    <t>Assumptions</t>
  </si>
  <si>
    <t>Spot Replacement Labour and Plant Cost</t>
  </si>
  <si>
    <t>Number of Controllers Required</t>
  </si>
  <si>
    <t>Mapping Code</t>
  </si>
  <si>
    <t>Public Lighting Use of System Charges</t>
  </si>
  <si>
    <t>Tariff Code</t>
  </si>
  <si>
    <t>Equivalent Lantern for Capital Calculation</t>
  </si>
  <si>
    <t>Dedicated Pole</t>
  </si>
  <si>
    <t>Number of lights per Construction</t>
  </si>
  <si>
    <t>Dedicated Pole Type</t>
  </si>
  <si>
    <t>Number of lights</t>
  </si>
  <si>
    <t>MAINTENANCE COMPONENT</t>
  </si>
  <si>
    <t>HIGH PRESSURE SODIUM 50W TWIN ARC</t>
  </si>
  <si>
    <t>35W LOW PRESSURE SODIUM</t>
  </si>
  <si>
    <t>R/BOUT COLUMN</t>
  </si>
  <si>
    <t xml:space="preserve">MERCURY VAPOUR 400W </t>
  </si>
  <si>
    <t>SV 600W HIGH MAST</t>
  </si>
  <si>
    <t>METAL HALIDE 250W BOSTON 3</t>
  </si>
  <si>
    <t>HIGH PRESSURE SODIUM DECORATIVE 150W</t>
  </si>
  <si>
    <t>HIGH PRESSURE SODIUM DECORATIVE 250W (210/220)</t>
  </si>
  <si>
    <t>HIGH PRESSURE SODIUM 1X400 W POST TOP</t>
  </si>
  <si>
    <t>KENSINGTON 80 W</t>
  </si>
  <si>
    <t>NOSTALGIA 80 W</t>
  </si>
  <si>
    <t>REXEL OPTISPAN MINOR CFL57</t>
  </si>
  <si>
    <t>REXEL OPTISPAN MINOR 70 HPS</t>
  </si>
  <si>
    <t>Starter / PE Cell Cost</t>
  </si>
  <si>
    <t>Calculates the cost of maintenance for each lamp code.</t>
  </si>
  <si>
    <t>Provides costing data for other types of defined maintenance that has been carried out on Country Energy's streetlight network.</t>
  </si>
  <si>
    <t>Pole Maintenance Cost</t>
  </si>
  <si>
    <t>Paint work maintenance of decorative streetlights has not been modelled but this may be required in the future.</t>
  </si>
  <si>
    <t>Percentage of Poles &gt;= 12 years and hence requiring drill hoile and treatment (as determined from WASP)</t>
  </si>
  <si>
    <t>Pole Treatment Time (includes any travel)</t>
  </si>
  <si>
    <t>MVA0220-ST-0030-004-B</t>
  </si>
  <si>
    <t>MVA0220-ST-0210-004-B</t>
  </si>
  <si>
    <t>FLU0240-ST-0010-004-B</t>
  </si>
  <si>
    <t>HPS0010-TA-0170-004-B</t>
  </si>
  <si>
    <t>HPS0110-TA-0230-004-B</t>
  </si>
  <si>
    <t>HPS0170-ST-1130-004-B</t>
  </si>
  <si>
    <t>MHR0070-ST-0620-004-B</t>
  </si>
  <si>
    <t>MHR0010-ST-0040-004-B</t>
  </si>
  <si>
    <t>MHR0010-ST-0360-004-B</t>
  </si>
  <si>
    <t>HPS0120-ST-0860-004-B</t>
  </si>
  <si>
    <t>HPS0250-ST-1050-004-B</t>
  </si>
  <si>
    <t>HPS0020-ST-0040-004-B</t>
  </si>
  <si>
    <t>HPS0020-ST-0350-004-B</t>
  </si>
  <si>
    <t>HPS0020-ST-0360-004-B</t>
  </si>
  <si>
    <t>HPS0020-ST-0730-004-B</t>
  </si>
  <si>
    <t>HPS0020-ST-0880-004-B</t>
  </si>
  <si>
    <t>HPS0020-ST-0890-004-B</t>
  </si>
  <si>
    <t>HPS0020-ST-0910-004-B</t>
  </si>
  <si>
    <t>HPS0020-TA-0090-004-B</t>
  </si>
  <si>
    <t>HPS0020-TA-0140-004-B</t>
  </si>
  <si>
    <t>HPS0020-TA-0170-004-B</t>
  </si>
  <si>
    <t>HPS0090-ST-0050-004-B</t>
  </si>
  <si>
    <t>HPS0090-ST-0220-004-B</t>
  </si>
  <si>
    <t>HPS0090-ST-0310-004-B</t>
  </si>
  <si>
    <t>HPS0090-ST-0690-004-B</t>
  </si>
  <si>
    <t>HPS0090-ST-0710-004-B</t>
  </si>
  <si>
    <t>HPS0090-ST-0720-004-B</t>
  </si>
  <si>
    <t>HPS0090-ST-0980-004-B</t>
  </si>
  <si>
    <t>HPS0090-ST-1010-004-B</t>
  </si>
  <si>
    <t>HPS0090-ST-1360-004-B</t>
  </si>
  <si>
    <t>HPS0090-TA-0050-004-B</t>
  </si>
  <si>
    <t>HPS0110-ST-0060-004-B</t>
  </si>
  <si>
    <t>HPS0110-ST-0230-004-B</t>
  </si>
  <si>
    <t>HPS0110-ST-0320-004-B</t>
  </si>
  <si>
    <t>HPS0110-ST-0390-004-B</t>
  </si>
  <si>
    <t>HPS0110-ST-0430-004-B</t>
  </si>
  <si>
    <t>HPS0110-ST-0470-004-B</t>
  </si>
  <si>
    <t>HPS0110-ST-0550-004-B</t>
  </si>
  <si>
    <t>HPS0110-ST-0590-004-B</t>
  </si>
  <si>
    <t>HPS0110-ST-0610-004-B</t>
  </si>
  <si>
    <t>HPS0110-ST-0650-004-B</t>
  </si>
  <si>
    <t>HPS0110-ST-0760-004-B</t>
  </si>
  <si>
    <t>HPS0110-ST-0960-004-B</t>
  </si>
  <si>
    <t>HPS0110-ST-0970-004-B</t>
  </si>
  <si>
    <t>HPS0110-ST-1070-004-B</t>
  </si>
  <si>
    <t>HPS0110-ST-1120-004-B</t>
  </si>
  <si>
    <t>HPS0110-ST-1380-004-B</t>
  </si>
  <si>
    <t>HPS0110-ST-1450-004-B</t>
  </si>
  <si>
    <t>HPS0110-TA-0060-004-B</t>
  </si>
  <si>
    <t>HPS0110-TA-0320-004-B</t>
  </si>
  <si>
    <t>HPS0110-TA-0590-004-B</t>
  </si>
  <si>
    <t>HPS0170-ST-0070-004-B</t>
  </si>
  <si>
    <t>HPS0170-ST-0240-004-B</t>
  </si>
  <si>
    <t>HPS0170-ST-0270-004-B</t>
  </si>
  <si>
    <t>HPS0170-ST-0330-004-B</t>
  </si>
  <si>
    <t>HPS0170-ST-0400-004-B</t>
  </si>
  <si>
    <t>HPS0170-ST-0440-004-B</t>
  </si>
  <si>
    <t>HPS0170-ST-0480-004-B</t>
  </si>
  <si>
    <t>HPS0170-ST-0560-004-B</t>
  </si>
  <si>
    <t>HPS0170-ST-0600-004-B</t>
  </si>
  <si>
    <t>HPS0170-ST-0620-004-B</t>
  </si>
  <si>
    <t>HPS0170-ST-0660-004-B</t>
  </si>
  <si>
    <t>HPS0170-ST-0900-004-B</t>
  </si>
  <si>
    <t>HPS0170-ST-1030-004-B</t>
  </si>
  <si>
    <t>HPS0170-ST-1170-004-B</t>
  </si>
  <si>
    <t>MHR0060-ST-0060-004-B</t>
  </si>
  <si>
    <t>MHR0060-ST-0320-004-B</t>
  </si>
  <si>
    <t>MHR0060-ST-0390-004-B</t>
  </si>
  <si>
    <t>MHR0060-ST-0610-004-B</t>
  </si>
  <si>
    <t>MVA0020-ST-0740-004-B</t>
  </si>
  <si>
    <t>MVA0020-ST-0810-004-B</t>
  </si>
  <si>
    <t>MVA0020-ST-0990-004-B</t>
  </si>
  <si>
    <t>MVA0020-ST-1000-004-B</t>
  </si>
  <si>
    <t>MVA0190-ST-0020-004-B</t>
  </si>
  <si>
    <t>MVA0190-ST-0200-004-B</t>
  </si>
  <si>
    <t>MVA0190-ST-0290-004-B</t>
  </si>
  <si>
    <t>FLU0350-ST-1620-004-B</t>
  </si>
  <si>
    <t>FLU0350-ST-1630-004-B</t>
  </si>
  <si>
    <t>FLU0350-ST-1640-004-B</t>
  </si>
  <si>
    <t>FLU0350-ST-1650-004-B</t>
  </si>
  <si>
    <t>FLU0350-ST-1660-004-B</t>
  </si>
  <si>
    <t>FLU0350-ST-1670-004-B</t>
  </si>
  <si>
    <t>FLU0350-ST-1700-004-B</t>
  </si>
  <si>
    <t>FLU0350-ST-1710-004-B</t>
  </si>
  <si>
    <t>FLU0350-ST-1720-004-B</t>
  </si>
  <si>
    <t>FLU0350-ST-1730-004-B</t>
  </si>
  <si>
    <t>Lamp On-costed</t>
  </si>
  <si>
    <t>Ballast / Igniter On-costed</t>
  </si>
  <si>
    <t>Starter / PE Cell On-Costed</t>
  </si>
  <si>
    <t>Maintenance Related Stock Items</t>
  </si>
  <si>
    <t>These are for Nema based PE cells.The lamp cost is a weighted average from the field service centres of Grafton, Wagga Wagga and Dubbo.</t>
  </si>
  <si>
    <t>Labour Escatator</t>
  </si>
  <si>
    <t>Weighted Average Unit Component Cost (with on-costing) inflated to 08/09 dollars</t>
  </si>
  <si>
    <t>MVA0040-ST</t>
  </si>
  <si>
    <t>Equivalent / Replacement Construction</t>
  </si>
  <si>
    <t>Lamp Stock</t>
  </si>
  <si>
    <t xml:space="preserve">Note : </t>
  </si>
  <si>
    <t>Fluoro lanterns have Starters, not PE Cells. Costs for ballasts for HPS0210 are not available as they don’t exist in the catalogue inventory. As such, previous data has been used from original spreadsheets created by Allen Philp</t>
  </si>
  <si>
    <t>High Pressure Sodium lamps use an igniter. Other lamps use Ballasts. All costs relate to external igniters.</t>
  </si>
  <si>
    <t>Contains costs for lamps, Balllasts / Igniters and Starters / PE Cells for a subset of lamp types.</t>
  </si>
  <si>
    <t>Bulk Replacement Frequency (Years)</t>
  </si>
  <si>
    <t>Screw 12G X 40mm Tek H/H (pack)</t>
  </si>
  <si>
    <t>131185</t>
  </si>
  <si>
    <t>Spigot Adaptor 50mm to 32mm Pedestrian</t>
  </si>
  <si>
    <t>60030275</t>
  </si>
  <si>
    <t>Outreach Galv 2X1.5 Mtr S/L</t>
  </si>
  <si>
    <t>64060250</t>
  </si>
  <si>
    <t>Gear Tray  250W S0N GEC PARKWAY</t>
  </si>
  <si>
    <t>64065020</t>
  </si>
  <si>
    <t>Diffuser Suit Sylvania B3000 Lantern</t>
  </si>
  <si>
    <t>This sheet determines a provision to apply to each lamp code for other types of maintenance. 
For the types of stock related to maintenance of streetlights, usage data has been gathered.
A weighted average is then determined to arrive at a provision to take.</t>
  </si>
  <si>
    <t>Streetlight Usage Data (Maintenance)</t>
  </si>
  <si>
    <t>Item Number</t>
  </si>
  <si>
    <t>Unit Cost</t>
  </si>
  <si>
    <t>Cost</t>
  </si>
  <si>
    <t>Date of Extraction : 11/04/2008 data from Peoplesoft for stores issued to Street lighting maintenance projects (project types 11600 and 11601) for the 12 month period ending 31/03/2008</t>
  </si>
  <si>
    <r>
      <t>Note :</t>
    </r>
    <r>
      <rPr>
        <sz val="8"/>
        <rFont val="Arial"/>
        <family val="2"/>
      </rPr>
      <t xml:space="preserve"> This usage data is gathered for the 12 months ending 31/03/2008. Lamp, PE cell, ballast and ignitor stocks are not considered as they have already been considered in Maintenance Costs sheet.</t>
    </r>
  </si>
  <si>
    <t>as per Street light management plan CEPG1023</t>
  </si>
  <si>
    <t>Number of Components</t>
  </si>
  <si>
    <t>For each</t>
  </si>
  <si>
    <t>maintenance visits, one component is used</t>
  </si>
  <si>
    <t>Other Maintenance Provision</t>
  </si>
  <si>
    <t>Puiblic Lighting Charges</t>
  </si>
  <si>
    <t>Contains the SLUOS Tariff for all defined tariff codes.</t>
  </si>
  <si>
    <t>Percentage of Installations Requiring Traffic Control : Spot Replacement, &lt; 150W)</t>
  </si>
  <si>
    <t>Percentage of Installations Requiring Traffic Control : Bulk Replacement, &lt; 150W)</t>
  </si>
  <si>
    <t>Percentage of Installations Requiring Traffic Control : Spot Replacement, &gt;= 150W)</t>
  </si>
  <si>
    <t>Percentage of Installations Requiring Traffic Control : Bulk Replacement, &gt;= 150W)</t>
  </si>
  <si>
    <t>Description</t>
  </si>
  <si>
    <t>A description of each of the sheets is contained below:</t>
  </si>
  <si>
    <t>Worksheet</t>
  </si>
  <si>
    <t>Function</t>
  </si>
  <si>
    <t xml:space="preserve">For each lantern type, defines the different types of equivalent constructions and their capital codes. </t>
  </si>
  <si>
    <t>Tariff Schedule Lookup Table</t>
  </si>
  <si>
    <t>SLUOS Charge Calculation Workbook</t>
  </si>
  <si>
    <t>Date of Creation</t>
  </si>
  <si>
    <t>Lamp Code</t>
  </si>
  <si>
    <t>Nominal Rating</t>
  </si>
  <si>
    <t>Total Watts</t>
  </si>
  <si>
    <t>NO CAPITAL</t>
  </si>
  <si>
    <t>SHARED OR NO POLE</t>
  </si>
  <si>
    <t>WOOD POLE</t>
  </si>
  <si>
    <t>STEEL POLE</t>
  </si>
  <si>
    <t>MERCURY VAPOUR 80W</t>
  </si>
  <si>
    <t>Fluorescent 9</t>
  </si>
  <si>
    <t>Fluorescent 11</t>
  </si>
  <si>
    <t>Fluorescent 13</t>
  </si>
  <si>
    <t>Fluorescent 15</t>
  </si>
  <si>
    <t>Fluorescent 20</t>
  </si>
  <si>
    <t>Fluorescent Twin 20</t>
  </si>
  <si>
    <t>Fluorescent 3x20</t>
  </si>
  <si>
    <t>Fluorescent 4x20</t>
  </si>
  <si>
    <t>Fluorescent 26</t>
  </si>
  <si>
    <t>2x26</t>
  </si>
  <si>
    <t>Fluorescent 2x26</t>
  </si>
  <si>
    <t>Fluorescent 40</t>
  </si>
  <si>
    <t>Fluorescent 2x40</t>
  </si>
  <si>
    <t>Fluorescent 3x40</t>
  </si>
  <si>
    <t>Fluorescent 4x40</t>
  </si>
  <si>
    <t>6x40</t>
  </si>
  <si>
    <t>Fluorescent 6x40</t>
  </si>
  <si>
    <t>Fluorescent 58</t>
  </si>
  <si>
    <t>2x58</t>
  </si>
  <si>
    <t>Fluorescent 2x58</t>
  </si>
  <si>
    <t>4x58</t>
  </si>
  <si>
    <t>Fluorescent 4x58</t>
  </si>
  <si>
    <t>Fluorescent 80</t>
  </si>
  <si>
    <t>Fluorescent 2x80</t>
  </si>
  <si>
    <t>Fluorescent 3x80</t>
  </si>
  <si>
    <t>2x125</t>
  </si>
  <si>
    <t>Fluorescent 2x125</t>
  </si>
  <si>
    <t>HIGH PRESSURE SODIUM 70W (100)</t>
  </si>
  <si>
    <t>High Pressure Sodium 50</t>
  </si>
  <si>
    <t>HIGH PRESSURE SODIUM 70W TWIN ARC</t>
  </si>
  <si>
    <t>High Pressure Sodium 70</t>
  </si>
  <si>
    <t>High Pressure Sodium 100</t>
  </si>
  <si>
    <t>HIGH PRESSURE SODIUM 150W</t>
  </si>
  <si>
    <t>High Pressure Sodium 120</t>
  </si>
  <si>
    <t>High Pressure Sodium 150</t>
  </si>
  <si>
    <t>HIGH PRESSURE SODIUM 250W (210/220)</t>
  </si>
  <si>
    <t>High Pressure Sodium 220</t>
  </si>
  <si>
    <t>METAL HALIDE/HPS 250W FLOOD (210/220)</t>
  </si>
  <si>
    <t>High Pressure Sodium 250</t>
  </si>
  <si>
    <t>HIGH PRESSURE SODIUM 2X250 W OR 2X400 W FLOOD</t>
  </si>
  <si>
    <t>2x250</t>
  </si>
  <si>
    <t>High Pressure Sodium 2x250</t>
  </si>
  <si>
    <t>HIGH PRESSURE SODIUM 400W (310/360)</t>
  </si>
  <si>
    <t>310 (Retrofit)</t>
  </si>
  <si>
    <t>High Pressure Sodium 310 (Retrofit)</t>
  </si>
  <si>
    <t>High Pressure Sodium 360</t>
  </si>
  <si>
    <t>METAL HALIDE/HPS 400W FLOOD (310/360)</t>
  </si>
  <si>
    <t>High Pressure Sodium 400</t>
  </si>
  <si>
    <t>High Pressure Sodium 2x400</t>
  </si>
  <si>
    <t>HIGH PRESSURE SODIUM 3X400 W POST TOP</t>
  </si>
  <si>
    <t>High Pressure Sodium 3x400</t>
  </si>
  <si>
    <t>HIGH PRESSURE SODIUM 600W HIGH MAST</t>
  </si>
  <si>
    <t>High Pressure Sodium 600 (Internal Ignitor)</t>
  </si>
  <si>
    <t xml:space="preserve">METAL HALIDE 1000W FLOODLIGHT </t>
  </si>
  <si>
    <t>High Pressure Sodium 1000</t>
  </si>
  <si>
    <t>Incandescent 30</t>
  </si>
  <si>
    <t>Incandescent 40</t>
  </si>
  <si>
    <t>Incandescent 60</t>
  </si>
  <si>
    <t>Incandescent 75</t>
  </si>
  <si>
    <t>Incandescent 100</t>
  </si>
  <si>
    <t>Incandescent 130</t>
  </si>
  <si>
    <t>Incandescent 150</t>
  </si>
  <si>
    <t>Incandescent 200</t>
  </si>
  <si>
    <t>Incandescent 300</t>
  </si>
  <si>
    <t>BULKHEADS ETC</t>
  </si>
  <si>
    <t>Incandescent 500</t>
  </si>
  <si>
    <t>Incandescent 800</t>
  </si>
  <si>
    <t>Incandescent 1000</t>
  </si>
  <si>
    <t>Incandescent 1500</t>
  </si>
  <si>
    <t>Low Pressure Sodium 18</t>
  </si>
  <si>
    <t>Low Pressure Sodium 35</t>
  </si>
  <si>
    <t>Low Pressure Sodium 55</t>
  </si>
  <si>
    <t>Low Pressure Sodium 90/100</t>
  </si>
  <si>
    <t>Low Pressure Sodium 135</t>
  </si>
  <si>
    <t>Low Pressure Sodium 150</t>
  </si>
  <si>
    <t>Low Pressure Sodium 180</t>
  </si>
  <si>
    <t>Low Pressure Sodium 310</t>
  </si>
  <si>
    <t>Metal Hallide (Reactor Control Gear) 70</t>
  </si>
  <si>
    <t>Metal Hallide (Reactor Control Gear) 100</t>
  </si>
  <si>
    <t>Metal Hallide (Reactor Control Gear) 150</t>
  </si>
  <si>
    <t>Metal Hallide (Reactor Control Gear) 250</t>
  </si>
  <si>
    <t>Metal Hallide (Reactor Control Gear) 400</t>
  </si>
  <si>
    <t>Metal Hallide (Reactor Control Gear) 500</t>
  </si>
  <si>
    <t>Metal Hallide (Reactor Control Gear) 1000</t>
  </si>
  <si>
    <t>Mercury Vapour 50</t>
  </si>
  <si>
    <t>Mercury Vapour 80</t>
  </si>
  <si>
    <t>Mercury Vapour 125</t>
  </si>
  <si>
    <t>Mercury Vapour 160</t>
  </si>
  <si>
    <t xml:space="preserve">MERCURY VAPOUR 250W </t>
  </si>
  <si>
    <t>Mercury Vapour 175</t>
  </si>
  <si>
    <t>Mercury Vapour 250</t>
  </si>
  <si>
    <t>MERCURY VAPOUR 400W</t>
  </si>
  <si>
    <t>Mercury Vapour 400</t>
  </si>
  <si>
    <t>Mercury Vapour 500</t>
  </si>
  <si>
    <t>Mercury Vapour 700</t>
  </si>
  <si>
    <t>Mercury Vapour 1000</t>
  </si>
  <si>
    <t>July - August, 2007</t>
  </si>
  <si>
    <t>Twin 20</t>
  </si>
  <si>
    <t>3x20</t>
  </si>
  <si>
    <t>4x20</t>
  </si>
  <si>
    <t>Fluorescent 6x20</t>
  </si>
  <si>
    <t>6x20</t>
  </si>
  <si>
    <t>Fluorescent 6x36</t>
  </si>
  <si>
    <t>6x36</t>
  </si>
  <si>
    <t>2x40</t>
  </si>
  <si>
    <t>3x40</t>
  </si>
  <si>
    <t>4x40</t>
  </si>
  <si>
    <t>Fluorescent 5x58</t>
  </si>
  <si>
    <t>5x58</t>
  </si>
  <si>
    <t>Fluorescent 65</t>
  </si>
  <si>
    <t>Fluorescent 5x65</t>
  </si>
  <si>
    <t>5x65</t>
  </si>
  <si>
    <t>2x80</t>
  </si>
  <si>
    <t>3x80</t>
  </si>
  <si>
    <t>Fluorescent 4x80</t>
  </si>
  <si>
    <t>4x80</t>
  </si>
  <si>
    <t>Fluorescent 5x80</t>
  </si>
  <si>
    <t>5x80</t>
  </si>
  <si>
    <t>Fluorescent 6x80</t>
  </si>
  <si>
    <t>6x80</t>
  </si>
  <si>
    <t>Fluorescent 176</t>
  </si>
  <si>
    <t>Fluorescent 236</t>
  </si>
  <si>
    <t>High Pressure Sodium 2x70</t>
  </si>
  <si>
    <t>2x70</t>
  </si>
  <si>
    <t>High Pressure Sodium 3x70</t>
  </si>
  <si>
    <t>3x70</t>
  </si>
  <si>
    <t>High Pressure Sodium 4x70</t>
  </si>
  <si>
    <t>4x70</t>
  </si>
  <si>
    <t>High Pressure Sodium 8x70</t>
  </si>
  <si>
    <t>8x70</t>
  </si>
  <si>
    <t>High Pressure Sodium 4x250</t>
  </si>
  <si>
    <t>4x250</t>
  </si>
  <si>
    <t>High Pressure Sodium 2x310</t>
  </si>
  <si>
    <t>2x310</t>
  </si>
  <si>
    <t>2x400</t>
  </si>
  <si>
    <t>3x400</t>
  </si>
  <si>
    <t>High Pressure Sodium 4x400</t>
  </si>
  <si>
    <t>4x400</t>
  </si>
  <si>
    <t>600 (Internal Ignitor)</t>
  </si>
  <si>
    <t>For Streetlight patrols in a bulk maintenance regime, 1 patrol is incorporated as part of the actual replacement procedure.</t>
  </si>
  <si>
    <t>101878</t>
  </si>
  <si>
    <t>Coachscrew M20 X 130mm Galv</t>
  </si>
  <si>
    <t>HPS0090-TA-0310-004-B</t>
  </si>
  <si>
    <t>HPS0110-ST-1160-004-B</t>
  </si>
  <si>
    <t>HPS0190-ST-1470-004-B</t>
  </si>
  <si>
    <t>MVA0190-ST-0570-004-B</t>
  </si>
  <si>
    <t>HPS0010-TA-0090-004-B</t>
  </si>
  <si>
    <t>HPS0010-TA-0140-004-B</t>
  </si>
  <si>
    <t>MHR0070-ST-0060-004-B</t>
  </si>
  <si>
    <t>MHR0070-ST-0320-004-B</t>
  </si>
  <si>
    <t>MHR0070-ST-1170-004-B</t>
  </si>
  <si>
    <t>14-15 inflator</t>
  </si>
  <si>
    <t>15-16 inflator</t>
  </si>
  <si>
    <t>16-17 inflator</t>
  </si>
  <si>
    <t>17-18 inflator</t>
  </si>
  <si>
    <t>18-19 inflator</t>
  </si>
  <si>
    <t>Old</t>
  </si>
  <si>
    <t>Not longer  a valid stock item</t>
  </si>
  <si>
    <t>old</t>
  </si>
  <si>
    <t>Note : The count of Lamps in WASP column should be examined by the reader to determine the list of lampo codes that 
Essential Energy currently has in its network.</t>
  </si>
  <si>
    <t>These prices are for the Starters that are required for these Fluro lights, not for PE cells themselves. Essential Energy's existing fluoresecent lights are controlled by Control wires and therefore no PE cell is required.</t>
  </si>
  <si>
    <t>Updated</t>
  </si>
  <si>
    <t>April - May, 2014</t>
  </si>
  <si>
    <t>This Excel workbook defines the procedure by which Streetlight Use of System (SLUOS) Charges (both Capital and Maintenance charges) are calculated for Country Energy. Using documented assumptions based on Country Energy's network and business practices, SLUOS Charges for the various streetlight types are determined. The outputs of this spreadsheet (the capital and maintenance charges) are used in preparation of the yearly streetlight tariff proposal.
The spreadsheet is linked with the SLUOS Construction Charge Calculation Model.
Note that all cells marked with aqua colour are cells available for data input. The data entered into these cells has an effect on the final capital and maintenance costs.</t>
  </si>
  <si>
    <t>This spreadsheet contains two types of lookup data:
1. The National Electricity Market Load Tables for Unmetered Connection Points. The lamp codes are generated by Essential Energy, not NEMMCO
2. The Mapping of  constructions to unique capital codes.</t>
  </si>
  <si>
    <t>This table records the cost of lamps, ballast / igniters and PE Cells for different types of lanterns.
The lamp types are taken from WASP and the prices are taken from stores and are average prices
across the different Depots.</t>
  </si>
  <si>
    <t>Updated  Stock from Stock Prices 9.1.14 Russel Green</t>
  </si>
  <si>
    <t>Count of Lamps in WASP (as of 16-04-2014)</t>
  </si>
  <si>
    <t>EWP Cost</t>
  </si>
  <si>
    <t>Annual Running Cost EWP</t>
  </si>
  <si>
    <t>Utilisation Factor</t>
  </si>
  <si>
    <t>2013/14</t>
  </si>
  <si>
    <t>2014/15</t>
  </si>
  <si>
    <t>2015/16</t>
  </si>
  <si>
    <t>2016/17</t>
  </si>
  <si>
    <t>2017/18</t>
  </si>
  <si>
    <t>2018/19</t>
  </si>
  <si>
    <t>Overheads</t>
  </si>
  <si>
    <t>Divisional</t>
  </si>
  <si>
    <t>Corporate</t>
  </si>
  <si>
    <t>On-Cost Rates</t>
  </si>
  <si>
    <t>Materials On-Cost Rate</t>
  </si>
  <si>
    <t>Fleet Charges</t>
  </si>
  <si>
    <t>Contractor Rate</t>
  </si>
  <si>
    <t>UAM</t>
  </si>
  <si>
    <t>R5 Lineworker 5 Paypoint 19</t>
  </si>
  <si>
    <t>Material costs have been inflated to 2013-14 dollars</t>
  </si>
  <si>
    <t>applied to stores issues</t>
  </si>
  <si>
    <t>applied to normal hours internal labour</t>
  </si>
  <si>
    <t>Bulk Lamp Maintenance rate per average luminaire</t>
  </si>
  <si>
    <t>Total Number of Dedicated wood streetlight poles as determined from WASP (April 2014)</t>
  </si>
  <si>
    <t>Total Number of Dedicated steel streetlight poles as determined from WASP(April 2014)</t>
  </si>
  <si>
    <t>Labour Ordinary On-Cost Rate</t>
  </si>
  <si>
    <t>Light Fleet rate (per hour)</t>
  </si>
  <si>
    <t>EWP Rate (per hour)</t>
  </si>
  <si>
    <t>Annual Available Time EWP</t>
  </si>
  <si>
    <t>Real $2013/14 All rates exclude corporate and divisional overheads</t>
  </si>
  <si>
    <t>man hours</t>
  </si>
  <si>
    <t>Based on 63 bulk replacements per day</t>
  </si>
  <si>
    <t>Number of Lights maintained per 4 hour stint (bulk)</t>
  </si>
  <si>
    <r>
      <t xml:space="preserve">CE Standard Labour Rate </t>
    </r>
    <r>
      <rPr>
        <sz val="8"/>
        <color indexed="30"/>
        <rFont val="Arial"/>
        <family val="2"/>
      </rPr>
      <t>(oncosted)</t>
    </r>
  </si>
  <si>
    <r>
      <t xml:space="preserve">Pole Inspection and Treatment Labour Rate </t>
    </r>
    <r>
      <rPr>
        <sz val="8"/>
        <color indexed="30"/>
        <rFont val="Arial"/>
        <family val="2"/>
      </rPr>
      <t>(oncosted)</t>
    </r>
  </si>
  <si>
    <r>
      <t xml:space="preserve">Pole Treatment Cost </t>
    </r>
    <r>
      <rPr>
        <sz val="8"/>
        <color indexed="30"/>
        <rFont val="Arial"/>
        <family val="2"/>
      </rPr>
      <t>(oncosted)</t>
    </r>
  </si>
  <si>
    <t>Annual Pole Maintenance Costs</t>
  </si>
  <si>
    <t>Input Data</t>
  </si>
  <si>
    <t>Input data</t>
  </si>
  <si>
    <t>The input data tab provides an input sheet for each of the financial labour rates, On-Cost, Overhead rates, Fleet Charges, Contractor rates , traffic control, and night patrolls that have been used in this model.</t>
  </si>
  <si>
    <t>Traffic Control Assumptions - Bulk</t>
  </si>
  <si>
    <t>Base Traffic Control Cost per light</t>
  </si>
  <si>
    <t>&gt;150W</t>
  </si>
  <si>
    <t>No</t>
  </si>
  <si>
    <t>Yes</t>
  </si>
  <si>
    <t>MAINT SPOT COST PER YEAR PER STREET LIGHT</t>
  </si>
  <si>
    <t>MAINT BULK COST PER YEAR PER STREET LIGHT</t>
  </si>
  <si>
    <t>Other repairs</t>
  </si>
  <si>
    <t>Streetlight patrols</t>
  </si>
  <si>
    <t>SLUOS Spot</t>
  </si>
  <si>
    <t>SLUOS Bulk</t>
  </si>
  <si>
    <t>Total maintenace excluding Corp &amp; Div OVH $2013-14</t>
  </si>
  <si>
    <t>13-14</t>
  </si>
  <si>
    <t>Inflation Index weight 60%</t>
  </si>
  <si>
    <t>Labour Index weight 40%</t>
  </si>
  <si>
    <t>Total uplift</t>
  </si>
  <si>
    <t>Factor</t>
  </si>
  <si>
    <t>Spot Replacement Percentage per annum under bulk lamp regime</t>
  </si>
  <si>
    <t>HPS ST</t>
  </si>
  <si>
    <t>HPS TA</t>
  </si>
  <si>
    <t>See Mobilisation_Demobilisation_Work and travel times model .xlsx</t>
  </si>
  <si>
    <t>Hourly Rate for Controller (UAM)</t>
  </si>
  <si>
    <t>Traffic Control, Labour &amp; Plant</t>
  </si>
  <si>
    <t>Lamp type</t>
  </si>
  <si>
    <t>Based on 20 spot replacements per day</t>
  </si>
  <si>
    <t xml:space="preserve">Hourly Rate for Controller </t>
  </si>
  <si>
    <t xml:space="preserve">This table is used for lookup in the public lighting charges tab to determine if a pole maintenance charge needs to be applied </t>
  </si>
  <si>
    <t xml:space="preserve">Lamp </t>
  </si>
  <si>
    <t>Fault &amp; Emergency</t>
  </si>
  <si>
    <t>Total Annual costs</t>
  </si>
  <si>
    <t>Source: Streetlight asset management plan 2012-2019 (CEOM8018.14 May 2014)</t>
  </si>
  <si>
    <t>Total Streetlights</t>
  </si>
  <si>
    <t>Rate per streetlight</t>
  </si>
  <si>
    <t>Cognos streetlight report April 2014</t>
  </si>
  <si>
    <t>Starter / PE Cell Cost/ Ballast</t>
  </si>
  <si>
    <t>2013-2014$</t>
  </si>
  <si>
    <t>No Escalators or CPI</t>
  </si>
  <si>
    <t>No Corporate or Divisional Overheads</t>
  </si>
  <si>
    <t>FLU0010-ST-0001-006-B</t>
  </si>
  <si>
    <t>FLU0010-ST-0010-002-B</t>
  </si>
  <si>
    <t>FLU0010-ST-0990-001-B</t>
  </si>
  <si>
    <t>FLU0010-ST-0990-002-B</t>
  </si>
  <si>
    <t>FLU0040-ST-0001-006-B</t>
  </si>
  <si>
    <t>FLU0040-ST-0010-002-B</t>
  </si>
  <si>
    <t>FLU0050-ST-0001-006-B</t>
  </si>
  <si>
    <t>FLU0050-ST-0010-001-B</t>
  </si>
  <si>
    <t>FLU0050-ST-0010-002-B</t>
  </si>
  <si>
    <t>FLU0050-ST-0740-001-B</t>
  </si>
  <si>
    <t>FLU0050-ST-0990-002-B</t>
  </si>
  <si>
    <t>FLU0060-ST-0001-006-B</t>
  </si>
  <si>
    <t>FLU0060-ST-0010-001-B</t>
  </si>
  <si>
    <t>FLU0060-ST-0010-002-B</t>
  </si>
  <si>
    <t>FLU0060-ST-0740-002-B</t>
  </si>
  <si>
    <t>FLU0060-ST-0810-001-B</t>
  </si>
  <si>
    <t>FLU0060-ST-0810-002-B</t>
  </si>
  <si>
    <t>FLU0060-ST-0830-002-B</t>
  </si>
  <si>
    <t>FLU0060-ST-0990-001-B</t>
  </si>
  <si>
    <t>FLU0060-ST-0990-002-B</t>
  </si>
  <si>
    <t>FLU0060-ST-1000-002-B</t>
  </si>
  <si>
    <t>FLU0070-ST-0010-002-B</t>
  </si>
  <si>
    <t>FLU0080-ST-0001-006-B</t>
  </si>
  <si>
    <t>FLU0080-ST-0010-001-B</t>
  </si>
  <si>
    <t>FLU0080-ST-0010-002-B</t>
  </si>
  <si>
    <t>FLU0080-ST-0990-002-B</t>
  </si>
  <si>
    <t>FLU0100-ST-0001-006-B</t>
  </si>
  <si>
    <t>FLU0100-ST-0010-001-B</t>
  </si>
  <si>
    <t>FLU0100-ST-0010-002-B</t>
  </si>
  <si>
    <t>FLU0100-ST-0990-002-B</t>
  </si>
  <si>
    <t>FLU0100-ST-1000-002-B</t>
  </si>
  <si>
    <t>FLU0130-ST-0001-006-B</t>
  </si>
  <si>
    <t>FLU0130-ST-0010-001-B</t>
  </si>
  <si>
    <t>FLU0130-ST-0010-002-B</t>
  </si>
  <si>
    <t>FLU0130-ST-0740-001-B</t>
  </si>
  <si>
    <t>FLU0130-ST-0740-002-B</t>
  </si>
  <si>
    <t>FLU0130-ST-0810-001-B</t>
  </si>
  <si>
    <t>FLU0130-ST-0810-002-B</t>
  </si>
  <si>
    <t>FLU0130-ST-0990-001-B</t>
  </si>
  <si>
    <t>FLU0130-ST-0990-002-B</t>
  </si>
  <si>
    <t>FLU0130-ST-1000-001-B</t>
  </si>
  <si>
    <t>FLU0130-ST-1000-002-B</t>
  </si>
  <si>
    <t>FLU0140-ST-0001-006-B</t>
  </si>
  <si>
    <t>FLU0140-ST-0010-001-B</t>
  </si>
  <si>
    <t>FLU0140-ST-0010-002-B</t>
  </si>
  <si>
    <t>FLU0140-ST-0740-002-B</t>
  </si>
  <si>
    <t>FLU0140-ST-0810-001-B</t>
  </si>
  <si>
    <t>FLU0140-ST-0830-002-B</t>
  </si>
  <si>
    <t>FLU0140-ST-0990-002-B</t>
  </si>
  <si>
    <t>FLU0140-ST-1260-002-B</t>
  </si>
  <si>
    <t>FLU0190-ST-0010-001-B</t>
  </si>
  <si>
    <t>FLU0220-ST-0990-002-B</t>
  </si>
  <si>
    <t>FLU0240-ST-0001-006-B</t>
  </si>
  <si>
    <t>FLU0240-ST-0010-001-B</t>
  </si>
  <si>
    <t>FLU0240-ST-0010-002-B</t>
  </si>
  <si>
    <t>FLU0240-ST-0810-002-B</t>
  </si>
  <si>
    <t>FLU0240-ST-0990-002-B</t>
  </si>
  <si>
    <t>FLU0250-ST-0010-002-B</t>
  </si>
  <si>
    <t>FLU0350-ST-0001-006-B</t>
  </si>
  <si>
    <t>FLU0350-ST-1620-001-B</t>
  </si>
  <si>
    <t>FLU0350-ST-1620-002-B</t>
  </si>
  <si>
    <t>FLU0350-ST-1620-003-B</t>
  </si>
  <si>
    <t>FLU0350-ST-1620-005-B</t>
  </si>
  <si>
    <t>FLU0350-ST-1630-003-B</t>
  </si>
  <si>
    <t>FLU0350-ST-1660-002-B</t>
  </si>
  <si>
    <t>FLU0350-ST-1660-003-B</t>
  </si>
  <si>
    <t>FLU0350-ST-1670-003-B</t>
  </si>
  <si>
    <t>FLU0350-ST-1700-002-B</t>
  </si>
  <si>
    <t>FLU0350-ST-1700-003-B</t>
  </si>
  <si>
    <t>FLU0350-ST-1710-003-B</t>
  </si>
  <si>
    <t>FLU0355-ST-1980-003-B</t>
  </si>
  <si>
    <t>FLU0355-ST-2060-003-B</t>
  </si>
  <si>
    <t>HPS0010-ST-0001-006-B</t>
  </si>
  <si>
    <t>HPS0010-ST-0040-001-B</t>
  </si>
  <si>
    <t>HPS0010-ST-0040-002-B</t>
  </si>
  <si>
    <t>HPS0010-ST-0350-002-B</t>
  </si>
  <si>
    <t>HPS0010-ST-0360-001-B</t>
  </si>
  <si>
    <t>HPS0010-ST-0360-002-B</t>
  </si>
  <si>
    <t>HPS0010-ST-0890-002-B</t>
  </si>
  <si>
    <t>HPS0010-ST-0910-002-B</t>
  </si>
  <si>
    <t>HPS0010-TA-0090-001-B</t>
  </si>
  <si>
    <t>HPS0010-TA-0090-002-B</t>
  </si>
  <si>
    <t>HPS0010-TA-0090-003-B</t>
  </si>
  <si>
    <t>HPS0010-TA-0140-001-B</t>
  </si>
  <si>
    <t>HPS0010-TA-0140-002-B</t>
  </si>
  <si>
    <t>HPS0010-TA-0140-003-B</t>
  </si>
  <si>
    <t>HPS0010-TA-0170-001-B</t>
  </si>
  <si>
    <t>HPS0010-TA-0170-002-B</t>
  </si>
  <si>
    <t>HPS0010-TA-0170-003-B</t>
  </si>
  <si>
    <t>HPS0010-TA-1210-001-B</t>
  </si>
  <si>
    <t>HPS0020-ST-0001-006-B</t>
  </si>
  <si>
    <t>HPS0020-ST-0040-001-B</t>
  </si>
  <si>
    <t>HPS0020-ST-0040-002-B</t>
  </si>
  <si>
    <t>HPS0020-ST-0040-003-B</t>
  </si>
  <si>
    <t>HPS0020-ST-0040-005-B</t>
  </si>
  <si>
    <t>HPS0020-ST-0350-001-B</t>
  </si>
  <si>
    <t>HPS0020-ST-0350-002-B</t>
  </si>
  <si>
    <t>HPS0020-ST-0350-003-B</t>
  </si>
  <si>
    <t>HPS0020-ST-0350-005-B</t>
  </si>
  <si>
    <t>HPS0020-ST-0360-001-B</t>
  </si>
  <si>
    <t>HPS0020-ST-0360-002-B</t>
  </si>
  <si>
    <t>HPS0020-ST-0360-003-B</t>
  </si>
  <si>
    <t>HPS0020-ST-0360-005-B</t>
  </si>
  <si>
    <t>HPS0020-ST-0730-001-B</t>
  </si>
  <si>
    <t>HPS0020-ST-0730-002-B</t>
  </si>
  <si>
    <t>HPS0020-ST-0730-003-B</t>
  </si>
  <si>
    <t>HPS0020-ST-0730-005-B</t>
  </si>
  <si>
    <t>HPS0020-ST-0750-001-B</t>
  </si>
  <si>
    <t>HPS0020-ST-0750-002-B</t>
  </si>
  <si>
    <t>HPS0020-ST-0880-002-B</t>
  </si>
  <si>
    <t>HPS0020-ST-0890-001-B</t>
  </si>
  <si>
    <t>HPS0020-ST-0890-002-B</t>
  </si>
  <si>
    <t>HPS0020-ST-0890-003-B</t>
  </si>
  <si>
    <t>HPS0020-ST-0890-005-B</t>
  </si>
  <si>
    <t>HPS0020-ST-0910-001-B</t>
  </si>
  <si>
    <t>HPS0020-ST-0910-002-B</t>
  </si>
  <si>
    <t>HPS0020-ST-0910-005-B</t>
  </si>
  <si>
    <t>HPS0020-TA-0090-001-B</t>
  </si>
  <si>
    <t>HPS0020-TA-0090-002-B</t>
  </si>
  <si>
    <t>HPS0020-TA-0090-003-B</t>
  </si>
  <si>
    <t>HPS0020-TA-0140-001-B</t>
  </si>
  <si>
    <t>HPS0020-TA-0140-002-B</t>
  </si>
  <si>
    <t>HPS0020-TA-0140-003-B</t>
  </si>
  <si>
    <t>HPS0020-TA-0170-001-B</t>
  </si>
  <si>
    <t>HPS0020-TA-0170-002-B</t>
  </si>
  <si>
    <t>HPS0020-TA-0170-003-B</t>
  </si>
  <si>
    <t>HPS0070-ST-0040-001-B</t>
  </si>
  <si>
    <t>HPS0070-ST-0040-002-B</t>
  </si>
  <si>
    <t>HPS0070-ST-0350-002-B</t>
  </si>
  <si>
    <t>HPS0070-ST-0360-002-B</t>
  </si>
  <si>
    <t>HPS0080-ST-0001-006-B</t>
  </si>
  <si>
    <t>HPS0080-ST-0050-002-B</t>
  </si>
  <si>
    <t>HPS0080-ST-0310-002-B</t>
  </si>
  <si>
    <t>HPS0090-ST-0001-006-B</t>
  </si>
  <si>
    <t>HPS0090-ST-0050-001-B</t>
  </si>
  <si>
    <t>HPS0090-ST-0050-002-B</t>
  </si>
  <si>
    <t>HPS0090-ST-0050-003-B</t>
  </si>
  <si>
    <t>HPS0090-ST-0050-005-B</t>
  </si>
  <si>
    <t>HPS0090-ST-0220-001-B</t>
  </si>
  <si>
    <t>HPS0090-ST-0220-002-B</t>
  </si>
  <si>
    <t>HPS0090-ST-0220-003-B</t>
  </si>
  <si>
    <t>HPS0090-ST-0220-005-B</t>
  </si>
  <si>
    <t>HPS0090-ST-0310-001-B</t>
  </si>
  <si>
    <t>HPS0090-ST-0310-002-B</t>
  </si>
  <si>
    <t>HPS0090-ST-0310-003-B</t>
  </si>
  <si>
    <t>HPS0090-ST-0310-005-B</t>
  </si>
  <si>
    <t>HPS0090-ST-0690-001-B</t>
  </si>
  <si>
    <t>HPS0090-ST-0690-002-B</t>
  </si>
  <si>
    <t>HPS0090-ST-0690-003-B</t>
  </si>
  <si>
    <t>HPS0090-ST-0690-005-B</t>
  </si>
  <si>
    <t>HPS0090-ST-0710-001-B</t>
  </si>
  <si>
    <t>HPS0090-ST-0710-002-B</t>
  </si>
  <si>
    <t>HPS0090-ST-0720-002-B</t>
  </si>
  <si>
    <t>HPS0090-ST-0980-001-B</t>
  </si>
  <si>
    <t>HPS0090-ST-0980-002-B</t>
  </si>
  <si>
    <t>HPS0090-ST-1010-001-B</t>
  </si>
  <si>
    <t>HPS0090-ST-1010-002-B</t>
  </si>
  <si>
    <t>HPS0090-ST-1010-005-B</t>
  </si>
  <si>
    <t>HPS0090-ST-1360-001-B</t>
  </si>
  <si>
    <t>HPS0090-ST-1360-002-B</t>
  </si>
  <si>
    <t>HPS0090-ST-1370-002-B</t>
  </si>
  <si>
    <t>HPS0090-TA-0050-001-B</t>
  </si>
  <si>
    <t>HPS0090-TA-0050-002-B</t>
  </si>
  <si>
    <t>HPS0090-TA-0050-005-B</t>
  </si>
  <si>
    <t>HPS0090-TA-0220-001-B</t>
  </si>
  <si>
    <t>HPS0090-TA-0220-002-B</t>
  </si>
  <si>
    <t>HPS0090-TA-0220-003-B</t>
  </si>
  <si>
    <t>HPS0090-TA-0220-005-B</t>
  </si>
  <si>
    <t>HPS0090-TA-0310-001-B</t>
  </si>
  <si>
    <t>HPS0090-TA-0310-002-B</t>
  </si>
  <si>
    <t>HPS0090-TA-0310-003-B</t>
  </si>
  <si>
    <t>HPS0090-TA-0310-005-B</t>
  </si>
  <si>
    <t>HPS0090-TA-0690-001-B</t>
  </si>
  <si>
    <t>HPS0090-TA-1010-001-B</t>
  </si>
  <si>
    <t>HPS0090-TA-1370-001-B</t>
  </si>
  <si>
    <t>HPS0100-ST-0060-002-B</t>
  </si>
  <si>
    <t>HPS0100-ST-0230-001-B</t>
  </si>
  <si>
    <t>HPS0100-ST-0230-002-B</t>
  </si>
  <si>
    <t>HPS0100-ST-0320-002-B</t>
  </si>
  <si>
    <t>HPS0100-ST-0390-002-B</t>
  </si>
  <si>
    <t>HPS0100-ST-0430-001-B</t>
  </si>
  <si>
    <t>HPS0100-ST-0610-001-B</t>
  </si>
  <si>
    <t>HPS0100-ST-0610-002-B</t>
  </si>
  <si>
    <t>HPS0100-ST-1070-001-B</t>
  </si>
  <si>
    <t>HPS0100-ST-1070-002-B</t>
  </si>
  <si>
    <t>HPS0100-ST-1120-002-B</t>
  </si>
  <si>
    <t>HPS0100-ST-1160-002-B</t>
  </si>
  <si>
    <t>HPS0110-ST-0001-006-B</t>
  </si>
  <si>
    <t>HPS0110-ST-0060-001-B</t>
  </si>
  <si>
    <t>HPS0110-ST-0060-002-B</t>
  </si>
  <si>
    <t>HPS0110-ST-0060-003-B</t>
  </si>
  <si>
    <t>HPS0110-ST-0060-005-B</t>
  </si>
  <si>
    <t>HPS0110-ST-0230-001-B</t>
  </si>
  <si>
    <t>HPS0110-ST-0230-002-B</t>
  </si>
  <si>
    <t>HPS0110-ST-0230-003-B</t>
  </si>
  <si>
    <t>HPS0110-ST-0230-005-B</t>
  </si>
  <si>
    <t>HPS0110-ST-0320-001-B</t>
  </si>
  <si>
    <t>HPS0110-ST-0320-002-B</t>
  </si>
  <si>
    <t>HPS0110-ST-0320-003-B</t>
  </si>
  <si>
    <t>HPS0110-ST-0320-005-B</t>
  </si>
  <si>
    <t>HPS0110-ST-0390-001-B</t>
  </si>
  <si>
    <t>HPS0110-ST-0390-002-B</t>
  </si>
  <si>
    <t>HPS0110-ST-0390-003-B</t>
  </si>
  <si>
    <t>HPS0110-ST-0390-005-B</t>
  </si>
  <si>
    <t>HPS0110-ST-0430-002-B</t>
  </si>
  <si>
    <t>HPS0110-ST-0470-001-B</t>
  </si>
  <si>
    <t>HPS0110-ST-0470-002-B</t>
  </si>
  <si>
    <t>HPS0110-ST-0470-005-B</t>
  </si>
  <si>
    <t>HPS0110-ST-0510-002-B</t>
  </si>
  <si>
    <t>HPS0110-ST-0550-001-B</t>
  </si>
  <si>
    <t>HPS0110-ST-0550-002-B</t>
  </si>
  <si>
    <t>HPS0110-ST-0550-005-B</t>
  </si>
  <si>
    <t>HPS0110-ST-0590-001-B</t>
  </si>
  <si>
    <t>HPS0110-ST-0590-002-B</t>
  </si>
  <si>
    <t>HPS0110-ST-0590-003-B</t>
  </si>
  <si>
    <t>HPS0110-ST-0590-005-B</t>
  </si>
  <si>
    <t>HPS0110-ST-0610-001-B</t>
  </si>
  <si>
    <t>HPS0110-ST-0610-002-B</t>
  </si>
  <si>
    <t>HPS0110-ST-0610-003-B</t>
  </si>
  <si>
    <t>HPS0110-ST-0650-002-B</t>
  </si>
  <si>
    <t>HPS0110-ST-0760-001-B</t>
  </si>
  <si>
    <t>HPS0110-ST-0760-002-B</t>
  </si>
  <si>
    <t>HPS0110-ST-0760-003-B</t>
  </si>
  <si>
    <t>HPS0110-ST-0760-005-B</t>
  </si>
  <si>
    <t>HPS0110-ST-0930-001-B</t>
  </si>
  <si>
    <t>HPS0110-ST-0960-001-B</t>
  </si>
  <si>
    <t>HPS0110-ST-0960-002-B</t>
  </si>
  <si>
    <t>HPS0110-ST-0960-003-B</t>
  </si>
  <si>
    <t>HPS0110-ST-0960-005-B</t>
  </si>
  <si>
    <t>HPS0110-ST-0970-002-B</t>
  </si>
  <si>
    <t>HPS0110-ST-1070-001-B</t>
  </si>
  <si>
    <t>HPS0110-ST-1070-002-B</t>
  </si>
  <si>
    <t>HPS0110-ST-1070-003-B</t>
  </si>
  <si>
    <t>HPS0110-ST-1120-001-B</t>
  </si>
  <si>
    <t>HPS0110-ST-1120-002-B</t>
  </si>
  <si>
    <t>HPS0110-ST-1120-003-B</t>
  </si>
  <si>
    <t>HPS0110-ST-1140-002-B</t>
  </si>
  <si>
    <t>HPS0110-ST-1160-001-B</t>
  </si>
  <si>
    <t>HPS0110-ST-1160-002-B</t>
  </si>
  <si>
    <t>HPS0110-ST-1380-002-B</t>
  </si>
  <si>
    <t>HPS0110-ST-1450-001-B</t>
  </si>
  <si>
    <t>HPS0110-ST-1450-002-B</t>
  </si>
  <si>
    <t>HPS0110-TA-0060-001-B</t>
  </si>
  <si>
    <t>HPS0110-TA-0060-002-B</t>
  </si>
  <si>
    <t>HPS0110-TA-0060-003-B</t>
  </si>
  <si>
    <t>HPS0110-TA-0060-005-B</t>
  </si>
  <si>
    <t>HPS0110-TA-0230-001-B</t>
  </si>
  <si>
    <t>HPS0110-TA-0230-002-B</t>
  </si>
  <si>
    <t>HPS0110-TA-0230-003-B</t>
  </si>
  <si>
    <t>HPS0110-TA-0230-005-B</t>
  </si>
  <si>
    <t>HPS0110-TA-0320-001-B</t>
  </si>
  <si>
    <t>HPS0110-TA-0320-002-B</t>
  </si>
  <si>
    <t>HPS0110-TA-0320-003-B</t>
  </si>
  <si>
    <t>HPS0110-TA-0320-005-B</t>
  </si>
  <si>
    <t>HPS0110-TA-0390-001-B</t>
  </si>
  <si>
    <t>HPS0110-TA-0590-001-B</t>
  </si>
  <si>
    <t>HPS0110-TA-0590-002-B</t>
  </si>
  <si>
    <t>HPS0110-TA-0590-005-B</t>
  </si>
  <si>
    <t>HPS0110-TA-0960-001-B</t>
  </si>
  <si>
    <t>HPS0110-TA-0960-005-B</t>
  </si>
  <si>
    <t>HPS0110-TA-1070-002-B</t>
  </si>
  <si>
    <t>HPS0110-TA-1120-001-B</t>
  </si>
  <si>
    <t>HPS0110-TA-1450-001-B</t>
  </si>
  <si>
    <t>HPS0120-ST-0860-002-B</t>
  </si>
  <si>
    <t>HPS0120-ST-1490-002-B</t>
  </si>
  <si>
    <t>HPS0140-ST-0070-001-B</t>
  </si>
  <si>
    <t>HPS0140-ST-0070-002-B</t>
  </si>
  <si>
    <t>HPS0140-ST-0330-001-B</t>
  </si>
  <si>
    <t>HPS0140-ST-0330-002-B</t>
  </si>
  <si>
    <t>HPS0140-ST-0400-001-B</t>
  </si>
  <si>
    <t>HPS0140-ST-1030-001-B</t>
  </si>
  <si>
    <t>HPS0160-ST-0070-001-B</t>
  </si>
  <si>
    <t>HPS0160-ST-0070-002-B</t>
  </si>
  <si>
    <t>HPS0160-ST-0240-001-B</t>
  </si>
  <si>
    <t>HPS0160-ST-0240-002-B</t>
  </si>
  <si>
    <t>HPS0160-ST-0330-001-B</t>
  </si>
  <si>
    <t>HPS0160-ST-0330-002-B</t>
  </si>
  <si>
    <t>HPS0160-ST-0400-002-B</t>
  </si>
  <si>
    <t>HPS0160-ST-0620-001-B</t>
  </si>
  <si>
    <t>HPS0160-ST-0620-002-B</t>
  </si>
  <si>
    <t>HPS0160-ST-0770-001-B</t>
  </si>
  <si>
    <t>HPS0160-ST-1130-002-B</t>
  </si>
  <si>
    <t>HPS0160-ST-1170-002-B</t>
  </si>
  <si>
    <t>HPS0170-ST-0001-006-B</t>
  </si>
  <si>
    <t>HPS0170-ST-0070-001-B</t>
  </si>
  <si>
    <t>HPS0170-ST-0070-002-B</t>
  </si>
  <si>
    <t>HPS0170-ST-0070-003-B</t>
  </si>
  <si>
    <t>HPS0170-ST-0070-005-B</t>
  </si>
  <si>
    <t>HPS0170-ST-0240-001-B</t>
  </si>
  <si>
    <t>HPS0170-ST-0240-002-B</t>
  </si>
  <si>
    <t>HPS0170-ST-0240-003-B</t>
  </si>
  <si>
    <t>HPS0170-ST-0240-005-B</t>
  </si>
  <si>
    <t>HPS0170-ST-0270-002-B</t>
  </si>
  <si>
    <t>HPS0170-ST-0330-001-B</t>
  </si>
  <si>
    <t>HPS0170-ST-0330-002-B</t>
  </si>
  <si>
    <t>HPS0170-ST-0330-003-B</t>
  </si>
  <si>
    <t>HPS0170-ST-0330-005-B</t>
  </si>
  <si>
    <t>HPS0170-ST-0400-001-B</t>
  </si>
  <si>
    <t>HPS0170-ST-0400-002-B</t>
  </si>
  <si>
    <t>HPS0170-ST-0400-005-B</t>
  </si>
  <si>
    <t>HPS0170-ST-0440-002-B</t>
  </si>
  <si>
    <t>HPS0170-ST-0480-002-B</t>
  </si>
  <si>
    <t>HPS0170-ST-0560-002-B</t>
  </si>
  <si>
    <t>HPS0170-ST-0600-001-B</t>
  </si>
  <si>
    <t>HPS0170-ST-0600-002-B</t>
  </si>
  <si>
    <t>HPS0170-ST-0620-001-B</t>
  </si>
  <si>
    <t>HPS0170-ST-0620-002-B</t>
  </si>
  <si>
    <t>HPS0170-ST-0620-003-B</t>
  </si>
  <si>
    <t>HPS0170-ST-0660-001-B</t>
  </si>
  <si>
    <t>HPS0170-ST-0660-002-B</t>
  </si>
  <si>
    <t>HPS0170-ST-0770-001-B</t>
  </si>
  <si>
    <t>HPS0170-ST-0770-002-B</t>
  </si>
  <si>
    <t>HPS0170-ST-0900-001-B</t>
  </si>
  <si>
    <t>HPS0170-ST-1030-001-B</t>
  </si>
  <si>
    <t>HPS0170-ST-1030-002-B</t>
  </si>
  <si>
    <t>HPS0170-ST-1030-005-B</t>
  </si>
  <si>
    <t>HPS0170-ST-1080-001-B</t>
  </si>
  <si>
    <t>HPS0170-ST-1080-002-B</t>
  </si>
  <si>
    <t>HPS0170-ST-1130-001-B</t>
  </si>
  <si>
    <t>HPS0170-ST-1130-002-B</t>
  </si>
  <si>
    <t>HPS0170-ST-1130-003-B</t>
  </si>
  <si>
    <t>HPS0170-ST-1170-001-B</t>
  </si>
  <si>
    <t>HPS0170-ST-1170-002-B</t>
  </si>
  <si>
    <t>HPS0170-ST-1170-003-B</t>
  </si>
  <si>
    <t>HPS0170-ST-1250-001-B</t>
  </si>
  <si>
    <t>HPS0170-TA-0070-001-B</t>
  </si>
  <si>
    <t>HPS0170-TA-0070-005-B</t>
  </si>
  <si>
    <t>HPS0170-TA-0240-001-B</t>
  </si>
  <si>
    <t>HPS0170-TA-0330-001-B</t>
  </si>
  <si>
    <t>HPS0170-TA-0400-001-B</t>
  </si>
  <si>
    <t>HPS0170-TA-0600-001-B</t>
  </si>
  <si>
    <t>HPS0170-TA-0600-002-B</t>
  </si>
  <si>
    <t>HPS0170-TA-1080-001-B</t>
  </si>
  <si>
    <t>HPS0180-ST-0860-001-B</t>
  </si>
  <si>
    <t>HPS0180-ST-0870-001-B</t>
  </si>
  <si>
    <t>HPS0180-ST-0870-002-B</t>
  </si>
  <si>
    <t>HPS0180-ST-1490-001-B</t>
  </si>
  <si>
    <t>HPS0190-ST-1470-002-B</t>
  </si>
  <si>
    <t>HPS0250-ST-0120-001-B</t>
  </si>
  <si>
    <t>HPS0250-ST-0120-002-B</t>
  </si>
  <si>
    <t>HPS0250-ST-0840-001-B</t>
  </si>
  <si>
    <t>HPS0250-ST-0850-001-B</t>
  </si>
  <si>
    <t>HPS0250-ST-1050-001-B</t>
  </si>
  <si>
    <t>HPS0250-ST-1050-002-B</t>
  </si>
  <si>
    <t>INC0030-ST-0001-006-B</t>
  </si>
  <si>
    <t>INC0030-ST-0010-001-B</t>
  </si>
  <si>
    <t>INC0030-ST-0010-002-B</t>
  </si>
  <si>
    <t>INC0030-ST-0810-002-B</t>
  </si>
  <si>
    <t>INC0030-ST-0820-002-B</t>
  </si>
  <si>
    <t>INC0030-ST-0990-002-B</t>
  </si>
  <si>
    <t>INC0040-ST-0001-006-B</t>
  </si>
  <si>
    <t>INC0040-ST-0010-001-B</t>
  </si>
  <si>
    <t>INC0050-ST-0001-006-B</t>
  </si>
  <si>
    <t>INC0050-ST-0010-001-B</t>
  </si>
  <si>
    <t>INC0050-ST-0010-002-B</t>
  </si>
  <si>
    <t>INC0050-ST-0810-002-B</t>
  </si>
  <si>
    <t>INC0080-ST-0001-006-B</t>
  </si>
  <si>
    <t>INC0080-ST-0010-002-B</t>
  </si>
  <si>
    <t>INC0090-ST-0010-002-B</t>
  </si>
  <si>
    <t>INC0100-ST-0001-006-B</t>
  </si>
  <si>
    <t>INC0100-ST-0740-002-B</t>
  </si>
  <si>
    <t>INC0100-ST-0810-001-B</t>
  </si>
  <si>
    <t>INC0100-ST-0990-001-B</t>
  </si>
  <si>
    <t>INC0110-ST-0001-006-B</t>
  </si>
  <si>
    <t>INC0110-ST-0010-002-B</t>
  </si>
  <si>
    <t>INC0160-ST-0620-002-B</t>
  </si>
  <si>
    <t>LPS0030-ST-0040-001-B</t>
  </si>
  <si>
    <t>LPS0030-ST-0040-002-B</t>
  </si>
  <si>
    <t>LPS0030-ST-0350-001-B</t>
  </si>
  <si>
    <t>LPS0030-ST-0360-001-B</t>
  </si>
  <si>
    <t>LPS0030-ST-0360-002-B</t>
  </si>
  <si>
    <t>LPS0030-ST-0890-001-B</t>
  </si>
  <si>
    <t>LPS0030-ST-0890-002-B</t>
  </si>
  <si>
    <t>LPS0040-ST-0050-001-B</t>
  </si>
  <si>
    <t>LPS0040-ST-0050-002-B</t>
  </si>
  <si>
    <t>LPS0040-ST-0220-001-B</t>
  </si>
  <si>
    <t>LPS0040-ST-0220-002-B</t>
  </si>
  <si>
    <t>LPS0040-ST-0310-001-B</t>
  </si>
  <si>
    <t>LPS0040-ST-0310-002-B</t>
  </si>
  <si>
    <t>LPS0050-ST-0060-001-B</t>
  </si>
  <si>
    <t>LPS0050-ST-0060-002-B</t>
  </si>
  <si>
    <t>LPS0050-ST-0230-001-B</t>
  </si>
  <si>
    <t>LPS0050-ST-0320-001-B</t>
  </si>
  <si>
    <t>LPS0060-ST-0060-001-B</t>
  </si>
  <si>
    <t>LPS0060-ST-0060-002-B</t>
  </si>
  <si>
    <t>LPS0060-ST-0230-002-B</t>
  </si>
  <si>
    <t>LPS0060-ST-0320-002-B</t>
  </si>
  <si>
    <t>LPS0060-ST-0390-002-B</t>
  </si>
  <si>
    <t>LPS0060-ST-0590-002-B</t>
  </si>
  <si>
    <t>LPS0060-ST-0960-002-B</t>
  </si>
  <si>
    <t>LPS0090-ST-0070-002-B</t>
  </si>
  <si>
    <t>MHR0010-ST-0001-006-B</t>
  </si>
  <si>
    <t>MHR0010-ST-0040-002-B</t>
  </si>
  <si>
    <t>MHR0010-ST-0360-002-B</t>
  </si>
  <si>
    <t>MHR0010-ST-0730-002-B</t>
  </si>
  <si>
    <t>MHR0020-ST-0001-006-B</t>
  </si>
  <si>
    <t>MHR0030-ST-0001-006-B</t>
  </si>
  <si>
    <t>MHR0030-ST-0050-002-B</t>
  </si>
  <si>
    <t>MHR0030-ST-0310-002-B</t>
  </si>
  <si>
    <t>MHR0030-ST-0690-002-B</t>
  </si>
  <si>
    <t>MHR0030-ST-0710-002-B</t>
  </si>
  <si>
    <t>MHR0060-ST-0060-001-B</t>
  </si>
  <si>
    <t>MHR0060-ST-0060-002-B</t>
  </si>
  <si>
    <t>MHR0060-ST-0060-003-B</t>
  </si>
  <si>
    <t>MHR0060-ST-0320-001-B</t>
  </si>
  <si>
    <t>MHR0060-ST-0320-002-B</t>
  </si>
  <si>
    <t>MHR0060-ST-0320-003-B</t>
  </si>
  <si>
    <t>MHR0060-ST-0320-005-B</t>
  </si>
  <si>
    <t>MHR0060-ST-0390-002-B</t>
  </si>
  <si>
    <t>MHR0060-ST-0590-002-B</t>
  </si>
  <si>
    <t>MHR0060-ST-0610-001-B</t>
  </si>
  <si>
    <t>MHR0060-ST-0610-002-B</t>
  </si>
  <si>
    <t>MHR0060-ST-0610-003-B</t>
  </si>
  <si>
    <t>MHR0060-ST-0650-002-B</t>
  </si>
  <si>
    <t>MHR0060-ST-1070-001-B</t>
  </si>
  <si>
    <t>MHR0060-ST-1070-002-B</t>
  </si>
  <si>
    <t>MHR0060-ST-1120-001-B</t>
  </si>
  <si>
    <t>MHR0060-ST-1120-002-B</t>
  </si>
  <si>
    <t>MHR0060-ST-1120-003-B</t>
  </si>
  <si>
    <t>MHR0060-ST-1160-002-B</t>
  </si>
  <si>
    <t>MHR0070-ST-0001-006-B</t>
  </si>
  <si>
    <t>MHR0070-ST-0060-001-B</t>
  </si>
  <si>
    <t>MHR0070-ST-0060-002-B</t>
  </si>
  <si>
    <t>MHR0070-ST-0320-001-B</t>
  </si>
  <si>
    <t>MHR0070-ST-0320-002-B</t>
  </si>
  <si>
    <t>MHR0070-ST-0390-002-B</t>
  </si>
  <si>
    <t>MHR0070-ST-0470-002-B</t>
  </si>
  <si>
    <t>MHR0070-ST-0620-001-B</t>
  </si>
  <si>
    <t>MHR0070-ST-0620-002-B</t>
  </si>
  <si>
    <t>MHR0070-ST-0620-003-B</t>
  </si>
  <si>
    <t>MHR0070-ST-0660-002-B</t>
  </si>
  <si>
    <t>MHR0070-ST-1080-001-B</t>
  </si>
  <si>
    <t>MHR0070-ST-1080-002-B</t>
  </si>
  <si>
    <t>MHR0070-ST-1130-001-B</t>
  </si>
  <si>
    <t>MHR0070-ST-1170-001-B</t>
  </si>
  <si>
    <t>MHR0070-ST-1170-002-B</t>
  </si>
  <si>
    <t>MHR0100-ST-0001-006-B</t>
  </si>
  <si>
    <t>MHR0100-ST-0120-002-B</t>
  </si>
  <si>
    <t>MVA0010-ST-0001-006-B</t>
  </si>
  <si>
    <t>MVA0010-ST-0010-001-B</t>
  </si>
  <si>
    <t>MVA0010-ST-0010-002-B</t>
  </si>
  <si>
    <t>MVA0010-ST-0740-001-B</t>
  </si>
  <si>
    <t>MVA0010-ST-0810-001-B</t>
  </si>
  <si>
    <t>MVA0010-ST-0810-002-B</t>
  </si>
  <si>
    <t>MVA0010-ST-0990-001-B</t>
  </si>
  <si>
    <t>MVA0010-ST-0990-002-B</t>
  </si>
  <si>
    <t>MVA0010-ST-1000-002-B</t>
  </si>
  <si>
    <t>MVA0020-ST-0001-006-B</t>
  </si>
  <si>
    <t>MVA0020-ST-0010-001-B</t>
  </si>
  <si>
    <t>MVA0020-ST-0010-002-B</t>
  </si>
  <si>
    <t>MVA0020-ST-0010-003-B</t>
  </si>
  <si>
    <t>MVA0020-ST-0740-001-B</t>
  </si>
  <si>
    <t>MVA0020-ST-0740-002-B</t>
  </si>
  <si>
    <t>MVA0020-ST-0810-001-B</t>
  </si>
  <si>
    <t>MVA0020-ST-0810-002-B</t>
  </si>
  <si>
    <t>MVA0020-ST-0810-003-B</t>
  </si>
  <si>
    <t>MVA0020-ST-0820-002-B</t>
  </si>
  <si>
    <t>MVA0020-ST-0990-001-B</t>
  </si>
  <si>
    <t>MVA0020-ST-0990-002-B</t>
  </si>
  <si>
    <t>MVA0020-ST-0990-003-B</t>
  </si>
  <si>
    <t>MVA0020-ST-1000-001-B</t>
  </si>
  <si>
    <t>MVA0020-ST-1000-002-B</t>
  </si>
  <si>
    <t>MVA0020-ST-1260-001-B</t>
  </si>
  <si>
    <t>MVA0020-ST-1260-002-B</t>
  </si>
  <si>
    <t>MVA0020-ST-1460-002-B</t>
  </si>
  <si>
    <t>MVA0080-ST-0001-006-B</t>
  </si>
  <si>
    <t>MVA0080-ST-0010-001-B</t>
  </si>
  <si>
    <t>MVA0080-ST-0010-002-B</t>
  </si>
  <si>
    <t>MVA0080-ST-0740-002-B</t>
  </si>
  <si>
    <t>MVA0080-ST-0810-001-B</t>
  </si>
  <si>
    <t>MVA0080-ST-0810-002-B</t>
  </si>
  <si>
    <t>MVA0080-ST-0820-001-B</t>
  </si>
  <si>
    <t>MVA0080-ST-0990-001-B</t>
  </si>
  <si>
    <t>MVA0080-ST-0990-002-B</t>
  </si>
  <si>
    <t>MVA0080-ST-1000-001-B</t>
  </si>
  <si>
    <t>MVA0120-ST-0001-006-B</t>
  </si>
  <si>
    <t>MVA0170-ST-0020-001-B</t>
  </si>
  <si>
    <t>MVA0190-ST-0020-001-B</t>
  </si>
  <si>
    <t>MVA0190-ST-0020-002-B</t>
  </si>
  <si>
    <t>MVA0190-ST-0020-003-B</t>
  </si>
  <si>
    <t>MVA0190-ST-0200-001-B</t>
  </si>
  <si>
    <t>MVA0190-ST-0200-002-B</t>
  </si>
  <si>
    <t>MVA0190-ST-0200-003-B</t>
  </si>
  <si>
    <t>MVA0190-ST-0290-001-B</t>
  </si>
  <si>
    <t>MVA0190-ST-0290-002-B</t>
  </si>
  <si>
    <t>MVA0190-ST-0290-003-B</t>
  </si>
  <si>
    <t>MVA0190-ST-0290-005-B</t>
  </si>
  <si>
    <t>MVA0190-ST-0370-001-B</t>
  </si>
  <si>
    <t>MVA0190-ST-0370-002-B</t>
  </si>
  <si>
    <t>MVA0190-ST-0450-002-B</t>
  </si>
  <si>
    <t>MVA0190-ST-0780-002-B</t>
  </si>
  <si>
    <t>MVA0190-ST-0940-001-B</t>
  </si>
  <si>
    <t>MVA0190-ST-0940-002-B</t>
  </si>
  <si>
    <t>MVA0220-ST-0001-006-B</t>
  </si>
  <si>
    <t>MVA0220-ST-0030-001-B</t>
  </si>
  <si>
    <t>MVA0220-ST-0030-002-B</t>
  </si>
  <si>
    <t>MVA0220-ST-0210-001-B</t>
  </si>
  <si>
    <t>MVA0220-ST-0210-002-B</t>
  </si>
  <si>
    <t>MVA0220-ST-0300-001-B</t>
  </si>
  <si>
    <t>MVA0220-ST-0300-002-B</t>
  </si>
  <si>
    <t>MVA0220-ST-0380-001-B</t>
  </si>
  <si>
    <t>MVA0220-ST-0380-002-B</t>
  </si>
  <si>
    <t>MVA0220-ST-0460-002-B</t>
  </si>
  <si>
    <t>MVA0220-ST-0790-002-B</t>
  </si>
  <si>
    <t>MVA0220-ST-0950-001-B</t>
  </si>
  <si>
    <t>MVA0220-ST-0950-002-B</t>
  </si>
  <si>
    <t>MVA0250-ST-0300-001-B</t>
  </si>
  <si>
    <t>MVA0260-ST-0250-002-B</t>
  </si>
  <si>
    <t>MVA0290-ST-0001-006-B</t>
  </si>
  <si>
    <t>MVA0290-ST-1040-002-B</t>
  </si>
  <si>
    <t>HPS0010-ST-0040-005-B</t>
  </si>
  <si>
    <t>HPS0010-ST-0360-005-B</t>
  </si>
  <si>
    <t>HPS0020-ST-0750-005-B</t>
  </si>
  <si>
    <t>HPS0070-ST-0040-005-B</t>
  </si>
  <si>
    <t>HPS0090-ST-0710-005-B</t>
  </si>
  <si>
    <t>HPS0090-ST-0980-005-B</t>
  </si>
  <si>
    <t>HPS0090-ST-1360-005-B</t>
  </si>
  <si>
    <t>HPS0090-TA-0690-005-B</t>
  </si>
  <si>
    <t>HPS0090-TA-1010-005-B</t>
  </si>
  <si>
    <t>HPS0090-TA-1370-005-B</t>
  </si>
  <si>
    <t>HPS0100-ST-0230-005-B</t>
  </si>
  <si>
    <t>HPS0100-ST-0430-005-B</t>
  </si>
  <si>
    <t>HPS0110-ST-0930-005-B</t>
  </si>
  <si>
    <t>HPS0110-TA-0390-005-B</t>
  </si>
  <si>
    <t>HPS0140-ST-0070-005-B</t>
  </si>
  <si>
    <t>HPS0140-ST-0330-005-B</t>
  </si>
  <si>
    <t>HPS0140-ST-0400-005-B</t>
  </si>
  <si>
    <t>HPS0140-ST-1030-005-B</t>
  </si>
  <si>
    <t>HPS0160-ST-0070-005-B</t>
  </si>
  <si>
    <t>HPS0160-ST-0240-005-B</t>
  </si>
  <si>
    <t>HPS0160-ST-0330-005-B</t>
  </si>
  <si>
    <t>HPS0160-ST-0770-005-B</t>
  </si>
  <si>
    <t>HPS0170-ST-0600-005-B</t>
  </si>
  <si>
    <t>HPS0170-ST-0770-005-B</t>
  </si>
  <si>
    <t>HPS0170-TA-0240-005-B</t>
  </si>
  <si>
    <t>HPS0170-TA-0330-005-B</t>
  </si>
  <si>
    <t>HPS0170-TA-0400-005-B</t>
  </si>
  <si>
    <t>HPS0170-TA-0600-005-B</t>
  </si>
  <si>
    <t>LPS0030-ST-0040-005-B</t>
  </si>
  <si>
    <t>LPS0030-ST-0350-005-B</t>
  </si>
  <si>
    <t>LPS0030-ST-0360-005-B</t>
  </si>
  <si>
    <t>LPS0030-ST-0890-005-B</t>
  </si>
  <si>
    <t>LPS0040-ST-0050-005-B</t>
  </si>
  <si>
    <t>LPS0040-ST-0220-005-B</t>
  </si>
  <si>
    <t>LPS0040-ST-0310-005-B</t>
  </si>
  <si>
    <t>LPS0050-ST-0060-005-B</t>
  </si>
  <si>
    <t>LPS0050-ST-0230-005-B</t>
  </si>
  <si>
    <t>LPS0050-ST-0320-005-B</t>
  </si>
  <si>
    <t>LPS0060-ST-0060-005-B</t>
  </si>
  <si>
    <t>MHR0060-ST-0060-005-B</t>
  </si>
  <si>
    <t>MHR0070-ST-0060-005-B</t>
  </si>
  <si>
    <t>MHR0070-ST-0320-005-B</t>
  </si>
  <si>
    <t>Proposed Total maintenace excluding Corp &amp; Div OVH $2013-14</t>
  </si>
  <si>
    <t>Proposed Spot Replacement Percentage per annum under bulk lamp regime</t>
  </si>
  <si>
    <t>Copy of proposed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</si>
</sst>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00"/>
    <numFmt numFmtId="166" formatCode="#,##0_ ;\-#,##0\ "/>
    <numFmt numFmtId="167" formatCode="_-&quot;$&quot;* #,##0_-;\-&quot;$&quot;* #,##0_-;_-&quot;$&quot;* &quot;-&quot;??_-;_-@_-"/>
    <numFmt numFmtId="168" formatCode="_-* #,##0_-;\-* #,##0_-;_-* &quot;-&quot;??_-;_-@_-"/>
    <numFmt numFmtId="169" formatCode="0.000"/>
    <numFmt numFmtId="170" formatCode="0.000000000%"/>
    <numFmt numFmtId="171" formatCode="0.0000%"/>
  </numFmts>
  <fonts count="62" x14ac:knownFonts="1">
    <font>
      <sz val="10"/>
      <name val="Arial"/>
    </font>
    <font>
      <sz val="10"/>
      <name val="Arial"/>
      <family val="2"/>
    </font>
    <font>
      <sz val="8"/>
      <name val="Arial"/>
      <family val="2"/>
    </font>
    <font>
      <b/>
      <sz val="10"/>
      <name val="Arial"/>
      <family val="2"/>
    </font>
    <font>
      <sz val="10"/>
      <name val="Arial"/>
      <family val="2"/>
    </font>
    <font>
      <sz val="20"/>
      <name val="Arial"/>
      <family val="2"/>
    </font>
    <font>
      <b/>
      <u/>
      <sz val="8"/>
      <name val="Arial"/>
      <family val="2"/>
    </font>
    <font>
      <b/>
      <sz val="12"/>
      <color indexed="9"/>
      <name val="Arial"/>
      <family val="2"/>
    </font>
    <font>
      <b/>
      <sz val="12"/>
      <color indexed="13"/>
      <name val="Arial"/>
      <family val="2"/>
    </font>
    <font>
      <sz val="8"/>
      <name val="Arial"/>
      <family val="2"/>
    </font>
    <font>
      <b/>
      <sz val="8"/>
      <name val="Arial"/>
      <family val="2"/>
    </font>
    <font>
      <i/>
      <sz val="8"/>
      <name val="Arial"/>
      <family val="2"/>
    </font>
    <font>
      <sz val="20"/>
      <name val="Arial"/>
      <family val="2"/>
    </font>
    <font>
      <sz val="8"/>
      <color indexed="10"/>
      <name val="Arial"/>
      <family val="2"/>
    </font>
    <font>
      <b/>
      <sz val="8"/>
      <color indexed="9"/>
      <name val="Arial"/>
      <family val="2"/>
    </font>
    <font>
      <sz val="8"/>
      <color indexed="9"/>
      <name val="Arial"/>
      <family val="2"/>
    </font>
    <font>
      <sz val="8"/>
      <color indexed="10"/>
      <name val="Arial"/>
      <family val="2"/>
    </font>
    <font>
      <b/>
      <sz val="8"/>
      <color indexed="10"/>
      <name val="Arial"/>
      <family val="2"/>
    </font>
    <font>
      <sz val="10"/>
      <name val="Arial Unicode MS"/>
      <family val="2"/>
    </font>
    <font>
      <u/>
      <sz val="8"/>
      <name val="Arial"/>
      <family val="2"/>
    </font>
    <font>
      <sz val="8"/>
      <name val="Arial Unicode MS"/>
      <family val="2"/>
    </font>
    <font>
      <u/>
      <sz val="8"/>
      <name val="Arial"/>
      <family val="2"/>
    </font>
    <font>
      <sz val="10"/>
      <name val="Arial"/>
      <family val="2"/>
    </font>
    <font>
      <b/>
      <i/>
      <sz val="8"/>
      <name val="Arial"/>
      <family val="2"/>
    </font>
    <font>
      <sz val="8"/>
      <color indexed="8"/>
      <name val="Arial"/>
      <family val="2"/>
    </font>
    <font>
      <sz val="8"/>
      <color indexed="81"/>
      <name val="Tahoma"/>
      <family val="2"/>
    </font>
    <font>
      <b/>
      <sz val="8"/>
      <color indexed="81"/>
      <name val="Tahoma"/>
      <family val="2"/>
    </font>
    <font>
      <sz val="10"/>
      <name val="Courier"/>
      <family val="3"/>
    </font>
    <font>
      <sz val="10"/>
      <name val="Arial"/>
      <family val="2"/>
    </font>
    <font>
      <sz val="8"/>
      <name val="Arial"/>
      <family val="2"/>
    </font>
    <font>
      <sz val="10"/>
      <name val="Arial"/>
      <family val="2"/>
    </font>
    <font>
      <sz val="8"/>
      <color indexed="3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sz val="11"/>
      <color theme="1"/>
      <name val="Verdana"/>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FF0000"/>
      <name val="Arial"/>
      <family val="2"/>
    </font>
    <font>
      <b/>
      <sz val="8"/>
      <color theme="0" tint="-0.34998626667073579"/>
      <name val="Arial"/>
      <family val="2"/>
    </font>
    <font>
      <sz val="8"/>
      <color theme="0" tint="-0.34998626667073579"/>
      <name val="Arial"/>
      <family val="2"/>
    </font>
    <font>
      <b/>
      <u/>
      <sz val="8"/>
      <color theme="0" tint="-0.34998626667073579"/>
      <name val="Arial"/>
      <family val="2"/>
    </font>
    <font>
      <sz val="10"/>
      <color theme="3" tint="0.39997558519241921"/>
      <name val="Arial"/>
      <family val="2"/>
    </font>
    <font>
      <i/>
      <sz val="10"/>
      <color theme="1"/>
      <name val="Arial"/>
      <family val="2"/>
    </font>
    <font>
      <b/>
      <sz val="8"/>
      <color rgb="FFFF0000"/>
      <name val="Arial"/>
      <family val="2"/>
    </font>
    <font>
      <sz val="10"/>
      <color rgb="FF0070C0"/>
      <name val="Arial"/>
      <family val="2"/>
    </font>
    <font>
      <sz val="12"/>
      <name val="Arial"/>
      <family val="2"/>
    </font>
    <font>
      <sz val="8"/>
      <name val="Calibri"/>
      <family val="2"/>
      <scheme val="minor"/>
    </font>
    <font>
      <b/>
      <sz val="8"/>
      <name val="Calibri"/>
      <family val="2"/>
      <scheme val="minor"/>
    </font>
  </fonts>
  <fills count="4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13"/>
        <bgColor indexed="64"/>
      </patternFill>
    </fill>
    <fill>
      <patternFill patternType="solid">
        <fgColor indexed="1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hair">
        <color indexed="64"/>
      </top>
      <bottom style="thin">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4" fillId="32" borderId="0" applyNumberFormat="0" applyBorder="0" applyAlignment="0" applyProtection="0"/>
    <xf numFmtId="0" fontId="35" fillId="33" borderId="29" applyNumberFormat="0" applyAlignment="0" applyProtection="0"/>
    <xf numFmtId="0" fontId="36" fillId="34" borderId="30"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36" borderId="29" applyNumberFormat="0" applyAlignment="0" applyProtection="0"/>
    <xf numFmtId="0" fontId="45" fillId="0" borderId="34" applyNumberFormat="0" applyFill="0" applyAlignment="0" applyProtection="0"/>
    <xf numFmtId="0" fontId="46" fillId="37" borderId="0" applyNumberFormat="0" applyBorder="0" applyAlignment="0" applyProtection="0"/>
    <xf numFmtId="0" fontId="32" fillId="0" borderId="0"/>
    <xf numFmtId="0" fontId="27" fillId="0" borderId="0"/>
    <xf numFmtId="0" fontId="37" fillId="0" borderId="0"/>
    <xf numFmtId="0" fontId="4" fillId="0" borderId="0"/>
    <xf numFmtId="0" fontId="37" fillId="0" borderId="0"/>
    <xf numFmtId="0" fontId="4" fillId="0" borderId="0"/>
    <xf numFmtId="0" fontId="38" fillId="0" borderId="0"/>
    <xf numFmtId="0" fontId="4" fillId="0" borderId="0"/>
    <xf numFmtId="0" fontId="18" fillId="0" borderId="0"/>
    <xf numFmtId="0" fontId="32" fillId="38" borderId="35" applyNumberFormat="0" applyFont="0" applyAlignment="0" applyProtection="0"/>
    <xf numFmtId="0" fontId="47" fillId="33" borderId="36"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0" applyNumberFormat="0" applyFill="0" applyBorder="0" applyAlignment="0" applyProtection="0"/>
  </cellStyleXfs>
  <cellXfs count="372">
    <xf numFmtId="0" fontId="0" fillId="0" borderId="0" xfId="0"/>
    <xf numFmtId="0" fontId="0" fillId="0" borderId="0" xfId="0" applyAlignment="1">
      <alignment horizontal="right"/>
    </xf>
    <xf numFmtId="9" fontId="1" fillId="0" borderId="0" xfId="72" applyNumberFormat="1"/>
    <xf numFmtId="10" fontId="1" fillId="0" borderId="0" xfId="72" applyNumberFormat="1"/>
    <xf numFmtId="164" fontId="1" fillId="0" borderId="0" xfId="72" applyNumberFormat="1"/>
    <xf numFmtId="0" fontId="5" fillId="0" borderId="0" xfId="0" applyFont="1"/>
    <xf numFmtId="0" fontId="2" fillId="0" borderId="0" xfId="0" applyFont="1"/>
    <xf numFmtId="0" fontId="2" fillId="0" borderId="0" xfId="0" applyFont="1" applyAlignment="1">
      <alignment wrapText="1"/>
    </xf>
    <xf numFmtId="0" fontId="6" fillId="0" borderId="0" xfId="0" applyFont="1"/>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2" borderId="5" xfId="0" applyFont="1" applyFill="1" applyBorder="1"/>
    <xf numFmtId="0" fontId="2" fillId="2" borderId="6" xfId="0" applyFont="1" applyFill="1" applyBorder="1"/>
    <xf numFmtId="0" fontId="2" fillId="0" borderId="0" xfId="0" applyFont="1" applyAlignment="1"/>
    <xf numFmtId="17" fontId="2" fillId="0" borderId="0" xfId="0" applyNumberFormat="1" applyFont="1"/>
    <xf numFmtId="0" fontId="6" fillId="0" borderId="0" xfId="0" applyFont="1" applyAlignment="1">
      <alignment wrapText="1"/>
    </xf>
    <xf numFmtId="0" fontId="2" fillId="0" borderId="0" xfId="0" applyFont="1" applyBorder="1" applyAlignment="1">
      <alignment wrapText="1"/>
    </xf>
    <xf numFmtId="0" fontId="2" fillId="0" borderId="7" xfId="0" applyFont="1" applyBorder="1" applyAlignment="1">
      <alignment wrapText="1"/>
    </xf>
    <xf numFmtId="0" fontId="2" fillId="2" borderId="5" xfId="0" applyFont="1" applyFill="1" applyBorder="1" applyAlignment="1">
      <alignment wrapText="1"/>
    </xf>
    <xf numFmtId="0" fontId="2" fillId="2" borderId="8" xfId="0" applyFont="1" applyFill="1" applyBorder="1" applyAlignment="1">
      <alignment wrapText="1"/>
    </xf>
    <xf numFmtId="0" fontId="2" fillId="2" borderId="6" xfId="0" applyFont="1" applyFill="1" applyBorder="1" applyAlignment="1">
      <alignment wrapText="1"/>
    </xf>
    <xf numFmtId="0" fontId="2" fillId="0" borderId="0" xfId="0" applyFont="1" applyFill="1" applyBorder="1" applyAlignment="1">
      <alignment wrapText="1"/>
    </xf>
    <xf numFmtId="0" fontId="2" fillId="0" borderId="9" xfId="0" applyFont="1" applyBorder="1" applyAlignment="1">
      <alignment wrapText="1"/>
    </xf>
    <xf numFmtId="0" fontId="0" fillId="0" borderId="0" xfId="0" applyAlignment="1">
      <alignment wrapText="1"/>
    </xf>
    <xf numFmtId="0" fontId="9" fillId="0" borderId="0" xfId="0" applyFont="1"/>
    <xf numFmtId="0" fontId="2" fillId="0" borderId="0" xfId="0" applyFont="1" applyFill="1"/>
    <xf numFmtId="0" fontId="2" fillId="0" borderId="0" xfId="0" applyFont="1" applyFill="1" applyBorder="1"/>
    <xf numFmtId="0" fontId="2" fillId="0" borderId="0" xfId="0" applyFont="1" applyFill="1" applyAlignment="1">
      <alignment wrapText="1"/>
    </xf>
    <xf numFmtId="165" fontId="2" fillId="0" borderId="0" xfId="0" applyNumberFormat="1" applyFont="1" applyFill="1" applyAlignment="1">
      <alignment wrapText="1"/>
    </xf>
    <xf numFmtId="0" fontId="2" fillId="4" borderId="0" xfId="0" applyFont="1" applyFill="1" applyAlignment="1">
      <alignment wrapText="1"/>
    </xf>
    <xf numFmtId="165" fontId="2" fillId="4" borderId="0" xfId="0" applyNumberFormat="1" applyFont="1" applyFill="1" applyAlignment="1">
      <alignment wrapText="1"/>
    </xf>
    <xf numFmtId="165" fontId="2" fillId="0" borderId="0" xfId="0" applyNumberFormat="1" applyFont="1" applyAlignment="1">
      <alignment wrapText="1"/>
    </xf>
    <xf numFmtId="4" fontId="2" fillId="0" borderId="0" xfId="0" applyNumberFormat="1" applyFont="1" applyAlignment="1">
      <alignment wrapText="1"/>
    </xf>
    <xf numFmtId="0" fontId="11" fillId="0" borderId="0" xfId="0" applyFont="1" applyAlignment="1">
      <alignment wrapText="1"/>
    </xf>
    <xf numFmtId="0" fontId="10" fillId="0" borderId="0" xfId="0" applyFont="1" applyAlignment="1">
      <alignment wrapText="1"/>
    </xf>
    <xf numFmtId="165" fontId="6" fillId="0" borderId="0" xfId="0" applyNumberFormat="1" applyFont="1" applyAlignment="1">
      <alignment wrapText="1"/>
    </xf>
    <xf numFmtId="44" fontId="2" fillId="0" borderId="0" xfId="0" applyNumberFormat="1" applyFont="1" applyFill="1" applyBorder="1" applyAlignment="1">
      <alignment wrapText="1"/>
    </xf>
    <xf numFmtId="9" fontId="2" fillId="4" borderId="0" xfId="0" applyNumberFormat="1" applyFont="1" applyFill="1" applyAlignment="1">
      <alignment wrapText="1"/>
    </xf>
    <xf numFmtId="1" fontId="2" fillId="4" borderId="0" xfId="0" applyNumberFormat="1" applyFont="1" applyFill="1" applyAlignment="1">
      <alignment wrapText="1"/>
    </xf>
    <xf numFmtId="0" fontId="3" fillId="0" borderId="0" xfId="0" applyFont="1" applyAlignment="1">
      <alignment wrapText="1"/>
    </xf>
    <xf numFmtId="10" fontId="3" fillId="0" borderId="0" xfId="72" applyNumberFormat="1" applyFont="1" applyAlignment="1">
      <alignment wrapText="1"/>
    </xf>
    <xf numFmtId="164" fontId="3" fillId="0" borderId="0" xfId="72" applyNumberFormat="1" applyFont="1" applyAlignment="1">
      <alignment wrapText="1"/>
    </xf>
    <xf numFmtId="0" fontId="3" fillId="0" borderId="0" xfId="0" applyFont="1" applyAlignment="1">
      <alignment horizontal="center" wrapText="1"/>
    </xf>
    <xf numFmtId="0" fontId="9" fillId="0" borderId="0" xfId="0" applyFont="1" applyAlignment="1">
      <alignment wrapText="1"/>
    </xf>
    <xf numFmtId="1" fontId="2" fillId="0" borderId="0" xfId="0" applyNumberFormat="1" applyFont="1" applyFill="1" applyAlignment="1">
      <alignment wrapText="1"/>
    </xf>
    <xf numFmtId="44" fontId="2" fillId="0" borderId="0" xfId="0" applyNumberFormat="1" applyFont="1" applyAlignment="1">
      <alignment wrapText="1"/>
    </xf>
    <xf numFmtId="0" fontId="5" fillId="0" borderId="0" xfId="0" applyFont="1" applyAlignment="1">
      <alignment wrapText="1"/>
    </xf>
    <xf numFmtId="0" fontId="7" fillId="0" borderId="0" xfId="0" applyFont="1" applyFill="1" applyAlignment="1">
      <alignment horizontal="center" vertical="center"/>
    </xf>
    <xf numFmtId="0" fontId="0" fillId="0" borderId="0" xfId="0" applyFill="1" applyAlignment="1">
      <alignment horizontal="center"/>
    </xf>
    <xf numFmtId="9" fontId="2" fillId="0" borderId="0" xfId="0" applyNumberFormat="1" applyFont="1" applyFill="1" applyAlignment="1">
      <alignment wrapText="1"/>
    </xf>
    <xf numFmtId="0" fontId="13" fillId="0" borderId="0" xfId="0" applyFont="1" applyFill="1" applyAlignment="1">
      <alignment wrapText="1"/>
    </xf>
    <xf numFmtId="9" fontId="14" fillId="0" borderId="0" xfId="72" applyNumberFormat="1" applyFont="1" applyFill="1" applyAlignment="1">
      <alignment horizontal="center" vertical="center" wrapText="1"/>
    </xf>
    <xf numFmtId="10" fontId="10" fillId="0" borderId="0" xfId="72" applyNumberFormat="1" applyFont="1" applyAlignment="1">
      <alignment wrapText="1"/>
    </xf>
    <xf numFmtId="164" fontId="10" fillId="0" borderId="0" xfId="72" applyNumberFormat="1" applyFont="1" applyAlignment="1">
      <alignment wrapText="1"/>
    </xf>
    <xf numFmtId="0" fontId="10" fillId="0" borderId="0" xfId="0" applyFont="1" applyAlignment="1">
      <alignment horizontal="center" wrapText="1"/>
    </xf>
    <xf numFmtId="0" fontId="9" fillId="0" borderId="0" xfId="0" applyFont="1" applyAlignment="1"/>
    <xf numFmtId="0" fontId="6" fillId="0" borderId="0" xfId="0" applyFont="1" applyAlignment="1"/>
    <xf numFmtId="0" fontId="10" fillId="0" borderId="0" xfId="0" applyFont="1" applyAlignment="1"/>
    <xf numFmtId="9" fontId="14" fillId="0" borderId="0" xfId="72" applyNumberFormat="1" applyFont="1" applyFill="1" applyAlignment="1">
      <alignment horizontal="center" vertical="center"/>
    </xf>
    <xf numFmtId="10" fontId="10" fillId="0" borderId="0" xfId="72" applyNumberFormat="1" applyFont="1" applyAlignment="1"/>
    <xf numFmtId="164" fontId="10" fillId="0" borderId="0" xfId="72" applyNumberFormat="1" applyFont="1" applyAlignment="1"/>
    <xf numFmtId="0" fontId="10" fillId="0" borderId="0" xfId="0" applyFont="1" applyAlignment="1">
      <alignment horizontal="center"/>
    </xf>
    <xf numFmtId="9" fontId="15" fillId="0" borderId="0" xfId="72" applyNumberFormat="1" applyFont="1" applyFill="1" applyAlignment="1">
      <alignment horizontal="center" vertical="center"/>
    </xf>
    <xf numFmtId="10" fontId="9" fillId="0" borderId="0" xfId="72" applyNumberFormat="1" applyFont="1" applyAlignment="1"/>
    <xf numFmtId="164" fontId="9" fillId="0" borderId="0" xfId="72" applyNumberFormat="1" applyFont="1" applyAlignment="1"/>
    <xf numFmtId="0" fontId="9" fillId="0" borderId="0" xfId="0" applyFont="1" applyAlignment="1">
      <alignment horizontal="center"/>
    </xf>
    <xf numFmtId="0" fontId="16" fillId="0" borderId="0" xfId="0" applyFont="1" applyAlignment="1"/>
    <xf numFmtId="0" fontId="17" fillId="0" borderId="0" xfId="0" applyFont="1" applyAlignment="1"/>
    <xf numFmtId="9" fontId="16" fillId="0" borderId="0" xfId="72" applyNumberFormat="1" applyFont="1" applyFill="1" applyAlignment="1">
      <alignment horizontal="center" vertical="center"/>
    </xf>
    <xf numFmtId="0" fontId="10" fillId="2" borderId="6"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horizontal="right" wrapText="1"/>
    </xf>
    <xf numFmtId="0" fontId="9" fillId="0" borderId="0" xfId="0" applyFont="1" applyFill="1" applyBorder="1" applyAlignment="1">
      <alignment wrapText="1"/>
    </xf>
    <xf numFmtId="10" fontId="9" fillId="0" borderId="0" xfId="72" applyNumberFormat="1" applyFont="1" applyFill="1" applyBorder="1" applyAlignment="1">
      <alignment wrapText="1"/>
    </xf>
    <xf numFmtId="44" fontId="9" fillId="0" borderId="0" xfId="40" applyFont="1" applyFill="1" applyBorder="1" applyAlignment="1">
      <alignment wrapText="1"/>
    </xf>
    <xf numFmtId="0" fontId="9" fillId="0" borderId="3" xfId="0" applyFont="1" applyFill="1" applyBorder="1" applyAlignment="1">
      <alignment wrapText="1"/>
    </xf>
    <xf numFmtId="0" fontId="9" fillId="0" borderId="7" xfId="0" applyFont="1" applyFill="1" applyBorder="1" applyAlignment="1">
      <alignment horizontal="right" wrapText="1"/>
    </xf>
    <xf numFmtId="0" fontId="9" fillId="0" borderId="7" xfId="0" applyFont="1" applyFill="1" applyBorder="1" applyAlignment="1">
      <alignment wrapText="1"/>
    </xf>
    <xf numFmtId="10" fontId="9" fillId="0" borderId="7" xfId="72" applyNumberFormat="1" applyFont="1" applyFill="1" applyBorder="1" applyAlignment="1">
      <alignment wrapText="1"/>
    </xf>
    <xf numFmtId="44" fontId="9" fillId="0" borderId="7" xfId="40" applyFont="1" applyFill="1" applyBorder="1" applyAlignment="1">
      <alignment wrapText="1"/>
    </xf>
    <xf numFmtId="0" fontId="9" fillId="0" borderId="0" xfId="0" applyFont="1" applyAlignment="1">
      <alignment horizontal="right"/>
    </xf>
    <xf numFmtId="9" fontId="9" fillId="0" borderId="0" xfId="72" applyNumberFormat="1" applyFont="1"/>
    <xf numFmtId="10" fontId="9" fillId="0" borderId="0" xfId="72" applyNumberFormat="1" applyFont="1"/>
    <xf numFmtId="164" fontId="9" fillId="0" borderId="0" xfId="72" applyNumberFormat="1" applyFont="1"/>
    <xf numFmtId="0" fontId="2" fillId="0" borderId="1"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wrapText="1"/>
    </xf>
    <xf numFmtId="9" fontId="7" fillId="0" borderId="0" xfId="72" applyNumberFormat="1" applyFont="1" applyFill="1" applyAlignment="1">
      <alignment horizontal="center" vertical="center" wrapText="1"/>
    </xf>
    <xf numFmtId="0" fontId="9" fillId="0" borderId="7" xfId="0" applyFont="1" applyBorder="1" applyAlignment="1">
      <alignment wrapText="1"/>
    </xf>
    <xf numFmtId="0" fontId="9" fillId="0" borderId="2" xfId="0" applyFont="1" applyBorder="1" applyAlignment="1">
      <alignment wrapText="1"/>
    </xf>
    <xf numFmtId="0" fontId="9" fillId="0" borderId="0" xfId="0" applyNumberFormat="1" applyFont="1" applyBorder="1"/>
    <xf numFmtId="0" fontId="9" fillId="0" borderId="2" xfId="0" applyNumberFormat="1" applyFont="1" applyBorder="1"/>
    <xf numFmtId="0" fontId="9" fillId="0" borderId="0" xfId="0" applyNumberFormat="1" applyFont="1" applyFill="1" applyBorder="1"/>
    <xf numFmtId="0" fontId="9" fillId="0" borderId="2" xfId="0" applyNumberFormat="1" applyFont="1" applyFill="1" applyBorder="1"/>
    <xf numFmtId="0" fontId="9" fillId="0" borderId="0" xfId="0" applyNumberFormat="1" applyFont="1" applyBorder="1" applyAlignment="1">
      <alignment wrapText="1"/>
    </xf>
    <xf numFmtId="0" fontId="9" fillId="0" borderId="2" xfId="0" applyNumberFormat="1" applyFont="1" applyBorder="1" applyAlignment="1">
      <alignment wrapText="1"/>
    </xf>
    <xf numFmtId="0" fontId="9" fillId="0" borderId="0" xfId="0" applyFont="1" applyBorder="1" applyAlignment="1">
      <alignment wrapText="1"/>
    </xf>
    <xf numFmtId="0" fontId="9" fillId="2" borderId="5" xfId="0" applyNumberFormat="1" applyFont="1" applyFill="1" applyBorder="1" applyAlignment="1">
      <alignment wrapText="1"/>
    </xf>
    <xf numFmtId="0" fontId="9" fillId="2" borderId="8" xfId="0" applyNumberFormat="1" applyFont="1" applyFill="1" applyBorder="1" applyAlignment="1">
      <alignment wrapText="1"/>
    </xf>
    <xf numFmtId="0" fontId="9" fillId="2" borderId="6" xfId="0" applyNumberFormat="1" applyFont="1" applyFill="1" applyBorder="1" applyAlignment="1">
      <alignment wrapText="1"/>
    </xf>
    <xf numFmtId="1" fontId="2" fillId="0" borderId="3" xfId="0" applyNumberFormat="1" applyFont="1" applyBorder="1" applyAlignment="1">
      <alignment wrapText="1"/>
    </xf>
    <xf numFmtId="0" fontId="2" fillId="0" borderId="5" xfId="0" applyFont="1" applyBorder="1" applyAlignment="1">
      <alignment wrapText="1"/>
    </xf>
    <xf numFmtId="44" fontId="2" fillId="0" borderId="8" xfId="40" applyFont="1" applyBorder="1"/>
    <xf numFmtId="44" fontId="2" fillId="0" borderId="0" xfId="40" applyFont="1" applyBorder="1"/>
    <xf numFmtId="165" fontId="9" fillId="0" borderId="0" xfId="0" applyNumberFormat="1" applyFont="1" applyFill="1" applyBorder="1" applyAlignment="1">
      <alignment wrapText="1"/>
    </xf>
    <xf numFmtId="6" fontId="2" fillId="0" borderId="0" xfId="0" applyNumberFormat="1" applyFont="1" applyFill="1" applyAlignment="1">
      <alignment wrapText="1"/>
    </xf>
    <xf numFmtId="44" fontId="2" fillId="0" borderId="0" xfId="40" applyFont="1" applyFill="1" applyBorder="1"/>
    <xf numFmtId="0" fontId="9" fillId="0" borderId="9" xfId="0" applyFont="1" applyBorder="1" applyAlignment="1">
      <alignment wrapText="1"/>
    </xf>
    <xf numFmtId="44" fontId="2" fillId="0" borderId="0" xfId="0" applyNumberFormat="1" applyFont="1" applyBorder="1" applyAlignment="1">
      <alignment wrapText="1"/>
    </xf>
    <xf numFmtId="44" fontId="2" fillId="0" borderId="2" xfId="0" applyNumberFormat="1" applyFont="1" applyBorder="1" applyAlignment="1">
      <alignment wrapText="1"/>
    </xf>
    <xf numFmtId="44" fontId="2" fillId="0" borderId="7" xfId="0" applyNumberFormat="1" applyFont="1" applyBorder="1" applyAlignment="1">
      <alignment wrapText="1"/>
    </xf>
    <xf numFmtId="0" fontId="2" fillId="2" borderId="12" xfId="0" applyFont="1" applyFill="1" applyBorder="1" applyAlignment="1">
      <alignment horizontal="center" wrapText="1"/>
    </xf>
    <xf numFmtId="44" fontId="9" fillId="0" borderId="8" xfId="40" applyFont="1" applyFill="1" applyBorder="1" applyAlignment="1">
      <alignment wrapText="1"/>
    </xf>
    <xf numFmtId="0" fontId="2" fillId="0" borderId="2" xfId="0" applyFont="1" applyFill="1" applyBorder="1" applyAlignment="1">
      <alignment wrapText="1"/>
    </xf>
    <xf numFmtId="0" fontId="2" fillId="0" borderId="3" xfId="0" applyFont="1" applyFill="1" applyBorder="1" applyAlignment="1">
      <alignment wrapText="1"/>
    </xf>
    <xf numFmtId="0" fontId="2" fillId="0" borderId="7" xfId="0" applyFont="1" applyFill="1" applyBorder="1" applyAlignment="1">
      <alignment wrapText="1"/>
    </xf>
    <xf numFmtId="0" fontId="2" fillId="0" borderId="4" xfId="0" applyFont="1" applyFill="1" applyBorder="1" applyAlignment="1">
      <alignment wrapText="1"/>
    </xf>
    <xf numFmtId="0" fontId="9" fillId="0" borderId="11" xfId="0" applyFont="1" applyBorder="1" applyAlignment="1">
      <alignment wrapText="1"/>
    </xf>
    <xf numFmtId="0" fontId="10" fillId="2" borderId="5" xfId="0" applyFont="1" applyFill="1" applyBorder="1" applyAlignment="1">
      <alignment wrapText="1"/>
    </xf>
    <xf numFmtId="44" fontId="2" fillId="0" borderId="7" xfId="0" applyNumberFormat="1" applyFont="1" applyFill="1" applyBorder="1" applyAlignment="1">
      <alignment wrapText="1"/>
    </xf>
    <xf numFmtId="0" fontId="10" fillId="2" borderId="13" xfId="0" applyFont="1" applyFill="1" applyBorder="1" applyAlignment="1">
      <alignment wrapText="1"/>
    </xf>
    <xf numFmtId="0" fontId="10" fillId="2" borderId="14" xfId="0" applyFont="1" applyFill="1" applyBorder="1" applyAlignment="1">
      <alignment wrapText="1"/>
    </xf>
    <xf numFmtId="0" fontId="10" fillId="2" borderId="15" xfId="0" applyFont="1" applyFill="1" applyBorder="1" applyAlignment="1">
      <alignment wrapText="1"/>
    </xf>
    <xf numFmtId="0" fontId="19" fillId="0" borderId="0" xfId="0" applyFont="1" applyFill="1" applyBorder="1" applyAlignment="1">
      <alignment wrapText="1"/>
    </xf>
    <xf numFmtId="49" fontId="20" fillId="0" borderId="0" xfId="69" applyNumberFormat="1" applyFont="1" applyBorder="1" applyAlignment="1">
      <alignment wrapText="1"/>
    </xf>
    <xf numFmtId="6" fontId="10" fillId="2" borderId="8" xfId="0" applyNumberFormat="1" applyFont="1" applyFill="1" applyBorder="1" applyAlignment="1">
      <alignment wrapText="1"/>
    </xf>
    <xf numFmtId="0" fontId="2" fillId="2" borderId="12" xfId="0" applyFont="1" applyFill="1" applyBorder="1" applyAlignment="1">
      <alignment wrapText="1"/>
    </xf>
    <xf numFmtId="0" fontId="22" fillId="0" borderId="0" xfId="0" applyFont="1" applyAlignment="1">
      <alignment wrapText="1"/>
    </xf>
    <xf numFmtId="0" fontId="10" fillId="0" borderId="0" xfId="0" applyFont="1" applyFill="1" applyBorder="1" applyAlignment="1">
      <alignment wrapText="1"/>
    </xf>
    <xf numFmtId="44" fontId="2" fillId="2" borderId="12" xfId="0" applyNumberFormat="1" applyFont="1" applyFill="1" applyBorder="1" applyAlignment="1">
      <alignment wrapText="1"/>
    </xf>
    <xf numFmtId="166" fontId="2" fillId="0" borderId="0" xfId="0" applyNumberFormat="1" applyFont="1" applyAlignment="1">
      <alignment wrapText="1"/>
    </xf>
    <xf numFmtId="44" fontId="6" fillId="0" borderId="0" xfId="0" applyNumberFormat="1" applyFont="1" applyAlignment="1">
      <alignment wrapText="1"/>
    </xf>
    <xf numFmtId="49" fontId="20" fillId="0" borderId="1" xfId="69" applyNumberFormat="1" applyFont="1" applyBorder="1" applyAlignment="1">
      <alignment wrapText="1"/>
    </xf>
    <xf numFmtId="0" fontId="20" fillId="0" borderId="1" xfId="69" applyFont="1" applyBorder="1" applyAlignment="1">
      <alignment wrapText="1"/>
    </xf>
    <xf numFmtId="0" fontId="2" fillId="2" borderId="14" xfId="0" applyNumberFormat="1" applyFont="1" applyFill="1" applyBorder="1" applyAlignment="1">
      <alignment wrapText="1"/>
    </xf>
    <xf numFmtId="0" fontId="2" fillId="2" borderId="15" xfId="0" applyNumberFormat="1" applyFont="1" applyFill="1" applyBorder="1" applyAlignment="1">
      <alignment wrapText="1"/>
    </xf>
    <xf numFmtId="0" fontId="7" fillId="0" borderId="0" xfId="0" applyFont="1" applyFill="1" applyAlignment="1">
      <alignment horizontal="center" vertical="center" wrapText="1"/>
    </xf>
    <xf numFmtId="0" fontId="9" fillId="3" borderId="0" xfId="0" applyFont="1" applyFill="1" applyAlignment="1">
      <alignment wrapText="1"/>
    </xf>
    <xf numFmtId="44" fontId="9" fillId="0" borderId="0" xfId="0" applyNumberFormat="1" applyFont="1" applyAlignment="1">
      <alignment wrapText="1"/>
    </xf>
    <xf numFmtId="0" fontId="10" fillId="2" borderId="12" xfId="0" applyFont="1" applyFill="1" applyBorder="1" applyAlignment="1">
      <alignment wrapText="1"/>
    </xf>
    <xf numFmtId="44" fontId="2" fillId="0" borderId="4" xfId="0" applyNumberFormat="1" applyFont="1" applyFill="1" applyBorder="1" applyAlignment="1">
      <alignment wrapText="1"/>
    </xf>
    <xf numFmtId="0" fontId="9" fillId="2" borderId="13" xfId="0" applyFont="1" applyFill="1" applyBorder="1" applyAlignment="1">
      <alignment wrapText="1"/>
    </xf>
    <xf numFmtId="10" fontId="2" fillId="4" borderId="0" xfId="0" applyNumberFormat="1" applyFont="1" applyFill="1" applyAlignment="1">
      <alignment wrapText="1"/>
    </xf>
    <xf numFmtId="0" fontId="23" fillId="0" borderId="0" xfId="0" applyFont="1" applyAlignment="1">
      <alignment wrapText="1"/>
    </xf>
    <xf numFmtId="0" fontId="24" fillId="0" borderId="16" xfId="0" applyFont="1" applyFill="1" applyBorder="1" applyAlignment="1">
      <alignment wrapText="1"/>
    </xf>
    <xf numFmtId="1" fontId="2" fillId="0" borderId="17" xfId="0" applyNumberFormat="1" applyFont="1" applyBorder="1" applyAlignment="1">
      <alignment horizontal="left"/>
    </xf>
    <xf numFmtId="0" fontId="2" fillId="0" borderId="18" xfId="0" applyFont="1" applyBorder="1" applyAlignment="1">
      <alignment wrapText="1"/>
    </xf>
    <xf numFmtId="0" fontId="2" fillId="0" borderId="18" xfId="0" applyNumberFormat="1" applyFont="1" applyBorder="1" applyAlignment="1">
      <alignment wrapText="1"/>
    </xf>
    <xf numFmtId="44" fontId="2" fillId="0" borderId="19" xfId="0" applyNumberFormat="1" applyFont="1" applyBorder="1" applyAlignment="1">
      <alignment wrapText="1"/>
    </xf>
    <xf numFmtId="0" fontId="24" fillId="0" borderId="20" xfId="0" applyFont="1" applyFill="1" applyBorder="1" applyAlignment="1">
      <alignment wrapText="1"/>
    </xf>
    <xf numFmtId="1" fontId="2" fillId="0" borderId="21" xfId="0" applyNumberFormat="1" applyFont="1" applyBorder="1" applyAlignment="1">
      <alignment horizontal="left"/>
    </xf>
    <xf numFmtId="0" fontId="2" fillId="0" borderId="22" xfId="0" applyFont="1" applyBorder="1" applyAlignment="1">
      <alignment wrapText="1"/>
    </xf>
    <xf numFmtId="0" fontId="2" fillId="0" borderId="22" xfId="0" applyNumberFormat="1" applyFont="1" applyBorder="1" applyAlignment="1">
      <alignment wrapText="1"/>
    </xf>
    <xf numFmtId="44" fontId="2" fillId="0" borderId="23" xfId="0" applyNumberFormat="1" applyFont="1" applyBorder="1" applyAlignment="1">
      <alignment wrapText="1"/>
    </xf>
    <xf numFmtId="0" fontId="24" fillId="0" borderId="24" xfId="0" applyFont="1" applyFill="1" applyBorder="1" applyAlignment="1">
      <alignment wrapText="1"/>
    </xf>
    <xf numFmtId="1" fontId="2" fillId="0" borderId="25" xfId="0" applyNumberFormat="1" applyFont="1" applyBorder="1" applyAlignment="1">
      <alignment horizontal="left"/>
    </xf>
    <xf numFmtId="0" fontId="2" fillId="0" borderId="26" xfId="0" applyFont="1" applyBorder="1" applyAlignment="1">
      <alignment wrapText="1"/>
    </xf>
    <xf numFmtId="0" fontId="2" fillId="0" borderId="26" xfId="0" applyNumberFormat="1" applyFont="1" applyBorder="1" applyAlignment="1">
      <alignment wrapText="1"/>
    </xf>
    <xf numFmtId="44" fontId="2" fillId="0" borderId="27" xfId="0" applyNumberFormat="1" applyFont="1" applyBorder="1" applyAlignment="1">
      <alignment wrapText="1"/>
    </xf>
    <xf numFmtId="0" fontId="23" fillId="0" borderId="0" xfId="0" applyFont="1" applyBorder="1" applyAlignment="1">
      <alignment wrapText="1"/>
    </xf>
    <xf numFmtId="0" fontId="9" fillId="0" borderId="9" xfId="0" applyFont="1" applyFill="1" applyBorder="1" applyAlignment="1">
      <alignment wrapText="1"/>
    </xf>
    <xf numFmtId="0" fontId="2" fillId="0" borderId="9" xfId="0" applyFont="1" applyFill="1" applyBorder="1" applyAlignment="1">
      <alignment wrapText="1"/>
    </xf>
    <xf numFmtId="0" fontId="13" fillId="0" borderId="0" xfId="0" applyFont="1" applyAlignment="1">
      <alignment horizontal="left"/>
    </xf>
    <xf numFmtId="0" fontId="9" fillId="0" borderId="12" xfId="0" applyFont="1" applyBorder="1" applyAlignment="1">
      <alignment wrapText="1"/>
    </xf>
    <xf numFmtId="165" fontId="2" fillId="0" borderId="12" xfId="0" applyNumberFormat="1" applyFont="1" applyFill="1" applyBorder="1" applyAlignment="1">
      <alignment wrapText="1"/>
    </xf>
    <xf numFmtId="0" fontId="10" fillId="0" borderId="12" xfId="0" applyFont="1" applyFill="1" applyBorder="1" applyAlignment="1">
      <alignment wrapText="1"/>
    </xf>
    <xf numFmtId="0" fontId="23" fillId="0" borderId="0" xfId="0" applyFont="1" applyFill="1" applyAlignment="1">
      <alignment wrapText="1"/>
    </xf>
    <xf numFmtId="165" fontId="2" fillId="0" borderId="0" xfId="0" applyNumberFormat="1" applyFont="1" applyFill="1" applyBorder="1" applyAlignment="1">
      <alignment wrapText="1"/>
    </xf>
    <xf numFmtId="2" fontId="2" fillId="7" borderId="28" xfId="0" applyNumberFormat="1" applyFont="1" applyFill="1" applyBorder="1" applyAlignment="1">
      <alignment wrapText="1"/>
    </xf>
    <xf numFmtId="0" fontId="13" fillId="0" borderId="0" xfId="0" applyFont="1" applyAlignment="1"/>
    <xf numFmtId="0" fontId="17" fillId="0" borderId="0" xfId="0" applyFont="1" applyAlignment="1">
      <alignment wrapText="1"/>
    </xf>
    <xf numFmtId="0" fontId="2" fillId="6" borderId="1" xfId="0" applyFont="1" applyFill="1" applyBorder="1" applyAlignment="1">
      <alignment wrapText="1"/>
    </xf>
    <xf numFmtId="0" fontId="9" fillId="6" borderId="0" xfId="0" applyNumberFormat="1" applyFont="1" applyFill="1" applyBorder="1" applyAlignment="1">
      <alignment wrapText="1"/>
    </xf>
    <xf numFmtId="0" fontId="9" fillId="6" borderId="2" xfId="0" applyNumberFormat="1" applyFont="1" applyFill="1" applyBorder="1" applyAlignment="1">
      <alignment wrapText="1"/>
    </xf>
    <xf numFmtId="0" fontId="2" fillId="6" borderId="2" xfId="0" applyFont="1" applyFill="1" applyBorder="1" applyAlignment="1">
      <alignment wrapText="1"/>
    </xf>
    <xf numFmtId="0" fontId="0" fillId="0" borderId="0" xfId="0" applyFill="1" applyAlignment="1">
      <alignment wrapText="1"/>
    </xf>
    <xf numFmtId="0" fontId="0" fillId="0" borderId="0" xfId="0" applyFill="1"/>
    <xf numFmtId="0" fontId="2" fillId="5" borderId="0" xfId="0" applyFont="1" applyFill="1" applyBorder="1" applyAlignment="1">
      <alignment wrapText="1"/>
    </xf>
    <xf numFmtId="0" fontId="2" fillId="5" borderId="1" xfId="0" applyFont="1" applyFill="1" applyBorder="1" applyAlignment="1">
      <alignment wrapText="1"/>
    </xf>
    <xf numFmtId="0" fontId="2" fillId="5" borderId="2" xfId="0" applyFont="1" applyFill="1" applyBorder="1" applyAlignment="1">
      <alignment wrapText="1"/>
    </xf>
    <xf numFmtId="0" fontId="9" fillId="5" borderId="0" xfId="0" applyFont="1" applyFill="1" applyBorder="1" applyAlignment="1">
      <alignment wrapText="1"/>
    </xf>
    <xf numFmtId="10" fontId="2" fillId="0" borderId="0" xfId="72" applyNumberFormat="1" applyFont="1" applyAlignment="1">
      <alignment wrapText="1"/>
    </xf>
    <xf numFmtId="0" fontId="2" fillId="39" borderId="1" xfId="0" applyFont="1" applyFill="1" applyBorder="1" applyAlignment="1">
      <alignment wrapText="1"/>
    </xf>
    <xf numFmtId="0" fontId="2" fillId="39" borderId="2" xfId="0" applyFont="1" applyFill="1" applyBorder="1" applyAlignment="1">
      <alignment wrapText="1"/>
    </xf>
    <xf numFmtId="0" fontId="2" fillId="39" borderId="0" xfId="0" applyFont="1" applyFill="1" applyAlignment="1">
      <alignment wrapText="1"/>
    </xf>
    <xf numFmtId="0" fontId="9" fillId="39" borderId="2" xfId="0" applyFont="1" applyFill="1" applyBorder="1" applyAlignment="1">
      <alignment wrapText="1"/>
    </xf>
    <xf numFmtId="0" fontId="51" fillId="0" borderId="0" xfId="0" applyFont="1" applyFill="1" applyBorder="1" applyAlignment="1"/>
    <xf numFmtId="44" fontId="2" fillId="39" borderId="2" xfId="0" applyNumberFormat="1" applyFont="1" applyFill="1" applyBorder="1" applyAlignment="1">
      <alignment wrapText="1"/>
    </xf>
    <xf numFmtId="49" fontId="20" fillId="39" borderId="0" xfId="69" applyNumberFormat="1" applyFont="1" applyFill="1" applyBorder="1" applyAlignment="1">
      <alignment wrapText="1"/>
    </xf>
    <xf numFmtId="49" fontId="20" fillId="39" borderId="1" xfId="69" applyNumberFormat="1" applyFont="1" applyFill="1" applyBorder="1" applyAlignment="1">
      <alignment wrapText="1"/>
    </xf>
    <xf numFmtId="0" fontId="9" fillId="0" borderId="0" xfId="64" applyFont="1" applyAlignment="1">
      <alignment wrapText="1"/>
    </xf>
    <xf numFmtId="0" fontId="52" fillId="2" borderId="6" xfId="64" applyFont="1" applyFill="1" applyBorder="1" applyAlignment="1">
      <alignment wrapText="1"/>
    </xf>
    <xf numFmtId="44" fontId="53" fillId="0" borderId="0" xfId="64" applyNumberFormat="1" applyFont="1" applyAlignment="1">
      <alignment wrapText="1"/>
    </xf>
    <xf numFmtId="44" fontId="54" fillId="0" borderId="0" xfId="64" applyNumberFormat="1" applyFont="1" applyAlignment="1">
      <alignment wrapText="1"/>
    </xf>
    <xf numFmtId="44" fontId="9" fillId="0" borderId="2" xfId="64" applyNumberFormat="1" applyFont="1" applyBorder="1" applyAlignment="1">
      <alignment wrapText="1"/>
    </xf>
    <xf numFmtId="44" fontId="9" fillId="0" borderId="2" xfId="64" applyNumberFormat="1" applyFont="1" applyFill="1" applyBorder="1" applyAlignment="1">
      <alignment wrapText="1"/>
    </xf>
    <xf numFmtId="44" fontId="9" fillId="0" borderId="4" xfId="64" applyNumberFormat="1" applyFont="1" applyBorder="1" applyAlignment="1">
      <alignment wrapText="1"/>
    </xf>
    <xf numFmtId="44" fontId="9" fillId="39" borderId="2" xfId="64" applyNumberFormat="1" applyFont="1" applyFill="1" applyBorder="1" applyAlignment="1">
      <alignment wrapText="1"/>
    </xf>
    <xf numFmtId="0" fontId="9" fillId="2" borderId="15" xfId="64" applyFont="1" applyFill="1" applyBorder="1" applyAlignment="1">
      <alignment wrapText="1"/>
    </xf>
    <xf numFmtId="0" fontId="16" fillId="0" borderId="0" xfId="64" applyFont="1" applyAlignment="1">
      <alignment horizontal="left"/>
    </xf>
    <xf numFmtId="17" fontId="9" fillId="0" borderId="0" xfId="0" applyNumberFormat="1" applyFont="1"/>
    <xf numFmtId="0" fontId="0" fillId="0" borderId="0" xfId="0" applyFill="1" applyBorder="1"/>
    <xf numFmtId="10" fontId="2" fillId="0" borderId="0" xfId="0" applyNumberFormat="1" applyFont="1" applyFill="1" applyBorder="1" applyAlignment="1">
      <alignment wrapText="1"/>
    </xf>
    <xf numFmtId="10" fontId="2" fillId="0" borderId="0" xfId="0" applyNumberFormat="1" applyFont="1" applyFill="1" applyBorder="1"/>
    <xf numFmtId="0" fontId="2" fillId="0" borderId="0" xfId="0" applyFont="1" applyFill="1" applyBorder="1" applyAlignment="1">
      <alignment horizontal="center" wrapText="1"/>
    </xf>
    <xf numFmtId="0" fontId="29" fillId="0" borderId="12" xfId="0" applyFont="1" applyBorder="1" applyAlignment="1">
      <alignment wrapText="1"/>
    </xf>
    <xf numFmtId="167" fontId="29" fillId="0" borderId="12" xfId="44" applyNumberFormat="1" applyFont="1" applyBorder="1" applyAlignment="1">
      <alignment wrapText="1"/>
    </xf>
    <xf numFmtId="0" fontId="10" fillId="0" borderId="12" xfId="0" applyFont="1" applyBorder="1" applyAlignment="1">
      <alignment wrapText="1"/>
    </xf>
    <xf numFmtId="44" fontId="10" fillId="0" borderId="12" xfId="44" applyFont="1" applyBorder="1" applyAlignment="1">
      <alignment wrapText="1"/>
    </xf>
    <xf numFmtId="170" fontId="2" fillId="0" borderId="0" xfId="0" applyNumberFormat="1" applyFont="1" applyAlignment="1">
      <alignment wrapText="1"/>
    </xf>
    <xf numFmtId="0" fontId="3" fillId="0" borderId="0" xfId="64" applyFont="1"/>
    <xf numFmtId="0" fontId="4" fillId="0" borderId="0" xfId="64"/>
    <xf numFmtId="2" fontId="2" fillId="3" borderId="6" xfId="0" applyNumberFormat="1" applyFont="1" applyFill="1" applyBorder="1"/>
    <xf numFmtId="2" fontId="2" fillId="3" borderId="2" xfId="0" applyNumberFormat="1" applyFont="1" applyFill="1" applyBorder="1"/>
    <xf numFmtId="2" fontId="2" fillId="3" borderId="4" xfId="0" applyNumberFormat="1" applyFont="1" applyFill="1" applyBorder="1"/>
    <xf numFmtId="0" fontId="2" fillId="2" borderId="1" xfId="0" applyFont="1" applyFill="1" applyBorder="1"/>
    <xf numFmtId="0" fontId="2" fillId="2" borderId="2" xfId="0" applyFont="1" applyFill="1" applyBorder="1"/>
    <xf numFmtId="0" fontId="0" fillId="0" borderId="0" xfId="0" applyAlignment="1">
      <alignment wrapText="1"/>
    </xf>
    <xf numFmtId="0" fontId="2" fillId="0" borderId="12" xfId="0" applyFont="1" applyBorder="1" applyAlignment="1">
      <alignment wrapText="1"/>
    </xf>
    <xf numFmtId="0" fontId="2" fillId="0" borderId="5" xfId="0" applyFont="1" applyFill="1" applyBorder="1" applyAlignment="1">
      <alignment wrapText="1"/>
    </xf>
    <xf numFmtId="0" fontId="2" fillId="3" borderId="6" xfId="0" applyFont="1" applyFill="1" applyBorder="1" applyAlignment="1">
      <alignment wrapText="1"/>
    </xf>
    <xf numFmtId="2" fontId="2" fillId="3" borderId="2" xfId="0" applyNumberFormat="1" applyFont="1" applyFill="1" applyBorder="1" applyAlignment="1">
      <alignment wrapText="1"/>
    </xf>
    <xf numFmtId="0" fontId="2" fillId="3" borderId="2" xfId="0" applyFont="1" applyFill="1" applyBorder="1" applyAlignment="1">
      <alignment wrapText="1"/>
    </xf>
    <xf numFmtId="165" fontId="2" fillId="0" borderId="4" xfId="0" applyNumberFormat="1" applyFont="1" applyFill="1" applyBorder="1" applyAlignment="1">
      <alignment wrapText="1"/>
    </xf>
    <xf numFmtId="9" fontId="2" fillId="4" borderId="8" xfId="0" applyNumberFormat="1" applyFont="1" applyFill="1" applyBorder="1" applyAlignment="1">
      <alignment wrapText="1"/>
    </xf>
    <xf numFmtId="9" fontId="2" fillId="4" borderId="0" xfId="0" applyNumberFormat="1" applyFont="1" applyFill="1" applyBorder="1" applyAlignment="1">
      <alignment wrapText="1"/>
    </xf>
    <xf numFmtId="9" fontId="2" fillId="4" borderId="7" xfId="0" applyNumberFormat="1" applyFont="1" applyFill="1" applyBorder="1" applyAlignment="1">
      <alignment wrapText="1"/>
    </xf>
    <xf numFmtId="168" fontId="29" fillId="4" borderId="0" xfId="28" applyNumberFormat="1" applyFont="1" applyFill="1" applyAlignment="1">
      <alignment wrapText="1"/>
    </xf>
    <xf numFmtId="2" fontId="29" fillId="0" borderId="0" xfId="0" applyNumberFormat="1" applyFont="1" applyFill="1" applyAlignment="1">
      <alignment wrapText="1"/>
    </xf>
    <xf numFmtId="0" fontId="29" fillId="0" borderId="0" xfId="0" applyFont="1" applyFill="1" applyAlignment="1">
      <alignment wrapText="1"/>
    </xf>
    <xf numFmtId="0" fontId="2" fillId="41" borderId="0" xfId="0" applyFont="1" applyFill="1" applyAlignment="1">
      <alignment wrapText="1"/>
    </xf>
    <xf numFmtId="165" fontId="2" fillId="41" borderId="0" xfId="0" applyNumberFormat="1" applyFont="1" applyFill="1" applyAlignment="1">
      <alignment wrapText="1"/>
    </xf>
    <xf numFmtId="4" fontId="2" fillId="41" borderId="0" xfId="0" applyNumberFormat="1" applyFont="1" applyFill="1" applyAlignment="1">
      <alignment wrapText="1"/>
    </xf>
    <xf numFmtId="44" fontId="2" fillId="0" borderId="7" xfId="40" applyFont="1" applyBorder="1"/>
    <xf numFmtId="0" fontId="2" fillId="0" borderId="0" xfId="0" applyFont="1" applyFill="1" applyBorder="1" applyAlignment="1">
      <alignment horizontal="right" wrapText="1"/>
    </xf>
    <xf numFmtId="0" fontId="10" fillId="0" borderId="0" xfId="0" applyFont="1"/>
    <xf numFmtId="0" fontId="3" fillId="0" borderId="0" xfId="0" applyFont="1"/>
    <xf numFmtId="44" fontId="10" fillId="0" borderId="6" xfId="40" applyFont="1" applyFill="1" applyBorder="1" applyAlignment="1">
      <alignment wrapText="1"/>
    </xf>
    <xf numFmtId="44" fontId="10" fillId="0" borderId="2" xfId="40" applyFont="1" applyFill="1" applyBorder="1" applyAlignment="1">
      <alignment wrapText="1"/>
    </xf>
    <xf numFmtId="0" fontId="2" fillId="0" borderId="12" xfId="0" applyFont="1" applyFill="1" applyBorder="1" applyAlignment="1">
      <alignment wrapText="1"/>
    </xf>
    <xf numFmtId="9" fontId="2" fillId="0" borderId="12" xfId="0" applyNumberFormat="1" applyFont="1" applyFill="1" applyBorder="1" applyAlignment="1">
      <alignment wrapText="1"/>
    </xf>
    <xf numFmtId="10" fontId="2" fillId="0" borderId="12" xfId="72" applyNumberFormat="1" applyFont="1" applyFill="1" applyBorder="1" applyAlignment="1">
      <alignment wrapText="1"/>
    </xf>
    <xf numFmtId="0" fontId="2" fillId="0" borderId="11" xfId="0" applyFont="1" applyFill="1" applyBorder="1" applyAlignment="1">
      <alignment wrapText="1"/>
    </xf>
    <xf numFmtId="0" fontId="2" fillId="0" borderId="12" xfId="0" applyFont="1" applyFill="1" applyBorder="1" applyAlignment="1">
      <alignment horizontal="center" wrapText="1"/>
    </xf>
    <xf numFmtId="0" fontId="9" fillId="0" borderId="12" xfId="0" applyFont="1" applyFill="1" applyBorder="1" applyAlignment="1">
      <alignment horizontal="center" wrapText="1"/>
    </xf>
    <xf numFmtId="10" fontId="2" fillId="0" borderId="12" xfId="0" applyNumberFormat="1" applyFont="1" applyFill="1" applyBorder="1" applyAlignment="1">
      <alignment wrapText="1"/>
    </xf>
    <xf numFmtId="169" fontId="2" fillId="0" borderId="12" xfId="0" applyNumberFormat="1" applyFont="1" applyFill="1" applyBorder="1" applyAlignment="1">
      <alignment wrapText="1"/>
    </xf>
    <xf numFmtId="0" fontId="4" fillId="0" borderId="12" xfId="64" applyBorder="1"/>
    <xf numFmtId="0" fontId="37" fillId="0" borderId="12" xfId="67" applyFont="1" applyBorder="1" applyAlignment="1">
      <alignment vertical="top"/>
    </xf>
    <xf numFmtId="0" fontId="56" fillId="0" borderId="12" xfId="67" applyFont="1" applyBorder="1" applyAlignment="1">
      <alignment vertical="top"/>
    </xf>
    <xf numFmtId="0" fontId="3" fillId="0" borderId="12" xfId="64" applyFont="1" applyBorder="1"/>
    <xf numFmtId="0" fontId="4" fillId="0" borderId="12" xfId="64" applyFont="1" applyBorder="1"/>
    <xf numFmtId="44" fontId="0" fillId="0" borderId="12" xfId="42" applyFont="1" applyBorder="1"/>
    <xf numFmtId="44" fontId="4" fillId="0" borderId="12" xfId="42" applyFont="1" applyFill="1" applyBorder="1"/>
    <xf numFmtId="10" fontId="4" fillId="0" borderId="12" xfId="64" applyNumberFormat="1" applyBorder="1"/>
    <xf numFmtId="0" fontId="58" fillId="0" borderId="12" xfId="64" applyFont="1" applyBorder="1"/>
    <xf numFmtId="44" fontId="58" fillId="0" borderId="12" xfId="42" applyFont="1" applyBorder="1"/>
    <xf numFmtId="44" fontId="55" fillId="0" borderId="12" xfId="64" applyNumberFormat="1" applyFont="1" applyBorder="1"/>
    <xf numFmtId="10" fontId="37" fillId="0" borderId="12" xfId="63" applyNumberFormat="1" applyFont="1" applyBorder="1"/>
    <xf numFmtId="10" fontId="37" fillId="40" borderId="12" xfId="82" applyNumberFormat="1" applyFont="1" applyFill="1" applyBorder="1"/>
    <xf numFmtId="9" fontId="9" fillId="0" borderId="0" xfId="72" applyNumberFormat="1" applyFont="1" applyFill="1" applyBorder="1" applyAlignment="1">
      <alignment wrapText="1"/>
    </xf>
    <xf numFmtId="44" fontId="9" fillId="0" borderId="5" xfId="40" applyFont="1" applyFill="1" applyBorder="1" applyAlignment="1">
      <alignment wrapText="1"/>
    </xf>
    <xf numFmtId="44" fontId="9" fillId="0" borderId="0" xfId="0" applyNumberFormat="1" applyFont="1" applyFill="1" applyBorder="1" applyAlignment="1">
      <alignment wrapText="1"/>
    </xf>
    <xf numFmtId="44" fontId="9" fillId="0" borderId="1" xfId="40" applyFont="1" applyFill="1" applyBorder="1" applyAlignment="1">
      <alignment wrapText="1"/>
    </xf>
    <xf numFmtId="0" fontId="9" fillId="0" borderId="0" xfId="0" applyFont="1" applyFill="1" applyAlignment="1">
      <alignment wrapText="1"/>
    </xf>
    <xf numFmtId="9" fontId="9" fillId="0" borderId="7" xfId="72" applyNumberFormat="1" applyFont="1" applyFill="1" applyBorder="1" applyAlignment="1">
      <alignment wrapText="1"/>
    </xf>
    <xf numFmtId="0" fontId="9" fillId="0" borderId="0" xfId="0" applyFont="1" applyFill="1" applyAlignment="1">
      <alignment horizontal="right" wrapText="1"/>
    </xf>
    <xf numFmtId="9" fontId="9" fillId="0" borderId="0" xfId="72" applyNumberFormat="1" applyFont="1" applyFill="1" applyAlignment="1">
      <alignment wrapText="1"/>
    </xf>
    <xf numFmtId="10" fontId="9" fillId="0" borderId="0" xfId="72" applyNumberFormat="1" applyFont="1" applyFill="1" applyAlignment="1">
      <alignment wrapText="1"/>
    </xf>
    <xf numFmtId="164" fontId="9" fillId="0" borderId="0" xfId="72" applyNumberFormat="1" applyFont="1" applyFill="1" applyAlignment="1">
      <alignment wrapText="1"/>
    </xf>
    <xf numFmtId="0" fontId="10" fillId="0" borderId="0" xfId="0" applyFont="1" applyFill="1" applyAlignment="1">
      <alignment wrapText="1"/>
    </xf>
    <xf numFmtId="0" fontId="9" fillId="0" borderId="0" xfId="0" applyFont="1" applyFill="1"/>
    <xf numFmtId="0" fontId="9" fillId="0" borderId="0" xfId="0" applyFont="1" applyFill="1" applyAlignment="1">
      <alignment horizontal="right"/>
    </xf>
    <xf numFmtId="9" fontId="9" fillId="0" borderId="0" xfId="72" applyNumberFormat="1" applyFont="1" applyFill="1"/>
    <xf numFmtId="10" fontId="9" fillId="0" borderId="0" xfId="72" applyNumberFormat="1" applyFont="1" applyFill="1"/>
    <xf numFmtId="164" fontId="9" fillId="0" borderId="0" xfId="72" applyNumberFormat="1" applyFont="1" applyFill="1"/>
    <xf numFmtId="0" fontId="10" fillId="0" borderId="0" xfId="0" applyFont="1" applyFill="1"/>
    <xf numFmtId="0" fontId="10" fillId="0" borderId="0" xfId="0" applyFont="1" applyFill="1" applyAlignment="1"/>
    <xf numFmtId="44" fontId="9" fillId="0" borderId="3" xfId="40" applyFont="1" applyFill="1" applyBorder="1" applyAlignment="1">
      <alignment wrapText="1"/>
    </xf>
    <xf numFmtId="44" fontId="10" fillId="0" borderId="4" xfId="40" applyFont="1" applyFill="1" applyBorder="1" applyAlignment="1">
      <alignment wrapText="1"/>
    </xf>
    <xf numFmtId="0" fontId="2" fillId="0" borderId="10" xfId="0" applyFont="1" applyFill="1" applyBorder="1" applyAlignment="1">
      <alignment wrapText="1"/>
    </xf>
    <xf numFmtId="6" fontId="2" fillId="0" borderId="12" xfId="0" applyNumberFormat="1" applyFont="1" applyBorder="1" applyAlignment="1">
      <alignment wrapText="1"/>
    </xf>
    <xf numFmtId="8" fontId="2" fillId="0" borderId="12" xfId="0" applyNumberFormat="1" applyFont="1" applyBorder="1" applyAlignment="1">
      <alignment wrapText="1"/>
    </xf>
    <xf numFmtId="0" fontId="2" fillId="0" borderId="12" xfId="0" applyFont="1" applyBorder="1" applyAlignment="1">
      <alignment horizontal="left" wrapText="1"/>
    </xf>
    <xf numFmtId="168" fontId="2" fillId="0" borderId="12" xfId="28" applyNumberFormat="1" applyFont="1" applyBorder="1" applyAlignment="1">
      <alignment wrapText="1"/>
    </xf>
    <xf numFmtId="0" fontId="2" fillId="0" borderId="0" xfId="0" applyFont="1" applyFill="1" applyAlignment="1">
      <alignment wrapText="1"/>
    </xf>
    <xf numFmtId="0" fontId="0" fillId="0" borderId="0" xfId="0" applyFill="1" applyAlignment="1">
      <alignment wrapText="1"/>
    </xf>
    <xf numFmtId="0" fontId="10" fillId="0" borderId="0" xfId="0" applyFont="1" applyAlignment="1">
      <alignment wrapText="1"/>
    </xf>
    <xf numFmtId="8" fontId="2" fillId="0" borderId="0" xfId="0" applyNumberFormat="1" applyFont="1" applyAlignment="1">
      <alignment wrapText="1"/>
    </xf>
    <xf numFmtId="0" fontId="3" fillId="39" borderId="12" xfId="0" applyFont="1" applyFill="1" applyBorder="1"/>
    <xf numFmtId="0" fontId="10" fillId="39" borderId="12" xfId="0" applyFont="1" applyFill="1" applyBorder="1" applyAlignment="1">
      <alignment wrapText="1"/>
    </xf>
    <xf numFmtId="0" fontId="10" fillId="2" borderId="12" xfId="0" applyFont="1" applyFill="1" applyBorder="1" applyAlignment="1">
      <alignment horizontal="center" wrapText="1"/>
    </xf>
    <xf numFmtId="0" fontId="60" fillId="0" borderId="12" xfId="0" applyFont="1" applyFill="1" applyBorder="1" applyAlignment="1">
      <alignment wrapText="1"/>
    </xf>
    <xf numFmtId="0" fontId="60" fillId="0" borderId="12" xfId="0" applyNumberFormat="1" applyFont="1" applyFill="1" applyBorder="1" applyAlignment="1">
      <alignment wrapText="1"/>
    </xf>
    <xf numFmtId="165" fontId="60" fillId="0" borderId="12" xfId="0" applyNumberFormat="1" applyFont="1" applyFill="1" applyBorder="1" applyAlignment="1">
      <alignment wrapText="1"/>
    </xf>
    <xf numFmtId="165" fontId="61" fillId="0" borderId="12" xfId="0" applyNumberFormat="1" applyFont="1" applyFill="1" applyBorder="1" applyAlignment="1">
      <alignment wrapText="1"/>
    </xf>
    <xf numFmtId="0" fontId="60" fillId="0" borderId="12" xfId="0" applyFont="1" applyFill="1" applyBorder="1"/>
    <xf numFmtId="0" fontId="60" fillId="0" borderId="12" xfId="0" applyFont="1" applyBorder="1"/>
    <xf numFmtId="171" fontId="0" fillId="0" borderId="0" xfId="72" applyNumberFormat="1" applyFont="1"/>
    <xf numFmtId="0" fontId="0" fillId="0" borderId="12" xfId="0" applyBorder="1"/>
    <xf numFmtId="9" fontId="0" fillId="0" borderId="12" xfId="0" applyNumberFormat="1" applyBorder="1"/>
    <xf numFmtId="0" fontId="2" fillId="0" borderId="8" xfId="40" applyNumberFormat="1" applyFont="1" applyBorder="1"/>
    <xf numFmtId="0" fontId="2" fillId="0" borderId="0" xfId="40" applyNumberFormat="1" applyFont="1" applyBorder="1"/>
    <xf numFmtId="0" fontId="2" fillId="0" borderId="0" xfId="40" applyNumberFormat="1" applyFont="1" applyFill="1" applyBorder="1"/>
    <xf numFmtId="0" fontId="2" fillId="0" borderId="0" xfId="0" applyNumberFormat="1" applyFont="1" applyFill="1" applyBorder="1" applyAlignment="1">
      <alignment wrapText="1"/>
    </xf>
    <xf numFmtId="0" fontId="2" fillId="0" borderId="0" xfId="0" applyNumberFormat="1" applyFont="1" applyBorder="1" applyAlignment="1">
      <alignment wrapText="1"/>
    </xf>
    <xf numFmtId="0" fontId="2" fillId="0" borderId="7" xfId="0" applyNumberFormat="1" applyFont="1" applyBorder="1" applyAlignment="1">
      <alignment wrapText="1"/>
    </xf>
    <xf numFmtId="10" fontId="4" fillId="0" borderId="0" xfId="64" applyNumberFormat="1"/>
    <xf numFmtId="44" fontId="9" fillId="0" borderId="8" xfId="0" applyNumberFormat="1" applyFont="1" applyFill="1" applyBorder="1" applyAlignment="1">
      <alignment wrapText="1"/>
    </xf>
    <xf numFmtId="10" fontId="2" fillId="0" borderId="0" xfId="72" applyNumberFormat="1" applyFont="1" applyFill="1" applyBorder="1" applyAlignment="1">
      <alignment wrapText="1"/>
    </xf>
    <xf numFmtId="10" fontId="0" fillId="0" borderId="0" xfId="0" applyNumberFormat="1" applyFill="1" applyAlignment="1">
      <alignment wrapText="1"/>
    </xf>
    <xf numFmtId="0" fontId="1" fillId="0" borderId="0" xfId="0" applyFont="1" applyAlignment="1">
      <alignment wrapText="1"/>
    </xf>
    <xf numFmtId="0" fontId="9" fillId="0" borderId="0" xfId="0" applyFont="1" applyAlignment="1">
      <alignment wrapText="1"/>
    </xf>
    <xf numFmtId="0" fontId="0" fillId="0" borderId="0" xfId="0" applyAlignment="1">
      <alignment wrapText="1"/>
    </xf>
    <xf numFmtId="0" fontId="2" fillId="0" borderId="12" xfId="0" applyFont="1" applyBorder="1" applyAlignment="1">
      <alignment horizontal="left" wrapText="1"/>
    </xf>
    <xf numFmtId="0" fontId="2" fillId="0" borderId="0" xfId="0" applyFont="1" applyFill="1" applyAlignment="1">
      <alignment wrapText="1"/>
    </xf>
    <xf numFmtId="0" fontId="0" fillId="0" borderId="0" xfId="0" applyFill="1" applyAlignment="1">
      <alignment wrapText="1"/>
    </xf>
    <xf numFmtId="0" fontId="23"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2" fillId="0" borderId="8"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9" fillId="0" borderId="9" xfId="0" applyFont="1" applyBorder="1" applyAlignment="1">
      <alignment wrapText="1"/>
    </xf>
    <xf numFmtId="0" fontId="7" fillId="0" borderId="0" xfId="0" applyFont="1" applyFill="1" applyAlignment="1">
      <alignment horizontal="center" vertical="center"/>
    </xf>
    <xf numFmtId="0" fontId="2" fillId="0" borderId="0" xfId="0" applyFont="1" applyAlignment="1">
      <alignment wrapText="1"/>
    </xf>
    <xf numFmtId="0" fontId="7" fillId="0" borderId="0" xfId="0" applyFont="1" applyFill="1" applyAlignment="1">
      <alignment horizontal="center" vertical="center" wrapText="1"/>
    </xf>
    <xf numFmtId="0" fontId="10" fillId="0" borderId="0" xfId="0" applyFont="1" applyFill="1" applyBorder="1" applyAlignment="1">
      <alignment wrapText="1"/>
    </xf>
    <xf numFmtId="0" fontId="22" fillId="0" borderId="0" xfId="0" applyFont="1" applyAlignment="1">
      <alignment wrapText="1"/>
    </xf>
    <xf numFmtId="0" fontId="5" fillId="0" borderId="0" xfId="0" applyFont="1" applyAlignment="1">
      <alignment wrapText="1"/>
    </xf>
    <xf numFmtId="0" fontId="21" fillId="0" borderId="7" xfId="0" applyFont="1" applyBorder="1" applyAlignment="1">
      <alignment wrapText="1"/>
    </xf>
    <xf numFmtId="0" fontId="0" fillId="0" borderId="7" xfId="0" applyBorder="1" applyAlignment="1">
      <alignment wrapText="1"/>
    </xf>
    <xf numFmtId="0" fontId="6" fillId="0" borderId="0" xfId="0" applyFont="1" applyFill="1" applyBorder="1" applyAlignment="1">
      <alignment wrapText="1"/>
    </xf>
    <xf numFmtId="0" fontId="3" fillId="0" borderId="0" xfId="0" applyFont="1" applyAlignment="1">
      <alignment wrapText="1"/>
    </xf>
    <xf numFmtId="0" fontId="9" fillId="0" borderId="1" xfId="64" applyFont="1" applyBorder="1" applyAlignment="1">
      <alignment horizontal="center" wrapText="1"/>
    </xf>
    <xf numFmtId="0" fontId="9" fillId="0" borderId="0" xfId="64" applyFont="1" applyAlignment="1">
      <alignment horizontal="center" wrapText="1"/>
    </xf>
    <xf numFmtId="0" fontId="57" fillId="0" borderId="0" xfId="0" applyFont="1" applyAlignment="1">
      <alignment horizontal="center" wrapText="1"/>
    </xf>
    <xf numFmtId="164" fontId="10" fillId="2" borderId="6" xfId="72" applyNumberFormat="1" applyFont="1" applyFill="1" applyBorder="1" applyAlignment="1">
      <alignment wrapText="1"/>
    </xf>
    <xf numFmtId="0" fontId="9" fillId="0" borderId="2" xfId="0" applyFont="1" applyBorder="1" applyAlignment="1">
      <alignment wrapText="1"/>
    </xf>
    <xf numFmtId="0" fontId="9" fillId="0" borderId="4" xfId="0" applyFont="1" applyBorder="1" applyAlignment="1">
      <alignment wrapText="1"/>
    </xf>
    <xf numFmtId="0" fontId="10" fillId="2" borderId="8" xfId="0" applyFont="1" applyFill="1" applyBorder="1" applyAlignment="1">
      <alignment wrapText="1"/>
    </xf>
    <xf numFmtId="0" fontId="9" fillId="0" borderId="7" xfId="0" applyFont="1" applyBorder="1" applyAlignment="1">
      <alignment wrapText="1"/>
    </xf>
    <xf numFmtId="10" fontId="10" fillId="2" borderId="8" xfId="72" applyNumberFormat="1" applyFont="1" applyFill="1" applyBorder="1" applyAlignment="1">
      <alignment wrapText="1"/>
    </xf>
    <xf numFmtId="0" fontId="10" fillId="2" borderId="10" xfId="0" applyFont="1" applyFill="1" applyBorder="1" applyAlignment="1">
      <alignment horizontal="center" wrapText="1"/>
    </xf>
    <xf numFmtId="0" fontId="10" fillId="2" borderId="9" xfId="0" applyFont="1" applyFill="1" applyBorder="1" applyAlignment="1">
      <alignment horizontal="center" wrapText="1"/>
    </xf>
    <xf numFmtId="0" fontId="10" fillId="2" borderId="11" xfId="0" applyFont="1" applyFill="1" applyBorder="1" applyAlignment="1">
      <alignment horizontal="center" wrapText="1"/>
    </xf>
    <xf numFmtId="0" fontId="10" fillId="2" borderId="6" xfId="0" applyFont="1" applyFill="1" applyBorder="1" applyAlignment="1">
      <alignment horizont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9" fontId="7" fillId="0" borderId="0" xfId="72" applyNumberFormat="1" applyFont="1" applyFill="1" applyAlignment="1">
      <alignment horizontal="center" vertical="center" wrapText="1"/>
    </xf>
    <xf numFmtId="0" fontId="12"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0" fillId="0" borderId="0" xfId="0" applyAlignment="1"/>
    <xf numFmtId="0" fontId="10" fillId="2" borderId="5" xfId="0" applyFont="1" applyFill="1" applyBorder="1" applyAlignment="1">
      <alignment wrapText="1"/>
    </xf>
    <xf numFmtId="0" fontId="9" fillId="0" borderId="1" xfId="0" applyFont="1" applyBorder="1" applyAlignment="1">
      <alignment wrapText="1"/>
    </xf>
    <xf numFmtId="0" fontId="9" fillId="0" borderId="3" xfId="0" applyFont="1" applyBorder="1" applyAlignment="1">
      <alignment wrapText="1"/>
    </xf>
    <xf numFmtId="9" fontId="10" fillId="2" borderId="8" xfId="72" applyNumberFormat="1" applyFont="1" applyFill="1" applyBorder="1" applyAlignment="1">
      <alignment horizontal="center" wrapText="1"/>
    </xf>
    <xf numFmtId="0" fontId="10" fillId="2" borderId="5" xfId="0" applyFont="1" applyFill="1" applyBorder="1" applyAlignment="1">
      <alignment horizontal="center" wrapText="1"/>
    </xf>
    <xf numFmtId="0" fontId="10" fillId="2" borderId="8" xfId="0" applyFont="1" applyFill="1" applyBorder="1" applyAlignment="1">
      <alignment horizontal="center" wrapText="1"/>
    </xf>
    <xf numFmtId="0" fontId="10" fillId="2" borderId="1" xfId="0" applyFont="1" applyFill="1" applyBorder="1" applyAlignment="1">
      <alignment horizontal="center" wrapText="1"/>
    </xf>
    <xf numFmtId="0" fontId="10" fillId="2" borderId="3" xfId="0" applyFont="1" applyFill="1" applyBorder="1" applyAlignment="1">
      <alignment horizontal="center" wrapText="1"/>
    </xf>
    <xf numFmtId="0" fontId="10" fillId="2" borderId="0" xfId="0" applyFont="1" applyFill="1" applyBorder="1" applyAlignment="1">
      <alignment horizontal="center" wrapText="1"/>
    </xf>
    <xf numFmtId="0" fontId="10" fillId="2" borderId="7" xfId="0" applyFont="1" applyFill="1" applyBorder="1" applyAlignment="1">
      <alignment horizontal="center" wrapText="1"/>
    </xf>
    <xf numFmtId="0" fontId="9" fillId="0" borderId="0" xfId="0" applyNumberFormat="1" applyFont="1" applyAlignment="1">
      <alignment wrapText="1"/>
    </xf>
    <xf numFmtId="0" fontId="8" fillId="0" borderId="0" xfId="0" applyFont="1" applyFill="1" applyAlignment="1">
      <alignment horizontal="center" vertical="center" wrapText="1"/>
    </xf>
    <xf numFmtId="0" fontId="59" fillId="0" borderId="13" xfId="0" applyFont="1" applyBorder="1" applyAlignment="1">
      <alignment horizontal="center" wrapText="1"/>
    </xf>
    <xf numFmtId="0" fontId="59" fillId="0" borderId="14" xfId="0" applyFont="1" applyBorder="1" applyAlignment="1">
      <alignment horizontal="center" wrapText="1"/>
    </xf>
    <xf numFmtId="0" fontId="59" fillId="0" borderId="15" xfId="0" applyFont="1" applyBorder="1" applyAlignment="1">
      <alignment horizontal="center" wrapText="1"/>
    </xf>
  </cellXfs>
  <cellStyles count="87">
    <cellStyle name="20% - Accent1 2" xfId="1"/>
    <cellStyle name="20% - Accent2 2" xfId="2"/>
    <cellStyle name="20% - Accent3 2" xfId="3"/>
    <cellStyle name="20% - Accent4 2" xfId="4"/>
    <cellStyle name="20% - Accent5" xfId="5" builtinId="46" customBuiltin="1"/>
    <cellStyle name="20% - Accent6" xfId="6" builtinId="50" customBuiltin="1"/>
    <cellStyle name="40% - Accent1" xfId="7" builtinId="31" customBuiltin="1"/>
    <cellStyle name="40% - Accent2" xfId="8" builtinId="35" customBuiltin="1"/>
    <cellStyle name="40% - Accent3 2" xfId="9"/>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2" xfId="15"/>
    <cellStyle name="60% - Accent4 2" xfId="16"/>
    <cellStyle name="60% - Accent5" xfId="17" builtinId="48" customBuiltin="1"/>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2 4" xfId="32"/>
    <cellStyle name="Comma 3" xfId="33"/>
    <cellStyle name="Comma 3 2" xfId="34"/>
    <cellStyle name="Comma 3 3" xfId="35"/>
    <cellStyle name="Comma 4" xfId="36"/>
    <cellStyle name="Comma 5" xfId="37"/>
    <cellStyle name="Comma 6" xfId="38"/>
    <cellStyle name="Comma 7" xfId="39"/>
    <cellStyle name="Currency" xfId="40" builtinId="4"/>
    <cellStyle name="Currency 2" xfId="41"/>
    <cellStyle name="Currency 3" xfId="42"/>
    <cellStyle name="Currency 3 2" xfId="43"/>
    <cellStyle name="Currency 3 3" xfId="44"/>
    <cellStyle name="Currency 3 4" xfId="45"/>
    <cellStyle name="Currency 4" xfId="46"/>
    <cellStyle name="Currency 4 2" xfId="47"/>
    <cellStyle name="Currency 4 3" xfId="48"/>
    <cellStyle name="Currency 5" xfId="49"/>
    <cellStyle name="Currency 6" xfId="50"/>
    <cellStyle name="Currency 7" xfId="51"/>
    <cellStyle name="Explanatory Text" xfId="52" builtinId="53" customBuiltin="1"/>
    <cellStyle name="Good" xfId="53" builtinId="26" customBuiltin="1"/>
    <cellStyle name="Heading 1" xfId="54" builtinId="16" customBuiltin="1"/>
    <cellStyle name="Heading 2" xfId="55" builtinId="17" customBuiltin="1"/>
    <cellStyle name="Heading 3" xfId="56" builtinId="18" customBuiltin="1"/>
    <cellStyle name="Heading 4" xfId="57" builtinId="19" customBuiltin="1"/>
    <cellStyle name="Input" xfId="58" builtinId="20" customBuiltin="1"/>
    <cellStyle name="Linked Cell" xfId="59" builtinId="24" customBuiltin="1"/>
    <cellStyle name="Neutral" xfId="60" builtinId="28" customBuiltin="1"/>
    <cellStyle name="Normal" xfId="0" builtinId="0"/>
    <cellStyle name="Normal 2" xfId="61"/>
    <cellStyle name="Normal 2 2" xfId="62"/>
    <cellStyle name="Normal 2 3" xfId="63"/>
    <cellStyle name="Normal 3" xfId="64"/>
    <cellStyle name="Normal 3 2" xfId="65"/>
    <cellStyle name="Normal 3 3" xfId="66"/>
    <cellStyle name="Normal 4" xfId="67"/>
    <cellStyle name="Normal 6" xfId="68"/>
    <cellStyle name="Normal_Sheet1" xfId="69"/>
    <cellStyle name="Note 2" xfId="70"/>
    <cellStyle name="Output" xfId="71" builtinId="21" customBuiltin="1"/>
    <cellStyle name="Percent" xfId="72" builtinId="5"/>
    <cellStyle name="Percent 2" xfId="73"/>
    <cellStyle name="Percent 2 2" xfId="74"/>
    <cellStyle name="Percent 2 3" xfId="75"/>
    <cellStyle name="Percent 2 4" xfId="76"/>
    <cellStyle name="Percent 3" xfId="77"/>
    <cellStyle name="Percent 3 2" xfId="78"/>
    <cellStyle name="Percent 3 3" xfId="79"/>
    <cellStyle name="Percent 4" xfId="80"/>
    <cellStyle name="Percent 5" xfId="81"/>
    <cellStyle name="Percent 5 2" xfId="82"/>
    <cellStyle name="Percent 6" xfId="83"/>
    <cellStyle name="Title" xfId="84" builtinId="15" customBuiltin="1"/>
    <cellStyle name="Total" xfId="85" builtinId="25" customBuiltin="1"/>
    <cellStyle name="Warning Text" xfId="86" builtinId="11" customBuiltin="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28575</xdr:rowOff>
    </xdr:from>
    <xdr:to>
      <xdr:col>4</xdr:col>
      <xdr:colOff>247650</xdr:colOff>
      <xdr:row>3</xdr:row>
      <xdr:rowOff>104775</xdr:rowOff>
    </xdr:to>
    <xdr:pic>
      <xdr:nvPicPr>
        <xdr:cNvPr id="934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600075</xdr:colOff>
      <xdr:row>0</xdr:row>
      <xdr:rowOff>19050</xdr:rowOff>
    </xdr:from>
    <xdr:to>
      <xdr:col>8</xdr:col>
      <xdr:colOff>0</xdr:colOff>
      <xdr:row>3</xdr:row>
      <xdr:rowOff>133350</xdr:rowOff>
    </xdr:to>
    <xdr:pic>
      <xdr:nvPicPr>
        <xdr:cNvPr id="63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9050"/>
          <a:ext cx="1514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2</xdr:col>
      <xdr:colOff>1895475</xdr:colOff>
      <xdr:row>3</xdr:row>
      <xdr:rowOff>123825</xdr:rowOff>
    </xdr:to>
    <xdr:pic>
      <xdr:nvPicPr>
        <xdr:cNvPr id="525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5" y="4762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876300</xdr:colOff>
      <xdr:row>0</xdr:row>
      <xdr:rowOff>9525</xdr:rowOff>
    </xdr:from>
    <xdr:to>
      <xdr:col>10</xdr:col>
      <xdr:colOff>1152525</xdr:colOff>
      <xdr:row>2</xdr:row>
      <xdr:rowOff>114300</xdr:rowOff>
    </xdr:to>
    <xdr:pic>
      <xdr:nvPicPr>
        <xdr:cNvPr id="3285"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952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2638425</xdr:colOff>
      <xdr:row>0</xdr:row>
      <xdr:rowOff>38100</xdr:rowOff>
    </xdr:from>
    <xdr:to>
      <xdr:col>7</xdr:col>
      <xdr:colOff>0</xdr:colOff>
      <xdr:row>3</xdr:row>
      <xdr:rowOff>114300</xdr:rowOff>
    </xdr:to>
    <xdr:pic>
      <xdr:nvPicPr>
        <xdr:cNvPr id="729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3810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219075</xdr:colOff>
      <xdr:row>0</xdr:row>
      <xdr:rowOff>38100</xdr:rowOff>
    </xdr:from>
    <xdr:to>
      <xdr:col>10</xdr:col>
      <xdr:colOff>523875</xdr:colOff>
      <xdr:row>4</xdr:row>
      <xdr:rowOff>19050</xdr:rowOff>
    </xdr:to>
    <xdr:pic>
      <xdr:nvPicPr>
        <xdr:cNvPr id="12011"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38100"/>
          <a:ext cx="1514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NSWACT%20electricity%20DX%20resets%202014-19/Alternative%20Control%20Services/Public%20Lighting/Draft%20Decision%20Models/Send%20to%20businesses/Rates%20and%20Escalators%20for%20Streetlighting%20201405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NSWACT%20electricity%20DX%20resets%202014-19/Alternative%20Control%20Services/Public%20Lighting/Draft%20Decision%20Models/Send%20to%20businesses/Recalculate%20Essential%20Mobilisation_Demobilisation_Work%20and%20Travel%20Times%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ER/NSWACT%20electricity%20DX%20resets%202014-19/Alternative%20Control%20Services/Public%20Lighting/Draft%20Decision%20Models/Send%20to%20businesses/Mobilisation_Demobilisation_Work%20and%20Travel%20Time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
          <cell r="F11">
            <v>38.26</v>
          </cell>
        </row>
        <row r="20">
          <cell r="F20">
            <v>18.95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Model "/>
      <sheetName val="SPOT Model"/>
      <sheetName val="RV"/>
      <sheetName val="Sheet3"/>
    </sheetNames>
    <sheetDataSet>
      <sheetData sheetId="0"/>
      <sheetData sheetId="1">
        <row r="19">
          <cell r="B19">
            <v>1.6177777777777778</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Model "/>
      <sheetName val="SPOT Model"/>
      <sheetName val="RV"/>
      <sheetName val="Sheet3"/>
    </sheetNames>
    <sheetDataSet>
      <sheetData sheetId="0">
        <row r="19">
          <cell r="B19">
            <v>0.25375661375661379</v>
          </cell>
        </row>
      </sheetData>
      <sheetData sheetId="1">
        <row r="19">
          <cell r="B19">
            <v>1.902222222222222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3"/>
  <sheetViews>
    <sheetView tabSelected="1" workbookViewId="0">
      <selection activeCell="C24" sqref="C24"/>
    </sheetView>
  </sheetViews>
  <sheetFormatPr defaultRowHeight="12.75" x14ac:dyDescent="0.2"/>
  <cols>
    <col min="1" max="1" width="17.85546875" customWidth="1"/>
    <col min="2" max="2" width="52.28515625" customWidth="1"/>
    <col min="5" max="5" width="21.5703125" customWidth="1"/>
  </cols>
  <sheetData>
    <row r="1" spans="1:14" ht="25.5" x14ac:dyDescent="0.35">
      <c r="A1" s="5" t="s">
        <v>670</v>
      </c>
      <c r="E1" s="49"/>
    </row>
    <row r="3" spans="1:14" x14ac:dyDescent="0.2">
      <c r="A3" s="8" t="s">
        <v>664</v>
      </c>
      <c r="B3" s="6"/>
      <c r="C3" s="6"/>
      <c r="D3" s="6"/>
      <c r="E3" s="6"/>
      <c r="F3" s="6"/>
      <c r="G3" s="6"/>
      <c r="H3" s="6"/>
      <c r="I3" s="6"/>
      <c r="J3" s="6"/>
      <c r="K3" s="6"/>
      <c r="L3" s="6"/>
      <c r="M3" s="6"/>
      <c r="N3" s="6"/>
    </row>
    <row r="4" spans="1:14" x14ac:dyDescent="0.2">
      <c r="A4" s="6"/>
      <c r="B4" s="6"/>
      <c r="C4" s="6"/>
      <c r="D4" s="6"/>
      <c r="E4" s="6"/>
      <c r="F4" s="6"/>
      <c r="G4" s="6"/>
      <c r="H4" s="6"/>
      <c r="I4" s="6"/>
      <c r="J4" s="6"/>
      <c r="K4" s="6"/>
      <c r="L4" s="6"/>
      <c r="M4" s="6"/>
      <c r="N4" s="6"/>
    </row>
    <row r="5" spans="1:14" ht="117" customHeight="1" x14ac:dyDescent="0.2">
      <c r="A5" s="314" t="s">
        <v>843</v>
      </c>
      <c r="B5" s="315"/>
      <c r="C5" s="15"/>
      <c r="D5" s="15"/>
      <c r="E5" s="15"/>
      <c r="F5" s="15"/>
      <c r="G5" s="15"/>
      <c r="H5" s="15"/>
      <c r="I5" s="15"/>
      <c r="J5" s="15"/>
      <c r="K5" s="6"/>
      <c r="L5" s="6"/>
      <c r="M5" s="6"/>
      <c r="N5" s="6"/>
    </row>
    <row r="6" spans="1:14" x14ac:dyDescent="0.2">
      <c r="A6" s="6"/>
      <c r="B6" s="6"/>
      <c r="C6" s="6"/>
      <c r="D6" s="6"/>
      <c r="E6" s="6"/>
      <c r="F6" s="6"/>
      <c r="G6" s="6"/>
      <c r="H6" s="6"/>
      <c r="I6" s="6"/>
      <c r="J6" s="6"/>
      <c r="K6" s="6"/>
      <c r="L6" s="6"/>
      <c r="M6" s="6"/>
      <c r="N6" s="6"/>
    </row>
    <row r="7" spans="1:14" x14ac:dyDescent="0.2">
      <c r="A7" s="6" t="s">
        <v>665</v>
      </c>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13" t="s">
        <v>666</v>
      </c>
      <c r="B9" s="14" t="s">
        <v>667</v>
      </c>
      <c r="C9" s="6"/>
      <c r="D9" s="6"/>
      <c r="E9" s="6"/>
      <c r="F9" s="6"/>
      <c r="G9" s="6"/>
      <c r="H9" s="6"/>
      <c r="I9" s="6"/>
      <c r="J9" s="6"/>
      <c r="K9" s="6"/>
      <c r="L9" s="6"/>
      <c r="M9" s="6"/>
      <c r="N9" s="6"/>
    </row>
    <row r="10" spans="1:14" x14ac:dyDescent="0.2">
      <c r="A10" s="217"/>
      <c r="B10" s="218"/>
      <c r="C10" s="6"/>
      <c r="D10" s="6"/>
      <c r="E10" s="6"/>
      <c r="F10" s="6"/>
      <c r="G10" s="6"/>
      <c r="H10" s="6"/>
      <c r="I10" s="6"/>
      <c r="J10" s="6"/>
      <c r="K10" s="6"/>
      <c r="L10" s="6"/>
      <c r="M10" s="6"/>
      <c r="N10" s="6"/>
    </row>
    <row r="11" spans="1:14" ht="33.75" x14ac:dyDescent="0.2">
      <c r="A11" s="9" t="s">
        <v>885</v>
      </c>
      <c r="B11" s="10" t="s">
        <v>886</v>
      </c>
      <c r="C11" s="6"/>
      <c r="D11" s="6"/>
      <c r="E11" s="6"/>
      <c r="F11" s="6"/>
      <c r="G11" s="6"/>
      <c r="H11" s="6"/>
      <c r="I11" s="6"/>
      <c r="J11" s="6"/>
      <c r="K11" s="6"/>
      <c r="L11" s="6"/>
      <c r="M11" s="6"/>
      <c r="N11" s="6"/>
    </row>
    <row r="12" spans="1:14" ht="22.5" x14ac:dyDescent="0.2">
      <c r="A12" s="9" t="s">
        <v>669</v>
      </c>
      <c r="B12" s="10" t="s">
        <v>668</v>
      </c>
      <c r="C12" s="6"/>
      <c r="D12" s="6"/>
      <c r="E12" s="6"/>
      <c r="F12" s="6"/>
      <c r="G12" s="6"/>
      <c r="H12" s="6"/>
      <c r="I12" s="6"/>
      <c r="J12" s="6"/>
      <c r="K12" s="6"/>
      <c r="L12" s="6"/>
      <c r="M12" s="6"/>
      <c r="N12" s="6"/>
    </row>
    <row r="13" spans="1:14" ht="22.5" x14ac:dyDescent="0.2">
      <c r="A13" s="9" t="s">
        <v>631</v>
      </c>
      <c r="B13" s="10" t="s">
        <v>635</v>
      </c>
      <c r="C13" s="6"/>
      <c r="D13" s="6"/>
      <c r="E13" s="6"/>
      <c r="F13" s="6"/>
      <c r="G13" s="6"/>
      <c r="H13" s="6"/>
      <c r="I13" s="6"/>
      <c r="J13" s="6"/>
      <c r="K13" s="6"/>
      <c r="L13" s="6"/>
      <c r="M13" s="6"/>
      <c r="N13" s="6"/>
    </row>
    <row r="14" spans="1:14" x14ac:dyDescent="0.2">
      <c r="A14" s="9" t="s">
        <v>412</v>
      </c>
      <c r="B14" s="10" t="s">
        <v>530</v>
      </c>
      <c r="C14" s="6"/>
      <c r="D14" s="6"/>
      <c r="E14" s="6"/>
      <c r="F14" s="6"/>
      <c r="G14" s="6"/>
      <c r="H14" s="6"/>
      <c r="I14" s="6"/>
      <c r="J14" s="6"/>
      <c r="K14" s="6"/>
      <c r="L14" s="6"/>
      <c r="M14" s="6"/>
      <c r="N14" s="6"/>
    </row>
    <row r="15" spans="1:14" ht="22.5" x14ac:dyDescent="0.2">
      <c r="A15" s="9" t="s">
        <v>402</v>
      </c>
      <c r="B15" s="10" t="s">
        <v>531</v>
      </c>
      <c r="C15" s="6"/>
      <c r="D15" s="6"/>
      <c r="E15" s="6"/>
      <c r="F15" s="6"/>
      <c r="G15" s="6"/>
      <c r="H15" s="6"/>
      <c r="I15" s="6"/>
      <c r="J15" s="6"/>
      <c r="K15" s="6"/>
      <c r="L15" s="6"/>
      <c r="M15" s="6"/>
      <c r="N15" s="6"/>
    </row>
    <row r="16" spans="1:14" x14ac:dyDescent="0.2">
      <c r="A16" s="9" t="s">
        <v>397</v>
      </c>
      <c r="B16" s="10" t="s">
        <v>398</v>
      </c>
      <c r="C16" s="6"/>
      <c r="D16" s="6"/>
      <c r="E16" s="6"/>
      <c r="F16" s="6"/>
      <c r="G16" s="6"/>
      <c r="H16" s="6"/>
      <c r="I16" s="6"/>
      <c r="J16" s="6"/>
      <c r="K16" s="6"/>
      <c r="L16" s="6"/>
      <c r="M16" s="6"/>
      <c r="N16" s="6"/>
    </row>
    <row r="17" spans="1:14" x14ac:dyDescent="0.2">
      <c r="A17" s="11" t="s">
        <v>658</v>
      </c>
      <c r="B17" s="12" t="s">
        <v>659</v>
      </c>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t="s">
        <v>671</v>
      </c>
      <c r="B19" s="16" t="s">
        <v>776</v>
      </c>
      <c r="C19" s="6"/>
      <c r="D19" s="6"/>
      <c r="E19" s="6"/>
      <c r="F19" s="6"/>
      <c r="G19" s="6"/>
      <c r="H19" s="6"/>
      <c r="I19" s="6"/>
      <c r="J19" s="6"/>
      <c r="K19" s="6"/>
      <c r="L19" s="6"/>
      <c r="M19" s="6"/>
      <c r="N19" s="6"/>
    </row>
    <row r="20" spans="1:14" x14ac:dyDescent="0.2">
      <c r="A20" s="26" t="s">
        <v>841</v>
      </c>
      <c r="B20" s="202" t="s">
        <v>842</v>
      </c>
      <c r="C20" s="6"/>
      <c r="D20" s="6"/>
      <c r="E20" s="6"/>
      <c r="F20" s="6"/>
      <c r="G20" s="6"/>
      <c r="H20" s="6"/>
      <c r="I20" s="6"/>
      <c r="J20" s="6"/>
      <c r="K20" s="6"/>
      <c r="L20" s="6"/>
      <c r="M20" s="6"/>
      <c r="N20" s="6"/>
    </row>
    <row r="21" spans="1:14" x14ac:dyDescent="0.2">
      <c r="A21" s="6"/>
      <c r="B21" s="6"/>
      <c r="C21" s="6"/>
      <c r="D21" s="6"/>
      <c r="E21" s="6"/>
      <c r="F21" s="6"/>
      <c r="G21" s="6"/>
      <c r="H21" s="6"/>
      <c r="I21" s="6"/>
      <c r="J21" s="6"/>
      <c r="K21" s="6"/>
      <c r="L21" s="6"/>
      <c r="M21" s="6"/>
      <c r="N21" s="6"/>
    </row>
    <row r="22" spans="1:14" x14ac:dyDescent="0.2">
      <c r="A22" s="6"/>
      <c r="B22" s="6"/>
      <c r="C22" s="6"/>
      <c r="D22" s="6"/>
      <c r="E22" s="6"/>
      <c r="F22" s="6"/>
      <c r="G22" s="6"/>
      <c r="H22" s="6"/>
      <c r="I22" s="6"/>
      <c r="J22" s="6"/>
      <c r="K22" s="6"/>
      <c r="L22" s="6"/>
      <c r="M22" s="6"/>
      <c r="N22" s="6"/>
    </row>
    <row r="23" spans="1:14" x14ac:dyDescent="0.2">
      <c r="A23" s="6"/>
      <c r="B23" s="6"/>
      <c r="C23" s="6"/>
      <c r="D23" s="6"/>
      <c r="E23" s="6"/>
      <c r="F23" s="6"/>
      <c r="G23" s="6"/>
      <c r="H23" s="6"/>
      <c r="I23" s="6"/>
      <c r="J23" s="6"/>
      <c r="K23" s="6"/>
      <c r="L23" s="6"/>
      <c r="M23" s="6"/>
      <c r="N23" s="6"/>
    </row>
    <row r="24" spans="1:14" x14ac:dyDescent="0.2">
      <c r="A24" s="6"/>
      <c r="B24" s="6"/>
      <c r="C24" s="6"/>
      <c r="D24" s="6"/>
      <c r="E24" s="6"/>
      <c r="F24" s="6"/>
      <c r="G24" s="6"/>
      <c r="H24" s="6"/>
      <c r="I24" s="6"/>
      <c r="J24" s="6"/>
      <c r="K24" s="6"/>
      <c r="L24" s="6"/>
      <c r="M24" s="6"/>
      <c r="N24" s="6"/>
    </row>
    <row r="25" spans="1:14" x14ac:dyDescent="0.2">
      <c r="A25" s="6"/>
      <c r="B25" s="6"/>
      <c r="C25" s="6"/>
      <c r="D25" s="6"/>
      <c r="E25" s="6"/>
      <c r="F25" s="6"/>
      <c r="G25" s="6"/>
      <c r="H25" s="6"/>
      <c r="I25" s="6"/>
      <c r="J25" s="6"/>
      <c r="K25" s="6"/>
      <c r="L25" s="6"/>
      <c r="M25" s="6"/>
      <c r="N25" s="6"/>
    </row>
    <row r="26" spans="1:14" x14ac:dyDescent="0.2">
      <c r="A26" s="6"/>
      <c r="B26" s="6"/>
      <c r="C26" s="6"/>
      <c r="D26" s="6"/>
      <c r="E26" s="6"/>
      <c r="F26" s="6"/>
      <c r="G26" s="6"/>
      <c r="H26" s="6"/>
      <c r="I26" s="6"/>
      <c r="J26" s="6"/>
      <c r="K26" s="6"/>
      <c r="L26" s="6"/>
      <c r="M26" s="6"/>
      <c r="N26" s="6"/>
    </row>
    <row r="27" spans="1:14" x14ac:dyDescent="0.2">
      <c r="A27" s="6"/>
      <c r="B27" s="6"/>
      <c r="C27" s="6"/>
      <c r="D27" s="6"/>
      <c r="E27" s="6"/>
      <c r="F27" s="6"/>
      <c r="G27" s="6"/>
      <c r="H27" s="6"/>
      <c r="I27" s="6"/>
      <c r="J27" s="6"/>
      <c r="K27" s="6"/>
      <c r="L27" s="6"/>
      <c r="M27" s="6"/>
      <c r="N27" s="6"/>
    </row>
    <row r="28" spans="1:14" x14ac:dyDescent="0.2">
      <c r="A28" s="6"/>
      <c r="B28" s="6"/>
      <c r="C28" s="6"/>
      <c r="D28" s="6"/>
      <c r="E28" s="6"/>
      <c r="F28" s="6"/>
      <c r="G28" s="6"/>
      <c r="H28" s="6"/>
      <c r="I28" s="6"/>
      <c r="J28" s="6"/>
      <c r="K28" s="6"/>
      <c r="L28" s="6"/>
      <c r="M28" s="6"/>
      <c r="N28" s="6"/>
    </row>
    <row r="29" spans="1:14" x14ac:dyDescent="0.2">
      <c r="A29" s="6"/>
      <c r="B29" s="6"/>
      <c r="C29" s="6"/>
      <c r="D29" s="6"/>
      <c r="E29" s="6"/>
      <c r="F29" s="6"/>
      <c r="G29" s="6"/>
      <c r="H29" s="6"/>
      <c r="I29" s="6"/>
      <c r="J29" s="6"/>
      <c r="K29" s="6"/>
      <c r="L29" s="6"/>
      <c r="M29" s="6"/>
      <c r="N29" s="6"/>
    </row>
    <row r="30" spans="1:14" x14ac:dyDescent="0.2">
      <c r="A30" s="6"/>
      <c r="B30" s="6"/>
      <c r="C30" s="6"/>
      <c r="D30" s="6"/>
      <c r="E30" s="6"/>
      <c r="F30" s="6"/>
      <c r="G30" s="6"/>
      <c r="H30" s="6"/>
      <c r="I30" s="6"/>
      <c r="J30" s="6"/>
      <c r="K30" s="6"/>
      <c r="L30" s="6"/>
      <c r="M30" s="6"/>
      <c r="N30" s="6"/>
    </row>
    <row r="31" spans="1:14" x14ac:dyDescent="0.2">
      <c r="A31" s="6"/>
      <c r="B31" s="6"/>
      <c r="C31" s="6"/>
      <c r="D31" s="6"/>
      <c r="E31" s="6"/>
      <c r="F31" s="6"/>
      <c r="G31" s="6"/>
      <c r="H31" s="6"/>
      <c r="I31" s="6"/>
      <c r="J31" s="6"/>
      <c r="K31" s="6"/>
      <c r="L31" s="6"/>
      <c r="M31" s="6"/>
      <c r="N31" s="6"/>
    </row>
    <row r="32" spans="1:14" x14ac:dyDescent="0.2">
      <c r="A32" s="6"/>
      <c r="B32" s="6"/>
      <c r="C32" s="6"/>
      <c r="D32" s="6"/>
      <c r="E32" s="6"/>
      <c r="F32" s="6"/>
      <c r="G32" s="6"/>
      <c r="H32" s="6"/>
      <c r="I32" s="6"/>
      <c r="J32" s="6"/>
      <c r="K32" s="6"/>
      <c r="L32" s="6"/>
      <c r="M32" s="6"/>
      <c r="N32" s="6"/>
    </row>
    <row r="33" spans="1:14" x14ac:dyDescent="0.2">
      <c r="A33" s="6"/>
      <c r="B33" s="6"/>
      <c r="C33" s="6"/>
      <c r="D33" s="6"/>
      <c r="E33" s="6"/>
      <c r="F33" s="6"/>
      <c r="G33" s="6"/>
      <c r="H33" s="6"/>
      <c r="I33" s="6"/>
      <c r="J33" s="6"/>
      <c r="K33" s="6"/>
      <c r="L33" s="6"/>
      <c r="M33" s="6"/>
      <c r="N33" s="6"/>
    </row>
    <row r="34" spans="1:14" x14ac:dyDescent="0.2">
      <c r="A34" s="6"/>
      <c r="B34" s="6"/>
      <c r="C34" s="6"/>
      <c r="D34" s="6"/>
      <c r="E34" s="6"/>
      <c r="F34" s="6"/>
      <c r="G34" s="6"/>
      <c r="H34" s="6"/>
      <c r="I34" s="6"/>
      <c r="J34" s="6"/>
      <c r="K34" s="6"/>
      <c r="L34" s="6"/>
      <c r="M34" s="6"/>
      <c r="N34" s="6"/>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x14ac:dyDescent="0.2">
      <c r="A46" s="6"/>
      <c r="B46" s="6"/>
      <c r="C46" s="6"/>
      <c r="D46" s="6"/>
      <c r="E46" s="6"/>
      <c r="F46" s="6"/>
      <c r="G46" s="6"/>
      <c r="H46" s="6"/>
      <c r="I46" s="6"/>
      <c r="J46" s="6"/>
      <c r="K46" s="6"/>
      <c r="L46" s="6"/>
      <c r="M46" s="6"/>
      <c r="N46" s="6"/>
    </row>
    <row r="47" spans="1:14" x14ac:dyDescent="0.2">
      <c r="A47" s="6"/>
      <c r="B47" s="6"/>
      <c r="C47" s="6"/>
      <c r="D47" s="6"/>
      <c r="E47" s="6"/>
      <c r="F47" s="6"/>
      <c r="G47" s="6"/>
      <c r="H47" s="6"/>
      <c r="I47" s="6"/>
      <c r="J47" s="6"/>
      <c r="K47" s="6"/>
      <c r="L47" s="6"/>
      <c r="M47" s="6"/>
      <c r="N47" s="6"/>
    </row>
    <row r="48" spans="1:14" x14ac:dyDescent="0.2">
      <c r="A48" s="6"/>
      <c r="B48" s="6"/>
      <c r="C48" s="6"/>
      <c r="D48" s="6"/>
      <c r="E48" s="6"/>
      <c r="F48" s="6"/>
      <c r="G48" s="6"/>
      <c r="H48" s="6"/>
      <c r="I48" s="6"/>
      <c r="J48" s="6"/>
      <c r="K48" s="6"/>
      <c r="L48" s="6"/>
      <c r="M48" s="6"/>
      <c r="N48" s="6"/>
    </row>
    <row r="49" spans="1:14" x14ac:dyDescent="0.2">
      <c r="A49" s="6"/>
      <c r="B49" s="6"/>
      <c r="C49" s="6"/>
      <c r="D49" s="6"/>
      <c r="E49" s="6"/>
      <c r="F49" s="6"/>
      <c r="G49" s="6"/>
      <c r="H49" s="6"/>
      <c r="I49" s="6"/>
      <c r="J49" s="6"/>
      <c r="K49" s="6"/>
      <c r="L49" s="6"/>
      <c r="M49" s="6"/>
      <c r="N49" s="6"/>
    </row>
    <row r="50" spans="1:14" x14ac:dyDescent="0.2">
      <c r="A50" s="6"/>
      <c r="B50" s="6"/>
      <c r="C50" s="6"/>
      <c r="D50" s="6"/>
      <c r="E50" s="6"/>
      <c r="F50" s="6"/>
      <c r="G50" s="6"/>
      <c r="H50" s="6"/>
      <c r="I50" s="6"/>
      <c r="J50" s="6"/>
      <c r="K50" s="6"/>
      <c r="L50" s="6"/>
      <c r="M50" s="6"/>
      <c r="N50" s="6"/>
    </row>
    <row r="51" spans="1:14" x14ac:dyDescent="0.2">
      <c r="A51" s="6"/>
      <c r="B51" s="6"/>
      <c r="C51" s="6"/>
      <c r="D51" s="6"/>
      <c r="E51" s="6"/>
      <c r="F51" s="6"/>
      <c r="G51" s="6"/>
      <c r="H51" s="6"/>
      <c r="I51" s="6"/>
      <c r="J51" s="6"/>
      <c r="K51" s="6"/>
      <c r="L51" s="6"/>
      <c r="M51" s="6"/>
      <c r="N51" s="6"/>
    </row>
    <row r="52" spans="1:14" x14ac:dyDescent="0.2">
      <c r="A52" s="6"/>
      <c r="B52" s="6"/>
      <c r="C52" s="6"/>
      <c r="D52" s="6"/>
      <c r="E52" s="6"/>
      <c r="F52" s="6"/>
      <c r="G52" s="6"/>
      <c r="H52" s="6"/>
      <c r="I52" s="6"/>
      <c r="J52" s="6"/>
      <c r="K52" s="6"/>
      <c r="L52" s="6"/>
      <c r="M52" s="6"/>
      <c r="N52" s="6"/>
    </row>
    <row r="53" spans="1:14" x14ac:dyDescent="0.2">
      <c r="A53" s="6"/>
      <c r="B53" s="6"/>
      <c r="C53" s="6"/>
      <c r="D53" s="6"/>
      <c r="E53" s="6"/>
      <c r="F53" s="6"/>
      <c r="G53" s="6"/>
      <c r="H53" s="6"/>
      <c r="I53" s="6"/>
      <c r="J53" s="6"/>
      <c r="K53" s="6"/>
      <c r="L53" s="6"/>
      <c r="M53" s="6"/>
      <c r="N53" s="6"/>
    </row>
    <row r="54" spans="1:14" x14ac:dyDescent="0.2">
      <c r="A54" s="6"/>
      <c r="B54" s="6"/>
      <c r="C54" s="6"/>
      <c r="D54" s="6"/>
      <c r="E54" s="6"/>
      <c r="F54" s="6"/>
      <c r="G54" s="6"/>
      <c r="H54" s="6"/>
      <c r="I54" s="6"/>
      <c r="J54" s="6"/>
      <c r="K54" s="6"/>
      <c r="L54" s="6"/>
      <c r="M54" s="6"/>
      <c r="N54" s="6"/>
    </row>
    <row r="55" spans="1:14" x14ac:dyDescent="0.2">
      <c r="A55" s="6"/>
      <c r="B55" s="6"/>
      <c r="C55" s="6"/>
      <c r="D55" s="6"/>
      <c r="E55" s="6"/>
      <c r="F55" s="6"/>
      <c r="G55" s="6"/>
      <c r="H55" s="6"/>
      <c r="I55" s="6"/>
      <c r="J55" s="6"/>
      <c r="K55" s="6"/>
      <c r="L55" s="6"/>
      <c r="M55" s="6"/>
      <c r="N55" s="6"/>
    </row>
    <row r="56" spans="1:14" x14ac:dyDescent="0.2">
      <c r="A56" s="6"/>
      <c r="B56" s="6"/>
      <c r="C56" s="6"/>
      <c r="D56" s="6"/>
      <c r="E56" s="6"/>
      <c r="F56" s="6"/>
      <c r="G56" s="6"/>
      <c r="H56" s="6"/>
      <c r="I56" s="6"/>
      <c r="J56" s="6"/>
      <c r="K56" s="6"/>
      <c r="L56" s="6"/>
      <c r="M56" s="6"/>
      <c r="N56" s="6"/>
    </row>
    <row r="57" spans="1:14" x14ac:dyDescent="0.2">
      <c r="A57" s="6"/>
      <c r="B57" s="6"/>
      <c r="C57" s="6"/>
      <c r="D57" s="6"/>
      <c r="E57" s="6"/>
      <c r="F57" s="6"/>
      <c r="G57" s="6"/>
      <c r="H57" s="6"/>
      <c r="I57" s="6"/>
      <c r="J57" s="6"/>
      <c r="K57" s="6"/>
      <c r="L57" s="6"/>
      <c r="M57" s="6"/>
      <c r="N57" s="6"/>
    </row>
    <row r="58" spans="1:14" x14ac:dyDescent="0.2">
      <c r="A58" s="6"/>
      <c r="B58" s="6"/>
      <c r="C58" s="6"/>
      <c r="D58" s="6"/>
      <c r="E58" s="6"/>
      <c r="F58" s="6"/>
      <c r="G58" s="6"/>
      <c r="H58" s="6"/>
      <c r="I58" s="6"/>
      <c r="J58" s="6"/>
      <c r="K58" s="6"/>
      <c r="L58" s="6"/>
      <c r="M58" s="6"/>
      <c r="N58" s="6"/>
    </row>
    <row r="59" spans="1:14" x14ac:dyDescent="0.2">
      <c r="A59" s="6"/>
      <c r="B59" s="6"/>
      <c r="C59" s="6"/>
      <c r="D59" s="6"/>
      <c r="E59" s="6"/>
      <c r="F59" s="6"/>
      <c r="G59" s="6"/>
      <c r="H59" s="6"/>
      <c r="I59" s="6"/>
      <c r="J59" s="6"/>
      <c r="K59" s="6"/>
      <c r="L59" s="6"/>
      <c r="M59" s="6"/>
      <c r="N59" s="6"/>
    </row>
    <row r="60" spans="1:14" x14ac:dyDescent="0.2">
      <c r="A60" s="6"/>
      <c r="B60" s="6"/>
      <c r="C60" s="6"/>
      <c r="D60" s="6"/>
      <c r="E60" s="6"/>
      <c r="F60" s="6"/>
      <c r="G60" s="6"/>
      <c r="H60" s="6"/>
      <c r="I60" s="6"/>
      <c r="J60" s="6"/>
      <c r="K60" s="6"/>
      <c r="L60" s="6"/>
      <c r="M60" s="6"/>
      <c r="N60" s="6"/>
    </row>
    <row r="61" spans="1:14" x14ac:dyDescent="0.2">
      <c r="A61" s="6"/>
      <c r="B61" s="6"/>
      <c r="C61" s="6"/>
      <c r="D61" s="6"/>
      <c r="E61" s="6"/>
      <c r="F61" s="6"/>
      <c r="G61" s="6"/>
      <c r="H61" s="6"/>
      <c r="I61" s="6"/>
      <c r="J61" s="6"/>
      <c r="K61" s="6"/>
      <c r="L61" s="6"/>
      <c r="M61" s="6"/>
      <c r="N61" s="6"/>
    </row>
    <row r="62" spans="1:14" x14ac:dyDescent="0.2">
      <c r="A62" s="6"/>
      <c r="B62" s="6"/>
      <c r="C62" s="6"/>
      <c r="D62" s="6"/>
      <c r="E62" s="6"/>
      <c r="F62" s="6"/>
      <c r="G62" s="6"/>
      <c r="H62" s="6"/>
      <c r="I62" s="6"/>
      <c r="J62" s="6"/>
      <c r="K62" s="6"/>
      <c r="L62" s="6"/>
      <c r="M62" s="6"/>
      <c r="N62" s="6"/>
    </row>
    <row r="63" spans="1:14" x14ac:dyDescent="0.2">
      <c r="A63" s="6"/>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row r="65" spans="1:14" x14ac:dyDescent="0.2">
      <c r="A65" s="6"/>
      <c r="B65" s="6"/>
      <c r="C65" s="6"/>
      <c r="D65" s="6"/>
      <c r="E65" s="6"/>
      <c r="F65" s="6"/>
      <c r="G65" s="6"/>
      <c r="H65" s="6"/>
      <c r="I65" s="6"/>
      <c r="J65" s="6"/>
      <c r="K65" s="6"/>
      <c r="L65" s="6"/>
      <c r="M65" s="6"/>
      <c r="N65" s="6"/>
    </row>
    <row r="66" spans="1:14" x14ac:dyDescent="0.2">
      <c r="A66" s="6"/>
      <c r="B66" s="6"/>
      <c r="C66" s="6"/>
      <c r="D66" s="6"/>
      <c r="E66" s="6"/>
      <c r="F66" s="6"/>
      <c r="G66" s="6"/>
      <c r="H66" s="6"/>
      <c r="I66" s="6"/>
      <c r="J66" s="6"/>
      <c r="K66" s="6"/>
      <c r="L66" s="6"/>
      <c r="M66" s="6"/>
      <c r="N66" s="6"/>
    </row>
    <row r="67" spans="1:14" x14ac:dyDescent="0.2">
      <c r="A67" s="6"/>
      <c r="B67" s="6"/>
      <c r="C67" s="6"/>
      <c r="D67" s="6"/>
      <c r="E67" s="6"/>
      <c r="F67" s="6"/>
      <c r="G67" s="6"/>
      <c r="H67" s="6"/>
      <c r="I67" s="6"/>
      <c r="J67" s="6"/>
      <c r="K67" s="6"/>
      <c r="L67" s="6"/>
      <c r="M67" s="6"/>
      <c r="N67" s="6"/>
    </row>
    <row r="68" spans="1:14" x14ac:dyDescent="0.2">
      <c r="A68" s="6"/>
      <c r="B68" s="6"/>
      <c r="C68" s="6"/>
      <c r="D68" s="6"/>
      <c r="E68" s="6"/>
      <c r="F68" s="6"/>
      <c r="G68" s="6"/>
      <c r="H68" s="6"/>
      <c r="I68" s="6"/>
      <c r="J68" s="6"/>
      <c r="K68" s="6"/>
      <c r="L68" s="6"/>
      <c r="M68" s="6"/>
      <c r="N68" s="6"/>
    </row>
    <row r="69" spans="1:14" x14ac:dyDescent="0.2">
      <c r="A69" s="6"/>
      <c r="B69" s="6"/>
      <c r="C69" s="6"/>
      <c r="D69" s="6"/>
      <c r="E69" s="6"/>
      <c r="F69" s="6"/>
      <c r="G69" s="6"/>
      <c r="H69" s="6"/>
      <c r="I69" s="6"/>
      <c r="J69" s="6"/>
      <c r="K69" s="6"/>
      <c r="L69" s="6"/>
      <c r="M69" s="6"/>
      <c r="N69" s="6"/>
    </row>
    <row r="70" spans="1:14" x14ac:dyDescent="0.2">
      <c r="A70" s="6"/>
      <c r="B70" s="6"/>
      <c r="C70" s="6"/>
      <c r="D70" s="6"/>
      <c r="E70" s="6"/>
      <c r="F70" s="6"/>
      <c r="G70" s="6"/>
      <c r="H70" s="6"/>
      <c r="I70" s="6"/>
      <c r="J70" s="6"/>
      <c r="K70" s="6"/>
      <c r="L70" s="6"/>
      <c r="M70" s="6"/>
      <c r="N70" s="6"/>
    </row>
    <row r="71" spans="1:14" x14ac:dyDescent="0.2">
      <c r="A71" s="6"/>
      <c r="B71" s="6"/>
      <c r="C71" s="6"/>
      <c r="D71" s="6"/>
      <c r="E71" s="6"/>
      <c r="F71" s="6"/>
      <c r="G71" s="6"/>
      <c r="H71" s="6"/>
      <c r="I71" s="6"/>
      <c r="J71" s="6"/>
      <c r="K71" s="6"/>
      <c r="L71" s="6"/>
      <c r="M71" s="6"/>
      <c r="N71" s="6"/>
    </row>
    <row r="72" spans="1:14" x14ac:dyDescent="0.2">
      <c r="A72" s="6"/>
      <c r="B72" s="6"/>
      <c r="C72" s="6"/>
      <c r="D72" s="6"/>
      <c r="E72" s="6"/>
      <c r="F72" s="6"/>
      <c r="G72" s="6"/>
      <c r="H72" s="6"/>
      <c r="I72" s="6"/>
      <c r="J72" s="6"/>
      <c r="K72" s="6"/>
      <c r="L72" s="6"/>
      <c r="M72" s="6"/>
      <c r="N72" s="6"/>
    </row>
    <row r="73" spans="1:14" x14ac:dyDescent="0.2">
      <c r="A73" s="6"/>
      <c r="B73" s="6"/>
      <c r="C73" s="6"/>
      <c r="D73" s="6"/>
      <c r="E73" s="6"/>
      <c r="F73" s="6"/>
      <c r="G73" s="6"/>
      <c r="H73" s="6"/>
      <c r="I73" s="6"/>
      <c r="J73" s="6"/>
      <c r="K73" s="6"/>
      <c r="L73" s="6"/>
      <c r="M73" s="6"/>
      <c r="N73" s="6"/>
    </row>
    <row r="74" spans="1:14" x14ac:dyDescent="0.2">
      <c r="A74" s="6"/>
      <c r="B74" s="6"/>
      <c r="C74" s="6"/>
      <c r="D74" s="6"/>
      <c r="E74" s="6"/>
      <c r="F74" s="6"/>
      <c r="G74" s="6"/>
      <c r="H74" s="6"/>
      <c r="I74" s="6"/>
      <c r="J74" s="6"/>
      <c r="K74" s="6"/>
      <c r="L74" s="6"/>
      <c r="M74" s="6"/>
      <c r="N74" s="6"/>
    </row>
    <row r="75" spans="1:14" x14ac:dyDescent="0.2">
      <c r="A75" s="6"/>
      <c r="B75" s="6"/>
      <c r="C75" s="6"/>
      <c r="D75" s="6"/>
      <c r="E75" s="6"/>
      <c r="F75" s="6"/>
      <c r="G75" s="6"/>
      <c r="H75" s="6"/>
      <c r="I75" s="6"/>
      <c r="J75" s="6"/>
      <c r="K75" s="6"/>
      <c r="L75" s="6"/>
      <c r="M75" s="6"/>
      <c r="N75" s="6"/>
    </row>
    <row r="76" spans="1:14" x14ac:dyDescent="0.2">
      <c r="A76" s="6"/>
      <c r="B76" s="6"/>
      <c r="C76" s="6"/>
      <c r="D76" s="6"/>
      <c r="E76" s="6"/>
      <c r="F76" s="6"/>
      <c r="G76" s="6"/>
      <c r="H76" s="6"/>
      <c r="I76" s="6"/>
      <c r="J76" s="6"/>
      <c r="K76" s="6"/>
      <c r="L76" s="6"/>
      <c r="M76" s="6"/>
      <c r="N76" s="6"/>
    </row>
    <row r="77" spans="1:14" x14ac:dyDescent="0.2">
      <c r="A77" s="6"/>
      <c r="B77" s="6"/>
      <c r="C77" s="6"/>
      <c r="D77" s="6"/>
      <c r="E77" s="6"/>
      <c r="F77" s="6"/>
      <c r="G77" s="6"/>
      <c r="H77" s="6"/>
      <c r="I77" s="6"/>
      <c r="J77" s="6"/>
      <c r="K77" s="6"/>
      <c r="L77" s="6"/>
      <c r="M77" s="6"/>
      <c r="N77" s="6"/>
    </row>
    <row r="78" spans="1:14" x14ac:dyDescent="0.2">
      <c r="A78" s="6"/>
      <c r="B78" s="6"/>
      <c r="C78" s="6"/>
      <c r="D78" s="6"/>
      <c r="E78" s="6"/>
      <c r="F78" s="6"/>
      <c r="G78" s="6"/>
      <c r="H78" s="6"/>
      <c r="I78" s="6"/>
      <c r="J78" s="6"/>
      <c r="K78" s="6"/>
      <c r="L78" s="6"/>
      <c r="M78" s="6"/>
      <c r="N78" s="6"/>
    </row>
    <row r="79" spans="1:14" x14ac:dyDescent="0.2">
      <c r="A79" s="6"/>
      <c r="B79" s="6"/>
      <c r="C79" s="6"/>
      <c r="D79" s="6"/>
      <c r="E79" s="6"/>
      <c r="F79" s="6"/>
      <c r="G79" s="6"/>
      <c r="H79" s="6"/>
      <c r="I79" s="6"/>
      <c r="J79" s="6"/>
      <c r="K79" s="6"/>
      <c r="L79" s="6"/>
      <c r="M79" s="6"/>
      <c r="N79" s="6"/>
    </row>
    <row r="80" spans="1:14" x14ac:dyDescent="0.2">
      <c r="A80" s="6"/>
      <c r="B80" s="6"/>
      <c r="C80" s="6"/>
      <c r="D80" s="6"/>
      <c r="E80" s="6"/>
      <c r="F80" s="6"/>
      <c r="G80" s="6"/>
      <c r="H80" s="6"/>
      <c r="I80" s="6"/>
      <c r="J80" s="6"/>
      <c r="K80" s="6"/>
      <c r="L80" s="6"/>
      <c r="M80" s="6"/>
      <c r="N80" s="6"/>
    </row>
    <row r="81" spans="1:14" x14ac:dyDescent="0.2">
      <c r="A81" s="6"/>
      <c r="B81" s="6"/>
      <c r="C81" s="6"/>
      <c r="D81" s="6"/>
      <c r="E81" s="6"/>
      <c r="F81" s="6"/>
      <c r="G81" s="6"/>
      <c r="H81" s="6"/>
      <c r="I81" s="6"/>
      <c r="J81" s="6"/>
      <c r="K81" s="6"/>
      <c r="L81" s="6"/>
      <c r="M81" s="6"/>
      <c r="N81" s="6"/>
    </row>
    <row r="82" spans="1:14" x14ac:dyDescent="0.2">
      <c r="A82" s="6"/>
      <c r="B82" s="6"/>
      <c r="C82" s="6"/>
      <c r="D82" s="6"/>
      <c r="E82" s="6"/>
      <c r="F82" s="6"/>
      <c r="G82" s="6"/>
      <c r="H82" s="6"/>
      <c r="I82" s="6"/>
      <c r="J82" s="6"/>
      <c r="K82" s="6"/>
      <c r="L82" s="6"/>
      <c r="M82" s="6"/>
      <c r="N82" s="6"/>
    </row>
    <row r="83" spans="1:14" x14ac:dyDescent="0.2">
      <c r="A83" s="6"/>
      <c r="B83" s="6"/>
      <c r="C83" s="6"/>
      <c r="D83" s="6"/>
      <c r="E83" s="6"/>
      <c r="F83" s="6"/>
      <c r="G83" s="6"/>
      <c r="H83" s="6"/>
      <c r="I83" s="6"/>
      <c r="J83" s="6"/>
      <c r="K83" s="6"/>
      <c r="L83" s="6"/>
      <c r="M83" s="6"/>
      <c r="N83" s="6"/>
    </row>
    <row r="84" spans="1:14" x14ac:dyDescent="0.2">
      <c r="A84" s="6"/>
      <c r="B84" s="6"/>
      <c r="C84" s="6"/>
      <c r="D84" s="6"/>
      <c r="E84" s="6"/>
      <c r="F84" s="6"/>
      <c r="G84" s="6"/>
      <c r="H84" s="6"/>
      <c r="I84" s="6"/>
      <c r="J84" s="6"/>
      <c r="K84" s="6"/>
      <c r="L84" s="6"/>
      <c r="M84" s="6"/>
      <c r="N84" s="6"/>
    </row>
    <row r="85" spans="1:14" x14ac:dyDescent="0.2">
      <c r="A85" s="6"/>
      <c r="B85" s="6"/>
      <c r="C85" s="6"/>
      <c r="D85" s="6"/>
      <c r="E85" s="6"/>
      <c r="F85" s="6"/>
      <c r="G85" s="6"/>
      <c r="H85" s="6"/>
      <c r="I85" s="6"/>
      <c r="J85" s="6"/>
      <c r="K85" s="6"/>
      <c r="L85" s="6"/>
      <c r="M85" s="6"/>
      <c r="N85" s="6"/>
    </row>
    <row r="86" spans="1:14" x14ac:dyDescent="0.2">
      <c r="A86" s="6"/>
      <c r="B86" s="6"/>
      <c r="C86" s="6"/>
      <c r="D86" s="6"/>
      <c r="E86" s="6"/>
      <c r="F86" s="6"/>
      <c r="G86" s="6"/>
      <c r="H86" s="6"/>
      <c r="I86" s="6"/>
      <c r="J86" s="6"/>
      <c r="K86" s="6"/>
      <c r="L86" s="6"/>
      <c r="M86" s="6"/>
      <c r="N86" s="6"/>
    </row>
    <row r="87" spans="1:14" x14ac:dyDescent="0.2">
      <c r="A87" s="6"/>
      <c r="B87" s="6"/>
      <c r="C87" s="6"/>
      <c r="D87" s="6"/>
      <c r="E87" s="6"/>
      <c r="F87" s="6"/>
      <c r="G87" s="6"/>
      <c r="H87" s="6"/>
      <c r="I87" s="6"/>
      <c r="J87" s="6"/>
      <c r="K87" s="6"/>
      <c r="L87" s="6"/>
      <c r="M87" s="6"/>
      <c r="N87" s="6"/>
    </row>
    <row r="88" spans="1:14" x14ac:dyDescent="0.2">
      <c r="A88" s="6"/>
      <c r="B88" s="6"/>
      <c r="C88" s="6"/>
      <c r="D88" s="6"/>
      <c r="E88" s="6"/>
      <c r="F88" s="6"/>
      <c r="G88" s="6"/>
      <c r="H88" s="6"/>
      <c r="I88" s="6"/>
      <c r="J88" s="6"/>
      <c r="K88" s="6"/>
      <c r="L88" s="6"/>
      <c r="M88" s="6"/>
      <c r="N88" s="6"/>
    </row>
    <row r="89" spans="1:14" x14ac:dyDescent="0.2">
      <c r="A89" s="6"/>
      <c r="B89" s="6"/>
      <c r="C89" s="6"/>
      <c r="D89" s="6"/>
      <c r="E89" s="6"/>
      <c r="F89" s="6"/>
      <c r="G89" s="6"/>
      <c r="H89" s="6"/>
      <c r="I89" s="6"/>
      <c r="J89" s="6"/>
      <c r="K89" s="6"/>
      <c r="L89" s="6"/>
      <c r="M89" s="6"/>
      <c r="N89" s="6"/>
    </row>
    <row r="90" spans="1:14" x14ac:dyDescent="0.2">
      <c r="A90" s="6"/>
      <c r="B90" s="6"/>
      <c r="C90" s="6"/>
      <c r="D90" s="6"/>
      <c r="E90" s="6"/>
      <c r="F90" s="6"/>
      <c r="G90" s="6"/>
      <c r="H90" s="6"/>
      <c r="I90" s="6"/>
      <c r="J90" s="6"/>
      <c r="K90" s="6"/>
      <c r="L90" s="6"/>
      <c r="M90" s="6"/>
      <c r="N90" s="6"/>
    </row>
    <row r="91" spans="1:14" x14ac:dyDescent="0.2">
      <c r="A91" s="6"/>
      <c r="B91" s="6"/>
      <c r="C91" s="6"/>
      <c r="D91" s="6"/>
      <c r="E91" s="6"/>
      <c r="F91" s="6"/>
      <c r="G91" s="6"/>
      <c r="H91" s="6"/>
      <c r="I91" s="6"/>
      <c r="J91" s="6"/>
      <c r="K91" s="6"/>
      <c r="L91" s="6"/>
      <c r="M91" s="6"/>
      <c r="N91" s="6"/>
    </row>
    <row r="92" spans="1:14" x14ac:dyDescent="0.2">
      <c r="A92" s="6"/>
      <c r="B92" s="6"/>
      <c r="C92" s="6"/>
      <c r="D92" s="6"/>
      <c r="E92" s="6"/>
      <c r="F92" s="6"/>
      <c r="G92" s="6"/>
      <c r="H92" s="6"/>
      <c r="I92" s="6"/>
      <c r="J92" s="6"/>
      <c r="K92" s="6"/>
      <c r="L92" s="6"/>
      <c r="M92" s="6"/>
      <c r="N92" s="6"/>
    </row>
    <row r="93" spans="1:14" x14ac:dyDescent="0.2">
      <c r="A93" s="6"/>
      <c r="B93" s="6"/>
      <c r="C93" s="6"/>
      <c r="D93" s="6"/>
      <c r="E93" s="6"/>
      <c r="F93" s="6"/>
      <c r="G93" s="6"/>
      <c r="H93" s="6"/>
      <c r="I93" s="6"/>
      <c r="J93" s="6"/>
      <c r="K93" s="6"/>
      <c r="L93" s="6"/>
      <c r="M93" s="6"/>
      <c r="N93" s="6"/>
    </row>
    <row r="94" spans="1:14" x14ac:dyDescent="0.2">
      <c r="A94" s="6"/>
      <c r="B94" s="6"/>
      <c r="C94" s="6"/>
      <c r="D94" s="6"/>
      <c r="E94" s="6"/>
      <c r="F94" s="6"/>
      <c r="G94" s="6"/>
      <c r="H94" s="6"/>
      <c r="I94" s="6"/>
      <c r="J94" s="6"/>
      <c r="K94" s="6"/>
      <c r="L94" s="6"/>
      <c r="M94" s="6"/>
      <c r="N94" s="6"/>
    </row>
    <row r="95" spans="1:14" x14ac:dyDescent="0.2">
      <c r="A95" s="6"/>
      <c r="B95" s="6"/>
      <c r="C95" s="6"/>
      <c r="D95" s="6"/>
      <c r="E95" s="6"/>
      <c r="F95" s="6"/>
      <c r="G95" s="6"/>
      <c r="H95" s="6"/>
      <c r="I95" s="6"/>
      <c r="J95" s="6"/>
      <c r="K95" s="6"/>
      <c r="L95" s="6"/>
      <c r="M95" s="6"/>
      <c r="N95" s="6"/>
    </row>
    <row r="96" spans="1:14" x14ac:dyDescent="0.2">
      <c r="A96" s="6"/>
      <c r="B96" s="6"/>
      <c r="C96" s="6"/>
      <c r="D96" s="6"/>
      <c r="E96" s="6"/>
      <c r="F96" s="6"/>
      <c r="G96" s="6"/>
      <c r="H96" s="6"/>
      <c r="I96" s="6"/>
      <c r="J96" s="6"/>
      <c r="K96" s="6"/>
      <c r="L96" s="6"/>
      <c r="M96" s="6"/>
      <c r="N96" s="6"/>
    </row>
    <row r="97" spans="1:14" x14ac:dyDescent="0.2">
      <c r="A97" s="6"/>
      <c r="B97" s="6"/>
      <c r="C97" s="6"/>
      <c r="D97" s="6"/>
      <c r="E97" s="6"/>
      <c r="F97" s="6"/>
      <c r="G97" s="6"/>
      <c r="H97" s="6"/>
      <c r="I97" s="6"/>
      <c r="J97" s="6"/>
      <c r="K97" s="6"/>
      <c r="L97" s="6"/>
      <c r="M97" s="6"/>
      <c r="N97" s="6"/>
    </row>
    <row r="98" spans="1:14" x14ac:dyDescent="0.2">
      <c r="A98" s="6"/>
      <c r="B98" s="6"/>
      <c r="C98" s="6"/>
      <c r="D98" s="6"/>
      <c r="E98" s="6"/>
      <c r="F98" s="6"/>
      <c r="G98" s="6"/>
      <c r="H98" s="6"/>
      <c r="I98" s="6"/>
      <c r="J98" s="6"/>
      <c r="K98" s="6"/>
      <c r="L98" s="6"/>
      <c r="M98" s="6"/>
      <c r="N98" s="6"/>
    </row>
    <row r="99" spans="1:14" x14ac:dyDescent="0.2">
      <c r="A99" s="6"/>
      <c r="B99" s="6"/>
      <c r="C99" s="6"/>
      <c r="D99" s="6"/>
      <c r="E99" s="6"/>
      <c r="F99" s="6"/>
      <c r="G99" s="6"/>
      <c r="H99" s="6"/>
      <c r="I99" s="6"/>
      <c r="J99" s="6"/>
      <c r="K99" s="6"/>
      <c r="L99" s="6"/>
      <c r="M99" s="6"/>
      <c r="N99" s="6"/>
    </row>
    <row r="100" spans="1:14" x14ac:dyDescent="0.2">
      <c r="A100" s="6"/>
      <c r="B100" s="6"/>
      <c r="C100" s="6"/>
      <c r="D100" s="6"/>
      <c r="E100" s="6"/>
      <c r="F100" s="6"/>
      <c r="G100" s="6"/>
      <c r="H100" s="6"/>
      <c r="I100" s="6"/>
      <c r="J100" s="6"/>
      <c r="K100" s="6"/>
      <c r="L100" s="6"/>
      <c r="M100" s="6"/>
      <c r="N100" s="6"/>
    </row>
    <row r="101" spans="1:14" x14ac:dyDescent="0.2">
      <c r="A101" s="6"/>
      <c r="B101" s="6"/>
      <c r="C101" s="6"/>
      <c r="D101" s="6"/>
      <c r="E101" s="6"/>
      <c r="F101" s="6"/>
      <c r="G101" s="6"/>
      <c r="H101" s="6"/>
      <c r="I101" s="6"/>
      <c r="J101" s="6"/>
      <c r="K101" s="6"/>
      <c r="L101" s="6"/>
      <c r="M101" s="6"/>
      <c r="N101" s="6"/>
    </row>
    <row r="102" spans="1:14" x14ac:dyDescent="0.2">
      <c r="A102" s="6"/>
      <c r="B102" s="6"/>
      <c r="C102" s="6"/>
      <c r="D102" s="6"/>
      <c r="E102" s="6"/>
      <c r="F102" s="6"/>
      <c r="G102" s="6"/>
      <c r="H102" s="6"/>
      <c r="I102" s="6"/>
      <c r="J102" s="6"/>
      <c r="K102" s="6"/>
      <c r="L102" s="6"/>
      <c r="M102" s="6"/>
      <c r="N102" s="6"/>
    </row>
    <row r="103" spans="1:14" x14ac:dyDescent="0.2">
      <c r="A103" s="6"/>
      <c r="B103" s="6"/>
      <c r="C103" s="6"/>
      <c r="D103" s="6"/>
      <c r="E103" s="6"/>
      <c r="F103" s="6"/>
      <c r="G103" s="6"/>
      <c r="H103" s="6"/>
      <c r="I103" s="6"/>
      <c r="J103" s="6"/>
      <c r="K103" s="6"/>
      <c r="L103" s="6"/>
      <c r="M103" s="6"/>
      <c r="N103" s="6"/>
    </row>
    <row r="104" spans="1:14" x14ac:dyDescent="0.2">
      <c r="A104" s="6"/>
      <c r="B104" s="6"/>
      <c r="C104" s="6"/>
      <c r="D104" s="6"/>
      <c r="E104" s="6"/>
      <c r="F104" s="6"/>
      <c r="G104" s="6"/>
      <c r="H104" s="6"/>
      <c r="I104" s="6"/>
      <c r="J104" s="6"/>
      <c r="K104" s="6"/>
      <c r="L104" s="6"/>
      <c r="M104" s="6"/>
      <c r="N104" s="6"/>
    </row>
    <row r="105" spans="1:14" x14ac:dyDescent="0.2">
      <c r="A105" s="6"/>
      <c r="B105" s="6"/>
      <c r="C105" s="6"/>
      <c r="D105" s="6"/>
      <c r="E105" s="6"/>
      <c r="F105" s="6"/>
      <c r="G105" s="6"/>
      <c r="H105" s="6"/>
      <c r="I105" s="6"/>
      <c r="J105" s="6"/>
      <c r="K105" s="6"/>
      <c r="L105" s="6"/>
      <c r="M105" s="6"/>
      <c r="N105" s="6"/>
    </row>
    <row r="106" spans="1:14" x14ac:dyDescent="0.2">
      <c r="A106" s="6"/>
      <c r="B106" s="6"/>
      <c r="C106" s="6"/>
      <c r="D106" s="6"/>
      <c r="E106" s="6"/>
      <c r="F106" s="6"/>
      <c r="G106" s="6"/>
      <c r="H106" s="6"/>
      <c r="I106" s="6"/>
      <c r="J106" s="6"/>
      <c r="K106" s="6"/>
      <c r="L106" s="6"/>
      <c r="M106" s="6"/>
      <c r="N106" s="6"/>
    </row>
    <row r="107" spans="1:14" x14ac:dyDescent="0.2">
      <c r="A107" s="6"/>
      <c r="B107" s="6"/>
      <c r="C107" s="6"/>
      <c r="D107" s="6"/>
      <c r="E107" s="6"/>
      <c r="F107" s="6"/>
      <c r="G107" s="6"/>
      <c r="H107" s="6"/>
      <c r="I107" s="6"/>
      <c r="J107" s="6"/>
      <c r="K107" s="6"/>
      <c r="L107" s="6"/>
      <c r="M107" s="6"/>
      <c r="N107" s="6"/>
    </row>
    <row r="108" spans="1:14" x14ac:dyDescent="0.2">
      <c r="A108" s="6"/>
      <c r="B108" s="6"/>
      <c r="C108" s="6"/>
      <c r="D108" s="6"/>
      <c r="E108" s="6"/>
      <c r="F108" s="6"/>
      <c r="G108" s="6"/>
      <c r="H108" s="6"/>
      <c r="I108" s="6"/>
      <c r="J108" s="6"/>
      <c r="K108" s="6"/>
      <c r="L108" s="6"/>
      <c r="M108" s="6"/>
      <c r="N108" s="6"/>
    </row>
    <row r="109" spans="1:14" x14ac:dyDescent="0.2">
      <c r="A109" s="6"/>
      <c r="B109" s="6"/>
      <c r="C109" s="6"/>
      <c r="D109" s="6"/>
      <c r="E109" s="6"/>
      <c r="F109" s="6"/>
      <c r="G109" s="6"/>
      <c r="H109" s="6"/>
      <c r="I109" s="6"/>
      <c r="J109" s="6"/>
      <c r="K109" s="6"/>
      <c r="L109" s="6"/>
      <c r="M109" s="6"/>
      <c r="N109" s="6"/>
    </row>
    <row r="110" spans="1:14" x14ac:dyDescent="0.2">
      <c r="A110" s="6"/>
      <c r="B110" s="6"/>
      <c r="C110" s="6"/>
      <c r="D110" s="6"/>
      <c r="E110" s="6"/>
      <c r="F110" s="6"/>
      <c r="G110" s="6"/>
      <c r="H110" s="6"/>
      <c r="I110" s="6"/>
      <c r="J110" s="6"/>
      <c r="K110" s="6"/>
      <c r="L110" s="6"/>
      <c r="M110" s="6"/>
      <c r="N110" s="6"/>
    </row>
    <row r="111" spans="1:14" x14ac:dyDescent="0.2">
      <c r="A111" s="6"/>
      <c r="B111" s="6"/>
      <c r="C111" s="6"/>
      <c r="D111" s="6"/>
      <c r="E111" s="6"/>
      <c r="F111" s="6"/>
      <c r="G111" s="6"/>
      <c r="H111" s="6"/>
      <c r="I111" s="6"/>
      <c r="J111" s="6"/>
      <c r="K111" s="6"/>
      <c r="L111" s="6"/>
      <c r="M111" s="6"/>
      <c r="N111" s="6"/>
    </row>
    <row r="112" spans="1:14" x14ac:dyDescent="0.2">
      <c r="A112" s="6"/>
      <c r="B112" s="6"/>
      <c r="C112" s="6"/>
      <c r="D112" s="6"/>
      <c r="E112" s="6"/>
      <c r="F112" s="6"/>
      <c r="G112" s="6"/>
      <c r="H112" s="6"/>
      <c r="I112" s="6"/>
      <c r="J112" s="6"/>
      <c r="K112" s="6"/>
      <c r="L112" s="6"/>
      <c r="M112" s="6"/>
      <c r="N112" s="6"/>
    </row>
    <row r="113" spans="1:14" x14ac:dyDescent="0.2">
      <c r="A113" s="6"/>
      <c r="B113" s="6"/>
      <c r="C113" s="6"/>
      <c r="D113" s="6"/>
      <c r="E113" s="6"/>
      <c r="F113" s="6"/>
      <c r="G113" s="6"/>
      <c r="H113" s="6"/>
      <c r="I113" s="6"/>
      <c r="J113" s="6"/>
      <c r="K113" s="6"/>
      <c r="L113" s="6"/>
      <c r="M113" s="6"/>
      <c r="N113" s="6"/>
    </row>
    <row r="114" spans="1:14" x14ac:dyDescent="0.2">
      <c r="A114" s="6"/>
      <c r="B114" s="6"/>
      <c r="C114" s="6"/>
      <c r="D114" s="6"/>
      <c r="E114" s="6"/>
      <c r="F114" s="6"/>
      <c r="G114" s="6"/>
      <c r="H114" s="6"/>
      <c r="I114" s="6"/>
      <c r="J114" s="6"/>
      <c r="K114" s="6"/>
      <c r="L114" s="6"/>
      <c r="M114" s="6"/>
      <c r="N114" s="6"/>
    </row>
    <row r="115" spans="1:14" x14ac:dyDescent="0.2">
      <c r="A115" s="6"/>
      <c r="B115" s="6"/>
      <c r="C115" s="6"/>
      <c r="D115" s="6"/>
      <c r="E115" s="6"/>
      <c r="F115" s="6"/>
      <c r="G115" s="6"/>
      <c r="H115" s="6"/>
      <c r="I115" s="6"/>
      <c r="J115" s="6"/>
      <c r="K115" s="6"/>
      <c r="L115" s="6"/>
      <c r="M115" s="6"/>
      <c r="N115" s="6"/>
    </row>
    <row r="116" spans="1:14" x14ac:dyDescent="0.2">
      <c r="A116" s="6"/>
      <c r="B116" s="6"/>
      <c r="C116" s="6"/>
      <c r="D116" s="6"/>
      <c r="E116" s="6"/>
      <c r="F116" s="6"/>
      <c r="G116" s="6"/>
      <c r="H116" s="6"/>
      <c r="I116" s="6"/>
      <c r="J116" s="6"/>
      <c r="K116" s="6"/>
      <c r="L116" s="6"/>
      <c r="M116" s="6"/>
      <c r="N116" s="6"/>
    </row>
    <row r="117" spans="1:14" x14ac:dyDescent="0.2">
      <c r="A117" s="6"/>
      <c r="B117" s="6"/>
      <c r="C117" s="6"/>
      <c r="D117" s="6"/>
      <c r="E117" s="6"/>
      <c r="F117" s="6"/>
      <c r="G117" s="6"/>
      <c r="H117" s="6"/>
      <c r="I117" s="6"/>
      <c r="J117" s="6"/>
      <c r="K117" s="6"/>
      <c r="L117" s="6"/>
      <c r="M117" s="6"/>
      <c r="N117" s="6"/>
    </row>
    <row r="118" spans="1:14" x14ac:dyDescent="0.2">
      <c r="A118" s="6"/>
      <c r="B118" s="6"/>
      <c r="C118" s="6"/>
      <c r="D118" s="6"/>
      <c r="E118" s="6"/>
      <c r="F118" s="6"/>
      <c r="G118" s="6"/>
      <c r="H118" s="6"/>
      <c r="I118" s="6"/>
      <c r="J118" s="6"/>
      <c r="K118" s="6"/>
      <c r="L118" s="6"/>
      <c r="M118" s="6"/>
      <c r="N118" s="6"/>
    </row>
    <row r="119" spans="1:14" x14ac:dyDescent="0.2">
      <c r="A119" s="6"/>
      <c r="B119" s="6"/>
      <c r="C119" s="6"/>
      <c r="D119" s="6"/>
      <c r="E119" s="6"/>
      <c r="F119" s="6"/>
      <c r="G119" s="6"/>
      <c r="H119" s="6"/>
      <c r="I119" s="6"/>
      <c r="J119" s="6"/>
      <c r="K119" s="6"/>
      <c r="L119" s="6"/>
      <c r="M119" s="6"/>
      <c r="N119" s="6"/>
    </row>
    <row r="120" spans="1:14" x14ac:dyDescent="0.2">
      <c r="A120" s="6"/>
      <c r="B120" s="6"/>
      <c r="C120" s="6"/>
      <c r="D120" s="6"/>
      <c r="E120" s="6"/>
      <c r="F120" s="6"/>
      <c r="G120" s="6"/>
      <c r="H120" s="6"/>
      <c r="I120" s="6"/>
      <c r="J120" s="6"/>
      <c r="K120" s="6"/>
      <c r="L120" s="6"/>
      <c r="M120" s="6"/>
      <c r="N120" s="6"/>
    </row>
    <row r="121" spans="1:14" x14ac:dyDescent="0.2">
      <c r="A121" s="6"/>
      <c r="B121" s="6"/>
      <c r="C121" s="6"/>
      <c r="D121" s="6"/>
      <c r="E121" s="6"/>
      <c r="F121" s="6"/>
      <c r="G121" s="6"/>
      <c r="H121" s="6"/>
      <c r="I121" s="6"/>
      <c r="J121" s="6"/>
      <c r="K121" s="6"/>
      <c r="L121" s="6"/>
      <c r="M121" s="6"/>
      <c r="N121" s="6"/>
    </row>
    <row r="122" spans="1:14" x14ac:dyDescent="0.2">
      <c r="A122" s="6"/>
      <c r="B122" s="6"/>
      <c r="C122" s="6"/>
      <c r="D122" s="6"/>
      <c r="E122" s="6"/>
      <c r="F122" s="6"/>
      <c r="G122" s="6"/>
      <c r="H122" s="6"/>
      <c r="I122" s="6"/>
      <c r="J122" s="6"/>
      <c r="K122" s="6"/>
      <c r="L122" s="6"/>
      <c r="M122" s="6"/>
      <c r="N122" s="6"/>
    </row>
    <row r="123" spans="1:14" x14ac:dyDescent="0.2">
      <c r="A123" s="6"/>
      <c r="B123" s="6"/>
      <c r="C123" s="6"/>
      <c r="D123" s="6"/>
      <c r="E123" s="6"/>
      <c r="F123" s="6"/>
      <c r="G123" s="6"/>
      <c r="H123" s="6"/>
      <c r="I123" s="6"/>
      <c r="J123" s="6"/>
      <c r="K123" s="6"/>
      <c r="L123" s="6"/>
      <c r="M123" s="6"/>
      <c r="N123" s="6"/>
    </row>
    <row r="124" spans="1:14" x14ac:dyDescent="0.2">
      <c r="A124" s="6"/>
      <c r="B124" s="6"/>
      <c r="C124" s="6"/>
      <c r="D124" s="6"/>
      <c r="E124" s="6"/>
      <c r="F124" s="6"/>
      <c r="G124" s="6"/>
      <c r="H124" s="6"/>
      <c r="I124" s="6"/>
      <c r="J124" s="6"/>
      <c r="K124" s="6"/>
      <c r="L124" s="6"/>
      <c r="M124" s="6"/>
      <c r="N124" s="6"/>
    </row>
    <row r="125" spans="1:14" x14ac:dyDescent="0.2">
      <c r="A125" s="6"/>
      <c r="B125" s="6"/>
      <c r="C125" s="6"/>
      <c r="D125" s="6"/>
      <c r="E125" s="6"/>
      <c r="F125" s="6"/>
      <c r="G125" s="6"/>
      <c r="H125" s="6"/>
      <c r="I125" s="6"/>
      <c r="J125" s="6"/>
      <c r="K125" s="6"/>
      <c r="L125" s="6"/>
      <c r="M125" s="6"/>
      <c r="N125" s="6"/>
    </row>
    <row r="126" spans="1:14" x14ac:dyDescent="0.2">
      <c r="A126" s="6"/>
      <c r="B126" s="6"/>
      <c r="C126" s="6"/>
      <c r="D126" s="6"/>
      <c r="E126" s="6"/>
      <c r="F126" s="6"/>
      <c r="G126" s="6"/>
      <c r="H126" s="6"/>
      <c r="I126" s="6"/>
      <c r="J126" s="6"/>
      <c r="K126" s="6"/>
      <c r="L126" s="6"/>
      <c r="M126" s="6"/>
      <c r="N126" s="6"/>
    </row>
    <row r="127" spans="1:14" x14ac:dyDescent="0.2">
      <c r="A127" s="6"/>
      <c r="B127" s="6"/>
      <c r="C127" s="6"/>
      <c r="D127" s="6"/>
      <c r="E127" s="6"/>
      <c r="F127" s="6"/>
      <c r="G127" s="6"/>
      <c r="H127" s="6"/>
      <c r="I127" s="6"/>
      <c r="J127" s="6"/>
      <c r="K127" s="6"/>
      <c r="L127" s="6"/>
      <c r="M127" s="6"/>
      <c r="N127" s="6"/>
    </row>
    <row r="128" spans="1:14"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row>
  </sheetData>
  <mergeCells count="1">
    <mergeCell ref="A5:B5"/>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88"/>
  <sheetViews>
    <sheetView zoomScaleNormal="100" workbookViewId="0">
      <selection activeCell="B92" sqref="B92"/>
    </sheetView>
  </sheetViews>
  <sheetFormatPr defaultRowHeight="12.75" x14ac:dyDescent="0.2"/>
  <cols>
    <col min="1" max="1" width="32.28515625" customWidth="1"/>
    <col min="2" max="2" width="13.5703125" bestFit="1" customWidth="1"/>
    <col min="3" max="3" width="12.85546875" customWidth="1"/>
    <col min="4" max="4" width="27.42578125" customWidth="1"/>
    <col min="5" max="5" width="20.28515625" customWidth="1"/>
    <col min="7" max="7" width="10" bestFit="1" customWidth="1"/>
    <col min="8" max="8" width="26.42578125" customWidth="1"/>
    <col min="9" max="9" width="13.85546875" customWidth="1"/>
    <col min="10" max="10" width="14" customWidth="1"/>
    <col min="11" max="11" width="12.5703125" bestFit="1" customWidth="1"/>
    <col min="13" max="13" width="9.85546875" customWidth="1"/>
  </cols>
  <sheetData>
    <row r="1" spans="1:9" ht="25.5" x14ac:dyDescent="0.35">
      <c r="A1" s="5" t="s">
        <v>884</v>
      </c>
      <c r="D1" s="300"/>
      <c r="E1" s="300"/>
      <c r="F1" s="300"/>
      <c r="G1" s="300"/>
      <c r="H1" s="300"/>
    </row>
    <row r="2" spans="1:9" s="213" customFormat="1" x14ac:dyDescent="0.2">
      <c r="A2" s="249"/>
      <c r="B2" s="250" t="s">
        <v>876</v>
      </c>
      <c r="C2" s="250"/>
      <c r="D2" s="251"/>
      <c r="E2" s="250"/>
      <c r="F2" s="250"/>
      <c r="G2" s="250"/>
      <c r="H2" s="250"/>
    </row>
    <row r="3" spans="1:9" s="213" customFormat="1" x14ac:dyDescent="0.2">
      <c r="A3" s="252" t="s">
        <v>474</v>
      </c>
      <c r="B3" s="252"/>
      <c r="C3" s="252" t="s">
        <v>851</v>
      </c>
      <c r="D3" s="252" t="s">
        <v>852</v>
      </c>
      <c r="E3" s="252" t="s">
        <v>853</v>
      </c>
      <c r="F3" s="252" t="s">
        <v>854</v>
      </c>
      <c r="G3" s="252" t="s">
        <v>855</v>
      </c>
      <c r="H3" s="252" t="s">
        <v>856</v>
      </c>
      <c r="I3" s="212"/>
    </row>
    <row r="4" spans="1:9" s="213" customFormat="1" x14ac:dyDescent="0.2">
      <c r="A4" s="250" t="s">
        <v>865</v>
      </c>
      <c r="B4" s="250"/>
      <c r="C4" s="255">
        <f>[1]Sheet1!$F$11</f>
        <v>38.26</v>
      </c>
      <c r="D4" s="255"/>
      <c r="E4" s="255"/>
      <c r="F4" s="255"/>
      <c r="G4" s="255"/>
      <c r="H4" s="255"/>
    </row>
    <row r="5" spans="1:9" s="213" customFormat="1" x14ac:dyDescent="0.2">
      <c r="A5" s="249"/>
      <c r="B5" s="249"/>
      <c r="C5" s="249"/>
      <c r="D5" s="249"/>
      <c r="E5" s="249"/>
      <c r="F5" s="249"/>
      <c r="G5" s="249"/>
      <c r="H5" s="249"/>
    </row>
    <row r="6" spans="1:9" s="213" customFormat="1" x14ac:dyDescent="0.2">
      <c r="A6" s="252" t="s">
        <v>860</v>
      </c>
      <c r="B6" s="249"/>
      <c r="C6" s="249"/>
      <c r="D6" s="249"/>
      <c r="E6" s="249"/>
      <c r="F6" s="249"/>
      <c r="G6" s="249"/>
      <c r="H6" s="249"/>
    </row>
    <row r="7" spans="1:9" s="213" customFormat="1" x14ac:dyDescent="0.2">
      <c r="A7" s="249" t="s">
        <v>861</v>
      </c>
      <c r="B7" s="249"/>
      <c r="C7" s="256">
        <v>7.9399999999999998E-2</v>
      </c>
      <c r="D7" s="257" t="s">
        <v>867</v>
      </c>
      <c r="E7" s="249"/>
      <c r="F7" s="249"/>
      <c r="G7" s="249"/>
      <c r="H7" s="249"/>
    </row>
    <row r="8" spans="1:9" s="213" customFormat="1" x14ac:dyDescent="0.2">
      <c r="A8" s="253" t="s">
        <v>872</v>
      </c>
      <c r="B8" s="249"/>
      <c r="C8" s="256">
        <v>0.56950000000000001</v>
      </c>
      <c r="D8" s="257" t="s">
        <v>868</v>
      </c>
      <c r="E8" s="249"/>
      <c r="F8" s="249"/>
      <c r="G8" s="249"/>
      <c r="H8" s="249"/>
    </row>
    <row r="9" spans="1:9" s="213" customFormat="1" x14ac:dyDescent="0.2">
      <c r="A9" s="249"/>
      <c r="B9" s="249"/>
      <c r="C9" s="249"/>
      <c r="D9" s="249"/>
      <c r="E9" s="249"/>
      <c r="F9" s="249"/>
      <c r="G9" s="249"/>
      <c r="H9" s="249"/>
    </row>
    <row r="10" spans="1:9" s="213" customFormat="1" x14ac:dyDescent="0.2">
      <c r="A10" s="252" t="s">
        <v>862</v>
      </c>
      <c r="B10" s="249"/>
      <c r="C10" s="249"/>
      <c r="D10" s="249"/>
      <c r="E10" s="249"/>
      <c r="F10" s="249"/>
      <c r="G10" s="249"/>
      <c r="H10" s="249"/>
    </row>
    <row r="11" spans="1:9" s="213" customFormat="1" x14ac:dyDescent="0.2">
      <c r="A11" s="253" t="s">
        <v>873</v>
      </c>
      <c r="B11" s="249"/>
      <c r="C11" s="254">
        <f>[1]Sheet1!$F$20</f>
        <v>18.95</v>
      </c>
      <c r="D11" s="258"/>
      <c r="E11" s="249"/>
      <c r="F11" s="254"/>
      <c r="G11" s="254"/>
      <c r="H11" s="254"/>
    </row>
    <row r="12" spans="1:9" s="213" customFormat="1" x14ac:dyDescent="0.2">
      <c r="A12" s="253" t="s">
        <v>874</v>
      </c>
      <c r="B12" s="249"/>
      <c r="C12" s="254">
        <f>'Input data'!E38</f>
        <v>38.128799999999998</v>
      </c>
      <c r="D12" s="259"/>
      <c r="E12" s="249"/>
      <c r="F12" s="249"/>
      <c r="G12" s="249"/>
      <c r="H12" s="249"/>
    </row>
    <row r="13" spans="1:9" s="213" customFormat="1" x14ac:dyDescent="0.2">
      <c r="A13" s="253"/>
      <c r="B13" s="249"/>
      <c r="C13" s="249"/>
      <c r="D13" s="249"/>
      <c r="E13" s="249"/>
      <c r="F13" s="249"/>
      <c r="G13" s="249"/>
      <c r="H13" s="249"/>
    </row>
    <row r="14" spans="1:9" s="213" customFormat="1" x14ac:dyDescent="0.2">
      <c r="A14" s="252" t="s">
        <v>863</v>
      </c>
      <c r="B14" s="249"/>
      <c r="C14" s="249"/>
      <c r="D14" s="249"/>
      <c r="E14" s="249"/>
      <c r="F14" s="249"/>
      <c r="G14" s="249"/>
      <c r="H14" s="249"/>
    </row>
    <row r="15" spans="1:9" s="213" customFormat="1" x14ac:dyDescent="0.2">
      <c r="A15" s="253" t="s">
        <v>864</v>
      </c>
      <c r="B15" s="249"/>
      <c r="C15" s="254">
        <v>39</v>
      </c>
      <c r="D15" s="257" t="s">
        <v>869</v>
      </c>
      <c r="E15" s="249"/>
      <c r="F15" s="249"/>
      <c r="G15" s="249"/>
      <c r="H15" s="249"/>
    </row>
    <row r="16" spans="1:9" s="213" customFormat="1" x14ac:dyDescent="0.2">
      <c r="A16" s="249"/>
      <c r="B16" s="249"/>
      <c r="C16" s="249"/>
      <c r="D16" s="249"/>
      <c r="E16" s="249"/>
      <c r="F16" s="249"/>
      <c r="G16" s="249"/>
      <c r="H16" s="249"/>
    </row>
    <row r="17" spans="1:25" s="213" customFormat="1" x14ac:dyDescent="0.2">
      <c r="A17" s="249"/>
      <c r="B17" s="249"/>
      <c r="C17" s="249"/>
      <c r="D17" s="249"/>
      <c r="E17" s="249"/>
      <c r="F17" s="249"/>
      <c r="G17" s="249"/>
      <c r="H17" s="249"/>
    </row>
    <row r="18" spans="1:25" s="213" customFormat="1" x14ac:dyDescent="0.2">
      <c r="A18" s="252" t="s">
        <v>857</v>
      </c>
      <c r="B18" s="252"/>
      <c r="C18" s="249"/>
      <c r="D18" s="249"/>
      <c r="E18" s="249"/>
      <c r="F18" s="249"/>
      <c r="G18" s="249"/>
      <c r="H18" s="249"/>
    </row>
    <row r="19" spans="1:25" s="213" customFormat="1" x14ac:dyDescent="0.2">
      <c r="A19" s="253" t="s">
        <v>858</v>
      </c>
      <c r="B19" s="249"/>
      <c r="C19" s="260">
        <v>0.15</v>
      </c>
      <c r="D19" s="260">
        <v>0.15</v>
      </c>
      <c r="E19" s="260">
        <v>0.15</v>
      </c>
      <c r="F19" s="260">
        <v>0.15</v>
      </c>
      <c r="G19" s="260">
        <v>0.15</v>
      </c>
      <c r="H19" s="260">
        <v>0.15</v>
      </c>
    </row>
    <row r="20" spans="1:25" s="213" customFormat="1" x14ac:dyDescent="0.2">
      <c r="A20" s="253" t="s">
        <v>859</v>
      </c>
      <c r="B20" s="249"/>
      <c r="C20" s="260">
        <v>0.1</v>
      </c>
      <c r="D20" s="260">
        <v>0.1</v>
      </c>
      <c r="E20" s="260">
        <v>0.1</v>
      </c>
      <c r="F20" s="260">
        <v>0.1</v>
      </c>
      <c r="G20" s="260">
        <v>0.1</v>
      </c>
      <c r="H20" s="260">
        <v>0.1</v>
      </c>
    </row>
    <row r="21" spans="1:25" s="213" customFormat="1" x14ac:dyDescent="0.2">
      <c r="A21" s="253" t="s">
        <v>396</v>
      </c>
      <c r="B21" s="249"/>
      <c r="C21" s="261">
        <v>0.25</v>
      </c>
      <c r="D21" s="261">
        <v>0.25</v>
      </c>
      <c r="E21" s="261">
        <v>0.25</v>
      </c>
      <c r="F21" s="261">
        <v>0.25</v>
      </c>
      <c r="G21" s="261">
        <v>0.25</v>
      </c>
      <c r="H21" s="261">
        <v>0.25</v>
      </c>
    </row>
    <row r="22" spans="1:25" s="213" customFormat="1" x14ac:dyDescent="0.2">
      <c r="C22" s="309"/>
      <c r="D22" s="309"/>
      <c r="E22" s="309"/>
      <c r="F22" s="309"/>
      <c r="G22" s="309"/>
      <c r="H22" s="309"/>
    </row>
    <row r="23" spans="1:25"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x14ac:dyDescent="0.2">
      <c r="A24" s="7"/>
      <c r="B24" s="211"/>
      <c r="C24" s="7"/>
      <c r="D24" s="7"/>
      <c r="E24" s="172"/>
      <c r="F24" s="7"/>
      <c r="G24" s="7"/>
      <c r="H24" s="7"/>
      <c r="I24" s="7"/>
      <c r="J24" s="7"/>
      <c r="K24" s="7"/>
      <c r="L24" s="7"/>
      <c r="M24" s="7"/>
      <c r="N24" s="6"/>
      <c r="O24" s="6"/>
      <c r="P24" s="6"/>
      <c r="Q24" s="6"/>
      <c r="R24" s="6"/>
      <c r="S24" s="6"/>
      <c r="T24" s="6"/>
      <c r="U24" s="6"/>
      <c r="V24" s="6"/>
      <c r="W24" s="6"/>
      <c r="X24" s="6"/>
      <c r="Y24" s="6"/>
    </row>
    <row r="25" spans="1:25" x14ac:dyDescent="0.2">
      <c r="A25" s="17" t="s">
        <v>504</v>
      </c>
      <c r="B25" s="7"/>
      <c r="C25" s="7"/>
      <c r="D25" s="7"/>
      <c r="E25" s="7"/>
      <c r="F25" s="7"/>
      <c r="G25" s="7"/>
      <c r="H25" s="7"/>
      <c r="I25" s="7"/>
      <c r="J25" s="7"/>
      <c r="K25" s="7"/>
      <c r="L25" s="7"/>
      <c r="M25" s="7"/>
      <c r="N25" s="6"/>
      <c r="O25" s="6"/>
      <c r="P25" s="6"/>
      <c r="Q25" s="6"/>
      <c r="R25" s="6"/>
      <c r="S25" s="6"/>
      <c r="T25" s="6"/>
      <c r="U25" s="6"/>
      <c r="V25" s="6"/>
      <c r="W25" s="6"/>
      <c r="X25" s="6"/>
      <c r="Y25" s="6"/>
    </row>
    <row r="26" spans="1:25" x14ac:dyDescent="0.2">
      <c r="A26" s="17"/>
      <c r="B26" s="7"/>
      <c r="C26" s="7"/>
      <c r="D26" s="7"/>
      <c r="E26" s="7"/>
      <c r="F26" s="7"/>
      <c r="G26" s="7"/>
      <c r="H26" s="7"/>
      <c r="I26" s="7"/>
      <c r="J26" s="7"/>
      <c r="K26" s="7"/>
      <c r="L26" s="7"/>
      <c r="M26" s="7"/>
      <c r="N26" s="6"/>
      <c r="O26" s="6"/>
      <c r="P26" s="6"/>
      <c r="Q26" s="6"/>
      <c r="R26" s="6"/>
      <c r="S26" s="6"/>
      <c r="T26" s="6"/>
      <c r="U26" s="6"/>
      <c r="V26" s="6"/>
      <c r="W26" s="6"/>
      <c r="X26" s="6"/>
      <c r="Y26" s="6"/>
    </row>
    <row r="27" spans="1:25" ht="13.5" thickBot="1" x14ac:dyDescent="0.25">
      <c r="A27" s="145" t="s">
        <v>14</v>
      </c>
      <c r="B27" s="171" t="s">
        <v>907</v>
      </c>
      <c r="C27" s="7"/>
      <c r="D27" s="7"/>
      <c r="E27" s="7"/>
      <c r="F27" s="7"/>
      <c r="G27" s="7"/>
      <c r="H27" s="7"/>
      <c r="I27" s="7"/>
      <c r="J27" s="7"/>
      <c r="K27" s="7"/>
      <c r="L27" s="7"/>
      <c r="M27" s="7"/>
      <c r="N27" s="6"/>
      <c r="O27" s="6"/>
      <c r="P27" s="6"/>
      <c r="Q27" s="6"/>
      <c r="R27" s="6"/>
      <c r="S27" s="6"/>
      <c r="T27" s="6"/>
      <c r="U27" s="6"/>
      <c r="V27" s="6"/>
      <c r="W27" s="6"/>
      <c r="X27" s="6"/>
      <c r="Y27" s="6"/>
    </row>
    <row r="28" spans="1:25" ht="13.5" thickBot="1" x14ac:dyDescent="0.25">
      <c r="A28" s="7" t="s">
        <v>484</v>
      </c>
      <c r="B28" s="170">
        <f>'[2]SPOT Model'!$B$19</f>
        <v>1.6177777777777778</v>
      </c>
      <c r="C28" s="7" t="s">
        <v>877</v>
      </c>
      <c r="D28" s="320" t="s">
        <v>911</v>
      </c>
      <c r="E28" s="320"/>
      <c r="F28" s="7"/>
      <c r="G28" s="7"/>
      <c r="H28" s="7"/>
      <c r="I28" s="7"/>
      <c r="J28" s="7"/>
      <c r="K28" s="7"/>
      <c r="L28" s="7"/>
      <c r="M28" s="7"/>
      <c r="N28" s="6"/>
      <c r="O28" s="6"/>
      <c r="P28" s="6"/>
      <c r="Q28" s="6"/>
      <c r="R28" s="6"/>
      <c r="S28" s="6"/>
      <c r="T28" s="6"/>
      <c r="U28" s="6"/>
      <c r="V28" s="6"/>
      <c r="W28" s="6"/>
      <c r="X28" s="6"/>
      <c r="Y28" s="6"/>
    </row>
    <row r="29" spans="1:25" ht="13.5" thickBot="1" x14ac:dyDescent="0.25">
      <c r="A29" s="7" t="s">
        <v>485</v>
      </c>
      <c r="B29" s="170">
        <f>'[3]BULK Model '!$B$19</f>
        <v>0.25375661375661379</v>
      </c>
      <c r="C29" s="7" t="s">
        <v>877</v>
      </c>
      <c r="D29" s="321" t="s">
        <v>878</v>
      </c>
      <c r="E29" s="321"/>
      <c r="F29" s="7"/>
      <c r="G29" s="7"/>
      <c r="H29" s="7"/>
      <c r="I29" s="7"/>
      <c r="J29" s="7"/>
      <c r="K29" s="7"/>
      <c r="L29" s="7"/>
      <c r="M29" s="7"/>
      <c r="N29" s="6"/>
      <c r="O29" s="6"/>
      <c r="P29" s="6"/>
      <c r="Q29" s="6"/>
      <c r="R29" s="6"/>
      <c r="S29" s="6"/>
      <c r="T29" s="6"/>
      <c r="U29" s="6"/>
      <c r="V29" s="6"/>
      <c r="W29" s="6"/>
      <c r="X29" s="6"/>
      <c r="Y29" s="6"/>
    </row>
    <row r="30" spans="1:25" x14ac:dyDescent="0.2">
      <c r="A30" s="7"/>
      <c r="B30" s="51"/>
      <c r="C30" s="7"/>
      <c r="D30" s="7"/>
      <c r="E30" s="7"/>
      <c r="F30" s="7"/>
      <c r="G30" s="7"/>
      <c r="H30" s="7"/>
      <c r="I30" s="7"/>
      <c r="J30" s="7"/>
      <c r="K30" s="7"/>
      <c r="L30" s="7"/>
      <c r="M30" s="7"/>
      <c r="N30" s="6"/>
      <c r="O30" s="6"/>
      <c r="P30" s="6"/>
      <c r="Q30" s="6"/>
      <c r="R30" s="6"/>
      <c r="S30" s="6"/>
      <c r="T30" s="6"/>
      <c r="U30" s="6"/>
      <c r="V30" s="6"/>
      <c r="W30" s="6"/>
      <c r="X30" s="6"/>
      <c r="Y30" s="6"/>
    </row>
    <row r="31" spans="1:25" x14ac:dyDescent="0.2">
      <c r="A31" s="7"/>
      <c r="B31" s="51"/>
      <c r="C31" s="7"/>
      <c r="D31" s="7"/>
      <c r="E31" s="7"/>
      <c r="F31" s="7"/>
      <c r="G31" s="7"/>
      <c r="H31" s="7"/>
      <c r="I31" s="7"/>
      <c r="J31" s="7"/>
      <c r="K31" s="7"/>
      <c r="L31" s="7"/>
      <c r="M31" s="7"/>
      <c r="N31" s="6"/>
      <c r="O31" s="6"/>
      <c r="P31" s="6"/>
      <c r="Q31" s="6"/>
      <c r="R31" s="6"/>
      <c r="S31" s="6"/>
      <c r="T31" s="6"/>
      <c r="U31" s="6"/>
      <c r="V31" s="6"/>
      <c r="W31" s="6"/>
      <c r="X31" s="6"/>
      <c r="Y31" s="6"/>
    </row>
    <row r="32" spans="1:25" x14ac:dyDescent="0.2">
      <c r="A32" s="7"/>
      <c r="B32" s="51"/>
      <c r="C32" s="7"/>
      <c r="D32" s="7"/>
      <c r="E32" s="7"/>
      <c r="F32" s="7"/>
      <c r="G32" s="7"/>
      <c r="H32" s="7"/>
      <c r="I32" s="7"/>
      <c r="J32" s="7"/>
      <c r="K32" s="7"/>
      <c r="L32" s="7"/>
      <c r="M32" s="7"/>
      <c r="N32" s="6"/>
      <c r="O32" s="6"/>
      <c r="P32" s="6"/>
      <c r="Q32" s="6"/>
      <c r="R32" s="6"/>
      <c r="S32" s="6"/>
      <c r="T32" s="6"/>
      <c r="U32" s="6"/>
      <c r="V32" s="6"/>
      <c r="W32" s="6"/>
      <c r="X32" s="6"/>
      <c r="Y32" s="6"/>
    </row>
    <row r="33" spans="1:25" x14ac:dyDescent="0.2">
      <c r="A33" s="145" t="s">
        <v>472</v>
      </c>
      <c r="B33" s="7"/>
      <c r="C33" s="7"/>
      <c r="D33" s="7"/>
      <c r="E33" s="7"/>
      <c r="F33" s="7"/>
      <c r="G33" s="7"/>
      <c r="H33" s="7"/>
      <c r="K33" s="7"/>
      <c r="L33" s="7"/>
      <c r="M33" s="7"/>
      <c r="N33" s="6"/>
      <c r="O33" s="6"/>
      <c r="P33" s="6"/>
      <c r="Q33" s="6"/>
      <c r="R33" s="6"/>
      <c r="S33" s="6"/>
      <c r="T33" s="6"/>
      <c r="U33" s="6"/>
      <c r="V33" s="6"/>
      <c r="W33" s="6"/>
      <c r="X33" s="6"/>
      <c r="Y33" s="6"/>
    </row>
    <row r="34" spans="1:25" s="6" customFormat="1" ht="22.5" customHeight="1" x14ac:dyDescent="0.2">
      <c r="A34" s="143" t="s">
        <v>489</v>
      </c>
      <c r="B34" s="200" t="s">
        <v>490</v>
      </c>
      <c r="C34" s="7"/>
      <c r="D34" s="319" t="s">
        <v>848</v>
      </c>
      <c r="E34" s="319"/>
      <c r="F34" s="7"/>
      <c r="G34" s="7"/>
      <c r="H34" s="7"/>
      <c r="K34" s="7"/>
      <c r="L34" s="7"/>
      <c r="M34" s="7"/>
    </row>
    <row r="35" spans="1:25" s="6" customFormat="1" ht="22.5" customHeight="1" x14ac:dyDescent="0.2">
      <c r="A35" s="9" t="s">
        <v>491</v>
      </c>
      <c r="B35" s="214">
        <f>'Input data'!$C$12</f>
        <v>38.128799999999998</v>
      </c>
      <c r="C35" s="7"/>
      <c r="D35" s="207" t="s">
        <v>849</v>
      </c>
      <c r="E35" s="208">
        <v>30503.040000000001</v>
      </c>
      <c r="F35" s="7"/>
      <c r="G35" s="7"/>
      <c r="H35" s="7"/>
      <c r="K35" s="7"/>
      <c r="L35" s="7"/>
      <c r="M35" s="7"/>
    </row>
    <row r="36" spans="1:25" s="6" customFormat="1" ht="11.25" x14ac:dyDescent="0.2">
      <c r="A36" s="9" t="s">
        <v>498</v>
      </c>
      <c r="B36" s="215">
        <f>'Input data'!$C$12</f>
        <v>38.128799999999998</v>
      </c>
      <c r="C36" s="7"/>
      <c r="D36" s="220" t="s">
        <v>875</v>
      </c>
      <c r="E36" s="207">
        <v>1600</v>
      </c>
      <c r="F36" s="7"/>
      <c r="G36" s="7"/>
      <c r="H36" s="7"/>
      <c r="K36" s="7"/>
      <c r="L36" s="7"/>
      <c r="M36" s="7"/>
    </row>
    <row r="37" spans="1:25" s="6" customFormat="1" ht="11.25" x14ac:dyDescent="0.2">
      <c r="A37" s="9" t="s">
        <v>499</v>
      </c>
      <c r="B37" s="215">
        <f>'Input data'!$C$12</f>
        <v>38.128799999999998</v>
      </c>
      <c r="C37" s="7"/>
      <c r="D37" s="207" t="s">
        <v>850</v>
      </c>
      <c r="E37" s="207">
        <v>0.5</v>
      </c>
      <c r="F37" s="7"/>
      <c r="G37" s="7"/>
      <c r="H37" s="7"/>
      <c r="K37" s="7"/>
      <c r="L37" s="7"/>
      <c r="M37" s="7"/>
    </row>
    <row r="38" spans="1:25" s="6" customFormat="1" ht="11.25" x14ac:dyDescent="0.2">
      <c r="A38" s="9" t="s">
        <v>500</v>
      </c>
      <c r="B38" s="215">
        <f>'Input data'!$C$11</f>
        <v>18.95</v>
      </c>
      <c r="C38" s="7"/>
      <c r="D38" s="209" t="s">
        <v>848</v>
      </c>
      <c r="E38" s="210">
        <f>E35/E36/E37</f>
        <v>38.128799999999998</v>
      </c>
      <c r="F38" s="7"/>
      <c r="G38" s="7"/>
      <c r="H38" s="7"/>
      <c r="K38" s="47"/>
      <c r="L38" s="7"/>
      <c r="M38" s="7"/>
    </row>
    <row r="39" spans="1:25" s="6" customFormat="1" ht="12.75" customHeight="1" x14ac:dyDescent="0.2">
      <c r="A39" s="9" t="s">
        <v>482</v>
      </c>
      <c r="B39" s="215">
        <f>'Input data'!$C$11</f>
        <v>18.95</v>
      </c>
      <c r="C39" s="7"/>
      <c r="D39" s="7"/>
      <c r="E39" s="7"/>
      <c r="F39" s="7"/>
      <c r="G39" s="7"/>
      <c r="H39" s="7"/>
      <c r="I39" s="7"/>
      <c r="J39" s="7"/>
      <c r="K39" s="7"/>
      <c r="L39" s="7"/>
      <c r="M39" s="7"/>
    </row>
    <row r="40" spans="1:25" s="6" customFormat="1" ht="11.25" x14ac:dyDescent="0.2">
      <c r="A40" s="11" t="s">
        <v>501</v>
      </c>
      <c r="B40" s="216">
        <f>'Input data'!$C$12</f>
        <v>38.128799999999998</v>
      </c>
      <c r="C40" s="7"/>
      <c r="D40" s="7"/>
      <c r="E40" s="7"/>
      <c r="F40" s="7"/>
      <c r="G40" s="7"/>
      <c r="H40" s="7"/>
      <c r="I40" s="7"/>
      <c r="J40" s="47"/>
      <c r="K40" s="7"/>
      <c r="L40" s="7"/>
      <c r="M40" s="7"/>
    </row>
    <row r="41" spans="1:25" s="6" customFormat="1" ht="11.25" x14ac:dyDescent="0.2">
      <c r="A41" s="18"/>
      <c r="B41" s="38"/>
      <c r="C41" s="7"/>
      <c r="D41" s="7"/>
      <c r="E41" s="7"/>
      <c r="F41" s="7"/>
      <c r="G41" s="7"/>
      <c r="H41" s="7"/>
      <c r="I41" s="7"/>
      <c r="J41" s="47"/>
      <c r="K41" s="7"/>
      <c r="L41" s="7"/>
      <c r="M41" s="7"/>
    </row>
    <row r="42" spans="1:25" s="6" customFormat="1" ht="11.25" x14ac:dyDescent="0.2">
      <c r="A42" s="161" t="s">
        <v>887</v>
      </c>
      <c r="B42" s="38"/>
      <c r="C42" s="45"/>
      <c r="D42" s="161" t="s">
        <v>473</v>
      </c>
      <c r="E42" s="38"/>
      <c r="F42" s="7"/>
      <c r="G42" s="7"/>
      <c r="H42" s="7"/>
      <c r="I42" s="7"/>
      <c r="J42" s="7"/>
      <c r="K42" s="7"/>
      <c r="L42" s="7"/>
      <c r="M42" s="7"/>
    </row>
    <row r="43" spans="1:25" x14ac:dyDescent="0.2">
      <c r="A43" s="221" t="s">
        <v>506</v>
      </c>
      <c r="B43" s="222">
        <v>2</v>
      </c>
      <c r="C43" s="29"/>
      <c r="D43" s="221" t="s">
        <v>506</v>
      </c>
      <c r="E43" s="222">
        <v>2</v>
      </c>
      <c r="F43" s="29"/>
      <c r="G43" s="29"/>
      <c r="H43" s="29"/>
      <c r="I43" s="7"/>
      <c r="J43" s="7"/>
      <c r="K43" s="7"/>
      <c r="L43" s="7"/>
      <c r="M43" s="7"/>
      <c r="N43" s="7"/>
      <c r="O43" s="7"/>
      <c r="P43" s="7"/>
      <c r="Q43" s="7"/>
      <c r="R43" s="7"/>
      <c r="S43" s="7"/>
      <c r="T43" s="7"/>
      <c r="U43" s="6"/>
    </row>
    <row r="44" spans="1:25" x14ac:dyDescent="0.2">
      <c r="A44" s="86" t="s">
        <v>908</v>
      </c>
      <c r="B44" s="223">
        <v>0</v>
      </c>
      <c r="C44" s="29"/>
      <c r="D44" s="86" t="s">
        <v>912</v>
      </c>
      <c r="E44" s="223">
        <f>B57</f>
        <v>60.04907</v>
      </c>
      <c r="F44" s="29"/>
      <c r="G44" s="29"/>
      <c r="H44" s="29"/>
      <c r="I44" s="7"/>
      <c r="J44" s="7"/>
      <c r="K44" s="7"/>
      <c r="L44" s="7"/>
      <c r="M44" s="7"/>
      <c r="N44" s="7"/>
      <c r="O44" s="7"/>
      <c r="P44" s="7"/>
      <c r="Q44" s="7"/>
      <c r="R44" s="7"/>
      <c r="S44" s="7"/>
      <c r="T44" s="7"/>
      <c r="U44" s="6"/>
    </row>
    <row r="45" spans="1:25" x14ac:dyDescent="0.2">
      <c r="A45" s="86" t="s">
        <v>151</v>
      </c>
      <c r="B45" s="224">
        <v>4</v>
      </c>
      <c r="C45" s="29"/>
      <c r="D45" s="86" t="s">
        <v>151</v>
      </c>
      <c r="E45" s="224">
        <v>4</v>
      </c>
      <c r="F45" s="29"/>
      <c r="G45" s="29"/>
      <c r="H45" s="29"/>
      <c r="I45" s="7"/>
      <c r="J45" s="7"/>
      <c r="K45" s="7"/>
      <c r="L45" s="7"/>
      <c r="M45" s="7"/>
      <c r="N45" s="7"/>
      <c r="O45" s="7"/>
      <c r="P45" s="7"/>
      <c r="Q45" s="7"/>
      <c r="R45" s="7"/>
      <c r="S45" s="7"/>
      <c r="T45" s="7"/>
      <c r="U45" s="6"/>
    </row>
    <row r="46" spans="1:25" ht="22.5" x14ac:dyDescent="0.2">
      <c r="A46" s="86" t="s">
        <v>879</v>
      </c>
      <c r="B46" s="223">
        <v>28</v>
      </c>
      <c r="C46" s="29"/>
      <c r="D46" s="86" t="s">
        <v>879</v>
      </c>
      <c r="E46" s="223">
        <v>1.5</v>
      </c>
      <c r="F46" s="29"/>
      <c r="G46" s="29"/>
      <c r="H46" s="29"/>
      <c r="I46" s="7"/>
      <c r="J46" s="7"/>
      <c r="K46" s="7"/>
      <c r="L46" s="7"/>
      <c r="M46" s="7"/>
      <c r="N46" s="7"/>
      <c r="O46" s="7"/>
      <c r="P46" s="7"/>
      <c r="Q46" s="7"/>
      <c r="R46" s="7"/>
      <c r="S46" s="7"/>
      <c r="T46" s="7"/>
      <c r="U46" s="6"/>
    </row>
    <row r="47" spans="1:25" x14ac:dyDescent="0.2">
      <c r="A47" s="116" t="s">
        <v>888</v>
      </c>
      <c r="B47" s="225">
        <f>B43*B44*B45/B46</f>
        <v>0</v>
      </c>
      <c r="C47" s="29"/>
      <c r="D47" s="116" t="s">
        <v>888</v>
      </c>
      <c r="E47" s="225">
        <f>E43*E44*E45/E46</f>
        <v>320.26170666666667</v>
      </c>
      <c r="F47" s="29"/>
      <c r="G47" s="29"/>
      <c r="H47" s="29"/>
      <c r="I47" s="7"/>
      <c r="J47" s="7"/>
      <c r="K47" s="7"/>
      <c r="L47" s="7"/>
      <c r="M47" s="7"/>
      <c r="N47" s="7"/>
      <c r="O47" s="7"/>
      <c r="P47" s="7"/>
      <c r="Q47" s="7"/>
      <c r="R47" s="7"/>
      <c r="S47" s="7"/>
      <c r="T47" s="7"/>
      <c r="U47" s="6"/>
    </row>
    <row r="48" spans="1:25" x14ac:dyDescent="0.2">
      <c r="A48" s="29"/>
      <c r="B48" s="30"/>
      <c r="C48" s="29"/>
      <c r="D48" s="29"/>
      <c r="E48" s="29"/>
      <c r="F48" s="29"/>
      <c r="G48" s="29"/>
      <c r="H48" s="29"/>
      <c r="I48" s="7"/>
      <c r="J48" s="7"/>
      <c r="K48" s="7"/>
      <c r="L48" s="7"/>
      <c r="M48" s="7"/>
      <c r="N48" s="7"/>
      <c r="O48" s="7"/>
      <c r="P48" s="7"/>
      <c r="Q48" s="7"/>
      <c r="R48" s="7"/>
      <c r="S48" s="7"/>
      <c r="T48" s="7"/>
      <c r="U48" s="6"/>
    </row>
    <row r="49" spans="1:25" ht="22.5" x14ac:dyDescent="0.2">
      <c r="A49" s="103" t="s">
        <v>660</v>
      </c>
      <c r="B49" s="226">
        <v>0.1</v>
      </c>
      <c r="C49" s="322" t="s">
        <v>415</v>
      </c>
      <c r="D49" s="323"/>
      <c r="E49" s="7"/>
      <c r="F49" s="7"/>
      <c r="G49" s="7"/>
      <c r="H49" s="7"/>
      <c r="I49" s="7"/>
      <c r="J49" s="7"/>
      <c r="K49" s="7"/>
      <c r="L49" s="7"/>
      <c r="M49" s="7"/>
      <c r="N49" s="6"/>
      <c r="O49" s="6"/>
      <c r="P49" s="6"/>
      <c r="Q49" s="6"/>
      <c r="R49" s="6"/>
      <c r="S49" s="6"/>
      <c r="T49" s="6"/>
      <c r="U49" s="6"/>
      <c r="V49" s="6"/>
      <c r="W49" s="6"/>
      <c r="X49" s="6"/>
      <c r="Y49" s="6"/>
    </row>
    <row r="50" spans="1:25" ht="22.5" x14ac:dyDescent="0.2">
      <c r="A50" s="9" t="s">
        <v>661</v>
      </c>
      <c r="B50" s="227">
        <v>0.1</v>
      </c>
      <c r="C50" s="18" t="s">
        <v>416</v>
      </c>
      <c r="D50" s="10"/>
      <c r="E50" s="7"/>
      <c r="F50" s="7"/>
      <c r="G50" s="7"/>
      <c r="H50" s="7"/>
      <c r="I50" s="7"/>
      <c r="J50" s="7"/>
      <c r="K50" s="7"/>
      <c r="L50" s="7"/>
      <c r="M50" s="7"/>
      <c r="N50" s="6"/>
      <c r="O50" s="6"/>
      <c r="P50" s="6"/>
      <c r="Q50" s="6"/>
      <c r="R50" s="6"/>
      <c r="S50" s="6"/>
      <c r="T50" s="6"/>
      <c r="U50" s="6"/>
      <c r="V50" s="6"/>
      <c r="W50" s="6"/>
      <c r="X50" s="6"/>
      <c r="Y50" s="6"/>
    </row>
    <row r="51" spans="1:25" ht="22.5" x14ac:dyDescent="0.2">
      <c r="A51" s="9" t="s">
        <v>662</v>
      </c>
      <c r="B51" s="227">
        <v>0.8</v>
      </c>
      <c r="C51" s="324" t="s">
        <v>417</v>
      </c>
      <c r="D51" s="325"/>
      <c r="E51" s="7"/>
      <c r="F51" s="7"/>
      <c r="G51" s="7"/>
      <c r="H51" s="7"/>
      <c r="I51" s="7"/>
      <c r="J51" s="7"/>
      <c r="K51" s="7"/>
      <c r="L51" s="7"/>
      <c r="M51" s="7"/>
      <c r="N51" s="6"/>
      <c r="O51" s="6"/>
      <c r="P51" s="6"/>
      <c r="Q51" s="6"/>
      <c r="R51" s="6"/>
      <c r="S51" s="6"/>
      <c r="T51" s="6"/>
      <c r="U51" s="6"/>
      <c r="V51" s="6"/>
      <c r="W51" s="6"/>
      <c r="X51" s="6"/>
      <c r="Y51" s="6"/>
    </row>
    <row r="52" spans="1:25" ht="22.5" x14ac:dyDescent="0.2">
      <c r="A52" s="11" t="s">
        <v>663</v>
      </c>
      <c r="B52" s="228">
        <v>0.8</v>
      </c>
      <c r="C52" s="19" t="s">
        <v>416</v>
      </c>
      <c r="D52" s="12"/>
      <c r="E52" s="7"/>
      <c r="F52" s="7"/>
      <c r="G52" s="7"/>
      <c r="H52" s="7"/>
      <c r="I52" s="7"/>
      <c r="J52" s="7"/>
      <c r="K52" s="7"/>
      <c r="L52" s="7"/>
      <c r="M52" s="7"/>
      <c r="N52" s="6"/>
      <c r="O52" s="6"/>
      <c r="P52" s="6"/>
      <c r="Q52" s="6"/>
      <c r="R52" s="6"/>
      <c r="S52" s="6"/>
      <c r="T52" s="6"/>
      <c r="U52" s="6"/>
      <c r="V52" s="6"/>
      <c r="W52" s="6"/>
      <c r="X52" s="6"/>
      <c r="Y52" s="6"/>
    </row>
    <row r="53" spans="1:25" x14ac:dyDescent="0.2">
      <c r="A53" s="7"/>
      <c r="B53" s="7"/>
      <c r="C53" s="7"/>
      <c r="D53" s="7"/>
      <c r="E53" s="7"/>
      <c r="F53" s="7"/>
      <c r="G53" s="7"/>
      <c r="H53" s="7"/>
      <c r="I53" s="7"/>
      <c r="J53" s="7"/>
      <c r="K53" s="7"/>
      <c r="L53" s="7"/>
      <c r="M53" s="7"/>
      <c r="N53" s="6"/>
      <c r="O53" s="6"/>
      <c r="P53" s="6"/>
      <c r="Q53" s="6"/>
      <c r="R53" s="6"/>
      <c r="S53" s="6"/>
      <c r="T53" s="6"/>
      <c r="U53" s="6"/>
      <c r="V53" s="6"/>
      <c r="W53" s="6"/>
      <c r="X53" s="6"/>
      <c r="Y53" s="6"/>
    </row>
    <row r="54" spans="1:25" x14ac:dyDescent="0.2">
      <c r="A54" s="145" t="s">
        <v>474</v>
      </c>
      <c r="B54" s="7"/>
      <c r="C54" s="7"/>
      <c r="D54" s="7"/>
      <c r="E54" s="192"/>
      <c r="F54" s="7"/>
      <c r="G54" s="7"/>
      <c r="H54" s="7"/>
      <c r="I54" s="7"/>
      <c r="J54" s="7"/>
      <c r="K54" s="7"/>
      <c r="L54" s="7"/>
      <c r="M54" s="7"/>
      <c r="N54" s="6"/>
      <c r="O54" s="6"/>
      <c r="P54" s="6"/>
      <c r="Q54" s="6"/>
      <c r="R54" s="6"/>
      <c r="S54" s="6"/>
      <c r="T54" s="6"/>
      <c r="U54" s="6"/>
      <c r="V54" s="6"/>
      <c r="W54" s="6"/>
      <c r="X54" s="6"/>
      <c r="Y54" s="6"/>
    </row>
    <row r="55" spans="1:25" ht="11.25" customHeight="1" x14ac:dyDescent="0.2">
      <c r="A55" s="7" t="s">
        <v>486</v>
      </c>
      <c r="B55" s="32">
        <f>C4</f>
        <v>38.26</v>
      </c>
      <c r="C55" s="164"/>
      <c r="D55" s="7"/>
      <c r="E55" s="201"/>
      <c r="F55" s="7"/>
      <c r="G55" s="7"/>
      <c r="H55" s="7"/>
      <c r="I55" s="7"/>
      <c r="J55" s="7"/>
      <c r="K55" s="7"/>
      <c r="L55" s="7"/>
      <c r="M55" s="7"/>
      <c r="N55" s="6"/>
      <c r="O55" s="6"/>
      <c r="P55" s="6"/>
      <c r="Q55" s="6"/>
      <c r="R55" s="6"/>
      <c r="S55" s="6"/>
      <c r="T55" s="6"/>
      <c r="U55" s="6"/>
      <c r="V55" s="6"/>
      <c r="W55" s="6"/>
      <c r="X55" s="6"/>
      <c r="Y55" s="6"/>
    </row>
    <row r="56" spans="1:25" x14ac:dyDescent="0.2">
      <c r="A56" s="7" t="s">
        <v>880</v>
      </c>
      <c r="B56" s="30">
        <f>B55*(1+'Input data'!C8)</f>
        <v>60.04907</v>
      </c>
      <c r="C56" s="7"/>
      <c r="D56" s="7"/>
      <c r="E56" s="7"/>
      <c r="F56" s="7"/>
      <c r="G56" s="7"/>
      <c r="H56" s="7"/>
      <c r="I56" s="7"/>
      <c r="J56" s="7"/>
      <c r="K56" s="7"/>
      <c r="L56" s="7"/>
      <c r="M56" s="7"/>
      <c r="N56" s="6"/>
      <c r="O56" s="6"/>
      <c r="P56" s="6"/>
      <c r="Q56" s="6"/>
      <c r="R56" s="6"/>
      <c r="S56" s="6"/>
      <c r="T56" s="6"/>
      <c r="U56" s="6"/>
      <c r="V56" s="6"/>
      <c r="W56" s="6"/>
      <c r="X56" s="6"/>
      <c r="Y56" s="6"/>
    </row>
    <row r="57" spans="1:25" ht="22.5" x14ac:dyDescent="0.2">
      <c r="A57" s="7" t="s">
        <v>881</v>
      </c>
      <c r="B57" s="32">
        <f>B56</f>
        <v>60.04907</v>
      </c>
      <c r="C57" s="7"/>
      <c r="D57" s="7"/>
      <c r="E57" s="7"/>
      <c r="F57" s="7"/>
      <c r="G57" s="7"/>
      <c r="H57" s="7"/>
      <c r="I57" s="7"/>
      <c r="J57" s="7"/>
      <c r="K57" s="7"/>
      <c r="L57" s="7"/>
      <c r="M57" s="7"/>
      <c r="N57" s="6"/>
      <c r="O57" s="6"/>
      <c r="P57" s="6"/>
      <c r="Q57" s="6"/>
      <c r="R57" s="6"/>
      <c r="S57" s="6"/>
      <c r="T57" s="6"/>
      <c r="U57" s="6"/>
      <c r="V57" s="6"/>
      <c r="W57" s="6"/>
      <c r="X57" s="6"/>
      <c r="Y57" s="6"/>
    </row>
    <row r="58" spans="1:25" x14ac:dyDescent="0.2">
      <c r="A58" s="7"/>
      <c r="B58" s="51"/>
      <c r="C58" s="7"/>
      <c r="D58" s="7"/>
      <c r="E58" s="7"/>
      <c r="F58" s="7"/>
      <c r="G58" s="7"/>
      <c r="H58" s="7"/>
      <c r="I58" s="7"/>
      <c r="J58" s="7"/>
      <c r="K58" s="7"/>
      <c r="L58" s="7"/>
      <c r="M58" s="7"/>
      <c r="N58" s="6"/>
      <c r="O58" s="6"/>
      <c r="P58" s="6"/>
      <c r="Q58" s="6"/>
      <c r="R58" s="6"/>
      <c r="S58" s="6"/>
      <c r="T58" s="6"/>
      <c r="U58" s="6"/>
      <c r="V58" s="6"/>
      <c r="W58" s="6"/>
      <c r="X58" s="6"/>
      <c r="Y58" s="6"/>
    </row>
    <row r="59" spans="1:25" x14ac:dyDescent="0.2">
      <c r="A59" s="145" t="s">
        <v>399</v>
      </c>
      <c r="B59" s="51"/>
      <c r="C59" s="7"/>
      <c r="D59" s="7"/>
      <c r="E59" s="7"/>
      <c r="F59" s="7"/>
      <c r="G59" s="7"/>
      <c r="H59" s="7"/>
      <c r="I59" s="7"/>
      <c r="J59" s="7"/>
      <c r="K59" s="7"/>
      <c r="L59" s="7"/>
      <c r="M59" s="7"/>
      <c r="N59" s="6"/>
      <c r="O59" s="6"/>
      <c r="P59" s="6"/>
      <c r="Q59" s="6"/>
      <c r="R59" s="6"/>
      <c r="S59" s="6"/>
      <c r="T59" s="6"/>
      <c r="U59" s="6"/>
      <c r="V59" s="6"/>
      <c r="W59" s="6"/>
      <c r="X59" s="6"/>
      <c r="Y59" s="6"/>
    </row>
    <row r="60" spans="1:25" ht="22.5" x14ac:dyDescent="0.2">
      <c r="A60" s="45" t="s">
        <v>400</v>
      </c>
      <c r="B60" s="229">
        <v>83477</v>
      </c>
      <c r="C60" s="7"/>
      <c r="D60" s="7"/>
      <c r="E60" s="7"/>
      <c r="F60" s="7"/>
      <c r="G60" s="7"/>
      <c r="H60" s="7"/>
      <c r="I60" s="7"/>
      <c r="J60" s="7"/>
      <c r="K60" s="7"/>
      <c r="L60" s="7"/>
      <c r="M60" s="7"/>
      <c r="N60" s="6"/>
      <c r="O60" s="6"/>
      <c r="P60" s="6"/>
      <c r="Q60" s="6"/>
      <c r="R60" s="6"/>
      <c r="S60" s="6"/>
      <c r="T60" s="6"/>
      <c r="U60" s="6"/>
      <c r="V60" s="6"/>
      <c r="W60" s="6"/>
      <c r="X60" s="6"/>
      <c r="Y60" s="6"/>
    </row>
    <row r="61" spans="1:25" ht="33.75" x14ac:dyDescent="0.2">
      <c r="A61" s="7" t="s">
        <v>870</v>
      </c>
      <c r="B61" s="229">
        <v>10286</v>
      </c>
      <c r="C61" s="7"/>
      <c r="D61" s="52"/>
      <c r="E61" s="7"/>
      <c r="F61" s="7"/>
      <c r="G61" s="7"/>
      <c r="H61" s="7"/>
      <c r="I61" s="7"/>
      <c r="J61" s="7"/>
      <c r="K61" s="7"/>
      <c r="L61" s="7"/>
      <c r="M61" s="7"/>
      <c r="N61" s="6"/>
      <c r="O61" s="6"/>
      <c r="P61" s="6"/>
      <c r="Q61" s="6"/>
      <c r="R61" s="6"/>
      <c r="S61" s="6"/>
      <c r="T61" s="6"/>
      <c r="U61" s="6"/>
      <c r="V61" s="6"/>
      <c r="W61" s="6"/>
      <c r="X61" s="6"/>
      <c r="Y61" s="6"/>
    </row>
    <row r="62" spans="1:25" ht="22.5" x14ac:dyDescent="0.2">
      <c r="A62" s="7" t="s">
        <v>871</v>
      </c>
      <c r="B62" s="229">
        <v>50861</v>
      </c>
      <c r="C62" s="7"/>
      <c r="D62" s="52"/>
      <c r="E62" s="7"/>
      <c r="F62" s="7"/>
      <c r="G62" s="7"/>
      <c r="H62" s="7"/>
      <c r="I62" s="7"/>
      <c r="J62" s="7"/>
      <c r="K62" s="7"/>
      <c r="L62" s="7"/>
      <c r="M62" s="7"/>
      <c r="N62" s="6"/>
      <c r="O62" s="6"/>
      <c r="P62" s="6"/>
      <c r="Q62" s="6"/>
      <c r="R62" s="6"/>
      <c r="S62" s="6"/>
      <c r="T62" s="6"/>
      <c r="U62" s="6"/>
      <c r="V62" s="6"/>
      <c r="W62" s="6"/>
      <c r="X62" s="6"/>
      <c r="Y62" s="6"/>
    </row>
    <row r="63" spans="1:25" x14ac:dyDescent="0.2">
      <c r="A63" s="7" t="s">
        <v>882</v>
      </c>
      <c r="B63" s="32">
        <f>5*(1+'Input data'!C7)</f>
        <v>5.3969999999999994</v>
      </c>
      <c r="C63" s="7"/>
      <c r="D63" s="52"/>
      <c r="E63" s="7"/>
      <c r="F63" s="7"/>
      <c r="G63" s="7"/>
      <c r="H63" s="7"/>
      <c r="I63" s="7"/>
      <c r="J63" s="7"/>
      <c r="K63" s="7"/>
      <c r="L63" s="7"/>
      <c r="M63" s="7"/>
      <c r="N63" s="6"/>
      <c r="O63" s="6"/>
      <c r="P63" s="6"/>
      <c r="Q63" s="6"/>
      <c r="R63" s="6"/>
      <c r="S63" s="6"/>
      <c r="T63" s="6"/>
      <c r="U63" s="6"/>
      <c r="V63" s="6"/>
      <c r="W63" s="6"/>
      <c r="X63" s="6"/>
      <c r="Y63" s="6"/>
    </row>
    <row r="64" spans="1:25" x14ac:dyDescent="0.2">
      <c r="A64" s="45" t="s">
        <v>535</v>
      </c>
      <c r="B64" s="31">
        <v>0.5</v>
      </c>
      <c r="C64" s="7"/>
      <c r="D64" s="29"/>
      <c r="E64" s="7"/>
      <c r="F64" s="7"/>
      <c r="G64" s="7"/>
      <c r="H64" s="7"/>
      <c r="I64" s="7"/>
      <c r="J64" s="7"/>
      <c r="K64" s="7"/>
      <c r="L64" s="7"/>
      <c r="M64" s="7"/>
      <c r="N64" s="6"/>
      <c r="O64" s="6"/>
      <c r="P64" s="6"/>
      <c r="Q64" s="6"/>
      <c r="R64" s="6"/>
      <c r="S64" s="6"/>
      <c r="T64" s="6"/>
      <c r="U64" s="6"/>
      <c r="V64" s="6"/>
      <c r="W64" s="6"/>
      <c r="X64" s="6"/>
      <c r="Y64" s="6"/>
    </row>
    <row r="65" spans="1:25" ht="33.75" x14ac:dyDescent="0.2">
      <c r="A65" s="45" t="s">
        <v>534</v>
      </c>
      <c r="B65" s="144">
        <v>0.69299999999999995</v>
      </c>
      <c r="C65" s="29"/>
      <c r="D65" s="29"/>
      <c r="E65" s="7"/>
      <c r="F65" s="7"/>
      <c r="G65" s="7"/>
      <c r="H65" s="7"/>
      <c r="I65" s="7"/>
      <c r="J65" s="7"/>
      <c r="K65" s="7"/>
      <c r="L65" s="7"/>
      <c r="M65" s="7"/>
      <c r="N65" s="6"/>
      <c r="O65" s="6"/>
      <c r="P65" s="6"/>
      <c r="Q65" s="6"/>
      <c r="R65" s="6"/>
      <c r="S65" s="6"/>
      <c r="T65" s="6"/>
      <c r="U65" s="6"/>
      <c r="V65" s="6"/>
      <c r="W65" s="6"/>
      <c r="X65" s="6"/>
      <c r="Y65" s="6"/>
    </row>
    <row r="66" spans="1:25" x14ac:dyDescent="0.2">
      <c r="A66" s="45" t="s">
        <v>72</v>
      </c>
      <c r="B66" s="31">
        <v>4</v>
      </c>
      <c r="C66" s="29"/>
      <c r="D66" s="29"/>
      <c r="E66" s="7"/>
      <c r="F66" s="7"/>
      <c r="G66" s="7"/>
      <c r="H66" s="7"/>
      <c r="I66" s="7"/>
      <c r="J66" s="7"/>
      <c r="K66" s="7"/>
      <c r="L66" s="7"/>
      <c r="M66" s="7"/>
      <c r="N66" s="6"/>
      <c r="O66" s="6"/>
      <c r="P66" s="6"/>
      <c r="Q66" s="6"/>
      <c r="R66" s="6"/>
      <c r="S66" s="6"/>
      <c r="T66" s="6"/>
      <c r="U66" s="6"/>
      <c r="V66" s="6"/>
      <c r="W66" s="6"/>
      <c r="X66" s="6"/>
      <c r="Y66" s="6"/>
    </row>
    <row r="67" spans="1:25" ht="22.5" customHeight="1" x14ac:dyDescent="0.2">
      <c r="A67" s="167" t="s">
        <v>883</v>
      </c>
      <c r="B67" s="30"/>
      <c r="C67" s="317"/>
      <c r="D67" s="318"/>
      <c r="E67" s="318"/>
      <c r="F67" s="7"/>
      <c r="G67" s="7"/>
      <c r="H67" s="7"/>
      <c r="I67" s="7"/>
      <c r="J67" s="7"/>
      <c r="K67" s="7"/>
      <c r="L67" s="7"/>
      <c r="M67" s="7"/>
      <c r="N67" s="6"/>
      <c r="O67" s="6"/>
      <c r="P67" s="6"/>
      <c r="Q67" s="6"/>
      <c r="R67" s="6"/>
      <c r="S67" s="6"/>
      <c r="T67" s="6"/>
      <c r="U67" s="6"/>
      <c r="V67" s="6"/>
      <c r="W67" s="6"/>
      <c r="X67" s="6"/>
      <c r="Y67" s="6"/>
    </row>
    <row r="68" spans="1:25" x14ac:dyDescent="0.2">
      <c r="A68" s="165" t="s">
        <v>677</v>
      </c>
      <c r="B68" s="166">
        <f>(((B57+B39)*B64)+(B63*B65))/B66</f>
        <v>10.809914000000001</v>
      </c>
      <c r="C68" s="230"/>
      <c r="D68" s="25"/>
      <c r="E68" s="25"/>
      <c r="F68" s="7"/>
      <c r="G68" s="7"/>
      <c r="H68" s="7"/>
      <c r="I68" s="7"/>
      <c r="J68" s="7"/>
      <c r="K68" s="7"/>
      <c r="L68" s="7"/>
      <c r="M68" s="7"/>
      <c r="N68" s="6"/>
      <c r="O68" s="6"/>
      <c r="P68" s="6"/>
      <c r="Q68" s="6"/>
      <c r="R68" s="6"/>
      <c r="S68" s="6"/>
      <c r="T68" s="6"/>
      <c r="U68" s="6"/>
      <c r="V68" s="6"/>
      <c r="W68" s="6"/>
      <c r="X68" s="6"/>
      <c r="Y68" s="6"/>
    </row>
    <row r="69" spans="1:25" x14ac:dyDescent="0.2">
      <c r="A69" s="165" t="s">
        <v>678</v>
      </c>
      <c r="B69" s="166">
        <f>((B57+B39)*B64)/B66</f>
        <v>9.8748837500000004</v>
      </c>
      <c r="C69" s="230"/>
      <c r="D69" s="25"/>
      <c r="E69" s="25"/>
      <c r="F69" s="7"/>
      <c r="G69" s="7"/>
      <c r="H69" s="7"/>
      <c r="I69" s="7"/>
      <c r="J69" s="7"/>
      <c r="K69" s="7"/>
      <c r="L69" s="7"/>
      <c r="M69" s="7"/>
      <c r="N69" s="6"/>
      <c r="O69" s="6"/>
      <c r="P69" s="6"/>
      <c r="Q69" s="6"/>
      <c r="R69" s="6"/>
      <c r="S69" s="6"/>
      <c r="T69" s="6"/>
      <c r="U69" s="6"/>
      <c r="V69" s="6"/>
      <c r="W69" s="6"/>
      <c r="X69" s="6"/>
      <c r="Y69" s="6"/>
    </row>
    <row r="70" spans="1:25" x14ac:dyDescent="0.2">
      <c r="A70" s="165" t="s">
        <v>518</v>
      </c>
      <c r="B70" s="166">
        <f>B69</f>
        <v>9.8748837500000004</v>
      </c>
      <c r="C70" s="230"/>
      <c r="D70" s="25"/>
      <c r="E70" s="25"/>
      <c r="F70" s="7"/>
      <c r="G70" s="7"/>
      <c r="H70" s="7"/>
      <c r="I70" s="7"/>
      <c r="J70" s="7"/>
      <c r="K70" s="7"/>
      <c r="L70" s="7"/>
      <c r="M70" s="7"/>
      <c r="N70" s="6"/>
      <c r="O70" s="6"/>
      <c r="P70" s="6"/>
      <c r="Q70" s="6"/>
      <c r="R70" s="6"/>
      <c r="S70" s="6"/>
      <c r="T70" s="6"/>
      <c r="U70" s="6"/>
      <c r="V70" s="6"/>
      <c r="W70" s="6"/>
      <c r="X70" s="6"/>
      <c r="Y70" s="6"/>
    </row>
    <row r="71" spans="1:25" x14ac:dyDescent="0.2">
      <c r="A71" s="165" t="s">
        <v>676</v>
      </c>
      <c r="B71" s="166">
        <v>0</v>
      </c>
      <c r="C71" s="230"/>
      <c r="D71" s="25"/>
      <c r="E71" s="25"/>
      <c r="F71" s="7"/>
      <c r="G71" s="7"/>
      <c r="H71" s="7"/>
      <c r="I71" s="7"/>
      <c r="J71" s="7"/>
      <c r="K71" s="7"/>
      <c r="L71" s="7"/>
      <c r="M71" s="7"/>
      <c r="N71" s="6"/>
      <c r="O71" s="6"/>
      <c r="P71" s="6"/>
      <c r="Q71" s="6"/>
      <c r="R71" s="6"/>
      <c r="S71" s="6"/>
      <c r="T71" s="6"/>
      <c r="U71" s="6"/>
      <c r="V71" s="6"/>
      <c r="W71" s="6"/>
      <c r="X71" s="6"/>
      <c r="Y71" s="6"/>
    </row>
    <row r="72" spans="1:25" x14ac:dyDescent="0.2">
      <c r="A72" s="165" t="s">
        <v>675</v>
      </c>
      <c r="B72" s="166">
        <v>0</v>
      </c>
      <c r="C72" s="231"/>
      <c r="D72" s="7"/>
      <c r="E72" s="7"/>
      <c r="F72" s="7"/>
      <c r="G72" s="7"/>
      <c r="H72" s="7"/>
      <c r="I72" s="7"/>
      <c r="J72" s="7"/>
      <c r="K72" s="7"/>
      <c r="L72" s="7"/>
      <c r="M72" s="7"/>
      <c r="N72" s="6"/>
      <c r="O72" s="6"/>
      <c r="P72" s="6"/>
      <c r="Q72" s="6"/>
      <c r="R72" s="6"/>
      <c r="S72" s="6"/>
      <c r="T72" s="6"/>
      <c r="U72" s="6"/>
      <c r="V72" s="6"/>
      <c r="W72" s="6"/>
      <c r="X72" s="6"/>
      <c r="Y72" s="6"/>
    </row>
    <row r="73" spans="1:25" x14ac:dyDescent="0.2">
      <c r="A73" s="35"/>
      <c r="B73" s="51"/>
      <c r="C73" s="7"/>
      <c r="D73" s="7"/>
      <c r="E73" s="7"/>
      <c r="F73" s="7"/>
      <c r="G73" s="7"/>
      <c r="H73" s="7"/>
      <c r="I73" s="7"/>
      <c r="J73" s="7"/>
      <c r="K73" s="7"/>
      <c r="L73" s="7"/>
      <c r="M73" s="7"/>
      <c r="N73" s="6"/>
      <c r="O73" s="6"/>
      <c r="P73" s="6"/>
      <c r="Q73" s="6"/>
      <c r="R73" s="6"/>
      <c r="S73" s="6"/>
      <c r="T73" s="6"/>
      <c r="U73" s="6"/>
      <c r="V73" s="6"/>
      <c r="W73" s="6"/>
      <c r="X73" s="6"/>
      <c r="Y73" s="6"/>
    </row>
    <row r="74" spans="1:25" x14ac:dyDescent="0.2">
      <c r="A74" s="145" t="s">
        <v>475</v>
      </c>
      <c r="B74" s="46"/>
      <c r="C74" s="7"/>
      <c r="D74" s="7"/>
      <c r="E74" s="7"/>
      <c r="F74" s="7"/>
      <c r="G74" s="7"/>
      <c r="H74" s="7"/>
      <c r="I74" s="7"/>
      <c r="J74" s="7"/>
      <c r="K74" s="7"/>
      <c r="L74" s="7"/>
      <c r="M74" s="7"/>
      <c r="N74" s="6"/>
      <c r="O74" s="6"/>
      <c r="P74" s="6"/>
      <c r="Q74" s="6"/>
      <c r="R74" s="6"/>
      <c r="S74" s="6"/>
      <c r="T74" s="6"/>
      <c r="U74" s="6"/>
      <c r="V74" s="6"/>
      <c r="W74" s="6"/>
      <c r="X74" s="6"/>
      <c r="Y74" s="6"/>
    </row>
    <row r="75" spans="1:25" x14ac:dyDescent="0.2">
      <c r="A75" s="45" t="s">
        <v>476</v>
      </c>
      <c r="B75" s="40">
        <v>1</v>
      </c>
      <c r="C75" s="7"/>
      <c r="D75" s="7"/>
      <c r="E75" s="7"/>
      <c r="F75" s="7"/>
      <c r="G75" s="7"/>
      <c r="H75" s="7"/>
      <c r="I75" s="7"/>
      <c r="J75" s="7"/>
      <c r="K75" s="7"/>
      <c r="L75" s="7"/>
      <c r="M75" s="7"/>
      <c r="N75" s="6"/>
      <c r="O75" s="6"/>
      <c r="P75" s="6"/>
      <c r="Q75" s="6"/>
      <c r="R75" s="6"/>
      <c r="S75" s="6"/>
      <c r="T75" s="6"/>
      <c r="U75" s="6"/>
      <c r="V75" s="6"/>
      <c r="W75" s="6"/>
      <c r="X75" s="6"/>
      <c r="Y75" s="6"/>
    </row>
    <row r="76" spans="1:25" x14ac:dyDescent="0.2">
      <c r="A76" s="45" t="s">
        <v>477</v>
      </c>
      <c r="B76" s="40">
        <v>2</v>
      </c>
      <c r="C76" s="15" t="s">
        <v>653</v>
      </c>
      <c r="D76" s="7"/>
      <c r="E76" s="7"/>
      <c r="F76" s="7"/>
      <c r="G76" s="7"/>
      <c r="H76" s="7"/>
      <c r="I76" s="7"/>
      <c r="J76" s="7"/>
      <c r="K76" s="7"/>
      <c r="L76" s="7"/>
      <c r="M76" s="7"/>
      <c r="N76" s="6"/>
      <c r="O76" s="6"/>
      <c r="P76" s="6"/>
      <c r="Q76" s="6"/>
      <c r="R76" s="6"/>
      <c r="S76" s="6"/>
      <c r="T76" s="6"/>
      <c r="U76" s="6"/>
      <c r="V76" s="6"/>
      <c r="W76" s="6"/>
      <c r="X76" s="6"/>
      <c r="Y76" s="6"/>
    </row>
    <row r="77" spans="1:25" x14ac:dyDescent="0.2">
      <c r="A77" s="45" t="s">
        <v>478</v>
      </c>
      <c r="B77" s="40">
        <v>15</v>
      </c>
      <c r="C77" s="7"/>
      <c r="D77" s="7"/>
      <c r="E77" s="7"/>
      <c r="F77" s="7"/>
      <c r="G77" s="7"/>
      <c r="H77" s="7"/>
      <c r="I77" s="7"/>
      <c r="J77" s="7"/>
      <c r="K77" s="7"/>
      <c r="L77" s="7"/>
      <c r="M77" s="7"/>
      <c r="N77" s="6"/>
      <c r="O77" s="6"/>
      <c r="P77" s="6"/>
      <c r="Q77" s="6"/>
      <c r="R77" s="6"/>
      <c r="S77" s="6"/>
      <c r="T77" s="6"/>
      <c r="U77" s="6"/>
      <c r="V77" s="6"/>
      <c r="W77" s="6"/>
      <c r="X77" s="6"/>
      <c r="Y77" s="6"/>
    </row>
    <row r="78" spans="1:25" x14ac:dyDescent="0.2">
      <c r="A78" s="45" t="s">
        <v>479</v>
      </c>
      <c r="B78" s="40">
        <v>180</v>
      </c>
      <c r="C78" s="7"/>
      <c r="D78" s="7"/>
      <c r="E78" s="7"/>
      <c r="F78" s="7"/>
      <c r="G78" s="7"/>
      <c r="H78" s="7"/>
      <c r="I78" s="7"/>
      <c r="J78" s="7"/>
      <c r="K78" s="7"/>
      <c r="L78" s="7"/>
      <c r="M78" s="7"/>
      <c r="N78" s="6"/>
      <c r="O78" s="6"/>
      <c r="P78" s="6"/>
      <c r="Q78" s="6"/>
      <c r="R78" s="6"/>
      <c r="S78" s="6"/>
      <c r="T78" s="6"/>
      <c r="U78" s="6"/>
      <c r="V78" s="6"/>
      <c r="W78" s="6"/>
      <c r="X78" s="6"/>
      <c r="Y78" s="6"/>
    </row>
    <row r="79" spans="1:25" x14ac:dyDescent="0.2">
      <c r="A79" s="45"/>
      <c r="B79" s="46"/>
      <c r="C79" s="7"/>
      <c r="D79" s="7"/>
      <c r="E79" s="7"/>
      <c r="F79" s="7"/>
      <c r="G79" s="7"/>
      <c r="H79" s="7"/>
      <c r="I79" s="7"/>
      <c r="J79" s="7"/>
      <c r="K79" s="7"/>
      <c r="L79" s="7"/>
      <c r="M79" s="7"/>
      <c r="N79" s="6"/>
      <c r="O79" s="6"/>
      <c r="P79" s="6"/>
      <c r="Q79" s="6"/>
      <c r="R79" s="6"/>
      <c r="S79" s="6"/>
      <c r="T79" s="6"/>
      <c r="U79" s="6"/>
      <c r="V79" s="6"/>
      <c r="W79" s="6"/>
      <c r="X79" s="6"/>
      <c r="Y79" s="6"/>
    </row>
    <row r="80" spans="1:25" x14ac:dyDescent="0.2">
      <c r="A80" s="45" t="s">
        <v>403</v>
      </c>
      <c r="B80" s="39">
        <v>0.7</v>
      </c>
      <c r="C80" s="7"/>
      <c r="D80" s="7"/>
      <c r="E80" s="7"/>
      <c r="F80" s="7"/>
      <c r="G80" s="7"/>
      <c r="H80" s="7"/>
      <c r="I80" s="7"/>
      <c r="J80" s="7"/>
      <c r="K80" s="7"/>
      <c r="L80" s="7"/>
      <c r="M80" s="7"/>
      <c r="N80" s="6"/>
      <c r="O80" s="6"/>
      <c r="P80" s="6"/>
      <c r="Q80" s="6"/>
      <c r="R80" s="6"/>
      <c r="S80" s="6"/>
      <c r="T80" s="6"/>
      <c r="U80" s="6"/>
      <c r="V80" s="6"/>
      <c r="W80" s="6"/>
      <c r="X80" s="6"/>
      <c r="Y80" s="6"/>
    </row>
    <row r="81" spans="1:27" x14ac:dyDescent="0.2">
      <c r="A81" s="45" t="s">
        <v>404</v>
      </c>
      <c r="B81" s="39">
        <v>0.3</v>
      </c>
      <c r="C81" s="7"/>
      <c r="D81" s="7"/>
      <c r="E81" s="7"/>
      <c r="F81" s="7"/>
      <c r="G81" s="7"/>
      <c r="H81" s="7"/>
      <c r="I81" s="7"/>
      <c r="J81" s="7"/>
      <c r="K81" s="7"/>
      <c r="L81" s="7"/>
      <c r="M81" s="7"/>
      <c r="N81" s="6"/>
      <c r="O81" s="6"/>
      <c r="P81" s="6"/>
      <c r="Q81" s="6"/>
      <c r="R81" s="6"/>
      <c r="S81" s="6"/>
      <c r="T81" s="6"/>
      <c r="U81" s="6"/>
      <c r="V81" s="6"/>
      <c r="W81" s="6"/>
      <c r="X81" s="6"/>
      <c r="Y81" s="6"/>
    </row>
    <row r="82" spans="1:27" x14ac:dyDescent="0.2">
      <c r="A82" s="7"/>
      <c r="B82" s="7"/>
      <c r="C82" s="7"/>
      <c r="D82" s="7"/>
      <c r="E82" s="7"/>
      <c r="F82" s="7"/>
      <c r="G82" s="7"/>
      <c r="H82" s="23"/>
      <c r="I82" s="23"/>
      <c r="J82" s="23"/>
      <c r="K82" s="23"/>
      <c r="L82" s="23"/>
      <c r="M82" s="23"/>
      <c r="N82" s="23"/>
      <c r="O82" s="23"/>
      <c r="P82" s="28"/>
      <c r="Q82" s="28"/>
      <c r="R82" s="28"/>
      <c r="S82" s="28"/>
      <c r="T82" s="28"/>
      <c r="U82" s="6"/>
      <c r="V82" s="6"/>
      <c r="W82" s="6"/>
      <c r="X82" s="6"/>
      <c r="Y82" s="6"/>
      <c r="Z82" s="6"/>
      <c r="AA82" s="6"/>
    </row>
    <row r="83" spans="1:27" x14ac:dyDescent="0.2">
      <c r="A83" s="17" t="s">
        <v>483</v>
      </c>
      <c r="B83" s="7"/>
      <c r="C83" s="7"/>
      <c r="D83" s="7"/>
      <c r="E83" s="7"/>
      <c r="F83" s="7"/>
      <c r="G83" s="7"/>
      <c r="H83" s="23"/>
      <c r="I83" s="23"/>
      <c r="J83" s="23"/>
      <c r="K83" s="23"/>
      <c r="L83" s="23"/>
      <c r="M83" s="23"/>
      <c r="N83" s="206"/>
      <c r="O83" s="206"/>
      <c r="P83" s="206"/>
      <c r="Q83" s="206"/>
      <c r="R83" s="206"/>
      <c r="S83" s="206"/>
      <c r="T83" s="28"/>
      <c r="U83" s="6"/>
      <c r="V83" s="6"/>
      <c r="W83" s="6"/>
      <c r="X83" s="6"/>
      <c r="Y83" s="6"/>
      <c r="Z83" s="6"/>
      <c r="AA83" s="6"/>
    </row>
    <row r="84" spans="1:27" x14ac:dyDescent="0.2">
      <c r="A84" s="7"/>
      <c r="B84" s="7"/>
      <c r="C84" s="7"/>
      <c r="D84" s="7"/>
      <c r="E84" s="7"/>
      <c r="F84" s="7"/>
      <c r="G84" s="7"/>
      <c r="H84" s="74"/>
      <c r="I84" s="23"/>
      <c r="J84" s="23"/>
      <c r="K84" s="23"/>
      <c r="L84" s="23"/>
      <c r="M84" s="23"/>
      <c r="N84" s="204"/>
      <c r="O84" s="204"/>
      <c r="P84" s="204"/>
      <c r="Q84" s="204"/>
      <c r="R84" s="204"/>
      <c r="S84" s="204"/>
      <c r="T84" s="28"/>
      <c r="U84" s="6"/>
      <c r="V84" s="6"/>
      <c r="W84" s="6"/>
      <c r="X84" s="6"/>
      <c r="Y84" s="6"/>
      <c r="Z84" s="6"/>
      <c r="AA84" s="6"/>
    </row>
    <row r="85" spans="1:27" x14ac:dyDescent="0.2">
      <c r="A85" s="7" t="s">
        <v>487</v>
      </c>
      <c r="B85" s="33">
        <f>B56*B28</f>
        <v>97.146051022222224</v>
      </c>
      <c r="C85" s="7"/>
      <c r="D85" s="7"/>
      <c r="E85" s="7"/>
      <c r="F85" s="7"/>
      <c r="G85" s="7"/>
      <c r="H85" s="23"/>
      <c r="I85" s="23"/>
      <c r="J85" s="23"/>
      <c r="K85" s="23"/>
      <c r="L85" s="23"/>
      <c r="M85" s="23"/>
      <c r="N85" s="23"/>
      <c r="O85" s="204"/>
      <c r="P85" s="205"/>
      <c r="Q85" s="204"/>
      <c r="R85" s="204"/>
      <c r="S85" s="204"/>
      <c r="T85" s="28"/>
      <c r="U85" s="6"/>
      <c r="V85" s="6"/>
      <c r="W85" s="6"/>
      <c r="X85" s="6"/>
      <c r="Y85" s="6"/>
      <c r="Z85" s="6"/>
      <c r="AA85" s="6"/>
    </row>
    <row r="86" spans="1:27" x14ac:dyDescent="0.2">
      <c r="A86" s="232" t="s">
        <v>488</v>
      </c>
      <c r="B86" s="233">
        <f>'Input data'!C15*'Input data'!B29</f>
        <v>9.8965079365079376</v>
      </c>
      <c r="C86" s="7"/>
      <c r="D86" s="7"/>
      <c r="E86" s="7"/>
      <c r="F86" s="7"/>
      <c r="G86" s="7"/>
      <c r="H86" s="130"/>
      <c r="I86" s="23"/>
      <c r="J86" s="23"/>
      <c r="K86" s="23"/>
      <c r="L86" s="23"/>
      <c r="M86" s="23"/>
      <c r="N86" s="203"/>
      <c r="O86" s="203"/>
      <c r="P86" s="203"/>
      <c r="Q86" s="203"/>
      <c r="R86" s="203"/>
      <c r="S86" s="203"/>
      <c r="T86" s="28"/>
      <c r="U86" s="6"/>
      <c r="V86" s="6"/>
      <c r="W86" s="6"/>
      <c r="X86" s="6"/>
      <c r="Y86" s="6"/>
      <c r="Z86" s="6"/>
      <c r="AA86" s="6"/>
    </row>
    <row r="87" spans="1:27" x14ac:dyDescent="0.2">
      <c r="A87" s="7" t="s">
        <v>503</v>
      </c>
      <c r="B87" s="34">
        <f>B28</f>
        <v>1.6177777777777778</v>
      </c>
      <c r="C87" s="7"/>
      <c r="D87" s="7"/>
      <c r="E87" s="7"/>
      <c r="F87" s="7"/>
      <c r="G87" s="7"/>
      <c r="H87" s="23"/>
      <c r="I87" s="169"/>
      <c r="J87" s="169"/>
      <c r="K87" s="23"/>
      <c r="L87" s="23"/>
      <c r="M87" s="23"/>
      <c r="N87" s="23"/>
      <c r="O87" s="23"/>
      <c r="P87" s="28"/>
      <c r="Q87" s="28"/>
      <c r="R87" s="28"/>
      <c r="S87" s="28"/>
      <c r="T87" s="28"/>
      <c r="U87" s="6"/>
      <c r="V87" s="6"/>
      <c r="W87" s="6"/>
      <c r="X87" s="6"/>
      <c r="Y87" s="6"/>
      <c r="Z87" s="6"/>
      <c r="AA87" s="6"/>
    </row>
    <row r="88" spans="1:27" x14ac:dyDescent="0.2">
      <c r="A88" s="232" t="s">
        <v>502</v>
      </c>
      <c r="B88" s="234">
        <f>B29</f>
        <v>0.25375661375661379</v>
      </c>
      <c r="C88" s="7"/>
      <c r="D88" s="7"/>
      <c r="E88" s="7"/>
      <c r="F88" s="7"/>
      <c r="G88" s="7"/>
      <c r="H88" s="74"/>
      <c r="I88" s="169"/>
      <c r="J88" s="169"/>
      <c r="K88" s="23"/>
      <c r="L88" s="23"/>
      <c r="M88" s="23"/>
      <c r="N88" s="23"/>
      <c r="O88" s="23"/>
      <c r="P88" s="28"/>
      <c r="Q88" s="28"/>
      <c r="R88" s="28"/>
      <c r="S88" s="28"/>
      <c r="T88" s="28"/>
      <c r="U88" s="6"/>
      <c r="V88" s="6"/>
      <c r="W88" s="6"/>
      <c r="X88" s="6"/>
      <c r="Y88" s="6"/>
      <c r="Z88" s="6"/>
      <c r="AA88" s="6"/>
    </row>
    <row r="89" spans="1:27" x14ac:dyDescent="0.2">
      <c r="A89" s="7"/>
      <c r="B89" s="7"/>
      <c r="C89" s="7"/>
      <c r="D89" s="7"/>
      <c r="E89" s="7"/>
      <c r="F89" s="7"/>
      <c r="G89" s="7"/>
      <c r="H89" s="7"/>
      <c r="I89" s="7"/>
      <c r="J89" s="7"/>
      <c r="K89" s="7"/>
      <c r="L89" s="7"/>
      <c r="M89" s="7"/>
      <c r="N89" s="6"/>
      <c r="O89" s="6"/>
      <c r="P89" s="6"/>
      <c r="Q89" s="6"/>
      <c r="R89" s="6"/>
      <c r="S89" s="6"/>
      <c r="T89" s="6"/>
      <c r="U89" s="6"/>
      <c r="V89" s="6"/>
      <c r="W89" s="6"/>
      <c r="X89" s="6"/>
      <c r="Y89" s="6"/>
    </row>
    <row r="90" spans="1:27" x14ac:dyDescent="0.2">
      <c r="A90" s="7"/>
      <c r="B90" s="7"/>
      <c r="C90" s="7"/>
      <c r="D90" s="7"/>
      <c r="E90" s="7"/>
      <c r="F90" s="7"/>
      <c r="G90" s="7"/>
      <c r="H90" s="7"/>
      <c r="I90" s="7"/>
      <c r="J90" s="7"/>
      <c r="K90" s="7"/>
      <c r="L90" s="7"/>
      <c r="M90" s="7"/>
      <c r="N90" s="6"/>
      <c r="O90" s="6"/>
      <c r="P90" s="6"/>
      <c r="Q90" s="6"/>
      <c r="R90" s="6"/>
      <c r="S90" s="6"/>
      <c r="T90" s="6"/>
      <c r="U90" s="6"/>
      <c r="V90" s="6"/>
      <c r="W90" s="6"/>
      <c r="X90" s="6"/>
      <c r="Y90" s="6"/>
    </row>
    <row r="91" spans="1:27" x14ac:dyDescent="0.2">
      <c r="A91" s="145" t="s">
        <v>409</v>
      </c>
      <c r="B91" s="7"/>
      <c r="C91" s="7"/>
      <c r="D91" s="183"/>
      <c r="E91" s="183"/>
      <c r="F91" s="183"/>
      <c r="G91" s="183"/>
      <c r="H91" s="183"/>
      <c r="I91" s="7"/>
      <c r="J91" s="7"/>
      <c r="K91" s="7"/>
      <c r="L91" s="7"/>
      <c r="M91" s="7"/>
      <c r="N91" s="6"/>
      <c r="O91" s="6"/>
      <c r="P91" s="6"/>
      <c r="Q91" s="6"/>
      <c r="R91" s="6"/>
      <c r="S91" s="6"/>
      <c r="T91" s="6"/>
      <c r="U91" s="6"/>
      <c r="V91" s="6"/>
      <c r="W91" s="6"/>
      <c r="X91" s="6"/>
      <c r="Y91" s="6"/>
    </row>
    <row r="92" spans="1:27" ht="22.5" x14ac:dyDescent="0.2">
      <c r="A92" s="17" t="s">
        <v>505</v>
      </c>
      <c r="B92" s="37">
        <f>B28*B35+B28*B56</f>
        <v>158.82997635555554</v>
      </c>
      <c r="C92" s="7"/>
      <c r="D92" s="33"/>
      <c r="E92" s="33"/>
      <c r="F92" s="33"/>
      <c r="G92" s="33"/>
      <c r="H92" s="7"/>
      <c r="I92" s="7"/>
      <c r="J92" s="7"/>
      <c r="K92" s="7"/>
      <c r="L92" s="7"/>
      <c r="M92" s="7"/>
      <c r="N92" s="6"/>
      <c r="O92" s="6"/>
      <c r="P92" s="6"/>
      <c r="Q92" s="6"/>
      <c r="R92" s="6"/>
      <c r="S92" s="6"/>
      <c r="T92" s="6"/>
      <c r="U92" s="6"/>
      <c r="V92" s="6"/>
      <c r="W92" s="6"/>
      <c r="X92" s="6"/>
      <c r="Y92" s="6"/>
    </row>
    <row r="93" spans="1:27" ht="22.5" x14ac:dyDescent="0.2">
      <c r="A93" s="17" t="s">
        <v>405</v>
      </c>
      <c r="B93" s="37">
        <f>C15</f>
        <v>39</v>
      </c>
      <c r="C93" s="7"/>
      <c r="D93" s="33"/>
      <c r="E93" s="33"/>
      <c r="F93" s="33"/>
      <c r="G93" s="33"/>
      <c r="H93" s="7"/>
      <c r="I93" s="7"/>
      <c r="J93" s="7"/>
      <c r="K93" s="7"/>
      <c r="L93" s="7"/>
      <c r="M93" s="7"/>
      <c r="N93" s="6"/>
      <c r="O93" s="6"/>
      <c r="P93" s="6"/>
      <c r="Q93" s="6"/>
      <c r="R93" s="6"/>
      <c r="S93" s="6"/>
      <c r="T93" s="6"/>
      <c r="U93" s="6"/>
      <c r="V93" s="6"/>
      <c r="W93" s="6"/>
      <c r="X93" s="6"/>
      <c r="Y93" s="6"/>
    </row>
    <row r="94" spans="1:27" x14ac:dyDescent="0.2">
      <c r="A94" s="7"/>
      <c r="B94" s="7"/>
      <c r="C94" s="7"/>
      <c r="D94" s="7"/>
      <c r="E94" s="7"/>
      <c r="F94" s="7"/>
      <c r="G94" s="7"/>
      <c r="H94" s="7"/>
      <c r="I94" s="7"/>
      <c r="J94" s="7"/>
      <c r="K94" s="7"/>
      <c r="L94" s="7"/>
      <c r="M94" s="7"/>
      <c r="N94" s="6"/>
      <c r="O94" s="6"/>
      <c r="P94" s="6"/>
      <c r="Q94" s="6"/>
      <c r="R94" s="6"/>
      <c r="S94" s="6"/>
      <c r="T94" s="6"/>
      <c r="U94" s="6"/>
      <c r="V94" s="6"/>
      <c r="W94" s="6"/>
      <c r="X94" s="6"/>
      <c r="Y94" s="6"/>
    </row>
    <row r="95" spans="1:27" x14ac:dyDescent="0.2">
      <c r="A95" s="145" t="s">
        <v>475</v>
      </c>
      <c r="B95" s="7"/>
      <c r="C95" s="7"/>
      <c r="D95" s="7"/>
      <c r="E95" s="7"/>
      <c r="F95" s="7"/>
      <c r="G95" s="7"/>
      <c r="H95" s="7"/>
      <c r="I95" s="7"/>
      <c r="J95" s="7"/>
      <c r="K95" s="7"/>
      <c r="L95" s="7"/>
      <c r="M95" s="7"/>
      <c r="N95" s="6"/>
      <c r="O95" s="6"/>
      <c r="P95" s="6"/>
      <c r="Q95" s="6"/>
      <c r="R95" s="6"/>
      <c r="S95" s="6"/>
      <c r="T95" s="6"/>
      <c r="U95" s="6"/>
      <c r="V95" s="6"/>
      <c r="W95" s="6"/>
      <c r="X95" s="6"/>
      <c r="Y95" s="6"/>
    </row>
    <row r="96" spans="1:27" x14ac:dyDescent="0.2">
      <c r="A96" s="17" t="s">
        <v>480</v>
      </c>
      <c r="B96" s="37">
        <f>B75*B56/B78</f>
        <v>0.33360594444444447</v>
      </c>
      <c r="C96" s="7"/>
      <c r="D96" s="7"/>
      <c r="E96" s="7"/>
      <c r="F96" s="7"/>
      <c r="G96" s="7"/>
      <c r="H96" s="7"/>
      <c r="I96" s="7"/>
      <c r="J96" s="7"/>
      <c r="K96" s="7"/>
      <c r="L96" s="7"/>
      <c r="M96" s="7"/>
      <c r="N96" s="6"/>
      <c r="O96" s="6"/>
      <c r="P96" s="6"/>
      <c r="Q96" s="6"/>
      <c r="R96" s="6"/>
      <c r="S96" s="6"/>
      <c r="T96" s="6"/>
      <c r="U96" s="6"/>
      <c r="V96" s="6"/>
      <c r="W96" s="6"/>
      <c r="X96" s="6"/>
      <c r="Y96" s="6"/>
    </row>
    <row r="97" spans="1:25" ht="15.75" customHeight="1" x14ac:dyDescent="0.2">
      <c r="A97" s="17" t="s">
        <v>481</v>
      </c>
      <c r="B97" s="37">
        <f>B39/B78</f>
        <v>0.10527777777777778</v>
      </c>
      <c r="C97" s="7"/>
      <c r="D97" s="47"/>
      <c r="E97" s="7"/>
      <c r="F97" s="7"/>
      <c r="G97" s="7"/>
      <c r="H97" s="7"/>
      <c r="I97" s="7"/>
      <c r="J97" s="7"/>
      <c r="K97" s="7"/>
      <c r="L97" s="7"/>
      <c r="M97" s="7"/>
      <c r="N97" s="6"/>
      <c r="O97" s="6"/>
      <c r="P97" s="6"/>
      <c r="Q97" s="6"/>
      <c r="R97" s="6"/>
      <c r="S97" s="6"/>
      <c r="T97" s="6"/>
      <c r="U97" s="6"/>
      <c r="V97" s="6"/>
      <c r="W97" s="6"/>
      <c r="X97" s="6"/>
      <c r="Y97" s="6"/>
    </row>
    <row r="98" spans="1:25" x14ac:dyDescent="0.2">
      <c r="A98" s="7"/>
      <c r="B98" s="7"/>
      <c r="C98" s="7"/>
      <c r="D98" s="7"/>
      <c r="E98" s="7"/>
      <c r="F98" s="7"/>
      <c r="G98" s="7"/>
      <c r="H98" s="7"/>
      <c r="I98" s="7"/>
      <c r="J98" s="7"/>
      <c r="K98" s="7"/>
      <c r="L98" s="7"/>
      <c r="M98" s="7"/>
      <c r="N98" s="6"/>
      <c r="O98" s="6"/>
      <c r="P98" s="6"/>
      <c r="Q98" s="6"/>
      <c r="R98" s="6"/>
      <c r="S98" s="6"/>
      <c r="T98" s="6"/>
      <c r="U98" s="6"/>
      <c r="V98" s="6"/>
      <c r="W98" s="6"/>
      <c r="X98" s="6"/>
      <c r="Y98" s="6"/>
    </row>
    <row r="99" spans="1:25" ht="22.5" x14ac:dyDescent="0.2">
      <c r="A99" s="168"/>
      <c r="B99" s="29"/>
      <c r="C99" s="7"/>
      <c r="D99" s="7"/>
      <c r="E99" s="7"/>
      <c r="F99" s="7"/>
      <c r="G99" s="7"/>
      <c r="H99" s="7"/>
      <c r="I99" s="7"/>
      <c r="J99" s="7" t="s">
        <v>1479</v>
      </c>
      <c r="K99" s="7"/>
      <c r="L99" s="7"/>
      <c r="M99" s="7"/>
      <c r="N99" s="6"/>
      <c r="O99" s="6"/>
      <c r="P99" s="6"/>
      <c r="Q99" s="6"/>
      <c r="R99" s="6"/>
      <c r="S99" s="6"/>
      <c r="T99" s="6"/>
      <c r="U99" s="6"/>
      <c r="V99" s="6"/>
      <c r="W99" s="6"/>
      <c r="X99" s="6"/>
      <c r="Y99" s="6"/>
    </row>
    <row r="100" spans="1:25" ht="22.5" x14ac:dyDescent="0.2">
      <c r="A100" s="245"/>
      <c r="B100" s="301"/>
      <c r="C100" s="245" t="s">
        <v>899</v>
      </c>
      <c r="D100" s="246" t="s">
        <v>831</v>
      </c>
      <c r="E100" s="246" t="s">
        <v>832</v>
      </c>
      <c r="F100" s="246" t="s">
        <v>833</v>
      </c>
      <c r="G100" s="246" t="s">
        <v>834</v>
      </c>
      <c r="H100" s="246" t="s">
        <v>835</v>
      </c>
      <c r="I100" s="7"/>
      <c r="J100" s="245"/>
      <c r="K100" s="301"/>
      <c r="L100" s="245" t="s">
        <v>899</v>
      </c>
      <c r="M100" s="246" t="s">
        <v>831</v>
      </c>
      <c r="N100" s="246" t="s">
        <v>832</v>
      </c>
      <c r="O100" s="246" t="s">
        <v>833</v>
      </c>
      <c r="P100" s="246" t="s">
        <v>834</v>
      </c>
      <c r="Q100" s="246" t="s">
        <v>835</v>
      </c>
      <c r="R100" s="6"/>
      <c r="S100" s="6"/>
      <c r="T100" s="6"/>
      <c r="U100" s="6"/>
      <c r="V100" s="6"/>
      <c r="W100" s="6"/>
      <c r="X100" s="6"/>
      <c r="Y100" s="6"/>
    </row>
    <row r="101" spans="1:25" x14ac:dyDescent="0.2">
      <c r="A101" s="241" t="s">
        <v>363</v>
      </c>
      <c r="B101" s="301"/>
      <c r="C101" s="247">
        <v>0</v>
      </c>
      <c r="D101" s="247">
        <v>0</v>
      </c>
      <c r="E101" s="247">
        <v>0</v>
      </c>
      <c r="F101" s="247">
        <v>0</v>
      </c>
      <c r="G101" s="247">
        <v>0</v>
      </c>
      <c r="H101" s="247">
        <v>0</v>
      </c>
      <c r="I101" s="7"/>
      <c r="J101" s="241" t="s">
        <v>363</v>
      </c>
      <c r="K101" s="301"/>
      <c r="L101" s="247">
        <v>0</v>
      </c>
      <c r="M101" s="247">
        <v>2.4500000000000001E-2</v>
      </c>
      <c r="N101" s="247">
        <v>2.5000000000000001E-2</v>
      </c>
      <c r="O101" s="247">
        <v>2.5000000000000001E-2</v>
      </c>
      <c r="P101" s="247">
        <v>2.5000000000000001E-2</v>
      </c>
      <c r="Q101" s="247">
        <v>2.5000000000000001E-2</v>
      </c>
      <c r="R101" s="6"/>
      <c r="S101" s="6"/>
      <c r="T101" s="6"/>
      <c r="U101" s="6"/>
      <c r="V101" s="6"/>
      <c r="W101" s="6"/>
      <c r="X101" s="6"/>
      <c r="Y101" s="6"/>
    </row>
    <row r="102" spans="1:25" x14ac:dyDescent="0.2">
      <c r="A102" s="241" t="s">
        <v>627</v>
      </c>
      <c r="B102" s="301"/>
      <c r="C102" s="247">
        <v>0</v>
      </c>
      <c r="D102" s="247">
        <v>8.8999999999999999E-3</v>
      </c>
      <c r="E102" s="247">
        <v>8.6999999999999994E-3</v>
      </c>
      <c r="F102" s="247">
        <v>1.4E-2</v>
      </c>
      <c r="G102" s="247">
        <v>1.6199999999999999E-2</v>
      </c>
      <c r="H102" s="247">
        <v>1.44E-2</v>
      </c>
      <c r="I102" s="7"/>
      <c r="J102" s="241" t="s">
        <v>627</v>
      </c>
      <c r="K102" s="301"/>
      <c r="L102" s="247">
        <v>0</v>
      </c>
      <c r="M102" s="247">
        <v>1.15E-3</v>
      </c>
      <c r="N102" s="247">
        <v>1.193E-2</v>
      </c>
      <c r="O102" s="247">
        <v>2.0669846345168441E-2</v>
      </c>
      <c r="P102" s="247">
        <v>2.0552805723582868E-2</v>
      </c>
      <c r="Q102" s="247">
        <v>2.0389736494798028E-2</v>
      </c>
      <c r="R102" s="6"/>
      <c r="S102" s="6"/>
      <c r="T102" s="6"/>
      <c r="U102" s="6"/>
      <c r="V102" s="6"/>
      <c r="W102" s="6"/>
      <c r="X102" s="6"/>
      <c r="Y102" s="6"/>
    </row>
    <row r="103" spans="1:25" ht="22.5" x14ac:dyDescent="0.2">
      <c r="A103" s="241" t="s">
        <v>900</v>
      </c>
      <c r="B103" s="302">
        <v>0.6</v>
      </c>
      <c r="C103" s="242"/>
      <c r="D103" s="243">
        <f>D101*0.6</f>
        <v>0</v>
      </c>
      <c r="E103" s="243">
        <f t="shared" ref="E103:H103" si="0">E101*0.6</f>
        <v>0</v>
      </c>
      <c r="F103" s="243">
        <f t="shared" si="0"/>
        <v>0</v>
      </c>
      <c r="G103" s="243">
        <f t="shared" si="0"/>
        <v>0</v>
      </c>
      <c r="H103" s="243">
        <f t="shared" si="0"/>
        <v>0</v>
      </c>
      <c r="I103" s="7"/>
      <c r="J103" s="241" t="s">
        <v>900</v>
      </c>
      <c r="K103" s="302">
        <v>0.6</v>
      </c>
      <c r="L103" s="242"/>
      <c r="M103" s="243">
        <f>M101*0.6</f>
        <v>1.47E-2</v>
      </c>
      <c r="N103" s="243">
        <f t="shared" ref="N103:Q103" si="1">N101*0.6</f>
        <v>1.4999999999999999E-2</v>
      </c>
      <c r="O103" s="243">
        <f t="shared" si="1"/>
        <v>1.4999999999999999E-2</v>
      </c>
      <c r="P103" s="243">
        <f t="shared" si="1"/>
        <v>1.4999999999999999E-2</v>
      </c>
      <c r="Q103" s="243">
        <f t="shared" si="1"/>
        <v>1.4999999999999999E-2</v>
      </c>
      <c r="R103" s="6"/>
      <c r="S103" s="6"/>
      <c r="T103" s="6"/>
      <c r="U103" s="6"/>
      <c r="V103" s="6"/>
      <c r="W103" s="6"/>
      <c r="X103" s="6"/>
      <c r="Y103" s="6"/>
    </row>
    <row r="104" spans="1:25" ht="22.5" x14ac:dyDescent="0.2">
      <c r="A104" s="241" t="s">
        <v>901</v>
      </c>
      <c r="B104" s="302">
        <v>0.4</v>
      </c>
      <c r="C104" s="242"/>
      <c r="D104" s="243">
        <f>(D102+D101)*0.4</f>
        <v>3.5600000000000002E-3</v>
      </c>
      <c r="E104" s="243">
        <f t="shared" ref="E104:H104" si="2">(E102+E101)*0.4</f>
        <v>3.48E-3</v>
      </c>
      <c r="F104" s="243">
        <f t="shared" si="2"/>
        <v>5.6000000000000008E-3</v>
      </c>
      <c r="G104" s="243">
        <f t="shared" si="2"/>
        <v>6.4799999999999996E-3</v>
      </c>
      <c r="H104" s="243">
        <f t="shared" si="2"/>
        <v>5.7600000000000004E-3</v>
      </c>
      <c r="I104" s="7"/>
      <c r="J104" s="241" t="s">
        <v>901</v>
      </c>
      <c r="K104" s="302">
        <v>0.4</v>
      </c>
      <c r="L104" s="242"/>
      <c r="M104" s="243">
        <f>(M102+M101)*0.4</f>
        <v>1.026E-2</v>
      </c>
      <c r="N104" s="243">
        <f t="shared" ref="N104:Q104" si="3">(N102+N101)*0.4</f>
        <v>1.4772000000000002E-2</v>
      </c>
      <c r="O104" s="243">
        <f t="shared" si="3"/>
        <v>1.8267938538067376E-2</v>
      </c>
      <c r="P104" s="243">
        <f t="shared" si="3"/>
        <v>1.8221122289433147E-2</v>
      </c>
      <c r="Q104" s="243">
        <f t="shared" si="3"/>
        <v>1.8155894597919213E-2</v>
      </c>
      <c r="R104" s="6"/>
      <c r="S104" s="6"/>
      <c r="T104" s="6"/>
      <c r="U104" s="6"/>
      <c r="V104" s="6"/>
      <c r="W104" s="6"/>
      <c r="X104" s="6"/>
      <c r="Y104" s="6"/>
    </row>
    <row r="105" spans="1:25" x14ac:dyDescent="0.2">
      <c r="A105" s="241" t="s">
        <v>902</v>
      </c>
      <c r="B105" s="301"/>
      <c r="C105" s="241"/>
      <c r="D105" s="247">
        <f>SUM(D103:D104)</f>
        <v>3.5600000000000002E-3</v>
      </c>
      <c r="E105" s="247">
        <f t="shared" ref="E105:H105" si="4">SUM(E103:E104)</f>
        <v>3.48E-3</v>
      </c>
      <c r="F105" s="247">
        <f t="shared" si="4"/>
        <v>5.6000000000000008E-3</v>
      </c>
      <c r="G105" s="247">
        <f t="shared" si="4"/>
        <v>6.4799999999999996E-3</v>
      </c>
      <c r="H105" s="247">
        <f t="shared" si="4"/>
        <v>5.7600000000000004E-3</v>
      </c>
      <c r="I105" s="7"/>
      <c r="J105" s="241" t="s">
        <v>902</v>
      </c>
      <c r="K105" s="301"/>
      <c r="L105" s="241"/>
      <c r="M105" s="247">
        <f>SUM(M103:M104)</f>
        <v>2.496E-2</v>
      </c>
      <c r="N105" s="247">
        <f t="shared" ref="N105:Q105" si="5">SUM(N103:N104)</f>
        <v>2.9772E-2</v>
      </c>
      <c r="O105" s="247">
        <f t="shared" si="5"/>
        <v>3.3267938538067379E-2</v>
      </c>
      <c r="P105" s="247">
        <f t="shared" si="5"/>
        <v>3.322112228943315E-2</v>
      </c>
      <c r="Q105" s="247">
        <f t="shared" si="5"/>
        <v>3.3155894597919212E-2</v>
      </c>
      <c r="R105" s="6"/>
      <c r="S105" s="6"/>
      <c r="T105" s="6"/>
      <c r="U105" s="6"/>
      <c r="V105" s="6"/>
      <c r="W105" s="6"/>
      <c r="X105" s="6"/>
      <c r="Y105" s="6"/>
    </row>
    <row r="106" spans="1:25" x14ac:dyDescent="0.2">
      <c r="A106" s="241" t="s">
        <v>903</v>
      </c>
      <c r="B106" s="301"/>
      <c r="C106" s="248">
        <v>1</v>
      </c>
      <c r="D106" s="248">
        <f>C106*(1+D105)</f>
        <v>1.00356</v>
      </c>
      <c r="E106" s="248">
        <f t="shared" ref="E106:H106" si="6">D106*(1+E105)</f>
        <v>1.0070523888</v>
      </c>
      <c r="F106" s="248">
        <f t="shared" si="6"/>
        <v>1.0126918821772801</v>
      </c>
      <c r="G106" s="248">
        <f t="shared" si="6"/>
        <v>1.019254125573789</v>
      </c>
      <c r="H106" s="248">
        <f t="shared" si="6"/>
        <v>1.0251250293370939</v>
      </c>
      <c r="I106" s="7"/>
      <c r="J106" s="241" t="s">
        <v>903</v>
      </c>
      <c r="K106" s="301"/>
      <c r="L106" s="248">
        <v>1</v>
      </c>
      <c r="M106" s="248">
        <f>L106*(1+M105)</f>
        <v>1.0249600000000001</v>
      </c>
      <c r="N106" s="248">
        <f t="shared" ref="N106" si="7">M106*(1+N105)</f>
        <v>1.0554751091200001</v>
      </c>
      <c r="O106" s="248">
        <f t="shared" ref="O106" si="8">N106*(1+O105)</f>
        <v>1.0905885901786643</v>
      </c>
      <c r="P106" s="248">
        <f t="shared" ref="P106" si="9">O106*(1+P105)</f>
        <v>1.1268191671004502</v>
      </c>
      <c r="Q106" s="248">
        <f t="shared" ref="Q106" si="10">P106*(1+Q105)</f>
        <v>1.1641798646357477</v>
      </c>
      <c r="R106" s="6"/>
      <c r="S106" s="6"/>
      <c r="T106" s="6"/>
      <c r="U106" s="6"/>
      <c r="V106" s="6"/>
      <c r="W106" s="6"/>
      <c r="X106" s="6"/>
      <c r="Y106" s="6"/>
    </row>
    <row r="107" spans="1:25" x14ac:dyDescent="0.2">
      <c r="A107" s="7"/>
      <c r="B107" s="7"/>
      <c r="C107" s="7"/>
      <c r="D107" s="7"/>
      <c r="E107" s="7"/>
      <c r="F107" s="7"/>
      <c r="G107" s="7"/>
      <c r="H107" s="7"/>
      <c r="I107" s="7"/>
      <c r="J107" s="7"/>
      <c r="K107" s="7"/>
      <c r="L107" s="7"/>
      <c r="M107" s="7"/>
      <c r="N107" s="6"/>
      <c r="O107" s="6"/>
      <c r="P107" s="6"/>
      <c r="Q107" s="6"/>
      <c r="R107" s="6"/>
      <c r="S107" s="6"/>
      <c r="T107" s="6"/>
      <c r="U107" s="6"/>
      <c r="V107" s="6"/>
      <c r="W107" s="6"/>
      <c r="X107" s="6"/>
      <c r="Y107" s="6"/>
    </row>
    <row r="108" spans="1:25" x14ac:dyDescent="0.2">
      <c r="A108" s="7"/>
      <c r="B108" s="7"/>
      <c r="C108" s="7"/>
      <c r="D108" s="7"/>
      <c r="E108" s="7"/>
      <c r="F108" s="7"/>
      <c r="G108" s="7"/>
      <c r="H108" s="7"/>
      <c r="I108" s="7"/>
      <c r="J108" s="7"/>
      <c r="K108" s="7"/>
      <c r="L108" s="7"/>
      <c r="M108" s="7"/>
      <c r="N108" s="6"/>
      <c r="O108" s="6"/>
      <c r="P108" s="6"/>
      <c r="Q108" s="6"/>
      <c r="R108" s="6"/>
      <c r="S108" s="6"/>
      <c r="T108" s="6"/>
      <c r="U108" s="6"/>
      <c r="V108" s="6"/>
      <c r="W108" s="6"/>
      <c r="X108" s="6"/>
      <c r="Y108" s="6"/>
    </row>
    <row r="109" spans="1:25" x14ac:dyDescent="0.2">
      <c r="A109" s="220" t="s">
        <v>915</v>
      </c>
      <c r="B109" s="220"/>
      <c r="C109" s="220"/>
      <c r="D109" s="220"/>
      <c r="E109" s="7"/>
      <c r="F109" s="7"/>
      <c r="G109" s="7"/>
      <c r="H109" s="7"/>
      <c r="I109" s="7"/>
      <c r="J109" s="7"/>
      <c r="K109" s="7"/>
      <c r="L109" s="7"/>
      <c r="M109" s="7"/>
      <c r="N109" s="6"/>
      <c r="O109" s="6"/>
      <c r="P109" s="6"/>
      <c r="Q109" s="6"/>
      <c r="R109" s="6"/>
      <c r="S109" s="6"/>
      <c r="T109" s="6"/>
      <c r="U109" s="6"/>
      <c r="V109" s="6"/>
      <c r="W109" s="6"/>
      <c r="X109" s="6"/>
      <c r="Y109" s="6"/>
    </row>
    <row r="110" spans="1:25" ht="28.5" customHeight="1" x14ac:dyDescent="0.2">
      <c r="A110" s="220" t="s">
        <v>916</v>
      </c>
      <c r="B110" s="283">
        <v>440000</v>
      </c>
      <c r="C110" s="316" t="s">
        <v>917</v>
      </c>
      <c r="D110" s="316"/>
      <c r="E110" s="7"/>
      <c r="F110" s="7"/>
      <c r="G110" s="7"/>
      <c r="H110" s="7"/>
      <c r="I110" s="7"/>
      <c r="J110" s="7"/>
      <c r="K110" s="7"/>
      <c r="L110" s="7"/>
      <c r="M110" s="7"/>
      <c r="N110" s="6"/>
      <c r="O110" s="6"/>
      <c r="P110" s="6"/>
      <c r="Q110" s="6"/>
      <c r="R110" s="6"/>
      <c r="S110" s="6"/>
      <c r="T110" s="6"/>
      <c r="U110" s="6"/>
      <c r="V110" s="6"/>
      <c r="W110" s="6"/>
      <c r="X110" s="6"/>
      <c r="Y110" s="6"/>
    </row>
    <row r="111" spans="1:25" x14ac:dyDescent="0.2">
      <c r="A111" s="220" t="s">
        <v>918</v>
      </c>
      <c r="B111" s="286">
        <v>148822</v>
      </c>
      <c r="C111" s="316" t="s">
        <v>920</v>
      </c>
      <c r="D111" s="316"/>
      <c r="E111" s="7"/>
      <c r="F111" s="7"/>
      <c r="G111" s="7"/>
      <c r="H111" s="7"/>
      <c r="I111" s="7"/>
      <c r="J111" s="7"/>
      <c r="K111" s="7"/>
      <c r="L111" s="7"/>
      <c r="M111" s="7"/>
      <c r="N111" s="6"/>
      <c r="O111" s="6"/>
      <c r="P111" s="6"/>
      <c r="Q111" s="6"/>
      <c r="R111" s="6"/>
      <c r="S111" s="6"/>
      <c r="T111" s="6"/>
      <c r="U111" s="6"/>
      <c r="V111" s="6"/>
      <c r="W111" s="6"/>
      <c r="X111" s="6"/>
      <c r="Y111" s="6"/>
    </row>
    <row r="112" spans="1:25" x14ac:dyDescent="0.2">
      <c r="A112" s="220" t="s">
        <v>919</v>
      </c>
      <c r="B112" s="284">
        <f>B110/B111</f>
        <v>2.9565521226700353</v>
      </c>
      <c r="C112" s="285"/>
      <c r="D112" s="285"/>
      <c r="E112" s="7"/>
      <c r="F112" s="7"/>
      <c r="G112" s="7"/>
      <c r="H112" s="7"/>
      <c r="I112" s="7"/>
      <c r="J112" s="7"/>
      <c r="K112" s="7"/>
      <c r="L112" s="7"/>
      <c r="M112" s="7"/>
      <c r="N112" s="6"/>
      <c r="O112" s="6"/>
      <c r="P112" s="6"/>
      <c r="Q112" s="6"/>
      <c r="R112" s="6"/>
      <c r="S112" s="6"/>
      <c r="T112" s="6"/>
      <c r="U112" s="6"/>
      <c r="V112" s="6"/>
      <c r="W112" s="6"/>
      <c r="X112" s="6"/>
      <c r="Y112" s="6"/>
    </row>
    <row r="113" spans="1:25" x14ac:dyDescent="0.2">
      <c r="A113" s="7"/>
      <c r="B113" s="7"/>
      <c r="C113" s="7"/>
      <c r="D113" s="7"/>
      <c r="E113" s="7"/>
      <c r="F113" s="7"/>
      <c r="G113" s="7"/>
      <c r="H113" s="7"/>
      <c r="I113" s="7"/>
      <c r="J113" s="7"/>
      <c r="K113" s="7"/>
      <c r="L113" s="7"/>
      <c r="M113" s="7"/>
      <c r="N113" s="6"/>
      <c r="O113" s="6"/>
      <c r="P113" s="6"/>
      <c r="Q113" s="6"/>
      <c r="R113" s="6"/>
      <c r="S113" s="6"/>
      <c r="T113" s="6"/>
      <c r="U113" s="6"/>
      <c r="V113" s="6"/>
      <c r="W113" s="6"/>
      <c r="X113" s="6"/>
      <c r="Y113" s="6"/>
    </row>
    <row r="114" spans="1:25" x14ac:dyDescent="0.2">
      <c r="A114" s="7"/>
      <c r="B114" s="7"/>
      <c r="C114" s="7"/>
      <c r="D114" s="7"/>
      <c r="E114" s="7"/>
      <c r="F114" s="7"/>
      <c r="G114" s="7"/>
      <c r="H114" s="7"/>
      <c r="I114" s="7"/>
      <c r="J114" s="7"/>
      <c r="K114" s="7"/>
      <c r="L114" s="7"/>
      <c r="M114" s="7"/>
      <c r="N114" s="6"/>
      <c r="O114" s="6"/>
      <c r="P114" s="6"/>
      <c r="Q114" s="6"/>
      <c r="R114" s="6"/>
      <c r="S114" s="6"/>
      <c r="T114" s="6"/>
      <c r="U114" s="6"/>
      <c r="V114" s="6"/>
      <c r="W114" s="6"/>
      <c r="X114" s="6"/>
      <c r="Y114" s="6"/>
    </row>
    <row r="115" spans="1:25" x14ac:dyDescent="0.2">
      <c r="A115" s="7"/>
      <c r="B115" s="290"/>
      <c r="C115" s="7"/>
      <c r="D115" s="7"/>
      <c r="E115" s="7"/>
      <c r="F115" s="7"/>
      <c r="G115" s="7"/>
      <c r="H115" s="7"/>
      <c r="I115" s="7"/>
      <c r="J115" s="7"/>
      <c r="K115" s="7"/>
      <c r="L115" s="7"/>
      <c r="M115" s="7"/>
      <c r="N115" s="6"/>
      <c r="O115" s="6"/>
      <c r="P115" s="6"/>
      <c r="Q115" s="6"/>
      <c r="R115" s="6"/>
      <c r="S115" s="6"/>
      <c r="T115" s="6"/>
      <c r="U115" s="6"/>
      <c r="V115" s="6"/>
      <c r="W115" s="6"/>
      <c r="X115" s="6"/>
      <c r="Y115" s="6"/>
    </row>
    <row r="116" spans="1:25" x14ac:dyDescent="0.2">
      <c r="A116" s="7"/>
      <c r="B116" s="7"/>
      <c r="C116" s="7"/>
      <c r="D116" s="7"/>
      <c r="E116" s="7"/>
      <c r="F116" s="7"/>
      <c r="G116" s="7"/>
      <c r="H116" s="7"/>
      <c r="I116" s="7"/>
      <c r="J116" s="7"/>
      <c r="K116" s="7"/>
      <c r="L116" s="7"/>
      <c r="M116" s="7"/>
      <c r="N116" s="6"/>
      <c r="O116" s="6"/>
      <c r="P116" s="6"/>
      <c r="Q116" s="6"/>
      <c r="R116" s="6"/>
      <c r="S116" s="6"/>
      <c r="T116" s="6"/>
      <c r="U116" s="6"/>
      <c r="V116" s="6"/>
      <c r="W116" s="6"/>
      <c r="X116" s="6"/>
      <c r="Y116" s="6"/>
    </row>
    <row r="117" spans="1:25" x14ac:dyDescent="0.2">
      <c r="A117" s="7"/>
      <c r="B117" s="7"/>
      <c r="C117" s="7"/>
      <c r="D117" s="7"/>
      <c r="E117" s="7"/>
      <c r="F117" s="7"/>
      <c r="G117" s="7"/>
      <c r="H117" s="7"/>
      <c r="I117" s="7"/>
      <c r="J117" s="7"/>
      <c r="K117" s="7"/>
      <c r="L117" s="7"/>
      <c r="M117" s="7"/>
      <c r="N117" s="6"/>
      <c r="O117" s="6"/>
      <c r="P117" s="6"/>
      <c r="Q117" s="6"/>
      <c r="R117" s="6"/>
      <c r="S117" s="6"/>
      <c r="T117" s="6"/>
      <c r="U117" s="6"/>
      <c r="V117" s="6"/>
      <c r="W117" s="6"/>
      <c r="X117" s="6"/>
      <c r="Y117" s="6"/>
    </row>
    <row r="118" spans="1:25" x14ac:dyDescent="0.2">
      <c r="A118" s="7"/>
      <c r="B118" s="7"/>
      <c r="C118" s="7"/>
      <c r="D118" s="7"/>
      <c r="E118" s="7"/>
      <c r="F118" s="7"/>
      <c r="G118" s="7"/>
      <c r="H118" s="7"/>
      <c r="I118" s="7"/>
      <c r="J118" s="7"/>
      <c r="K118" s="7"/>
      <c r="L118" s="7"/>
      <c r="M118" s="7"/>
      <c r="N118" s="6"/>
      <c r="O118" s="6"/>
      <c r="P118" s="6"/>
      <c r="Q118" s="6"/>
      <c r="R118" s="6"/>
      <c r="S118" s="6"/>
      <c r="T118" s="6"/>
      <c r="U118" s="6"/>
      <c r="V118" s="6"/>
      <c r="W118" s="6"/>
      <c r="X118" s="6"/>
      <c r="Y118" s="6"/>
    </row>
    <row r="119" spans="1:25" x14ac:dyDescent="0.2">
      <c r="A119" s="7"/>
      <c r="B119" s="7"/>
      <c r="C119" s="7"/>
      <c r="D119" s="7"/>
      <c r="E119" s="7"/>
      <c r="F119" s="7"/>
      <c r="G119" s="7"/>
      <c r="H119" s="7"/>
      <c r="I119" s="7"/>
      <c r="J119" s="7"/>
      <c r="K119" s="7"/>
      <c r="L119" s="7"/>
      <c r="M119" s="7"/>
      <c r="N119" s="6"/>
      <c r="O119" s="6"/>
      <c r="P119" s="6"/>
      <c r="Q119" s="6"/>
      <c r="R119" s="6"/>
      <c r="S119" s="6"/>
      <c r="T119" s="6"/>
      <c r="U119" s="6"/>
      <c r="V119" s="6"/>
      <c r="W119" s="6"/>
      <c r="X119" s="6"/>
      <c r="Y119" s="6"/>
    </row>
    <row r="120" spans="1:25" x14ac:dyDescent="0.2">
      <c r="A120" s="7"/>
      <c r="B120" s="7"/>
      <c r="C120" s="7"/>
      <c r="D120" s="7"/>
      <c r="E120" s="7"/>
      <c r="F120" s="7"/>
      <c r="G120" s="7"/>
      <c r="H120" s="7"/>
      <c r="I120" s="7"/>
      <c r="J120" s="7"/>
      <c r="K120" s="7"/>
      <c r="L120" s="7"/>
      <c r="M120" s="7"/>
      <c r="N120" s="6"/>
      <c r="O120" s="6"/>
      <c r="P120" s="6"/>
      <c r="Q120" s="6"/>
      <c r="R120" s="6"/>
      <c r="S120" s="6"/>
      <c r="T120" s="6"/>
      <c r="U120" s="6"/>
      <c r="V120" s="6"/>
      <c r="W120" s="6"/>
      <c r="X120" s="6"/>
      <c r="Y120" s="6"/>
    </row>
    <row r="121" spans="1:25" x14ac:dyDescent="0.2">
      <c r="A121" s="7"/>
      <c r="B121" s="7"/>
      <c r="C121" s="7"/>
      <c r="D121" s="7"/>
      <c r="E121" s="7"/>
      <c r="F121" s="7"/>
      <c r="G121" s="7"/>
      <c r="H121" s="7"/>
      <c r="I121" s="7"/>
      <c r="J121" s="7"/>
      <c r="K121" s="7"/>
      <c r="L121" s="7"/>
      <c r="M121" s="7"/>
      <c r="N121" s="6"/>
      <c r="O121" s="6"/>
      <c r="P121" s="6"/>
      <c r="Q121" s="6"/>
      <c r="R121" s="6"/>
      <c r="S121" s="6"/>
      <c r="T121" s="6"/>
      <c r="U121" s="6"/>
      <c r="V121" s="6"/>
      <c r="W121" s="6"/>
      <c r="X121" s="6"/>
      <c r="Y121" s="6"/>
    </row>
    <row r="122" spans="1:25" x14ac:dyDescent="0.2">
      <c r="A122" s="7"/>
      <c r="B122" s="7"/>
      <c r="C122" s="7"/>
      <c r="D122" s="7"/>
      <c r="E122" s="7"/>
      <c r="F122" s="7"/>
      <c r="G122" s="7"/>
      <c r="H122" s="7"/>
      <c r="I122" s="7"/>
      <c r="J122" s="7"/>
      <c r="K122" s="7"/>
      <c r="L122" s="7"/>
      <c r="M122" s="7"/>
      <c r="N122" s="6"/>
      <c r="O122" s="6"/>
      <c r="P122" s="6"/>
      <c r="Q122" s="6"/>
      <c r="R122" s="6"/>
      <c r="S122" s="6"/>
      <c r="T122" s="6"/>
      <c r="U122" s="6"/>
      <c r="V122" s="6"/>
      <c r="W122" s="6"/>
      <c r="X122" s="6"/>
      <c r="Y122" s="6"/>
    </row>
    <row r="123" spans="1:25" x14ac:dyDescent="0.2">
      <c r="A123" s="7"/>
      <c r="B123" s="7"/>
      <c r="C123" s="7"/>
      <c r="D123" s="7"/>
      <c r="E123" s="7"/>
      <c r="F123" s="7"/>
      <c r="G123" s="7"/>
      <c r="H123" s="7"/>
      <c r="I123" s="7"/>
      <c r="J123" s="7"/>
      <c r="K123" s="7"/>
      <c r="L123" s="7"/>
      <c r="M123" s="7"/>
      <c r="N123" s="6"/>
      <c r="O123" s="6"/>
      <c r="P123" s="6"/>
      <c r="Q123" s="6"/>
      <c r="R123" s="6"/>
      <c r="S123" s="6"/>
      <c r="T123" s="6"/>
      <c r="U123" s="6"/>
      <c r="V123" s="6"/>
      <c r="W123" s="6"/>
      <c r="X123" s="6"/>
      <c r="Y123" s="6"/>
    </row>
    <row r="124" spans="1:25" x14ac:dyDescent="0.2">
      <c r="A124" s="7"/>
      <c r="B124" s="7"/>
      <c r="C124" s="7"/>
      <c r="D124" s="7"/>
      <c r="E124" s="7"/>
      <c r="F124" s="7"/>
      <c r="G124" s="7"/>
      <c r="H124" s="7"/>
      <c r="I124" s="7"/>
      <c r="J124" s="7"/>
      <c r="K124" s="7"/>
      <c r="L124" s="7"/>
      <c r="M124" s="7"/>
      <c r="N124" s="6"/>
      <c r="O124" s="6"/>
      <c r="P124" s="6"/>
      <c r="Q124" s="6"/>
      <c r="R124" s="6"/>
      <c r="S124" s="6"/>
      <c r="T124" s="6"/>
      <c r="U124" s="6"/>
      <c r="V124" s="6"/>
      <c r="W124" s="6"/>
      <c r="X124" s="6"/>
      <c r="Y124" s="6"/>
    </row>
    <row r="125" spans="1:25" x14ac:dyDescent="0.2">
      <c r="A125" s="7"/>
      <c r="B125" s="7"/>
      <c r="C125" s="7"/>
      <c r="D125" s="7"/>
      <c r="E125" s="7"/>
      <c r="F125" s="7"/>
      <c r="G125" s="7"/>
      <c r="H125" s="7"/>
      <c r="I125" s="7"/>
      <c r="J125" s="7"/>
      <c r="K125" s="7"/>
      <c r="L125" s="7"/>
      <c r="M125" s="7"/>
      <c r="N125" s="6"/>
      <c r="O125" s="6"/>
      <c r="P125" s="6"/>
      <c r="Q125" s="6"/>
      <c r="R125" s="6"/>
      <c r="S125" s="6"/>
      <c r="T125" s="6"/>
      <c r="U125" s="6"/>
      <c r="V125" s="6"/>
      <c r="W125" s="6"/>
      <c r="X125" s="6"/>
      <c r="Y125" s="6"/>
    </row>
    <row r="126" spans="1:25" x14ac:dyDescent="0.2">
      <c r="A126" s="7"/>
      <c r="B126" s="7"/>
      <c r="C126" s="7"/>
      <c r="D126" s="7"/>
      <c r="E126" s="7"/>
      <c r="F126" s="7"/>
      <c r="G126" s="7"/>
      <c r="H126" s="7"/>
      <c r="I126" s="7"/>
      <c r="J126" s="7"/>
      <c r="K126" s="7"/>
      <c r="L126" s="7"/>
      <c r="M126" s="7"/>
      <c r="N126" s="6"/>
      <c r="O126" s="6"/>
      <c r="P126" s="6"/>
      <c r="Q126" s="6"/>
      <c r="R126" s="6"/>
      <c r="S126" s="6"/>
      <c r="T126" s="6"/>
      <c r="U126" s="6"/>
      <c r="V126" s="6"/>
      <c r="W126" s="6"/>
      <c r="X126" s="6"/>
      <c r="Y126" s="6"/>
    </row>
    <row r="127" spans="1:25" x14ac:dyDescent="0.2">
      <c r="A127" s="7"/>
      <c r="B127" s="7"/>
      <c r="C127" s="7"/>
      <c r="D127" s="7"/>
      <c r="E127" s="7"/>
      <c r="F127" s="7"/>
      <c r="G127" s="7"/>
      <c r="H127" s="7"/>
      <c r="I127" s="7"/>
      <c r="J127" s="7"/>
      <c r="K127" s="7"/>
      <c r="L127" s="7"/>
      <c r="M127" s="7"/>
      <c r="N127" s="6"/>
      <c r="O127" s="6"/>
      <c r="P127" s="6"/>
      <c r="Q127" s="6"/>
      <c r="R127" s="6"/>
      <c r="S127" s="6"/>
      <c r="T127" s="6"/>
      <c r="U127" s="6"/>
      <c r="V127" s="6"/>
      <c r="W127" s="6"/>
      <c r="X127" s="6"/>
      <c r="Y127" s="6"/>
    </row>
    <row r="128" spans="1:25" x14ac:dyDescent="0.2">
      <c r="A128" s="7"/>
      <c r="B128" s="7"/>
      <c r="C128" s="7"/>
      <c r="D128" s="7"/>
      <c r="E128" s="7"/>
      <c r="F128" s="7"/>
      <c r="G128" s="7"/>
      <c r="H128" s="7"/>
      <c r="I128" s="7"/>
      <c r="J128" s="7"/>
      <c r="K128" s="7"/>
      <c r="L128" s="7"/>
      <c r="M128" s="7"/>
      <c r="N128" s="6"/>
      <c r="O128" s="6"/>
      <c r="P128" s="6"/>
      <c r="Q128" s="6"/>
      <c r="R128" s="6"/>
      <c r="S128" s="6"/>
      <c r="T128" s="6"/>
      <c r="U128" s="6"/>
      <c r="V128" s="6"/>
      <c r="W128" s="6"/>
      <c r="X128" s="6"/>
      <c r="Y128" s="6"/>
    </row>
    <row r="129" spans="1:25" x14ac:dyDescent="0.2">
      <c r="A129" s="7"/>
      <c r="B129" s="7"/>
      <c r="C129" s="7"/>
      <c r="D129" s="7"/>
      <c r="E129" s="7"/>
      <c r="F129" s="7"/>
      <c r="G129" s="7"/>
      <c r="H129" s="7"/>
      <c r="I129" s="7"/>
      <c r="J129" s="7"/>
      <c r="K129" s="7"/>
      <c r="L129" s="7"/>
      <c r="M129" s="7"/>
      <c r="N129" s="6"/>
      <c r="O129" s="6"/>
      <c r="P129" s="6"/>
      <c r="Q129" s="6"/>
      <c r="R129" s="6"/>
      <c r="S129" s="6"/>
      <c r="T129" s="6"/>
      <c r="U129" s="6"/>
      <c r="V129" s="6"/>
      <c r="W129" s="6"/>
      <c r="X129" s="6"/>
      <c r="Y129" s="6"/>
    </row>
    <row r="130" spans="1:25" x14ac:dyDescent="0.2">
      <c r="A130" s="7"/>
      <c r="B130" s="7"/>
      <c r="C130" s="7"/>
      <c r="D130" s="7"/>
      <c r="E130" s="7"/>
      <c r="F130" s="7"/>
      <c r="G130" s="7"/>
      <c r="H130" s="7"/>
      <c r="I130" s="7"/>
      <c r="J130" s="7"/>
      <c r="K130" s="7"/>
      <c r="L130" s="7"/>
      <c r="M130" s="7"/>
      <c r="N130" s="6"/>
      <c r="O130" s="6"/>
      <c r="P130" s="6"/>
      <c r="Q130" s="6"/>
      <c r="R130" s="6"/>
      <c r="S130" s="6"/>
      <c r="T130" s="6"/>
      <c r="U130" s="6"/>
      <c r="V130" s="6"/>
      <c r="W130" s="6"/>
      <c r="X130" s="6"/>
      <c r="Y130" s="6"/>
    </row>
    <row r="131" spans="1:25" x14ac:dyDescent="0.2">
      <c r="A131" s="7"/>
      <c r="B131" s="7"/>
      <c r="C131" s="7"/>
      <c r="D131" s="7"/>
      <c r="E131" s="7"/>
      <c r="F131" s="7"/>
      <c r="G131" s="7"/>
      <c r="H131" s="7"/>
      <c r="I131" s="7"/>
      <c r="J131" s="7"/>
      <c r="K131" s="7"/>
      <c r="L131" s="7"/>
      <c r="M131" s="7"/>
      <c r="N131" s="6"/>
      <c r="O131" s="6"/>
      <c r="P131" s="6"/>
      <c r="Q131" s="6"/>
      <c r="R131" s="6"/>
      <c r="S131" s="6"/>
      <c r="T131" s="6"/>
      <c r="U131" s="6"/>
      <c r="V131" s="6"/>
      <c r="W131" s="6"/>
      <c r="X131" s="6"/>
      <c r="Y131" s="6"/>
    </row>
    <row r="132" spans="1:25" x14ac:dyDescent="0.2">
      <c r="A132" s="7"/>
      <c r="B132" s="7"/>
      <c r="C132" s="7"/>
      <c r="D132" s="7"/>
      <c r="E132" s="7"/>
      <c r="F132" s="7"/>
      <c r="G132" s="7"/>
      <c r="H132" s="7"/>
      <c r="I132" s="7"/>
      <c r="J132" s="7"/>
      <c r="K132" s="7"/>
      <c r="L132" s="7"/>
      <c r="M132" s="7"/>
      <c r="N132" s="6"/>
      <c r="O132" s="6"/>
      <c r="P132" s="6"/>
      <c r="Q132" s="6"/>
      <c r="R132" s="6"/>
      <c r="S132" s="6"/>
      <c r="T132" s="6"/>
      <c r="U132" s="6"/>
      <c r="V132" s="6"/>
      <c r="W132" s="6"/>
      <c r="X132" s="6"/>
      <c r="Y132" s="6"/>
    </row>
    <row r="133" spans="1:25" x14ac:dyDescent="0.2">
      <c r="A133" s="7"/>
      <c r="B133" s="7"/>
      <c r="C133" s="7"/>
      <c r="D133" s="7"/>
      <c r="E133" s="7"/>
      <c r="F133" s="7"/>
      <c r="G133" s="7"/>
      <c r="H133" s="7"/>
      <c r="I133" s="7"/>
      <c r="J133" s="7"/>
      <c r="K133" s="7"/>
      <c r="L133" s="7"/>
      <c r="M133" s="7"/>
      <c r="N133" s="6"/>
      <c r="O133" s="6"/>
      <c r="P133" s="6"/>
      <c r="Q133" s="6"/>
      <c r="R133" s="6"/>
      <c r="S133" s="6"/>
      <c r="T133" s="6"/>
      <c r="U133" s="6"/>
      <c r="V133" s="6"/>
      <c r="W133" s="6"/>
      <c r="X133" s="6"/>
      <c r="Y133" s="6"/>
    </row>
    <row r="134" spans="1:25" x14ac:dyDescent="0.2">
      <c r="A134" s="7"/>
      <c r="B134" s="7"/>
      <c r="C134" s="7"/>
      <c r="D134" s="7"/>
      <c r="E134" s="7"/>
      <c r="F134" s="7"/>
      <c r="G134" s="7"/>
      <c r="H134" s="7"/>
      <c r="I134" s="7"/>
      <c r="J134" s="7"/>
      <c r="K134" s="7"/>
      <c r="L134" s="7"/>
      <c r="M134" s="7"/>
      <c r="N134" s="6"/>
      <c r="O134" s="6"/>
      <c r="P134" s="6"/>
      <c r="Q134" s="6"/>
      <c r="R134" s="6"/>
      <c r="S134" s="6"/>
      <c r="T134" s="6"/>
      <c r="U134" s="6"/>
      <c r="V134" s="6"/>
      <c r="W134" s="6"/>
      <c r="X134" s="6"/>
      <c r="Y134" s="6"/>
    </row>
    <row r="135" spans="1:25" x14ac:dyDescent="0.2">
      <c r="A135" s="7"/>
      <c r="B135" s="7"/>
      <c r="C135" s="7"/>
      <c r="D135" s="7"/>
      <c r="E135" s="7"/>
      <c r="F135" s="7"/>
      <c r="G135" s="7"/>
      <c r="H135" s="7"/>
      <c r="I135" s="7"/>
      <c r="J135" s="7"/>
      <c r="K135" s="7"/>
      <c r="L135" s="7"/>
      <c r="M135" s="7"/>
      <c r="N135" s="6"/>
      <c r="O135" s="6"/>
      <c r="P135" s="6"/>
      <c r="Q135" s="6"/>
      <c r="R135" s="6"/>
      <c r="S135" s="6"/>
      <c r="T135" s="6"/>
      <c r="U135" s="6"/>
      <c r="V135" s="6"/>
      <c r="W135" s="6"/>
      <c r="X135" s="6"/>
      <c r="Y135" s="6"/>
    </row>
    <row r="136" spans="1:25" x14ac:dyDescent="0.2">
      <c r="A136" s="7"/>
      <c r="B136" s="7"/>
      <c r="C136" s="7"/>
      <c r="D136" s="7"/>
      <c r="E136" s="7"/>
      <c r="F136" s="7"/>
      <c r="G136" s="7"/>
      <c r="H136" s="7"/>
      <c r="I136" s="7"/>
      <c r="J136" s="7"/>
      <c r="K136" s="7"/>
      <c r="L136" s="7"/>
      <c r="M136" s="7"/>
      <c r="N136" s="6"/>
      <c r="O136" s="6"/>
      <c r="P136" s="6"/>
      <c r="Q136" s="6"/>
      <c r="R136" s="6"/>
      <c r="S136" s="6"/>
      <c r="T136" s="6"/>
      <c r="U136" s="6"/>
      <c r="V136" s="6"/>
      <c r="W136" s="6"/>
      <c r="X136" s="6"/>
      <c r="Y136" s="6"/>
    </row>
    <row r="137" spans="1:25" x14ac:dyDescent="0.2">
      <c r="A137" s="7"/>
      <c r="B137" s="7"/>
      <c r="C137" s="7"/>
      <c r="D137" s="7"/>
      <c r="E137" s="7"/>
      <c r="F137" s="7"/>
      <c r="G137" s="7"/>
      <c r="H137" s="7"/>
      <c r="I137" s="7"/>
      <c r="J137" s="7"/>
      <c r="K137" s="7"/>
      <c r="L137" s="7"/>
      <c r="M137" s="7"/>
      <c r="N137" s="6"/>
      <c r="O137" s="6"/>
      <c r="P137" s="6"/>
      <c r="Q137" s="6"/>
      <c r="R137" s="6"/>
      <c r="S137" s="6"/>
      <c r="T137" s="6"/>
      <c r="U137" s="6"/>
      <c r="V137" s="6"/>
      <c r="W137" s="6"/>
      <c r="X137" s="6"/>
      <c r="Y137" s="6"/>
    </row>
    <row r="138" spans="1:25" x14ac:dyDescent="0.2">
      <c r="A138" s="7"/>
      <c r="B138" s="7"/>
      <c r="C138" s="7"/>
      <c r="D138" s="7"/>
      <c r="E138" s="7"/>
      <c r="F138" s="7"/>
      <c r="G138" s="7"/>
      <c r="H138" s="7"/>
      <c r="I138" s="7"/>
      <c r="J138" s="7"/>
      <c r="K138" s="7"/>
      <c r="L138" s="7"/>
      <c r="M138" s="7"/>
      <c r="N138" s="6"/>
      <c r="O138" s="6"/>
      <c r="P138" s="6"/>
      <c r="Q138" s="6"/>
      <c r="R138" s="6"/>
      <c r="S138" s="6"/>
      <c r="T138" s="6"/>
      <c r="U138" s="6"/>
      <c r="V138" s="6"/>
      <c r="W138" s="6"/>
      <c r="X138" s="6"/>
      <c r="Y138" s="6"/>
    </row>
    <row r="139" spans="1:25" x14ac:dyDescent="0.2">
      <c r="A139" s="7"/>
      <c r="B139" s="7"/>
      <c r="C139" s="7"/>
      <c r="D139" s="7"/>
      <c r="E139" s="7"/>
      <c r="F139" s="7"/>
      <c r="G139" s="7"/>
      <c r="H139" s="7"/>
      <c r="I139" s="7"/>
      <c r="J139" s="7"/>
      <c r="K139" s="7"/>
      <c r="L139" s="7"/>
      <c r="M139" s="7"/>
      <c r="N139" s="6"/>
      <c r="O139" s="6"/>
      <c r="P139" s="6"/>
      <c r="Q139" s="6"/>
      <c r="R139" s="6"/>
      <c r="S139" s="6"/>
      <c r="T139" s="6"/>
      <c r="U139" s="6"/>
      <c r="V139" s="6"/>
      <c r="W139" s="6"/>
      <c r="X139" s="6"/>
      <c r="Y139" s="6"/>
    </row>
    <row r="140" spans="1:25" x14ac:dyDescent="0.2">
      <c r="A140" s="7"/>
      <c r="B140" s="7"/>
      <c r="C140" s="7"/>
      <c r="D140" s="7"/>
      <c r="E140" s="7"/>
      <c r="F140" s="7"/>
      <c r="G140" s="7"/>
      <c r="H140" s="7"/>
      <c r="I140" s="7"/>
      <c r="J140" s="7"/>
      <c r="K140" s="7"/>
      <c r="L140" s="7"/>
      <c r="M140" s="7"/>
      <c r="N140" s="6"/>
      <c r="O140" s="6"/>
      <c r="P140" s="6"/>
      <c r="Q140" s="6"/>
      <c r="R140" s="6"/>
      <c r="S140" s="6"/>
      <c r="T140" s="6"/>
      <c r="U140" s="6"/>
      <c r="V140" s="6"/>
      <c r="W140" s="6"/>
      <c r="X140" s="6"/>
      <c r="Y140" s="6"/>
    </row>
    <row r="141" spans="1:25" x14ac:dyDescent="0.2">
      <c r="A141" s="7"/>
      <c r="B141" s="7"/>
      <c r="C141" s="7"/>
      <c r="D141" s="7"/>
      <c r="E141" s="7"/>
      <c r="F141" s="7"/>
      <c r="G141" s="7"/>
      <c r="H141" s="7"/>
      <c r="I141" s="7"/>
      <c r="J141" s="7"/>
      <c r="K141" s="7"/>
      <c r="L141" s="7"/>
      <c r="M141" s="7"/>
      <c r="N141" s="6"/>
      <c r="O141" s="6"/>
      <c r="P141" s="6"/>
      <c r="Q141" s="6"/>
      <c r="R141" s="6"/>
      <c r="S141" s="6"/>
      <c r="T141" s="6"/>
      <c r="U141" s="6"/>
      <c r="V141" s="6"/>
      <c r="W141" s="6"/>
      <c r="X141" s="6"/>
      <c r="Y141" s="6"/>
    </row>
    <row r="142" spans="1:25" x14ac:dyDescent="0.2">
      <c r="A142" s="7"/>
      <c r="B142" s="7"/>
      <c r="C142" s="7"/>
      <c r="D142" s="7"/>
      <c r="E142" s="7"/>
      <c r="F142" s="7"/>
      <c r="G142" s="7"/>
      <c r="H142" s="7"/>
      <c r="I142" s="7"/>
      <c r="J142" s="7"/>
      <c r="K142" s="7"/>
      <c r="L142" s="7"/>
      <c r="M142" s="7"/>
      <c r="N142" s="6"/>
      <c r="O142" s="6"/>
      <c r="P142" s="6"/>
      <c r="Q142" s="6"/>
      <c r="R142" s="6"/>
      <c r="S142" s="6"/>
      <c r="T142" s="6"/>
      <c r="U142" s="6"/>
      <c r="V142" s="6"/>
      <c r="W142" s="6"/>
      <c r="X142" s="6"/>
      <c r="Y142" s="6"/>
    </row>
    <row r="143" spans="1:25" x14ac:dyDescent="0.2">
      <c r="A143" s="7"/>
      <c r="B143" s="7"/>
      <c r="C143" s="7"/>
      <c r="D143" s="7"/>
      <c r="E143" s="7"/>
      <c r="F143" s="7"/>
      <c r="G143" s="7"/>
      <c r="H143" s="7"/>
      <c r="I143" s="7"/>
      <c r="J143" s="7"/>
      <c r="K143" s="7"/>
      <c r="L143" s="7"/>
      <c r="M143" s="7"/>
      <c r="N143" s="6"/>
      <c r="O143" s="6"/>
      <c r="P143" s="6"/>
      <c r="Q143" s="6"/>
      <c r="R143" s="6"/>
      <c r="S143" s="6"/>
      <c r="T143" s="6"/>
      <c r="U143" s="6"/>
      <c r="V143" s="6"/>
      <c r="W143" s="6"/>
      <c r="X143" s="6"/>
      <c r="Y143" s="6"/>
    </row>
    <row r="144" spans="1:25" x14ac:dyDescent="0.2">
      <c r="A144" s="7"/>
      <c r="B144" s="7"/>
      <c r="C144" s="7"/>
      <c r="D144" s="7"/>
      <c r="E144" s="7"/>
      <c r="F144" s="7"/>
      <c r="G144" s="7"/>
      <c r="H144" s="7"/>
      <c r="I144" s="7"/>
      <c r="J144" s="7"/>
      <c r="K144" s="7"/>
      <c r="L144" s="7"/>
      <c r="M144" s="7"/>
      <c r="N144" s="6"/>
      <c r="O144" s="6"/>
      <c r="P144" s="6"/>
      <c r="Q144" s="6"/>
      <c r="R144" s="6"/>
      <c r="S144" s="6"/>
      <c r="T144" s="6"/>
      <c r="U144" s="6"/>
      <c r="V144" s="6"/>
      <c r="W144" s="6"/>
      <c r="X144" s="6"/>
      <c r="Y144" s="6"/>
    </row>
    <row r="145" spans="1:25" x14ac:dyDescent="0.2">
      <c r="A145" s="7"/>
      <c r="B145" s="7"/>
      <c r="C145" s="7"/>
      <c r="D145" s="7"/>
      <c r="E145" s="7"/>
      <c r="F145" s="7"/>
      <c r="G145" s="7"/>
      <c r="H145" s="7"/>
      <c r="I145" s="7"/>
      <c r="J145" s="7"/>
      <c r="K145" s="7"/>
      <c r="L145" s="7"/>
      <c r="M145" s="7"/>
      <c r="N145" s="6"/>
      <c r="O145" s="6"/>
      <c r="P145" s="6"/>
      <c r="Q145" s="6"/>
      <c r="R145" s="6"/>
      <c r="S145" s="6"/>
      <c r="T145" s="6"/>
      <c r="U145" s="6"/>
      <c r="V145" s="6"/>
      <c r="W145" s="6"/>
      <c r="X145" s="6"/>
      <c r="Y145" s="6"/>
    </row>
    <row r="146" spans="1:25" x14ac:dyDescent="0.2">
      <c r="A146" s="7"/>
      <c r="B146" s="7"/>
      <c r="C146" s="7"/>
      <c r="D146" s="7"/>
      <c r="E146" s="7"/>
      <c r="F146" s="7"/>
      <c r="G146" s="7"/>
      <c r="H146" s="7"/>
      <c r="I146" s="7"/>
      <c r="J146" s="7"/>
      <c r="K146" s="7"/>
      <c r="L146" s="7"/>
      <c r="M146" s="7"/>
      <c r="N146" s="6"/>
      <c r="O146" s="6"/>
      <c r="P146" s="6"/>
      <c r="Q146" s="6"/>
      <c r="R146" s="6"/>
      <c r="S146" s="6"/>
      <c r="T146" s="6"/>
      <c r="U146" s="6"/>
      <c r="V146" s="6"/>
      <c r="W146" s="6"/>
      <c r="X146" s="6"/>
      <c r="Y146" s="6"/>
    </row>
    <row r="147" spans="1:25" x14ac:dyDescent="0.2">
      <c r="A147" s="7"/>
      <c r="B147" s="7"/>
      <c r="C147" s="7"/>
      <c r="D147" s="7"/>
      <c r="E147" s="7"/>
      <c r="F147" s="7"/>
      <c r="G147" s="7"/>
      <c r="H147" s="7"/>
      <c r="I147" s="7"/>
      <c r="J147" s="7"/>
      <c r="K147" s="7"/>
      <c r="L147" s="7"/>
      <c r="M147" s="7"/>
      <c r="N147" s="6"/>
      <c r="O147" s="6"/>
      <c r="P147" s="6"/>
      <c r="Q147" s="6"/>
      <c r="R147" s="6"/>
      <c r="S147" s="6"/>
      <c r="T147" s="6"/>
      <c r="U147" s="6"/>
      <c r="V147" s="6"/>
      <c r="W147" s="6"/>
      <c r="X147" s="6"/>
      <c r="Y147" s="6"/>
    </row>
    <row r="148" spans="1:25" x14ac:dyDescent="0.2">
      <c r="A148" s="7"/>
      <c r="B148" s="7"/>
      <c r="C148" s="7"/>
      <c r="D148" s="7"/>
      <c r="E148" s="7"/>
      <c r="F148" s="7"/>
      <c r="G148" s="7"/>
      <c r="H148" s="7"/>
      <c r="I148" s="7"/>
      <c r="J148" s="7"/>
      <c r="K148" s="7"/>
      <c r="L148" s="7"/>
      <c r="M148" s="7"/>
      <c r="N148" s="6"/>
      <c r="O148" s="6"/>
      <c r="P148" s="6"/>
      <c r="Q148" s="6"/>
      <c r="R148" s="6"/>
      <c r="S148" s="6"/>
      <c r="T148" s="6"/>
      <c r="U148" s="6"/>
      <c r="V148" s="6"/>
      <c r="W148" s="6"/>
      <c r="X148" s="6"/>
      <c r="Y148" s="6"/>
    </row>
    <row r="149" spans="1:25" x14ac:dyDescent="0.2">
      <c r="A149" s="7"/>
      <c r="B149" s="7"/>
      <c r="C149" s="7"/>
      <c r="D149" s="7"/>
      <c r="E149" s="7"/>
      <c r="F149" s="7"/>
      <c r="G149" s="7"/>
      <c r="H149" s="7"/>
      <c r="I149" s="7"/>
      <c r="J149" s="7"/>
      <c r="K149" s="7"/>
      <c r="L149" s="7"/>
      <c r="M149" s="7"/>
      <c r="N149" s="6"/>
      <c r="O149" s="6"/>
      <c r="P149" s="6"/>
      <c r="Q149" s="6"/>
      <c r="R149" s="6"/>
      <c r="S149" s="6"/>
      <c r="T149" s="6"/>
      <c r="U149" s="6"/>
      <c r="V149" s="6"/>
      <c r="W149" s="6"/>
      <c r="X149" s="6"/>
      <c r="Y149" s="6"/>
    </row>
    <row r="150" spans="1:25" x14ac:dyDescent="0.2">
      <c r="A150" s="7"/>
      <c r="B150" s="7"/>
      <c r="C150" s="7"/>
      <c r="D150" s="7"/>
      <c r="E150" s="7"/>
      <c r="F150" s="7"/>
      <c r="G150" s="7"/>
      <c r="H150" s="7"/>
      <c r="I150" s="7"/>
      <c r="J150" s="7"/>
      <c r="K150" s="7"/>
      <c r="L150" s="7"/>
      <c r="M150" s="7"/>
      <c r="N150" s="6"/>
      <c r="O150" s="6"/>
      <c r="P150" s="6"/>
      <c r="Q150" s="6"/>
      <c r="R150" s="6"/>
      <c r="S150" s="6"/>
      <c r="T150" s="6"/>
      <c r="U150" s="6"/>
      <c r="V150" s="6"/>
      <c r="W150" s="6"/>
      <c r="X150" s="6"/>
      <c r="Y150" s="6"/>
    </row>
    <row r="151" spans="1:25" x14ac:dyDescent="0.2">
      <c r="A151" s="7"/>
      <c r="B151" s="7"/>
      <c r="C151" s="7"/>
      <c r="D151" s="7"/>
      <c r="E151" s="7"/>
      <c r="F151" s="7"/>
      <c r="G151" s="7"/>
      <c r="H151" s="7"/>
      <c r="I151" s="7"/>
      <c r="J151" s="7"/>
      <c r="K151" s="7"/>
      <c r="L151" s="7"/>
      <c r="M151" s="7"/>
      <c r="N151" s="6"/>
      <c r="O151" s="6"/>
      <c r="P151" s="6"/>
      <c r="Q151" s="6"/>
      <c r="R151" s="6"/>
      <c r="S151" s="6"/>
      <c r="T151" s="6"/>
      <c r="U151" s="6"/>
      <c r="V151" s="6"/>
      <c r="W151" s="6"/>
      <c r="X151" s="6"/>
      <c r="Y151" s="6"/>
    </row>
    <row r="152" spans="1:25" x14ac:dyDescent="0.2">
      <c r="A152" s="7"/>
      <c r="B152" s="7"/>
      <c r="C152" s="7"/>
      <c r="D152" s="7"/>
      <c r="E152" s="7"/>
      <c r="F152" s="7"/>
      <c r="G152" s="7"/>
      <c r="H152" s="7"/>
      <c r="I152" s="7"/>
      <c r="J152" s="7"/>
      <c r="K152" s="7"/>
      <c r="L152" s="7"/>
      <c r="M152" s="7"/>
      <c r="N152" s="6"/>
      <c r="O152" s="6"/>
      <c r="P152" s="6"/>
      <c r="Q152" s="6"/>
      <c r="R152" s="6"/>
      <c r="S152" s="6"/>
      <c r="T152" s="6"/>
      <c r="U152" s="6"/>
      <c r="V152" s="6"/>
      <c r="W152" s="6"/>
      <c r="X152" s="6"/>
      <c r="Y152" s="6"/>
    </row>
    <row r="153" spans="1:25" x14ac:dyDescent="0.2">
      <c r="A153" s="7"/>
      <c r="B153" s="7"/>
      <c r="C153" s="7"/>
      <c r="D153" s="7"/>
      <c r="E153" s="7"/>
      <c r="F153" s="7"/>
      <c r="G153" s="7"/>
      <c r="H153" s="7"/>
      <c r="I153" s="7"/>
      <c r="J153" s="7"/>
      <c r="K153" s="7"/>
      <c r="L153" s="7"/>
      <c r="M153" s="7"/>
      <c r="N153" s="6"/>
      <c r="O153" s="6"/>
      <c r="P153" s="6"/>
      <c r="Q153" s="6"/>
      <c r="R153" s="6"/>
      <c r="S153" s="6"/>
      <c r="T153" s="6"/>
      <c r="U153" s="6"/>
      <c r="V153" s="6"/>
      <c r="W153" s="6"/>
      <c r="X153" s="6"/>
      <c r="Y153" s="6"/>
    </row>
    <row r="154" spans="1:25" x14ac:dyDescent="0.2">
      <c r="A154" s="7"/>
      <c r="B154" s="7"/>
      <c r="C154" s="7"/>
      <c r="D154" s="7"/>
      <c r="E154" s="7"/>
      <c r="F154" s="7"/>
      <c r="G154" s="7"/>
      <c r="H154" s="7"/>
      <c r="I154" s="7"/>
      <c r="J154" s="7"/>
      <c r="K154" s="7"/>
      <c r="L154" s="7"/>
      <c r="M154" s="7"/>
      <c r="N154" s="6"/>
      <c r="O154" s="6"/>
      <c r="P154" s="6"/>
      <c r="Q154" s="6"/>
      <c r="R154" s="6"/>
      <c r="S154" s="6"/>
      <c r="T154" s="6"/>
      <c r="U154" s="6"/>
      <c r="V154" s="6"/>
      <c r="W154" s="6"/>
      <c r="X154" s="6"/>
      <c r="Y154" s="6"/>
    </row>
    <row r="155" spans="1:25" x14ac:dyDescent="0.2">
      <c r="A155" s="7"/>
      <c r="B155" s="7"/>
      <c r="C155" s="7"/>
      <c r="D155" s="7"/>
      <c r="E155" s="7"/>
      <c r="F155" s="7"/>
      <c r="G155" s="7"/>
      <c r="H155" s="7"/>
      <c r="I155" s="7"/>
      <c r="J155" s="7"/>
      <c r="K155" s="7"/>
      <c r="L155" s="7"/>
      <c r="M155" s="7"/>
      <c r="N155" s="6"/>
      <c r="O155" s="6"/>
      <c r="P155" s="6"/>
      <c r="Q155" s="6"/>
      <c r="R155" s="6"/>
      <c r="S155" s="6"/>
      <c r="T155" s="6"/>
      <c r="U155" s="6"/>
      <c r="V155" s="6"/>
      <c r="W155" s="6"/>
      <c r="X155" s="6"/>
      <c r="Y155" s="6"/>
    </row>
    <row r="156" spans="1:25" x14ac:dyDescent="0.2">
      <c r="A156" s="7"/>
      <c r="B156" s="7"/>
      <c r="C156" s="7"/>
      <c r="D156" s="7"/>
      <c r="E156" s="7"/>
      <c r="F156" s="7"/>
      <c r="G156" s="7"/>
      <c r="H156" s="7"/>
      <c r="I156" s="7"/>
      <c r="J156" s="7"/>
      <c r="K156" s="7"/>
      <c r="L156" s="7"/>
      <c r="M156" s="7"/>
      <c r="N156" s="6"/>
      <c r="O156" s="6"/>
      <c r="P156" s="6"/>
      <c r="Q156" s="6"/>
      <c r="R156" s="6"/>
      <c r="S156" s="6"/>
      <c r="T156" s="6"/>
      <c r="U156" s="6"/>
      <c r="V156" s="6"/>
      <c r="W156" s="6"/>
      <c r="X156" s="6"/>
      <c r="Y156" s="6"/>
    </row>
    <row r="157" spans="1:25" x14ac:dyDescent="0.2">
      <c r="A157" s="7"/>
      <c r="B157" s="7"/>
      <c r="C157" s="7"/>
      <c r="D157" s="7"/>
      <c r="E157" s="7"/>
      <c r="F157" s="7"/>
      <c r="G157" s="7"/>
      <c r="H157" s="7"/>
      <c r="I157" s="7"/>
      <c r="J157" s="7"/>
      <c r="K157" s="7"/>
      <c r="L157" s="7"/>
      <c r="M157" s="7"/>
      <c r="N157" s="6"/>
      <c r="O157" s="6"/>
      <c r="P157" s="6"/>
      <c r="Q157" s="6"/>
      <c r="R157" s="6"/>
      <c r="S157" s="6"/>
      <c r="T157" s="6"/>
      <c r="U157" s="6"/>
      <c r="V157" s="6"/>
      <c r="W157" s="6"/>
      <c r="X157" s="6"/>
      <c r="Y157" s="6"/>
    </row>
    <row r="158" spans="1:25" x14ac:dyDescent="0.2">
      <c r="A158" s="7"/>
      <c r="B158" s="7"/>
      <c r="C158" s="7"/>
      <c r="D158" s="7"/>
      <c r="E158" s="7"/>
      <c r="F158" s="7"/>
      <c r="G158" s="7"/>
      <c r="H158" s="7"/>
      <c r="I158" s="7"/>
      <c r="J158" s="7"/>
      <c r="K158" s="7"/>
      <c r="L158" s="7"/>
      <c r="M158" s="7"/>
      <c r="N158" s="6"/>
      <c r="O158" s="6"/>
      <c r="P158" s="6"/>
      <c r="Q158" s="6"/>
      <c r="R158" s="6"/>
      <c r="S158" s="6"/>
      <c r="T158" s="6"/>
      <c r="U158" s="6"/>
      <c r="V158" s="6"/>
      <c r="W158" s="6"/>
      <c r="X158" s="6"/>
      <c r="Y158" s="6"/>
    </row>
    <row r="159" spans="1:25" x14ac:dyDescent="0.2">
      <c r="A159" s="7"/>
      <c r="B159" s="7"/>
      <c r="C159" s="7"/>
      <c r="D159" s="7"/>
      <c r="E159" s="7"/>
      <c r="F159" s="7"/>
      <c r="G159" s="7"/>
      <c r="H159" s="7"/>
      <c r="I159" s="7"/>
      <c r="J159" s="7"/>
      <c r="K159" s="7"/>
      <c r="L159" s="7"/>
      <c r="M159" s="7"/>
      <c r="N159" s="6"/>
      <c r="O159" s="6"/>
      <c r="P159" s="6"/>
      <c r="Q159" s="6"/>
      <c r="R159" s="6"/>
      <c r="S159" s="6"/>
      <c r="T159" s="6"/>
      <c r="U159" s="6"/>
      <c r="V159" s="6"/>
      <c r="W159" s="6"/>
      <c r="X159" s="6"/>
      <c r="Y159" s="6"/>
    </row>
    <row r="160" spans="1:25" x14ac:dyDescent="0.2">
      <c r="A160" s="7"/>
      <c r="B160" s="7"/>
      <c r="C160" s="7"/>
      <c r="D160" s="7"/>
      <c r="E160" s="7"/>
      <c r="F160" s="7"/>
      <c r="G160" s="7"/>
      <c r="H160" s="7"/>
      <c r="I160" s="7"/>
      <c r="J160" s="7"/>
      <c r="K160" s="7"/>
      <c r="L160" s="7"/>
      <c r="M160" s="7"/>
      <c r="N160" s="6"/>
      <c r="O160" s="6"/>
      <c r="P160" s="6"/>
      <c r="Q160" s="6"/>
      <c r="R160" s="6"/>
      <c r="S160" s="6"/>
      <c r="T160" s="6"/>
      <c r="U160" s="6"/>
      <c r="V160" s="6"/>
      <c r="W160" s="6"/>
      <c r="X160" s="6"/>
      <c r="Y160" s="6"/>
    </row>
    <row r="161" spans="1:25" x14ac:dyDescent="0.2">
      <c r="A161" s="7"/>
      <c r="B161" s="7"/>
      <c r="C161" s="7"/>
      <c r="D161" s="7"/>
      <c r="E161" s="7"/>
      <c r="F161" s="7"/>
      <c r="G161" s="7"/>
      <c r="H161" s="7"/>
      <c r="I161" s="7"/>
      <c r="J161" s="7"/>
      <c r="K161" s="7"/>
      <c r="L161" s="7"/>
      <c r="M161" s="7"/>
      <c r="N161" s="6"/>
      <c r="O161" s="6"/>
      <c r="P161" s="6"/>
      <c r="Q161" s="6"/>
      <c r="R161" s="6"/>
      <c r="S161" s="6"/>
      <c r="T161" s="6"/>
      <c r="U161" s="6"/>
      <c r="V161" s="6"/>
      <c r="W161" s="6"/>
      <c r="X161" s="6"/>
      <c r="Y161" s="6"/>
    </row>
    <row r="162" spans="1:25" x14ac:dyDescent="0.2">
      <c r="A162" s="7"/>
      <c r="B162" s="7"/>
      <c r="C162" s="7"/>
      <c r="D162" s="7"/>
      <c r="E162" s="7"/>
      <c r="F162" s="7"/>
      <c r="G162" s="7"/>
      <c r="H162" s="7"/>
      <c r="I162" s="7"/>
      <c r="J162" s="7"/>
      <c r="K162" s="7"/>
      <c r="L162" s="7"/>
      <c r="M162" s="7"/>
      <c r="N162" s="6"/>
      <c r="O162" s="6"/>
      <c r="P162" s="6"/>
      <c r="Q162" s="6"/>
      <c r="R162" s="6"/>
      <c r="S162" s="6"/>
      <c r="T162" s="6"/>
      <c r="U162" s="6"/>
      <c r="V162" s="6"/>
      <c r="W162" s="6"/>
      <c r="X162" s="6"/>
      <c r="Y162" s="6"/>
    </row>
    <row r="163" spans="1:25" x14ac:dyDescent="0.2">
      <c r="A163" s="7"/>
      <c r="B163" s="7"/>
      <c r="C163" s="7"/>
      <c r="D163" s="7"/>
      <c r="E163" s="7"/>
      <c r="F163" s="7"/>
      <c r="G163" s="7"/>
      <c r="H163" s="7"/>
      <c r="I163" s="7"/>
      <c r="J163" s="7"/>
      <c r="K163" s="7"/>
      <c r="L163" s="7"/>
      <c r="M163" s="7"/>
      <c r="N163" s="6"/>
      <c r="O163" s="6"/>
      <c r="P163" s="6"/>
      <c r="Q163" s="6"/>
      <c r="R163" s="6"/>
      <c r="S163" s="6"/>
      <c r="T163" s="6"/>
      <c r="U163" s="6"/>
      <c r="V163" s="6"/>
      <c r="W163" s="6"/>
      <c r="X163" s="6"/>
      <c r="Y163" s="6"/>
    </row>
    <row r="164" spans="1:25" x14ac:dyDescent="0.2">
      <c r="A164" s="7"/>
      <c r="B164" s="7"/>
      <c r="C164" s="7"/>
      <c r="D164" s="7"/>
      <c r="E164" s="7"/>
      <c r="F164" s="7"/>
      <c r="G164" s="7"/>
      <c r="H164" s="7"/>
      <c r="I164" s="7"/>
      <c r="J164" s="7"/>
      <c r="K164" s="7"/>
      <c r="L164" s="7"/>
      <c r="M164" s="7"/>
      <c r="N164" s="6"/>
      <c r="O164" s="6"/>
      <c r="P164" s="6"/>
      <c r="Q164" s="6"/>
      <c r="R164" s="6"/>
      <c r="S164" s="6"/>
      <c r="T164" s="6"/>
      <c r="U164" s="6"/>
      <c r="V164" s="6"/>
      <c r="W164" s="6"/>
      <c r="X164" s="6"/>
      <c r="Y164" s="6"/>
    </row>
    <row r="165" spans="1:25" x14ac:dyDescent="0.2">
      <c r="A165" s="7"/>
      <c r="B165" s="7"/>
      <c r="C165" s="7"/>
      <c r="D165" s="7"/>
      <c r="E165" s="7"/>
      <c r="F165" s="7"/>
      <c r="G165" s="7"/>
      <c r="H165" s="7"/>
      <c r="I165" s="7"/>
      <c r="J165" s="7"/>
      <c r="K165" s="7"/>
      <c r="L165" s="7"/>
      <c r="M165" s="7"/>
      <c r="N165" s="6"/>
      <c r="O165" s="6"/>
      <c r="P165" s="6"/>
      <c r="Q165" s="6"/>
      <c r="R165" s="6"/>
      <c r="S165" s="6"/>
      <c r="T165" s="6"/>
      <c r="U165" s="6"/>
      <c r="V165" s="6"/>
      <c r="W165" s="6"/>
      <c r="X165" s="6"/>
      <c r="Y165" s="6"/>
    </row>
    <row r="166" spans="1:25" x14ac:dyDescent="0.2">
      <c r="A166" s="7"/>
      <c r="B166" s="7"/>
      <c r="C166" s="7"/>
      <c r="D166" s="7"/>
      <c r="E166" s="7"/>
      <c r="F166" s="7"/>
      <c r="G166" s="7"/>
      <c r="H166" s="7"/>
      <c r="I166" s="7"/>
      <c r="J166" s="7"/>
      <c r="K166" s="7"/>
      <c r="L166" s="7"/>
      <c r="M166" s="7"/>
      <c r="N166" s="6"/>
      <c r="O166" s="6"/>
      <c r="P166" s="6"/>
      <c r="Q166" s="6"/>
      <c r="R166" s="6"/>
      <c r="S166" s="6"/>
      <c r="T166" s="6"/>
      <c r="U166" s="6"/>
      <c r="V166" s="6"/>
      <c r="W166" s="6"/>
      <c r="X166" s="6"/>
      <c r="Y166" s="6"/>
    </row>
    <row r="167" spans="1:25" x14ac:dyDescent="0.2">
      <c r="A167" s="7"/>
      <c r="B167" s="7"/>
      <c r="C167" s="7"/>
      <c r="D167" s="7"/>
      <c r="E167" s="7"/>
      <c r="F167" s="7"/>
      <c r="G167" s="7"/>
      <c r="H167" s="7"/>
      <c r="I167" s="7"/>
      <c r="J167" s="7"/>
      <c r="K167" s="7"/>
      <c r="L167" s="7"/>
      <c r="M167" s="7"/>
      <c r="N167" s="6"/>
      <c r="O167" s="6"/>
      <c r="P167" s="6"/>
      <c r="Q167" s="6"/>
      <c r="R167" s="6"/>
      <c r="S167" s="6"/>
      <c r="T167" s="6"/>
      <c r="U167" s="6"/>
      <c r="V167" s="6"/>
      <c r="W167" s="6"/>
      <c r="X167" s="6"/>
      <c r="Y167" s="6"/>
    </row>
    <row r="168" spans="1:25" x14ac:dyDescent="0.2">
      <c r="A168" s="7"/>
      <c r="B168" s="7"/>
      <c r="C168" s="7"/>
      <c r="D168" s="7"/>
      <c r="E168" s="7"/>
      <c r="F168" s="7"/>
      <c r="G168" s="7"/>
      <c r="H168" s="7"/>
      <c r="I168" s="7"/>
      <c r="J168" s="7"/>
      <c r="K168" s="7"/>
      <c r="L168" s="7"/>
      <c r="M168" s="7"/>
      <c r="N168" s="6"/>
      <c r="O168" s="6"/>
      <c r="P168" s="6"/>
      <c r="Q168" s="6"/>
      <c r="R168" s="6"/>
      <c r="S168" s="6"/>
      <c r="T168" s="6"/>
      <c r="U168" s="6"/>
      <c r="V168" s="6"/>
      <c r="W168" s="6"/>
      <c r="X168" s="6"/>
      <c r="Y168" s="6"/>
    </row>
    <row r="169" spans="1:25" x14ac:dyDescent="0.2">
      <c r="A169" s="7"/>
      <c r="B169" s="7"/>
      <c r="C169" s="7"/>
      <c r="D169" s="7"/>
      <c r="E169" s="7"/>
      <c r="F169" s="7"/>
      <c r="G169" s="7"/>
      <c r="H169" s="7"/>
      <c r="I169" s="7"/>
      <c r="J169" s="7"/>
      <c r="K169" s="7"/>
      <c r="L169" s="7"/>
      <c r="M169" s="7"/>
      <c r="N169" s="6"/>
      <c r="O169" s="6"/>
      <c r="P169" s="6"/>
      <c r="Q169" s="6"/>
      <c r="R169" s="6"/>
      <c r="S169" s="6"/>
      <c r="T169" s="6"/>
      <c r="U169" s="6"/>
      <c r="V169" s="6"/>
      <c r="W169" s="6"/>
      <c r="X169" s="6"/>
      <c r="Y169" s="6"/>
    </row>
    <row r="170" spans="1:25" x14ac:dyDescent="0.2">
      <c r="A170" s="7"/>
      <c r="B170" s="7"/>
      <c r="C170" s="7"/>
      <c r="D170" s="7"/>
      <c r="E170" s="7"/>
      <c r="F170" s="7"/>
      <c r="G170" s="7"/>
      <c r="H170" s="7"/>
      <c r="I170" s="7"/>
      <c r="J170" s="7"/>
      <c r="K170" s="7"/>
      <c r="L170" s="7"/>
      <c r="M170" s="7"/>
      <c r="N170" s="6"/>
      <c r="O170" s="6"/>
      <c r="P170" s="6"/>
      <c r="Q170" s="6"/>
      <c r="R170" s="6"/>
      <c r="S170" s="6"/>
      <c r="T170" s="6"/>
      <c r="U170" s="6"/>
      <c r="V170" s="6"/>
      <c r="W170" s="6"/>
      <c r="X170" s="6"/>
      <c r="Y170" s="6"/>
    </row>
    <row r="171" spans="1:25" x14ac:dyDescent="0.2">
      <c r="A171" s="7"/>
      <c r="B171" s="7"/>
      <c r="C171" s="7"/>
      <c r="D171" s="7"/>
      <c r="E171" s="7"/>
      <c r="F171" s="7"/>
      <c r="G171" s="7"/>
      <c r="H171" s="7"/>
      <c r="I171" s="7"/>
      <c r="J171" s="7"/>
      <c r="K171" s="7"/>
      <c r="L171" s="7"/>
      <c r="M171" s="7"/>
      <c r="N171" s="6"/>
      <c r="O171" s="6"/>
      <c r="P171" s="6"/>
      <c r="Q171" s="6"/>
      <c r="R171" s="6"/>
      <c r="S171" s="6"/>
      <c r="T171" s="6"/>
      <c r="U171" s="6"/>
      <c r="V171" s="6"/>
      <c r="W171" s="6"/>
      <c r="X171" s="6"/>
      <c r="Y171" s="6"/>
    </row>
    <row r="172" spans="1:25" x14ac:dyDescent="0.2">
      <c r="A172" s="7"/>
      <c r="B172" s="7"/>
      <c r="C172" s="7"/>
      <c r="D172" s="7"/>
      <c r="E172" s="7"/>
      <c r="F172" s="7"/>
      <c r="G172" s="7"/>
      <c r="H172" s="7"/>
      <c r="I172" s="7"/>
      <c r="J172" s="7"/>
      <c r="K172" s="7"/>
      <c r="L172" s="7"/>
      <c r="M172" s="7"/>
      <c r="N172" s="6"/>
      <c r="O172" s="6"/>
      <c r="P172" s="6"/>
      <c r="Q172" s="6"/>
      <c r="R172" s="6"/>
      <c r="S172" s="6"/>
      <c r="T172" s="6"/>
      <c r="U172" s="6"/>
      <c r="V172" s="6"/>
      <c r="W172" s="6"/>
      <c r="X172" s="6"/>
      <c r="Y172" s="6"/>
    </row>
    <row r="173" spans="1:25" x14ac:dyDescent="0.2">
      <c r="A173" s="7"/>
      <c r="B173" s="7"/>
      <c r="C173" s="7"/>
      <c r="D173" s="7"/>
      <c r="E173" s="7"/>
      <c r="F173" s="7"/>
      <c r="G173" s="7"/>
      <c r="H173" s="7"/>
      <c r="I173" s="7"/>
      <c r="J173" s="7"/>
      <c r="K173" s="7"/>
      <c r="L173" s="7"/>
      <c r="M173" s="7"/>
      <c r="N173" s="6"/>
      <c r="O173" s="6"/>
      <c r="P173" s="6"/>
      <c r="Q173" s="6"/>
      <c r="R173" s="6"/>
      <c r="S173" s="6"/>
      <c r="T173" s="6"/>
      <c r="U173" s="6"/>
      <c r="V173" s="6"/>
      <c r="W173" s="6"/>
      <c r="X173" s="6"/>
      <c r="Y173" s="6"/>
    </row>
    <row r="174" spans="1:25" x14ac:dyDescent="0.2">
      <c r="A174" s="7"/>
      <c r="B174" s="7"/>
      <c r="C174" s="7"/>
      <c r="D174" s="7"/>
      <c r="E174" s="7"/>
      <c r="F174" s="7"/>
      <c r="G174" s="7"/>
      <c r="H174" s="7"/>
      <c r="I174" s="7"/>
      <c r="J174" s="7"/>
      <c r="K174" s="7"/>
      <c r="L174" s="7"/>
      <c r="M174" s="7"/>
      <c r="N174" s="6"/>
      <c r="O174" s="6"/>
      <c r="P174" s="6"/>
      <c r="Q174" s="6"/>
      <c r="R174" s="6"/>
      <c r="S174" s="6"/>
      <c r="T174" s="6"/>
      <c r="U174" s="6"/>
      <c r="V174" s="6"/>
      <c r="W174" s="6"/>
      <c r="X174" s="6"/>
      <c r="Y174" s="6"/>
    </row>
    <row r="175" spans="1:25" x14ac:dyDescent="0.2">
      <c r="A175" s="7"/>
      <c r="B175" s="7"/>
      <c r="C175" s="7"/>
      <c r="D175" s="7"/>
      <c r="E175" s="7"/>
      <c r="F175" s="7"/>
      <c r="G175" s="7"/>
      <c r="H175" s="7"/>
      <c r="I175" s="7"/>
      <c r="J175" s="7"/>
      <c r="K175" s="7"/>
      <c r="L175" s="7"/>
      <c r="M175" s="7"/>
      <c r="N175" s="6"/>
      <c r="O175" s="6"/>
      <c r="P175" s="6"/>
      <c r="Q175" s="6"/>
      <c r="R175" s="6"/>
      <c r="S175" s="6"/>
      <c r="T175" s="6"/>
      <c r="U175" s="6"/>
      <c r="V175" s="6"/>
      <c r="W175" s="6"/>
      <c r="X175" s="6"/>
      <c r="Y175" s="6"/>
    </row>
    <row r="176" spans="1:25" x14ac:dyDescent="0.2">
      <c r="A176" s="7"/>
      <c r="B176" s="7"/>
      <c r="C176" s="7"/>
      <c r="D176" s="7"/>
      <c r="E176" s="7"/>
      <c r="F176" s="7"/>
      <c r="G176" s="7"/>
      <c r="H176" s="7"/>
      <c r="I176" s="7"/>
      <c r="J176" s="7"/>
      <c r="K176" s="7"/>
      <c r="L176" s="7"/>
      <c r="M176" s="7"/>
      <c r="N176" s="6"/>
      <c r="O176" s="6"/>
      <c r="P176" s="6"/>
      <c r="Q176" s="6"/>
      <c r="R176" s="6"/>
      <c r="S176" s="6"/>
      <c r="T176" s="6"/>
      <c r="U176" s="6"/>
      <c r="V176" s="6"/>
      <c r="W176" s="6"/>
      <c r="X176" s="6"/>
      <c r="Y176" s="6"/>
    </row>
    <row r="177" spans="1:13" x14ac:dyDescent="0.2">
      <c r="A177" s="25"/>
      <c r="B177" s="25"/>
      <c r="C177" s="25"/>
      <c r="D177" s="25"/>
      <c r="E177" s="25"/>
      <c r="F177" s="25"/>
      <c r="G177" s="25"/>
      <c r="H177" s="25"/>
      <c r="I177" s="25"/>
      <c r="J177" s="25"/>
      <c r="K177" s="25"/>
      <c r="L177" s="25"/>
      <c r="M177" s="25"/>
    </row>
    <row r="178" spans="1:13" x14ac:dyDescent="0.2">
      <c r="A178" s="25"/>
      <c r="B178" s="25"/>
      <c r="C178" s="25"/>
      <c r="D178" s="25"/>
      <c r="E178" s="25"/>
      <c r="F178" s="25"/>
      <c r="G178" s="25"/>
      <c r="H178" s="25"/>
      <c r="I178" s="25"/>
      <c r="J178" s="25"/>
      <c r="K178" s="25"/>
      <c r="L178" s="25"/>
      <c r="M178" s="25"/>
    </row>
    <row r="179" spans="1:13" x14ac:dyDescent="0.2">
      <c r="A179" s="25"/>
      <c r="B179" s="25"/>
      <c r="C179" s="25"/>
      <c r="D179" s="25"/>
      <c r="E179" s="25"/>
      <c r="F179" s="25"/>
      <c r="G179" s="25"/>
      <c r="H179" s="25"/>
      <c r="I179" s="25"/>
      <c r="J179" s="25"/>
      <c r="K179" s="25"/>
      <c r="L179" s="25"/>
      <c r="M179" s="25"/>
    </row>
    <row r="180" spans="1:13" x14ac:dyDescent="0.2">
      <c r="A180" s="25"/>
      <c r="B180" s="25"/>
      <c r="C180" s="25"/>
      <c r="D180" s="25"/>
      <c r="E180" s="25"/>
      <c r="F180" s="25"/>
      <c r="G180" s="25"/>
      <c r="H180" s="25"/>
      <c r="I180" s="25"/>
      <c r="J180" s="25"/>
      <c r="K180" s="25"/>
      <c r="L180" s="25"/>
      <c r="M180" s="25"/>
    </row>
    <row r="181" spans="1:13" x14ac:dyDescent="0.2">
      <c r="A181" s="25"/>
      <c r="B181" s="25"/>
      <c r="C181" s="25"/>
      <c r="D181" s="25"/>
      <c r="E181" s="25"/>
      <c r="F181" s="25"/>
      <c r="G181" s="25"/>
      <c r="H181" s="25"/>
      <c r="I181" s="25"/>
      <c r="J181" s="25"/>
      <c r="K181" s="25"/>
      <c r="L181" s="25"/>
      <c r="M181" s="25"/>
    </row>
    <row r="182" spans="1:13" x14ac:dyDescent="0.2">
      <c r="A182" s="25"/>
      <c r="B182" s="25"/>
      <c r="C182" s="25"/>
      <c r="D182" s="25"/>
      <c r="E182" s="25"/>
      <c r="F182" s="25"/>
      <c r="G182" s="25"/>
      <c r="H182" s="25"/>
      <c r="I182" s="25"/>
      <c r="J182" s="25"/>
      <c r="K182" s="25"/>
      <c r="L182" s="25"/>
      <c r="M182" s="25"/>
    </row>
    <row r="183" spans="1:13" x14ac:dyDescent="0.2">
      <c r="A183" s="25"/>
      <c r="B183" s="25"/>
      <c r="C183" s="25"/>
      <c r="D183" s="25"/>
      <c r="E183" s="25"/>
      <c r="F183" s="25"/>
      <c r="G183" s="25"/>
      <c r="H183" s="25"/>
      <c r="I183" s="25"/>
      <c r="J183" s="25"/>
      <c r="K183" s="25"/>
      <c r="L183" s="25"/>
      <c r="M183" s="25"/>
    </row>
    <row r="184" spans="1:13" x14ac:dyDescent="0.2">
      <c r="A184" s="25"/>
      <c r="B184" s="25"/>
      <c r="C184" s="25"/>
      <c r="D184" s="25"/>
      <c r="E184" s="25"/>
      <c r="F184" s="25"/>
      <c r="G184" s="25"/>
      <c r="H184" s="25"/>
      <c r="I184" s="25"/>
      <c r="J184" s="25"/>
      <c r="K184" s="25"/>
      <c r="L184" s="25"/>
      <c r="M184" s="25"/>
    </row>
    <row r="185" spans="1:13" x14ac:dyDescent="0.2">
      <c r="A185" s="25"/>
      <c r="B185" s="25"/>
      <c r="C185" s="25"/>
      <c r="D185" s="25"/>
      <c r="E185" s="25"/>
      <c r="F185" s="25"/>
      <c r="G185" s="25"/>
      <c r="H185" s="25"/>
      <c r="I185" s="25"/>
      <c r="J185" s="25"/>
      <c r="K185" s="25"/>
      <c r="L185" s="25"/>
      <c r="M185" s="25"/>
    </row>
    <row r="186" spans="1:13" x14ac:dyDescent="0.2">
      <c r="A186" s="25"/>
      <c r="B186" s="25"/>
      <c r="C186" s="25"/>
      <c r="D186" s="25"/>
      <c r="E186" s="25"/>
      <c r="F186" s="25"/>
      <c r="G186" s="25"/>
      <c r="H186" s="25"/>
      <c r="I186" s="25"/>
      <c r="J186" s="25"/>
      <c r="K186" s="25"/>
      <c r="L186" s="25"/>
      <c r="M186" s="25"/>
    </row>
    <row r="187" spans="1:13" x14ac:dyDescent="0.2">
      <c r="A187" s="25"/>
      <c r="B187" s="25"/>
      <c r="C187" s="25"/>
      <c r="D187" s="25"/>
      <c r="E187" s="25"/>
      <c r="F187" s="25"/>
      <c r="G187" s="25"/>
      <c r="H187" s="25"/>
      <c r="I187" s="25"/>
      <c r="J187" s="25"/>
      <c r="K187" s="25"/>
      <c r="L187" s="25"/>
      <c r="M187" s="25"/>
    </row>
    <row r="188" spans="1:13" x14ac:dyDescent="0.2">
      <c r="A188" s="25"/>
      <c r="B188" s="25"/>
      <c r="C188" s="25"/>
      <c r="D188" s="25"/>
      <c r="E188" s="25"/>
      <c r="F188" s="25"/>
      <c r="G188" s="25"/>
      <c r="H188" s="25"/>
      <c r="I188" s="25"/>
      <c r="J188" s="25"/>
      <c r="K188" s="25"/>
      <c r="L188" s="25"/>
      <c r="M188" s="25"/>
    </row>
    <row r="189" spans="1:13" x14ac:dyDescent="0.2">
      <c r="A189" s="25"/>
      <c r="B189" s="25"/>
      <c r="C189" s="25"/>
      <c r="D189" s="25"/>
      <c r="E189" s="25"/>
      <c r="F189" s="25"/>
      <c r="G189" s="25"/>
      <c r="H189" s="25"/>
      <c r="I189" s="25"/>
      <c r="J189" s="25"/>
      <c r="K189" s="25"/>
      <c r="L189" s="25"/>
      <c r="M189" s="25"/>
    </row>
    <row r="190" spans="1:13" x14ac:dyDescent="0.2">
      <c r="A190" s="25"/>
      <c r="B190" s="25"/>
      <c r="C190" s="25"/>
      <c r="D190" s="25"/>
      <c r="E190" s="25"/>
      <c r="F190" s="25"/>
      <c r="G190" s="25"/>
      <c r="H190" s="25"/>
      <c r="I190" s="25"/>
      <c r="J190" s="25"/>
      <c r="K190" s="25"/>
      <c r="L190" s="25"/>
      <c r="M190" s="25"/>
    </row>
    <row r="191" spans="1:13" x14ac:dyDescent="0.2">
      <c r="A191" s="25"/>
      <c r="B191" s="25"/>
      <c r="C191" s="25"/>
      <c r="D191" s="25"/>
      <c r="E191" s="25"/>
      <c r="F191" s="25"/>
      <c r="G191" s="25"/>
      <c r="H191" s="25"/>
      <c r="I191" s="25"/>
      <c r="J191" s="25"/>
      <c r="K191" s="25"/>
      <c r="L191" s="25"/>
      <c r="M191" s="25"/>
    </row>
    <row r="192" spans="1:13" x14ac:dyDescent="0.2">
      <c r="A192" s="25"/>
      <c r="B192" s="25"/>
      <c r="C192" s="25"/>
      <c r="D192" s="25"/>
      <c r="E192" s="25"/>
      <c r="F192" s="25"/>
      <c r="G192" s="25"/>
      <c r="H192" s="25"/>
      <c r="I192" s="25"/>
      <c r="J192" s="25"/>
      <c r="K192" s="25"/>
      <c r="L192" s="25"/>
      <c r="M192" s="25"/>
    </row>
    <row r="193" spans="1:13" x14ac:dyDescent="0.2">
      <c r="A193" s="25"/>
      <c r="B193" s="25"/>
      <c r="C193" s="25"/>
      <c r="D193" s="25"/>
      <c r="E193" s="25"/>
      <c r="F193" s="25"/>
      <c r="G193" s="25"/>
      <c r="H193" s="25"/>
      <c r="I193" s="25"/>
      <c r="J193" s="25"/>
      <c r="K193" s="25"/>
      <c r="L193" s="25"/>
      <c r="M193" s="25"/>
    </row>
    <row r="194" spans="1:13" x14ac:dyDescent="0.2">
      <c r="A194" s="25"/>
      <c r="B194" s="25"/>
      <c r="C194" s="25"/>
      <c r="D194" s="25"/>
      <c r="E194" s="25"/>
      <c r="F194" s="25"/>
      <c r="G194" s="25"/>
      <c r="H194" s="25"/>
      <c r="I194" s="25"/>
      <c r="J194" s="25"/>
      <c r="K194" s="25"/>
      <c r="L194" s="25"/>
      <c r="M194" s="25"/>
    </row>
    <row r="195" spans="1:13" x14ac:dyDescent="0.2">
      <c r="A195" s="25"/>
      <c r="B195" s="25"/>
      <c r="C195" s="25"/>
      <c r="D195" s="25"/>
      <c r="E195" s="25"/>
      <c r="F195" s="25"/>
      <c r="G195" s="25"/>
      <c r="H195" s="25"/>
      <c r="I195" s="25"/>
      <c r="J195" s="25"/>
      <c r="K195" s="25"/>
      <c r="L195" s="25"/>
      <c r="M195" s="25"/>
    </row>
    <row r="196" spans="1:13" x14ac:dyDescent="0.2">
      <c r="A196" s="25"/>
      <c r="B196" s="25"/>
      <c r="C196" s="25"/>
      <c r="D196" s="25"/>
      <c r="E196" s="25"/>
      <c r="F196" s="25"/>
      <c r="G196" s="25"/>
      <c r="H196" s="25"/>
      <c r="I196" s="25"/>
      <c r="J196" s="25"/>
      <c r="K196" s="25"/>
      <c r="L196" s="25"/>
      <c r="M196" s="25"/>
    </row>
    <row r="197" spans="1:13" x14ac:dyDescent="0.2">
      <c r="A197" s="25"/>
      <c r="B197" s="25"/>
      <c r="C197" s="25"/>
      <c r="D197" s="25"/>
      <c r="E197" s="25"/>
      <c r="F197" s="25"/>
      <c r="G197" s="25"/>
      <c r="H197" s="25"/>
      <c r="I197" s="25"/>
      <c r="J197" s="25"/>
      <c r="K197" s="25"/>
      <c r="L197" s="25"/>
      <c r="M197" s="25"/>
    </row>
    <row r="198" spans="1:13" x14ac:dyDescent="0.2">
      <c r="A198" s="25"/>
      <c r="B198" s="25"/>
      <c r="C198" s="25"/>
      <c r="D198" s="25"/>
      <c r="E198" s="25"/>
      <c r="F198" s="25"/>
      <c r="G198" s="25"/>
      <c r="H198" s="25"/>
      <c r="I198" s="25"/>
      <c r="J198" s="25"/>
      <c r="K198" s="25"/>
      <c r="L198" s="25"/>
      <c r="M198" s="25"/>
    </row>
    <row r="199" spans="1:13" x14ac:dyDescent="0.2">
      <c r="A199" s="25"/>
      <c r="B199" s="25"/>
      <c r="C199" s="25"/>
      <c r="D199" s="25"/>
      <c r="E199" s="25"/>
      <c r="F199" s="25"/>
      <c r="G199" s="25"/>
      <c r="H199" s="25"/>
      <c r="I199" s="25"/>
      <c r="J199" s="25"/>
      <c r="K199" s="25"/>
      <c r="L199" s="25"/>
      <c r="M199" s="25"/>
    </row>
    <row r="200" spans="1:13" x14ac:dyDescent="0.2">
      <c r="A200" s="25"/>
      <c r="B200" s="25"/>
      <c r="C200" s="25"/>
      <c r="D200" s="25"/>
      <c r="E200" s="25"/>
      <c r="F200" s="25"/>
      <c r="G200" s="25"/>
      <c r="H200" s="25"/>
      <c r="I200" s="25"/>
      <c r="J200" s="25"/>
      <c r="K200" s="25"/>
      <c r="L200" s="25"/>
      <c r="M200" s="25"/>
    </row>
    <row r="201" spans="1:13" x14ac:dyDescent="0.2">
      <c r="A201" s="25"/>
      <c r="B201" s="25"/>
      <c r="C201" s="25"/>
      <c r="D201" s="25"/>
      <c r="E201" s="25"/>
      <c r="F201" s="25"/>
      <c r="G201" s="25"/>
      <c r="H201" s="25"/>
      <c r="I201" s="25"/>
      <c r="J201" s="25"/>
      <c r="K201" s="25"/>
      <c r="L201" s="25"/>
      <c r="M201" s="25"/>
    </row>
    <row r="202" spans="1:13" x14ac:dyDescent="0.2">
      <c r="A202" s="25"/>
      <c r="B202" s="25"/>
      <c r="C202" s="25"/>
      <c r="D202" s="25"/>
      <c r="E202" s="25"/>
      <c r="F202" s="25"/>
      <c r="G202" s="25"/>
      <c r="H202" s="25"/>
      <c r="I202" s="25"/>
      <c r="J202" s="25"/>
      <c r="K202" s="25"/>
      <c r="L202" s="25"/>
      <c r="M202" s="25"/>
    </row>
    <row r="203" spans="1:13" x14ac:dyDescent="0.2">
      <c r="A203" s="25"/>
      <c r="B203" s="25"/>
      <c r="C203" s="25"/>
      <c r="D203" s="25"/>
      <c r="E203" s="25"/>
      <c r="F203" s="25"/>
      <c r="G203" s="25"/>
      <c r="H203" s="25"/>
      <c r="I203" s="25"/>
      <c r="J203" s="25"/>
      <c r="K203" s="25"/>
      <c r="L203" s="25"/>
      <c r="M203" s="25"/>
    </row>
    <row r="204" spans="1:13" x14ac:dyDescent="0.2">
      <c r="A204" s="25"/>
      <c r="B204" s="25"/>
      <c r="C204" s="25"/>
      <c r="D204" s="25"/>
      <c r="E204" s="25"/>
      <c r="F204" s="25"/>
      <c r="G204" s="25"/>
      <c r="H204" s="25"/>
      <c r="I204" s="25"/>
      <c r="J204" s="25"/>
      <c r="K204" s="25"/>
      <c r="L204" s="25"/>
      <c r="M204" s="25"/>
    </row>
    <row r="205" spans="1:13" x14ac:dyDescent="0.2">
      <c r="A205" s="25"/>
      <c r="B205" s="25"/>
      <c r="C205" s="25"/>
      <c r="D205" s="25"/>
      <c r="E205" s="25"/>
      <c r="F205" s="25"/>
      <c r="G205" s="25"/>
      <c r="H205" s="25"/>
      <c r="I205" s="25"/>
      <c r="J205" s="25"/>
      <c r="K205" s="25"/>
      <c r="L205" s="25"/>
      <c r="M205" s="25"/>
    </row>
    <row r="206" spans="1:13" x14ac:dyDescent="0.2">
      <c r="A206" s="25"/>
      <c r="B206" s="25"/>
      <c r="C206" s="25"/>
      <c r="D206" s="25"/>
      <c r="E206" s="25"/>
      <c r="F206" s="25"/>
      <c r="G206" s="25"/>
      <c r="H206" s="25"/>
      <c r="I206" s="25"/>
      <c r="J206" s="25"/>
      <c r="K206" s="25"/>
      <c r="L206" s="25"/>
      <c r="M206" s="25"/>
    </row>
    <row r="207" spans="1:13" x14ac:dyDescent="0.2">
      <c r="A207" s="25"/>
      <c r="B207" s="25"/>
      <c r="C207" s="25"/>
      <c r="D207" s="25"/>
      <c r="E207" s="25"/>
      <c r="F207" s="25"/>
      <c r="G207" s="25"/>
      <c r="H207" s="25"/>
      <c r="I207" s="25"/>
      <c r="J207" s="25"/>
      <c r="K207" s="25"/>
      <c r="L207" s="25"/>
      <c r="M207" s="25"/>
    </row>
    <row r="208" spans="1:13" x14ac:dyDescent="0.2">
      <c r="A208" s="25"/>
      <c r="B208" s="25"/>
      <c r="C208" s="25"/>
      <c r="D208" s="25"/>
      <c r="E208" s="25"/>
      <c r="F208" s="25"/>
      <c r="G208" s="25"/>
      <c r="H208" s="25"/>
      <c r="I208" s="25"/>
      <c r="J208" s="25"/>
      <c r="K208" s="25"/>
      <c r="L208" s="25"/>
      <c r="M208" s="25"/>
    </row>
    <row r="209" spans="1:13" x14ac:dyDescent="0.2">
      <c r="A209" s="25"/>
      <c r="B209" s="25"/>
      <c r="C209" s="25"/>
      <c r="D209" s="25"/>
      <c r="E209" s="25"/>
      <c r="F209" s="25"/>
      <c r="G209" s="25"/>
      <c r="H209" s="25"/>
      <c r="I209" s="25"/>
      <c r="J209" s="25"/>
      <c r="K209" s="25"/>
      <c r="L209" s="25"/>
      <c r="M209" s="25"/>
    </row>
    <row r="210" spans="1:13" x14ac:dyDescent="0.2">
      <c r="A210" s="25"/>
      <c r="B210" s="25"/>
      <c r="C210" s="25"/>
      <c r="D210" s="25"/>
      <c r="E210" s="25"/>
      <c r="F210" s="25"/>
      <c r="G210" s="25"/>
      <c r="H210" s="25"/>
      <c r="I210" s="25"/>
      <c r="J210" s="25"/>
      <c r="K210" s="25"/>
      <c r="L210" s="25"/>
      <c r="M210" s="25"/>
    </row>
    <row r="211" spans="1:13" x14ac:dyDescent="0.2">
      <c r="A211" s="25"/>
      <c r="B211" s="25"/>
      <c r="C211" s="25"/>
      <c r="D211" s="25"/>
      <c r="E211" s="25"/>
      <c r="F211" s="25"/>
      <c r="G211" s="25"/>
      <c r="H211" s="25"/>
      <c r="I211" s="25"/>
      <c r="J211" s="25"/>
      <c r="K211" s="25"/>
      <c r="L211" s="25"/>
      <c r="M211" s="25"/>
    </row>
    <row r="212" spans="1:13" x14ac:dyDescent="0.2">
      <c r="A212" s="25"/>
      <c r="B212" s="25"/>
      <c r="C212" s="25"/>
      <c r="D212" s="25"/>
      <c r="E212" s="25"/>
      <c r="F212" s="25"/>
      <c r="G212" s="25"/>
      <c r="H212" s="25"/>
      <c r="I212" s="25"/>
      <c r="J212" s="25"/>
      <c r="K212" s="25"/>
      <c r="L212" s="25"/>
      <c r="M212" s="25"/>
    </row>
    <row r="213" spans="1:13" x14ac:dyDescent="0.2">
      <c r="A213" s="25"/>
      <c r="B213" s="25"/>
      <c r="C213" s="25"/>
      <c r="D213" s="25"/>
      <c r="E213" s="25"/>
      <c r="F213" s="25"/>
      <c r="G213" s="25"/>
      <c r="H213" s="25"/>
      <c r="I213" s="25"/>
      <c r="J213" s="25"/>
      <c r="K213" s="25"/>
      <c r="L213" s="25"/>
      <c r="M213" s="25"/>
    </row>
    <row r="214" spans="1:13" x14ac:dyDescent="0.2">
      <c r="A214" s="25"/>
      <c r="B214" s="25"/>
      <c r="C214" s="25"/>
      <c r="D214" s="25"/>
      <c r="E214" s="25"/>
      <c r="F214" s="25"/>
      <c r="G214" s="25"/>
      <c r="H214" s="25"/>
      <c r="I214" s="25"/>
      <c r="J214" s="25"/>
      <c r="K214" s="25"/>
      <c r="L214" s="25"/>
      <c r="M214" s="25"/>
    </row>
    <row r="215" spans="1:13" x14ac:dyDescent="0.2">
      <c r="A215" s="25"/>
      <c r="B215" s="25"/>
      <c r="C215" s="25"/>
      <c r="D215" s="25"/>
      <c r="E215" s="25"/>
      <c r="F215" s="25"/>
      <c r="G215" s="25"/>
      <c r="H215" s="25"/>
      <c r="I215" s="25"/>
      <c r="J215" s="25"/>
      <c r="K215" s="25"/>
      <c r="L215" s="25"/>
      <c r="M215" s="25"/>
    </row>
    <row r="216" spans="1:13" x14ac:dyDescent="0.2">
      <c r="A216" s="25"/>
      <c r="B216" s="25"/>
      <c r="C216" s="25"/>
      <c r="D216" s="25"/>
      <c r="E216" s="25"/>
      <c r="F216" s="25"/>
      <c r="G216" s="25"/>
      <c r="H216" s="25"/>
      <c r="I216" s="25"/>
      <c r="J216" s="25"/>
      <c r="K216" s="25"/>
      <c r="L216" s="25"/>
      <c r="M216" s="25"/>
    </row>
    <row r="217" spans="1:13" x14ac:dyDescent="0.2">
      <c r="A217" s="25"/>
      <c r="B217" s="25"/>
      <c r="C217" s="25"/>
      <c r="D217" s="25"/>
      <c r="E217" s="25"/>
      <c r="F217" s="25"/>
      <c r="G217" s="25"/>
      <c r="H217" s="25"/>
      <c r="I217" s="25"/>
      <c r="J217" s="25"/>
      <c r="K217" s="25"/>
      <c r="L217" s="25"/>
      <c r="M217" s="25"/>
    </row>
    <row r="218" spans="1:13" x14ac:dyDescent="0.2">
      <c r="A218" s="25"/>
      <c r="B218" s="25"/>
      <c r="C218" s="25"/>
      <c r="D218" s="25"/>
      <c r="E218" s="25"/>
      <c r="F218" s="25"/>
      <c r="G218" s="25"/>
      <c r="H218" s="25"/>
      <c r="I218" s="25"/>
      <c r="J218" s="25"/>
      <c r="K218" s="25"/>
      <c r="L218" s="25"/>
      <c r="M218" s="25"/>
    </row>
    <row r="219" spans="1:13" x14ac:dyDescent="0.2">
      <c r="A219" s="25"/>
      <c r="B219" s="25"/>
      <c r="C219" s="25"/>
      <c r="D219" s="25"/>
      <c r="E219" s="25"/>
      <c r="F219" s="25"/>
      <c r="G219" s="25"/>
      <c r="H219" s="25"/>
      <c r="I219" s="25"/>
      <c r="J219" s="25"/>
      <c r="K219" s="25"/>
      <c r="L219" s="25"/>
      <c r="M219" s="25"/>
    </row>
    <row r="220" spans="1:13" x14ac:dyDescent="0.2">
      <c r="A220" s="25"/>
      <c r="B220" s="25"/>
      <c r="C220" s="25"/>
      <c r="D220" s="25"/>
      <c r="E220" s="25"/>
      <c r="F220" s="25"/>
      <c r="G220" s="25"/>
      <c r="H220" s="25"/>
      <c r="I220" s="25"/>
      <c r="J220" s="25"/>
      <c r="K220" s="25"/>
      <c r="L220" s="25"/>
      <c r="M220" s="25"/>
    </row>
    <row r="221" spans="1:13" x14ac:dyDescent="0.2">
      <c r="A221" s="25"/>
      <c r="B221" s="25"/>
      <c r="C221" s="25"/>
      <c r="D221" s="25"/>
      <c r="E221" s="25"/>
      <c r="F221" s="25"/>
      <c r="G221" s="25"/>
      <c r="H221" s="25"/>
      <c r="I221" s="25"/>
      <c r="J221" s="25"/>
      <c r="K221" s="25"/>
      <c r="L221" s="25"/>
      <c r="M221" s="25"/>
    </row>
    <row r="222" spans="1:13" x14ac:dyDescent="0.2">
      <c r="A222" s="25"/>
      <c r="B222" s="25"/>
      <c r="C222" s="25"/>
      <c r="D222" s="25"/>
      <c r="E222" s="25"/>
      <c r="F222" s="25"/>
      <c r="G222" s="25"/>
      <c r="H222" s="25"/>
      <c r="I222" s="25"/>
      <c r="J222" s="25"/>
      <c r="K222" s="25"/>
      <c r="L222" s="25"/>
      <c r="M222" s="25"/>
    </row>
    <row r="223" spans="1:13" x14ac:dyDescent="0.2">
      <c r="A223" s="25"/>
      <c r="B223" s="25"/>
      <c r="C223" s="25"/>
      <c r="D223" s="25"/>
      <c r="E223" s="25"/>
      <c r="F223" s="25"/>
      <c r="G223" s="25"/>
      <c r="H223" s="25"/>
      <c r="I223" s="25"/>
      <c r="J223" s="25"/>
      <c r="K223" s="25"/>
      <c r="L223" s="25"/>
      <c r="M223" s="25"/>
    </row>
    <row r="224" spans="1:13" x14ac:dyDescent="0.2">
      <c r="A224" s="25"/>
      <c r="B224" s="25"/>
      <c r="C224" s="25"/>
      <c r="D224" s="25"/>
      <c r="E224" s="25"/>
      <c r="F224" s="25"/>
      <c r="G224" s="25"/>
      <c r="H224" s="25"/>
      <c r="I224" s="25"/>
      <c r="J224" s="25"/>
      <c r="K224" s="25"/>
      <c r="L224" s="25"/>
      <c r="M224" s="25"/>
    </row>
    <row r="225" spans="1:13" x14ac:dyDescent="0.2">
      <c r="A225" s="25"/>
      <c r="B225" s="25"/>
      <c r="C225" s="25"/>
      <c r="D225" s="25"/>
      <c r="E225" s="25"/>
      <c r="F225" s="25"/>
      <c r="G225" s="25"/>
      <c r="H225" s="25"/>
      <c r="I225" s="25"/>
      <c r="J225" s="25"/>
      <c r="K225" s="25"/>
      <c r="L225" s="25"/>
      <c r="M225" s="25"/>
    </row>
    <row r="226" spans="1:13" x14ac:dyDescent="0.2">
      <c r="A226" s="25"/>
      <c r="B226" s="25"/>
      <c r="C226" s="25"/>
      <c r="D226" s="25"/>
      <c r="E226" s="25"/>
      <c r="F226" s="25"/>
      <c r="G226" s="25"/>
      <c r="H226" s="25"/>
      <c r="I226" s="25"/>
      <c r="J226" s="25"/>
      <c r="K226" s="25"/>
      <c r="L226" s="25"/>
      <c r="M226" s="25"/>
    </row>
    <row r="227" spans="1:13" x14ac:dyDescent="0.2">
      <c r="A227" s="25"/>
      <c r="B227" s="25"/>
      <c r="C227" s="25"/>
      <c r="D227" s="25"/>
      <c r="E227" s="25"/>
      <c r="F227" s="25"/>
      <c r="G227" s="25"/>
      <c r="H227" s="25"/>
      <c r="I227" s="25"/>
      <c r="J227" s="25"/>
      <c r="K227" s="25"/>
      <c r="L227" s="25"/>
      <c r="M227" s="25"/>
    </row>
    <row r="228" spans="1:13" x14ac:dyDescent="0.2">
      <c r="A228" s="25"/>
      <c r="B228" s="25"/>
      <c r="C228" s="25"/>
      <c r="D228" s="25"/>
      <c r="E228" s="25"/>
      <c r="F228" s="25"/>
      <c r="G228" s="25"/>
      <c r="H228" s="25"/>
      <c r="I228" s="25"/>
      <c r="J228" s="25"/>
      <c r="K228" s="25"/>
      <c r="L228" s="25"/>
      <c r="M228" s="25"/>
    </row>
    <row r="229" spans="1:13" x14ac:dyDescent="0.2">
      <c r="A229" s="25"/>
      <c r="B229" s="25"/>
      <c r="C229" s="25"/>
      <c r="D229" s="25"/>
      <c r="E229" s="25"/>
      <c r="F229" s="25"/>
      <c r="G229" s="25"/>
      <c r="H229" s="25"/>
      <c r="I229" s="25"/>
      <c r="J229" s="25"/>
      <c r="K229" s="25"/>
      <c r="L229" s="25"/>
      <c r="M229" s="25"/>
    </row>
    <row r="230" spans="1:13" x14ac:dyDescent="0.2">
      <c r="A230" s="25"/>
      <c r="B230" s="25"/>
      <c r="C230" s="25"/>
      <c r="D230" s="25"/>
      <c r="E230" s="25"/>
      <c r="F230" s="25"/>
      <c r="G230" s="25"/>
      <c r="H230" s="25"/>
      <c r="I230" s="25"/>
      <c r="J230" s="25"/>
      <c r="K230" s="25"/>
      <c r="L230" s="25"/>
      <c r="M230" s="25"/>
    </row>
    <row r="231" spans="1:13" x14ac:dyDescent="0.2">
      <c r="A231" s="25"/>
      <c r="B231" s="25"/>
      <c r="C231" s="25"/>
      <c r="D231" s="25"/>
      <c r="E231" s="25"/>
      <c r="F231" s="25"/>
      <c r="G231" s="25"/>
      <c r="H231" s="25"/>
      <c r="I231" s="25"/>
      <c r="J231" s="25"/>
      <c r="K231" s="25"/>
      <c r="L231" s="25"/>
      <c r="M231" s="25"/>
    </row>
    <row r="232" spans="1:13" x14ac:dyDescent="0.2">
      <c r="A232" s="25"/>
      <c r="B232" s="25"/>
      <c r="C232" s="25"/>
      <c r="D232" s="25"/>
      <c r="E232" s="25"/>
      <c r="F232" s="25"/>
      <c r="G232" s="25"/>
      <c r="H232" s="25"/>
      <c r="I232" s="25"/>
      <c r="J232" s="25"/>
      <c r="K232" s="25"/>
      <c r="L232" s="25"/>
      <c r="M232" s="25"/>
    </row>
    <row r="233" spans="1:13" x14ac:dyDescent="0.2">
      <c r="A233" s="25"/>
      <c r="B233" s="25"/>
      <c r="C233" s="25"/>
      <c r="D233" s="25"/>
      <c r="E233" s="25"/>
      <c r="F233" s="25"/>
      <c r="G233" s="25"/>
      <c r="H233" s="25"/>
      <c r="I233" s="25"/>
      <c r="J233" s="25"/>
      <c r="K233" s="25"/>
      <c r="L233" s="25"/>
      <c r="M233" s="25"/>
    </row>
    <row r="234" spans="1:13" x14ac:dyDescent="0.2">
      <c r="A234" s="25"/>
      <c r="B234" s="25"/>
      <c r="C234" s="25"/>
      <c r="D234" s="25"/>
      <c r="E234" s="25"/>
      <c r="F234" s="25"/>
      <c r="G234" s="25"/>
      <c r="H234" s="25"/>
      <c r="I234" s="25"/>
      <c r="J234" s="25"/>
      <c r="K234" s="25"/>
      <c r="L234" s="25"/>
      <c r="M234" s="25"/>
    </row>
    <row r="235" spans="1:13" x14ac:dyDescent="0.2">
      <c r="A235" s="25"/>
      <c r="B235" s="25"/>
      <c r="C235" s="25"/>
      <c r="D235" s="25"/>
      <c r="E235" s="25"/>
      <c r="F235" s="25"/>
      <c r="G235" s="25"/>
      <c r="H235" s="25"/>
      <c r="I235" s="25"/>
      <c r="J235" s="25"/>
      <c r="K235" s="25"/>
      <c r="L235" s="25"/>
      <c r="M235" s="25"/>
    </row>
    <row r="236" spans="1:13" x14ac:dyDescent="0.2">
      <c r="A236" s="25"/>
      <c r="B236" s="25"/>
      <c r="C236" s="25"/>
      <c r="D236" s="25"/>
      <c r="E236" s="25"/>
      <c r="F236" s="25"/>
      <c r="G236" s="25"/>
      <c r="H236" s="25"/>
      <c r="I236" s="25"/>
      <c r="J236" s="25"/>
      <c r="K236" s="25"/>
      <c r="L236" s="25"/>
      <c r="M236" s="25"/>
    </row>
    <row r="237" spans="1:13" x14ac:dyDescent="0.2">
      <c r="A237" s="25"/>
      <c r="B237" s="25"/>
      <c r="C237" s="25"/>
      <c r="D237" s="25"/>
      <c r="E237" s="25"/>
      <c r="F237" s="25"/>
      <c r="G237" s="25"/>
      <c r="H237" s="25"/>
      <c r="I237" s="25"/>
      <c r="J237" s="25"/>
      <c r="K237" s="25"/>
      <c r="L237" s="25"/>
      <c r="M237" s="25"/>
    </row>
    <row r="238" spans="1:13" x14ac:dyDescent="0.2">
      <c r="A238" s="25"/>
      <c r="B238" s="25"/>
      <c r="C238" s="25"/>
      <c r="D238" s="25"/>
      <c r="E238" s="25"/>
      <c r="F238" s="25"/>
      <c r="G238" s="25"/>
      <c r="H238" s="25"/>
      <c r="I238" s="25"/>
      <c r="J238" s="25"/>
      <c r="K238" s="25"/>
      <c r="L238" s="25"/>
      <c r="M238" s="25"/>
    </row>
    <row r="239" spans="1:13" x14ac:dyDescent="0.2">
      <c r="A239" s="25"/>
      <c r="B239" s="25"/>
      <c r="C239" s="25"/>
      <c r="D239" s="25"/>
      <c r="E239" s="25"/>
      <c r="F239" s="25"/>
      <c r="G239" s="25"/>
      <c r="H239" s="25"/>
      <c r="I239" s="25"/>
      <c r="J239" s="25"/>
      <c r="K239" s="25"/>
      <c r="L239" s="25"/>
      <c r="M239" s="25"/>
    </row>
    <row r="240" spans="1:13" x14ac:dyDescent="0.2">
      <c r="A240" s="25"/>
      <c r="B240" s="25"/>
      <c r="C240" s="25"/>
      <c r="D240" s="25"/>
      <c r="E240" s="25"/>
      <c r="F240" s="25"/>
      <c r="G240" s="25"/>
      <c r="H240" s="25"/>
      <c r="I240" s="25"/>
      <c r="J240" s="25"/>
      <c r="K240" s="25"/>
      <c r="L240" s="25"/>
      <c r="M240" s="25"/>
    </row>
    <row r="241" spans="1:13" x14ac:dyDescent="0.2">
      <c r="A241" s="25"/>
      <c r="B241" s="25"/>
      <c r="C241" s="25"/>
      <c r="D241" s="25"/>
      <c r="E241" s="25"/>
      <c r="F241" s="25"/>
      <c r="G241" s="25"/>
      <c r="H241" s="25"/>
      <c r="I241" s="25"/>
      <c r="J241" s="25"/>
      <c r="K241" s="25"/>
      <c r="L241" s="25"/>
      <c r="M241" s="25"/>
    </row>
    <row r="242" spans="1:13" x14ac:dyDescent="0.2">
      <c r="A242" s="25"/>
      <c r="B242" s="25"/>
      <c r="C242" s="25"/>
      <c r="D242" s="25"/>
      <c r="E242" s="25"/>
      <c r="F242" s="25"/>
      <c r="G242" s="25"/>
      <c r="H242" s="25"/>
      <c r="I242" s="25"/>
      <c r="J242" s="25"/>
      <c r="K242" s="25"/>
      <c r="L242" s="25"/>
      <c r="M242" s="25"/>
    </row>
    <row r="243" spans="1:13" x14ac:dyDescent="0.2">
      <c r="A243" s="25"/>
      <c r="B243" s="25"/>
      <c r="C243" s="25"/>
      <c r="D243" s="25"/>
      <c r="E243" s="25"/>
      <c r="F243" s="25"/>
      <c r="G243" s="25"/>
      <c r="H243" s="25"/>
      <c r="I243" s="25"/>
      <c r="J243" s="25"/>
      <c r="K243" s="25"/>
      <c r="L243" s="25"/>
      <c r="M243" s="25"/>
    </row>
    <row r="244" spans="1:13" x14ac:dyDescent="0.2">
      <c r="A244" s="25"/>
      <c r="B244" s="25"/>
      <c r="C244" s="25"/>
      <c r="D244" s="25"/>
      <c r="E244" s="25"/>
      <c r="F244" s="25"/>
      <c r="G244" s="25"/>
      <c r="H244" s="25"/>
      <c r="I244" s="25"/>
      <c r="J244" s="25"/>
      <c r="K244" s="25"/>
      <c r="L244" s="25"/>
      <c r="M244" s="25"/>
    </row>
    <row r="245" spans="1:13" x14ac:dyDescent="0.2">
      <c r="A245" s="25"/>
      <c r="B245" s="25"/>
      <c r="C245" s="25"/>
      <c r="D245" s="25"/>
      <c r="E245" s="25"/>
      <c r="F245" s="25"/>
      <c r="G245" s="25"/>
      <c r="H245" s="25"/>
      <c r="I245" s="25"/>
      <c r="J245" s="25"/>
      <c r="K245" s="25"/>
      <c r="L245" s="25"/>
      <c r="M245" s="25"/>
    </row>
    <row r="246" spans="1:13" x14ac:dyDescent="0.2">
      <c r="A246" s="25"/>
      <c r="B246" s="25"/>
      <c r="C246" s="25"/>
      <c r="D246" s="25"/>
      <c r="E246" s="25"/>
      <c r="F246" s="25"/>
      <c r="G246" s="25"/>
      <c r="H246" s="25"/>
      <c r="I246" s="25"/>
      <c r="J246" s="25"/>
      <c r="K246" s="25"/>
      <c r="L246" s="25"/>
      <c r="M246" s="25"/>
    </row>
    <row r="247" spans="1:13" x14ac:dyDescent="0.2">
      <c r="A247" s="25"/>
      <c r="B247" s="25"/>
      <c r="C247" s="25"/>
      <c r="D247" s="25"/>
      <c r="E247" s="25"/>
      <c r="F247" s="25"/>
      <c r="G247" s="25"/>
      <c r="H247" s="25"/>
      <c r="I247" s="25"/>
      <c r="J247" s="25"/>
      <c r="K247" s="25"/>
      <c r="L247" s="25"/>
      <c r="M247" s="25"/>
    </row>
    <row r="248" spans="1:13" x14ac:dyDescent="0.2">
      <c r="A248" s="25"/>
      <c r="B248" s="25"/>
      <c r="C248" s="25"/>
      <c r="D248" s="25"/>
      <c r="E248" s="25"/>
      <c r="F248" s="25"/>
      <c r="G248" s="25"/>
      <c r="H248" s="25"/>
      <c r="I248" s="25"/>
      <c r="J248" s="25"/>
      <c r="K248" s="25"/>
      <c r="L248" s="25"/>
      <c r="M248" s="25"/>
    </row>
    <row r="249" spans="1:13" x14ac:dyDescent="0.2">
      <c r="A249" s="25"/>
      <c r="B249" s="25"/>
      <c r="C249" s="25"/>
      <c r="D249" s="25"/>
      <c r="E249" s="25"/>
      <c r="F249" s="25"/>
      <c r="G249" s="25"/>
      <c r="H249" s="25"/>
      <c r="I249" s="25"/>
      <c r="J249" s="25"/>
      <c r="K249" s="25"/>
      <c r="L249" s="25"/>
      <c r="M249" s="25"/>
    </row>
    <row r="250" spans="1:13" x14ac:dyDescent="0.2">
      <c r="A250" s="25"/>
      <c r="B250" s="25"/>
      <c r="C250" s="25"/>
      <c r="D250" s="25"/>
      <c r="E250" s="25"/>
      <c r="F250" s="25"/>
      <c r="G250" s="25"/>
      <c r="H250" s="25"/>
      <c r="I250" s="25"/>
      <c r="J250" s="25"/>
      <c r="K250" s="25"/>
      <c r="L250" s="25"/>
      <c r="M250" s="25"/>
    </row>
    <row r="251" spans="1:13" x14ac:dyDescent="0.2">
      <c r="A251" s="25"/>
      <c r="B251" s="25"/>
      <c r="C251" s="25"/>
      <c r="D251" s="25"/>
      <c r="E251" s="25"/>
      <c r="F251" s="25"/>
      <c r="G251" s="25"/>
      <c r="H251" s="25"/>
      <c r="I251" s="25"/>
      <c r="J251" s="25"/>
      <c r="K251" s="25"/>
      <c r="L251" s="25"/>
      <c r="M251" s="25"/>
    </row>
    <row r="252" spans="1:13" x14ac:dyDescent="0.2">
      <c r="A252" s="25"/>
      <c r="B252" s="25"/>
      <c r="C252" s="25"/>
      <c r="D252" s="25"/>
      <c r="E252" s="25"/>
      <c r="F252" s="25"/>
      <c r="G252" s="25"/>
      <c r="H252" s="25"/>
      <c r="I252" s="25"/>
      <c r="J252" s="25"/>
      <c r="K252" s="25"/>
      <c r="L252" s="25"/>
      <c r="M252" s="25"/>
    </row>
    <row r="253" spans="1:13" x14ac:dyDescent="0.2">
      <c r="A253" s="25"/>
      <c r="B253" s="25"/>
      <c r="C253" s="25"/>
      <c r="D253" s="25"/>
      <c r="E253" s="25"/>
      <c r="F253" s="25"/>
      <c r="G253" s="25"/>
      <c r="H253" s="25"/>
      <c r="I253" s="25"/>
      <c r="J253" s="25"/>
      <c r="K253" s="25"/>
      <c r="L253" s="25"/>
      <c r="M253" s="25"/>
    </row>
    <row r="254" spans="1:13" x14ac:dyDescent="0.2">
      <c r="A254" s="25"/>
      <c r="B254" s="25"/>
      <c r="C254" s="25"/>
      <c r="D254" s="25"/>
      <c r="E254" s="25"/>
      <c r="F254" s="25"/>
      <c r="G254" s="25"/>
      <c r="H254" s="25"/>
      <c r="I254" s="25"/>
      <c r="J254" s="25"/>
      <c r="K254" s="25"/>
      <c r="L254" s="25"/>
      <c r="M254" s="25"/>
    </row>
    <row r="255" spans="1:13" x14ac:dyDescent="0.2">
      <c r="A255" s="25"/>
      <c r="B255" s="25"/>
      <c r="C255" s="25"/>
      <c r="D255" s="25"/>
      <c r="E255" s="25"/>
      <c r="F255" s="25"/>
      <c r="G255" s="25"/>
      <c r="H255" s="25"/>
      <c r="I255" s="25"/>
      <c r="J255" s="25"/>
      <c r="K255" s="25"/>
      <c r="L255" s="25"/>
      <c r="M255" s="25"/>
    </row>
    <row r="256" spans="1:13" x14ac:dyDescent="0.2">
      <c r="A256" s="25"/>
      <c r="B256" s="25"/>
      <c r="C256" s="25"/>
      <c r="D256" s="25"/>
      <c r="E256" s="25"/>
      <c r="F256" s="25"/>
      <c r="G256" s="25"/>
      <c r="H256" s="25"/>
      <c r="I256" s="25"/>
      <c r="J256" s="25"/>
      <c r="K256" s="25"/>
      <c r="L256" s="25"/>
      <c r="M256" s="25"/>
    </row>
    <row r="257" spans="1:13" x14ac:dyDescent="0.2">
      <c r="A257" s="25"/>
      <c r="B257" s="25"/>
      <c r="C257" s="25"/>
      <c r="D257" s="25"/>
      <c r="E257" s="25"/>
      <c r="F257" s="25"/>
      <c r="G257" s="25"/>
      <c r="H257" s="25"/>
      <c r="I257" s="25"/>
      <c r="J257" s="25"/>
      <c r="K257" s="25"/>
      <c r="L257" s="25"/>
      <c r="M257" s="25"/>
    </row>
    <row r="258" spans="1:13" x14ac:dyDescent="0.2">
      <c r="A258" s="25"/>
      <c r="B258" s="25"/>
      <c r="C258" s="25"/>
      <c r="D258" s="25"/>
      <c r="E258" s="25"/>
      <c r="F258" s="25"/>
      <c r="G258" s="25"/>
      <c r="H258" s="25"/>
      <c r="I258" s="25"/>
      <c r="J258" s="25"/>
      <c r="K258" s="25"/>
      <c r="L258" s="25"/>
      <c r="M258" s="25"/>
    </row>
    <row r="259" spans="1:13" x14ac:dyDescent="0.2">
      <c r="A259" s="25"/>
      <c r="B259" s="25"/>
      <c r="C259" s="25"/>
      <c r="D259" s="25"/>
      <c r="E259" s="25"/>
      <c r="F259" s="25"/>
      <c r="G259" s="25"/>
      <c r="H259" s="25"/>
      <c r="I259" s="25"/>
      <c r="J259" s="25"/>
      <c r="K259" s="25"/>
      <c r="L259" s="25"/>
      <c r="M259" s="25"/>
    </row>
    <row r="260" spans="1:13" x14ac:dyDescent="0.2">
      <c r="A260" s="25"/>
      <c r="B260" s="25"/>
      <c r="C260" s="25"/>
      <c r="D260" s="25"/>
      <c r="E260" s="25"/>
      <c r="F260" s="25"/>
      <c r="G260" s="25"/>
      <c r="H260" s="25"/>
      <c r="I260" s="25"/>
      <c r="J260" s="25"/>
      <c r="K260" s="25"/>
      <c r="L260" s="25"/>
      <c r="M260" s="25"/>
    </row>
    <row r="261" spans="1:13" x14ac:dyDescent="0.2">
      <c r="A261" s="25"/>
      <c r="B261" s="25"/>
      <c r="C261" s="25"/>
      <c r="D261" s="25"/>
      <c r="E261" s="25"/>
      <c r="F261" s="25"/>
      <c r="G261" s="25"/>
      <c r="H261" s="25"/>
      <c r="I261" s="25"/>
      <c r="J261" s="25"/>
      <c r="K261" s="25"/>
      <c r="L261" s="25"/>
      <c r="M261" s="25"/>
    </row>
    <row r="262" spans="1:13" x14ac:dyDescent="0.2">
      <c r="A262" s="25"/>
      <c r="B262" s="25"/>
      <c r="C262" s="25"/>
      <c r="D262" s="25"/>
      <c r="E262" s="25"/>
      <c r="F262" s="25"/>
      <c r="G262" s="25"/>
      <c r="H262" s="25"/>
      <c r="I262" s="25"/>
      <c r="J262" s="25"/>
      <c r="K262" s="25"/>
      <c r="L262" s="25"/>
      <c r="M262" s="25"/>
    </row>
    <row r="263" spans="1:13" x14ac:dyDescent="0.2">
      <c r="A263" s="25"/>
      <c r="B263" s="25"/>
      <c r="C263" s="25"/>
      <c r="D263" s="25"/>
      <c r="E263" s="25"/>
      <c r="F263" s="25"/>
      <c r="G263" s="25"/>
      <c r="H263" s="25"/>
      <c r="I263" s="25"/>
      <c r="J263" s="25"/>
      <c r="K263" s="25"/>
      <c r="L263" s="25"/>
      <c r="M263" s="25"/>
    </row>
    <row r="264" spans="1:13" x14ac:dyDescent="0.2">
      <c r="A264" s="25"/>
      <c r="B264" s="25"/>
      <c r="C264" s="25"/>
      <c r="D264" s="25"/>
      <c r="E264" s="25"/>
      <c r="F264" s="25"/>
      <c r="G264" s="25"/>
      <c r="H264" s="25"/>
      <c r="I264" s="25"/>
      <c r="J264" s="25"/>
      <c r="K264" s="25"/>
      <c r="L264" s="25"/>
      <c r="M264" s="25"/>
    </row>
    <row r="265" spans="1:13" x14ac:dyDescent="0.2">
      <c r="A265" s="25"/>
      <c r="B265" s="25"/>
      <c r="C265" s="25"/>
      <c r="D265" s="25"/>
      <c r="E265" s="25"/>
      <c r="F265" s="25"/>
      <c r="G265" s="25"/>
      <c r="H265" s="25"/>
      <c r="I265" s="25"/>
      <c r="J265" s="25"/>
      <c r="K265" s="25"/>
      <c r="L265" s="25"/>
      <c r="M265" s="25"/>
    </row>
    <row r="266" spans="1:13" x14ac:dyDescent="0.2">
      <c r="A266" s="25"/>
      <c r="B266" s="25"/>
      <c r="C266" s="25"/>
      <c r="D266" s="25"/>
      <c r="E266" s="25"/>
      <c r="F266" s="25"/>
      <c r="G266" s="25"/>
      <c r="H266" s="25"/>
      <c r="I266" s="25"/>
      <c r="J266" s="25"/>
      <c r="K266" s="25"/>
      <c r="L266" s="25"/>
      <c r="M266" s="25"/>
    </row>
    <row r="267" spans="1:13" x14ac:dyDescent="0.2">
      <c r="A267" s="25"/>
      <c r="B267" s="25"/>
      <c r="C267" s="25"/>
      <c r="D267" s="25"/>
      <c r="E267" s="25"/>
      <c r="F267" s="25"/>
      <c r="G267" s="25"/>
      <c r="H267" s="25"/>
      <c r="I267" s="25"/>
      <c r="J267" s="25"/>
      <c r="K267" s="25"/>
      <c r="L267" s="25"/>
      <c r="M267" s="25"/>
    </row>
    <row r="268" spans="1:13" x14ac:dyDescent="0.2">
      <c r="A268" s="25"/>
      <c r="B268" s="25"/>
      <c r="C268" s="25"/>
      <c r="D268" s="25"/>
      <c r="E268" s="25"/>
      <c r="F268" s="25"/>
      <c r="G268" s="25"/>
      <c r="H268" s="25"/>
      <c r="I268" s="25"/>
      <c r="J268" s="25"/>
      <c r="K268" s="25"/>
      <c r="L268" s="25"/>
      <c r="M268" s="25"/>
    </row>
    <row r="269" spans="1:13" x14ac:dyDescent="0.2">
      <c r="A269" s="25"/>
      <c r="B269" s="25"/>
      <c r="C269" s="25"/>
      <c r="D269" s="25"/>
      <c r="E269" s="25"/>
      <c r="F269" s="25"/>
      <c r="G269" s="25"/>
      <c r="H269" s="25"/>
      <c r="I269" s="25"/>
      <c r="J269" s="25"/>
      <c r="K269" s="25"/>
      <c r="L269" s="25"/>
      <c r="M269" s="25"/>
    </row>
    <row r="270" spans="1:13" x14ac:dyDescent="0.2">
      <c r="A270" s="25"/>
      <c r="B270" s="25"/>
      <c r="C270" s="25"/>
      <c r="D270" s="25"/>
      <c r="E270" s="25"/>
      <c r="F270" s="25"/>
      <c r="G270" s="25"/>
      <c r="H270" s="25"/>
      <c r="I270" s="25"/>
      <c r="J270" s="25"/>
      <c r="K270" s="25"/>
      <c r="L270" s="25"/>
      <c r="M270" s="25"/>
    </row>
    <row r="271" spans="1:13" x14ac:dyDescent="0.2">
      <c r="A271" s="25"/>
      <c r="B271" s="25"/>
      <c r="C271" s="25"/>
      <c r="D271" s="25"/>
      <c r="E271" s="25"/>
      <c r="F271" s="25"/>
      <c r="G271" s="25"/>
      <c r="H271" s="25"/>
      <c r="I271" s="25"/>
      <c r="J271" s="25"/>
      <c r="K271" s="25"/>
      <c r="L271" s="25"/>
      <c r="M271" s="25"/>
    </row>
    <row r="272" spans="1:13" x14ac:dyDescent="0.2">
      <c r="A272" s="25"/>
      <c r="B272" s="25"/>
      <c r="C272" s="25"/>
      <c r="D272" s="25"/>
      <c r="E272" s="25"/>
      <c r="F272" s="25"/>
      <c r="G272" s="25"/>
      <c r="H272" s="25"/>
      <c r="I272" s="25"/>
      <c r="J272" s="25"/>
      <c r="K272" s="25"/>
      <c r="L272" s="25"/>
      <c r="M272" s="25"/>
    </row>
    <row r="273" spans="1:13" x14ac:dyDescent="0.2">
      <c r="A273" s="25"/>
      <c r="B273" s="25"/>
      <c r="C273" s="25"/>
      <c r="D273" s="25"/>
      <c r="E273" s="25"/>
      <c r="F273" s="25"/>
      <c r="G273" s="25"/>
      <c r="H273" s="25"/>
      <c r="I273" s="25"/>
      <c r="J273" s="25"/>
      <c r="K273" s="25"/>
      <c r="L273" s="25"/>
      <c r="M273" s="25"/>
    </row>
    <row r="274" spans="1:13" x14ac:dyDescent="0.2">
      <c r="A274" s="25"/>
      <c r="B274" s="25"/>
      <c r="C274" s="25"/>
      <c r="D274" s="25"/>
      <c r="E274" s="25"/>
      <c r="F274" s="25"/>
      <c r="G274" s="25"/>
      <c r="H274" s="25"/>
      <c r="I274" s="25"/>
      <c r="J274" s="25"/>
      <c r="K274" s="25"/>
      <c r="L274" s="25"/>
      <c r="M274" s="25"/>
    </row>
    <row r="275" spans="1:13" x14ac:dyDescent="0.2">
      <c r="A275" s="25"/>
      <c r="B275" s="25"/>
      <c r="C275" s="25"/>
      <c r="D275" s="25"/>
      <c r="E275" s="25"/>
      <c r="F275" s="25"/>
      <c r="G275" s="25"/>
      <c r="H275" s="25"/>
      <c r="I275" s="25"/>
      <c r="J275" s="25"/>
      <c r="K275" s="25"/>
      <c r="L275" s="25"/>
      <c r="M275" s="25"/>
    </row>
    <row r="276" spans="1:13" x14ac:dyDescent="0.2">
      <c r="A276" s="25"/>
      <c r="B276" s="25"/>
      <c r="C276" s="25"/>
      <c r="D276" s="25"/>
      <c r="E276" s="25"/>
      <c r="F276" s="25"/>
      <c r="G276" s="25"/>
      <c r="H276" s="25"/>
      <c r="I276" s="25"/>
      <c r="J276" s="25"/>
      <c r="K276" s="25"/>
      <c r="L276" s="25"/>
      <c r="M276" s="25"/>
    </row>
    <row r="277" spans="1:13" x14ac:dyDescent="0.2">
      <c r="A277" s="25"/>
      <c r="B277" s="25"/>
      <c r="C277" s="25"/>
      <c r="D277" s="25"/>
      <c r="E277" s="25"/>
      <c r="F277" s="25"/>
      <c r="G277" s="25"/>
      <c r="H277" s="25"/>
      <c r="I277" s="25"/>
      <c r="J277" s="25"/>
      <c r="K277" s="25"/>
      <c r="L277" s="25"/>
      <c r="M277" s="25"/>
    </row>
    <row r="278" spans="1:13" x14ac:dyDescent="0.2">
      <c r="A278" s="25"/>
      <c r="B278" s="25"/>
      <c r="C278" s="25"/>
      <c r="D278" s="25"/>
      <c r="E278" s="25"/>
      <c r="F278" s="25"/>
      <c r="G278" s="25"/>
      <c r="H278" s="25"/>
      <c r="I278" s="25"/>
      <c r="J278" s="25"/>
      <c r="K278" s="25"/>
      <c r="L278" s="25"/>
      <c r="M278" s="25"/>
    </row>
    <row r="279" spans="1:13" x14ac:dyDescent="0.2">
      <c r="A279" s="25"/>
      <c r="B279" s="25"/>
      <c r="C279" s="25"/>
      <c r="D279" s="25"/>
      <c r="E279" s="25"/>
      <c r="F279" s="25"/>
      <c r="G279" s="25"/>
      <c r="H279" s="25"/>
      <c r="I279" s="25"/>
      <c r="J279" s="25"/>
      <c r="K279" s="25"/>
      <c r="L279" s="25"/>
      <c r="M279" s="25"/>
    </row>
    <row r="280" spans="1:13" x14ac:dyDescent="0.2">
      <c r="A280" s="25"/>
      <c r="B280" s="25"/>
      <c r="C280" s="25"/>
      <c r="D280" s="25"/>
      <c r="E280" s="25"/>
      <c r="F280" s="25"/>
      <c r="G280" s="25"/>
      <c r="H280" s="25"/>
      <c r="I280" s="25"/>
      <c r="J280" s="25"/>
      <c r="K280" s="25"/>
      <c r="L280" s="25"/>
      <c r="M280" s="25"/>
    </row>
    <row r="281" spans="1:13" x14ac:dyDescent="0.2">
      <c r="A281" s="25"/>
      <c r="B281" s="25"/>
      <c r="C281" s="25"/>
      <c r="D281" s="25"/>
      <c r="E281" s="25"/>
      <c r="F281" s="25"/>
      <c r="G281" s="25"/>
      <c r="H281" s="25"/>
      <c r="I281" s="25"/>
      <c r="J281" s="25"/>
      <c r="K281" s="25"/>
      <c r="L281" s="25"/>
      <c r="M281" s="25"/>
    </row>
    <row r="282" spans="1:13" x14ac:dyDescent="0.2">
      <c r="A282" s="25"/>
      <c r="B282" s="25"/>
      <c r="C282" s="25"/>
      <c r="D282" s="25"/>
      <c r="E282" s="25"/>
      <c r="F282" s="25"/>
      <c r="G282" s="25"/>
      <c r="H282" s="25"/>
      <c r="I282" s="25"/>
      <c r="J282" s="25"/>
      <c r="K282" s="25"/>
      <c r="L282" s="25"/>
      <c r="M282" s="25"/>
    </row>
    <row r="283" spans="1:13" x14ac:dyDescent="0.2">
      <c r="A283" s="25"/>
      <c r="B283" s="25"/>
      <c r="C283" s="25"/>
      <c r="D283" s="25"/>
      <c r="E283" s="25"/>
      <c r="F283" s="25"/>
      <c r="G283" s="25"/>
      <c r="H283" s="25"/>
      <c r="I283" s="25"/>
      <c r="J283" s="25"/>
      <c r="K283" s="25"/>
      <c r="L283" s="25"/>
      <c r="M283" s="25"/>
    </row>
    <row r="284" spans="1:13" x14ac:dyDescent="0.2">
      <c r="A284" s="25"/>
      <c r="B284" s="25"/>
      <c r="C284" s="25"/>
      <c r="D284" s="25"/>
      <c r="E284" s="25"/>
      <c r="F284" s="25"/>
      <c r="G284" s="25"/>
      <c r="H284" s="25"/>
      <c r="I284" s="25"/>
      <c r="J284" s="25"/>
      <c r="K284" s="25"/>
      <c r="L284" s="25"/>
      <c r="M284" s="25"/>
    </row>
    <row r="285" spans="1:13" x14ac:dyDescent="0.2">
      <c r="A285" s="25"/>
      <c r="B285" s="25"/>
      <c r="C285" s="25"/>
      <c r="D285" s="25"/>
      <c r="E285" s="25"/>
      <c r="F285" s="25"/>
      <c r="G285" s="25"/>
      <c r="H285" s="25"/>
      <c r="I285" s="25"/>
      <c r="J285" s="25"/>
      <c r="K285" s="25"/>
      <c r="L285" s="25"/>
      <c r="M285" s="25"/>
    </row>
    <row r="286" spans="1:13" x14ac:dyDescent="0.2">
      <c r="A286" s="25"/>
      <c r="B286" s="25"/>
      <c r="C286" s="25"/>
      <c r="D286" s="25"/>
      <c r="E286" s="25"/>
      <c r="F286" s="25"/>
      <c r="G286" s="25"/>
      <c r="H286" s="25"/>
      <c r="I286" s="25"/>
      <c r="J286" s="25"/>
      <c r="K286" s="25"/>
      <c r="L286" s="25"/>
      <c r="M286" s="25"/>
    </row>
    <row r="287" spans="1:13" x14ac:dyDescent="0.2">
      <c r="A287" s="25"/>
      <c r="B287" s="25"/>
      <c r="C287" s="25"/>
      <c r="D287" s="25"/>
      <c r="E287" s="25"/>
      <c r="F287" s="25"/>
      <c r="G287" s="25"/>
      <c r="H287" s="25"/>
      <c r="I287" s="25"/>
      <c r="J287" s="25"/>
      <c r="K287" s="25"/>
      <c r="L287" s="25"/>
      <c r="M287" s="25"/>
    </row>
    <row r="288" spans="1:13" x14ac:dyDescent="0.2">
      <c r="A288" s="25"/>
      <c r="B288" s="25"/>
      <c r="C288" s="25"/>
      <c r="D288" s="25"/>
      <c r="E288" s="25"/>
      <c r="F288" s="25"/>
      <c r="G288" s="25"/>
      <c r="H288" s="25"/>
      <c r="I288" s="25"/>
      <c r="J288" s="25"/>
      <c r="K288" s="25"/>
      <c r="L288" s="25"/>
      <c r="M288" s="25"/>
    </row>
  </sheetData>
  <mergeCells count="8">
    <mergeCell ref="C110:D110"/>
    <mergeCell ref="C111:D111"/>
    <mergeCell ref="C67:E67"/>
    <mergeCell ref="D34:E34"/>
    <mergeCell ref="D28:E28"/>
    <mergeCell ref="D29:E29"/>
    <mergeCell ref="C49:D49"/>
    <mergeCell ref="C51:D51"/>
  </mergeCells>
  <phoneticPr fontId="2" type="noConversion"/>
  <printOptions headings="1" gridLines="1"/>
  <pageMargins left="0.75" right="0.75" top="0.62" bottom="0.73" header="0.33" footer="0.46"/>
  <pageSetup paperSize="8" fitToHeight="2" orientation="portrait" r:id="rId1"/>
  <headerFooter alignWithMargins="0">
    <oddHeader>&amp;R&amp;D</oddHeader>
    <oddFooter>&amp;L&amp;Z&amp;F&amp;R&amp;A</oddFooter>
  </headerFooter>
  <rowBreaks count="1" manualBreakCount="1">
    <brk id="73"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249"/>
  <sheetViews>
    <sheetView zoomScale="90" zoomScaleNormal="90" workbookViewId="0">
      <selection activeCell="B58" sqref="B58"/>
    </sheetView>
  </sheetViews>
  <sheetFormatPr defaultRowHeight="12.75" x14ac:dyDescent="0.2"/>
  <cols>
    <col min="1" max="1" width="15.5703125" customWidth="1"/>
    <col min="2" max="2" width="31" customWidth="1"/>
    <col min="3" max="3" width="12.85546875" customWidth="1"/>
    <col min="4" max="4" width="9" customWidth="1"/>
    <col min="5" max="8" width="10.5703125" customWidth="1"/>
    <col min="9" max="9" width="57.140625" customWidth="1"/>
  </cols>
  <sheetData>
    <row r="1" spans="1:20" ht="25.5" x14ac:dyDescent="0.35">
      <c r="A1" s="5" t="s">
        <v>631</v>
      </c>
      <c r="B1" s="5"/>
      <c r="C1" s="5"/>
      <c r="D1" s="5"/>
      <c r="E1" s="327"/>
      <c r="F1" s="327"/>
      <c r="G1" s="327"/>
      <c r="H1" s="49"/>
    </row>
    <row r="2" spans="1:20" x14ac:dyDescent="0.2">
      <c r="A2" s="7"/>
      <c r="B2" s="7"/>
      <c r="C2" s="7"/>
      <c r="D2" s="7"/>
      <c r="E2" s="7"/>
      <c r="F2" s="7"/>
      <c r="G2" s="7"/>
      <c r="H2" s="7"/>
      <c r="I2" s="7"/>
      <c r="J2" s="7"/>
      <c r="K2" s="6"/>
      <c r="L2" s="6"/>
      <c r="M2" s="6"/>
      <c r="N2" s="6"/>
      <c r="O2" s="6"/>
      <c r="P2" s="6"/>
      <c r="Q2" s="6"/>
      <c r="R2" s="6"/>
      <c r="S2" s="6"/>
      <c r="T2" s="6"/>
    </row>
    <row r="3" spans="1:20" x14ac:dyDescent="0.2">
      <c r="A3" s="17" t="s">
        <v>664</v>
      </c>
      <c r="B3" s="17"/>
      <c r="C3" s="17"/>
      <c r="D3" s="17"/>
      <c r="E3" s="7"/>
      <c r="F3" s="7"/>
      <c r="G3" s="7"/>
      <c r="H3" s="7"/>
      <c r="I3" s="7"/>
      <c r="J3" s="7"/>
      <c r="K3" s="6"/>
      <c r="L3" s="6"/>
      <c r="M3" s="6"/>
      <c r="N3" s="6"/>
      <c r="O3" s="6"/>
      <c r="P3" s="6"/>
      <c r="Q3" s="6"/>
      <c r="R3" s="6"/>
      <c r="S3" s="6"/>
      <c r="T3" s="6"/>
    </row>
    <row r="4" spans="1:20" x14ac:dyDescent="0.2">
      <c r="A4" s="7"/>
      <c r="B4" s="7"/>
      <c r="C4" s="7"/>
      <c r="D4" s="7"/>
      <c r="E4" s="7"/>
      <c r="F4" s="7"/>
      <c r="G4" s="7"/>
      <c r="H4" s="7"/>
      <c r="I4" s="7"/>
      <c r="J4" s="7"/>
      <c r="K4" s="6"/>
      <c r="L4" s="6"/>
      <c r="M4" s="6"/>
      <c r="N4" s="6"/>
      <c r="O4" s="6"/>
      <c r="P4" s="6"/>
      <c r="Q4" s="6"/>
      <c r="R4" s="6"/>
      <c r="S4" s="6"/>
      <c r="T4" s="6"/>
    </row>
    <row r="5" spans="1:20" ht="39" customHeight="1" x14ac:dyDescent="0.2">
      <c r="A5" s="314" t="s">
        <v>845</v>
      </c>
      <c r="B5" s="328"/>
      <c r="C5" s="328"/>
      <c r="D5" s="328"/>
      <c r="E5" s="328"/>
      <c r="F5" s="7"/>
      <c r="G5" s="7"/>
      <c r="H5" s="7"/>
      <c r="I5" s="7"/>
      <c r="J5" s="7"/>
      <c r="K5" s="6"/>
      <c r="L5" s="6"/>
      <c r="M5" s="6"/>
      <c r="N5" s="6"/>
      <c r="O5" s="6"/>
      <c r="P5" s="6"/>
      <c r="Q5" s="6"/>
      <c r="R5" s="6"/>
      <c r="S5" s="6"/>
      <c r="T5" s="6"/>
    </row>
    <row r="6" spans="1:20" x14ac:dyDescent="0.2">
      <c r="A6" s="7"/>
      <c r="B6" s="7"/>
      <c r="C6" s="7"/>
      <c r="D6" s="7"/>
      <c r="E6" s="7"/>
      <c r="F6" s="7"/>
      <c r="G6" s="7"/>
      <c r="H6" s="7"/>
      <c r="I6" s="7"/>
      <c r="J6" s="7"/>
      <c r="K6" s="6"/>
      <c r="L6" s="6"/>
      <c r="M6" s="6"/>
      <c r="N6" s="6"/>
      <c r="O6" s="6"/>
      <c r="P6" s="6"/>
      <c r="Q6" s="6"/>
      <c r="R6" s="6"/>
      <c r="S6" s="6"/>
      <c r="T6" s="6"/>
    </row>
    <row r="7" spans="1:20" x14ac:dyDescent="0.2">
      <c r="A7" s="17" t="s">
        <v>483</v>
      </c>
      <c r="B7" s="17"/>
      <c r="C7" s="17"/>
      <c r="D7" s="17"/>
      <c r="E7" s="7"/>
      <c r="F7" s="7"/>
      <c r="G7" s="7"/>
      <c r="H7" s="7"/>
      <c r="I7" s="7"/>
      <c r="J7" s="7"/>
      <c r="K7" s="6"/>
      <c r="L7" s="6"/>
      <c r="M7" s="6"/>
      <c r="N7" s="6"/>
      <c r="O7" s="6"/>
      <c r="P7" s="6"/>
      <c r="Q7" s="6"/>
      <c r="R7" s="6"/>
      <c r="S7" s="6"/>
      <c r="T7" s="6"/>
    </row>
    <row r="8" spans="1:20" x14ac:dyDescent="0.2">
      <c r="A8" s="17"/>
      <c r="B8" s="17"/>
      <c r="C8" s="17"/>
      <c r="D8" s="17"/>
      <c r="E8" s="7"/>
      <c r="F8" s="7"/>
      <c r="G8" s="7"/>
      <c r="H8" s="7"/>
      <c r="I8" s="7"/>
      <c r="J8" s="7"/>
      <c r="K8" s="6"/>
      <c r="L8" s="6"/>
      <c r="M8" s="6"/>
      <c r="N8" s="6"/>
      <c r="O8" s="6"/>
      <c r="P8" s="6"/>
      <c r="Q8" s="6"/>
      <c r="R8" s="6"/>
      <c r="S8" s="6"/>
      <c r="T8" s="6"/>
    </row>
    <row r="9" spans="1:20" x14ac:dyDescent="0.2">
      <c r="A9" s="17" t="s">
        <v>632</v>
      </c>
      <c r="B9" s="17"/>
      <c r="C9" s="17"/>
      <c r="D9" s="17"/>
      <c r="E9" s="7"/>
      <c r="F9" s="7"/>
      <c r="G9" s="7"/>
      <c r="H9" s="7"/>
      <c r="I9" s="7"/>
      <c r="J9" s="7"/>
      <c r="K9" s="6"/>
      <c r="L9" s="6"/>
      <c r="M9" s="6"/>
      <c r="N9" s="6"/>
      <c r="O9" s="6"/>
      <c r="P9" s="6"/>
      <c r="Q9" s="6"/>
      <c r="R9" s="6"/>
      <c r="S9" s="6"/>
      <c r="T9" s="6"/>
    </row>
    <row r="10" spans="1:20" ht="26.25" customHeight="1" x14ac:dyDescent="0.2">
      <c r="A10" s="328" t="s">
        <v>633</v>
      </c>
      <c r="B10" s="315"/>
      <c r="C10" s="315"/>
      <c r="D10" s="315"/>
      <c r="E10" s="315"/>
      <c r="F10" s="25"/>
      <c r="G10" s="7"/>
      <c r="H10" s="7"/>
      <c r="I10" s="7"/>
      <c r="J10" s="7"/>
      <c r="K10" s="6"/>
      <c r="L10" s="6"/>
      <c r="M10" s="6"/>
      <c r="N10" s="6"/>
      <c r="O10" s="6"/>
      <c r="P10" s="6"/>
      <c r="Q10" s="6"/>
      <c r="R10" s="6"/>
      <c r="S10" s="6"/>
      <c r="T10" s="6"/>
    </row>
    <row r="11" spans="1:20" ht="18" customHeight="1" x14ac:dyDescent="0.2">
      <c r="A11" s="328" t="s">
        <v>634</v>
      </c>
      <c r="B11" s="315"/>
      <c r="C11" s="315"/>
      <c r="D11" s="315"/>
      <c r="E11" s="315"/>
      <c r="F11" s="25"/>
      <c r="G11" s="7"/>
      <c r="H11" s="7"/>
      <c r="I11" s="7"/>
      <c r="J11" s="7"/>
      <c r="K11" s="6"/>
      <c r="L11" s="6"/>
      <c r="M11" s="6"/>
      <c r="N11" s="6"/>
      <c r="O11" s="6"/>
      <c r="P11" s="6"/>
      <c r="Q11" s="6"/>
      <c r="R11" s="6"/>
      <c r="S11" s="6"/>
      <c r="T11" s="6"/>
    </row>
    <row r="12" spans="1:20" x14ac:dyDescent="0.2">
      <c r="A12" s="7"/>
      <c r="B12" s="7"/>
      <c r="C12" s="7"/>
      <c r="D12" s="7"/>
      <c r="E12" s="7"/>
      <c r="F12" s="7"/>
      <c r="G12" s="7"/>
      <c r="H12" s="7"/>
      <c r="I12" s="7"/>
      <c r="J12" s="7"/>
      <c r="K12" s="6"/>
      <c r="L12" s="6"/>
      <c r="M12" s="6"/>
      <c r="N12" s="6"/>
      <c r="O12" s="6"/>
      <c r="P12" s="6"/>
      <c r="Q12" s="6"/>
      <c r="R12" s="6"/>
      <c r="S12" s="6"/>
      <c r="T12" s="6"/>
    </row>
    <row r="13" spans="1:20" ht="36" customHeight="1" x14ac:dyDescent="0.2">
      <c r="A13" s="87" t="s">
        <v>120</v>
      </c>
      <c r="B13" s="88" t="s">
        <v>664</v>
      </c>
      <c r="C13" s="88" t="s">
        <v>407</v>
      </c>
      <c r="D13" s="88" t="s">
        <v>622</v>
      </c>
      <c r="E13" s="88" t="s">
        <v>121</v>
      </c>
      <c r="F13" s="21" t="s">
        <v>623</v>
      </c>
      <c r="G13" s="88" t="s">
        <v>529</v>
      </c>
      <c r="H13" s="88" t="s">
        <v>624</v>
      </c>
      <c r="I13" s="113" t="s">
        <v>78</v>
      </c>
      <c r="J13" s="7"/>
      <c r="K13" s="6"/>
      <c r="L13" s="6"/>
      <c r="M13" s="6"/>
      <c r="N13" s="6"/>
      <c r="O13" s="6"/>
      <c r="P13" s="6"/>
      <c r="Q13" s="6"/>
      <c r="R13" s="6"/>
      <c r="S13" s="6"/>
      <c r="T13" s="6"/>
    </row>
    <row r="14" spans="1:20" ht="18.75" customHeight="1" x14ac:dyDescent="0.2">
      <c r="A14" s="103" t="s">
        <v>240</v>
      </c>
      <c r="B14" s="303" t="str">
        <f>VLOOKUP(A14,'Tariff Schedule Lookup Table'!$A$8:$D$143,2,FALSE)</f>
        <v>Fluorescent Twin 20</v>
      </c>
      <c r="C14" s="104">
        <v>3.8</v>
      </c>
      <c r="D14" s="104">
        <f>C14*(1+'Input data'!$C$7)</f>
        <v>4.1017199999999994</v>
      </c>
      <c r="E14" s="104">
        <v>23.457100000000001</v>
      </c>
      <c r="F14" s="104">
        <f>E14*(1 +'Input data'!$C$7)</f>
        <v>25.319593739999998</v>
      </c>
      <c r="G14" s="104">
        <v>0.44</v>
      </c>
      <c r="H14" s="104">
        <f>G14*(1 +'Input data'!$C$7)</f>
        <v>0.47493599999999997</v>
      </c>
      <c r="I14" s="326" t="s">
        <v>840</v>
      </c>
      <c r="J14" s="7"/>
      <c r="K14" s="6"/>
      <c r="L14" s="6"/>
      <c r="M14" s="6"/>
      <c r="N14" s="6"/>
      <c r="O14" s="6"/>
      <c r="P14" s="6"/>
      <c r="Q14" s="6"/>
      <c r="R14" s="6"/>
      <c r="S14" s="6"/>
      <c r="T14" s="6"/>
    </row>
    <row r="15" spans="1:20" ht="18.75" customHeight="1" x14ac:dyDescent="0.2">
      <c r="A15" s="9" t="s">
        <v>247</v>
      </c>
      <c r="B15" s="304" t="str">
        <f>VLOOKUP(A15,'Tariff Schedule Lookup Table'!$A$8:$D$143,2,FALSE)</f>
        <v>Fluorescent 40</v>
      </c>
      <c r="C15" s="105">
        <v>1.85</v>
      </c>
      <c r="D15" s="105">
        <f>C15*(1+'Input data'!$C$7)</f>
        <v>1.9968899999999998</v>
      </c>
      <c r="E15" s="105">
        <v>23.457100000000001</v>
      </c>
      <c r="F15" s="105">
        <f>E15*(1 +'Input data'!$C$7)</f>
        <v>25.319593739999998</v>
      </c>
      <c r="G15" s="105">
        <v>0.36</v>
      </c>
      <c r="H15" s="105">
        <f>G15*(1 +'Input data'!$C$7)</f>
        <v>0.38858399999999993</v>
      </c>
      <c r="I15" s="326"/>
      <c r="J15" s="7"/>
      <c r="K15" s="6"/>
      <c r="L15" s="6"/>
      <c r="M15" s="6"/>
      <c r="N15" s="6"/>
      <c r="O15" s="6"/>
      <c r="P15" s="6"/>
      <c r="Q15" s="6"/>
      <c r="R15" s="6"/>
      <c r="S15" s="6"/>
      <c r="T15" s="6"/>
    </row>
    <row r="16" spans="1:20" x14ac:dyDescent="0.2">
      <c r="A16" s="9" t="s">
        <v>267</v>
      </c>
      <c r="B16" s="304" t="str">
        <f>VLOOKUP(A16,'Tariff Schedule Lookup Table'!$A$8:$D$143,2,FALSE)</f>
        <v>High Pressure Sodium 50</v>
      </c>
      <c r="C16" s="105">
        <v>12.89</v>
      </c>
      <c r="D16" s="105">
        <f>C16*(1+'Input data'!$C$7)</f>
        <v>13.913466</v>
      </c>
      <c r="E16" s="105">
        <v>17.86</v>
      </c>
      <c r="F16" s="105">
        <f>E16*(1 +'Input data'!$C$7)</f>
        <v>19.278083999999996</v>
      </c>
      <c r="G16" s="105">
        <v>23.9</v>
      </c>
      <c r="H16" s="105">
        <f>G16*(1 +'Input data'!$C$7)</f>
        <v>25.797659999999997</v>
      </c>
      <c r="I16" s="109" t="s">
        <v>79</v>
      </c>
      <c r="J16" s="7"/>
      <c r="K16" s="6"/>
      <c r="L16" s="6"/>
      <c r="M16" s="6"/>
      <c r="N16" s="6"/>
      <c r="O16" s="6"/>
      <c r="P16" s="6"/>
      <c r="Q16" s="6"/>
      <c r="R16" s="6"/>
      <c r="S16" s="6"/>
      <c r="T16" s="6"/>
    </row>
    <row r="17" spans="1:20" x14ac:dyDescent="0.2">
      <c r="A17" s="9" t="s">
        <v>175</v>
      </c>
      <c r="B17" s="304" t="str">
        <f>CONCATENATE(VLOOKUP(LEFT(A17,7),'Tariff Schedule Lookup Table'!$A$8:$D$143,2,FALSE), " Twin Arc")</f>
        <v>High Pressure Sodium 50 Twin Arc</v>
      </c>
      <c r="C17" s="105">
        <v>24.3</v>
      </c>
      <c r="D17" s="105">
        <f>C17*(1+'Input data'!$C$7)</f>
        <v>26.229419999999998</v>
      </c>
      <c r="E17" s="105">
        <v>17.86</v>
      </c>
      <c r="F17" s="105">
        <f>E17*(1 +'Input data'!$C$7)</f>
        <v>19.278083999999996</v>
      </c>
      <c r="G17" s="105">
        <v>23.9</v>
      </c>
      <c r="H17" s="105">
        <f>G17*(1 +'Input data'!$C$7)</f>
        <v>25.797659999999997</v>
      </c>
      <c r="I17" s="109" t="s">
        <v>79</v>
      </c>
      <c r="J17" s="7"/>
      <c r="K17" s="6"/>
      <c r="L17" s="6"/>
      <c r="M17" s="6"/>
      <c r="N17" s="6"/>
      <c r="O17" s="6"/>
      <c r="P17" s="6"/>
      <c r="Q17" s="6"/>
      <c r="R17" s="6"/>
      <c r="S17" s="6"/>
      <c r="T17" s="6"/>
    </row>
    <row r="18" spans="1:20" x14ac:dyDescent="0.2">
      <c r="A18" s="9" t="s">
        <v>268</v>
      </c>
      <c r="B18" s="304" t="str">
        <f>VLOOKUP(A18,'Tariff Schedule Lookup Table'!$A$8:$D$143,2,FALSE)</f>
        <v>High Pressure Sodium 70</v>
      </c>
      <c r="C18" s="105">
        <v>14.5</v>
      </c>
      <c r="D18" s="105">
        <f>C18*(1+'Input data'!$C$7)</f>
        <v>15.651299999999999</v>
      </c>
      <c r="E18" s="105">
        <v>25.2</v>
      </c>
      <c r="F18" s="105">
        <f>E18*(1 +'Input data'!$C$7)</f>
        <v>27.200879999999998</v>
      </c>
      <c r="G18" s="105">
        <v>19.239999999999998</v>
      </c>
      <c r="H18" s="105">
        <f>G18*(1 +'Input data'!$C$7)</f>
        <v>20.767655999999995</v>
      </c>
      <c r="I18" s="109" t="s">
        <v>79</v>
      </c>
      <c r="J18" s="7"/>
      <c r="K18" s="6"/>
      <c r="L18" s="6"/>
      <c r="M18" s="6"/>
      <c r="N18" s="6"/>
      <c r="O18" s="6"/>
      <c r="P18" s="6"/>
      <c r="Q18" s="6"/>
      <c r="R18" s="6"/>
      <c r="S18" s="6"/>
      <c r="T18" s="6"/>
    </row>
    <row r="19" spans="1:20" x14ac:dyDescent="0.2">
      <c r="A19" s="9" t="s">
        <v>275</v>
      </c>
      <c r="B19" s="304" t="str">
        <f>VLOOKUP(A19,'Tariff Schedule Lookup Table'!$A$8:$D$143,2,FALSE)</f>
        <v>High Pressure Sodium 150</v>
      </c>
      <c r="C19" s="105">
        <v>16.600000000000001</v>
      </c>
      <c r="D19" s="105">
        <f>C19*(1+'Input data'!$C$7)</f>
        <v>17.918040000000001</v>
      </c>
      <c r="E19" s="105">
        <v>44.15</v>
      </c>
      <c r="F19" s="105">
        <f>E19*(1 +'Input data'!$C$7)</f>
        <v>47.655509999999992</v>
      </c>
      <c r="G19" s="105">
        <v>15.76</v>
      </c>
      <c r="H19" s="105">
        <f>G19*(1 +'Input data'!$C$7)</f>
        <v>17.011343999999998</v>
      </c>
      <c r="I19" s="109" t="s">
        <v>80</v>
      </c>
      <c r="J19" s="7"/>
      <c r="K19" s="6"/>
      <c r="L19" s="6"/>
      <c r="M19" s="6"/>
      <c r="N19" s="6"/>
      <c r="O19" s="6"/>
      <c r="P19" s="6"/>
      <c r="Q19" s="6"/>
      <c r="R19" s="6"/>
      <c r="S19" s="6"/>
      <c r="T19" s="6"/>
    </row>
    <row r="20" spans="1:20" x14ac:dyDescent="0.2">
      <c r="A20" s="9" t="s">
        <v>277</v>
      </c>
      <c r="B20" s="304" t="str">
        <f>VLOOKUP(A20,'Tariff Schedule Lookup Table'!$A$8:$D$143,2,FALSE)</f>
        <v>High Pressure Sodium 250</v>
      </c>
      <c r="C20" s="105">
        <v>19.23</v>
      </c>
      <c r="D20" s="105">
        <f>C20*(1+'Input data'!$C$7)</f>
        <v>20.756861999999998</v>
      </c>
      <c r="E20" s="105">
        <v>50.8</v>
      </c>
      <c r="F20" s="105">
        <f>E20*(1 +'Input data'!$C$7)</f>
        <v>54.833519999999993</v>
      </c>
      <c r="G20" s="105">
        <v>15.76</v>
      </c>
      <c r="H20" s="105">
        <f>G20*(1 +'Input data'!$C$7)</f>
        <v>17.011343999999998</v>
      </c>
      <c r="I20" s="109" t="s">
        <v>80</v>
      </c>
      <c r="J20" s="7"/>
      <c r="K20" s="6"/>
      <c r="L20" s="6"/>
      <c r="M20" s="6"/>
      <c r="N20" s="6"/>
      <c r="O20" s="6"/>
      <c r="P20" s="6"/>
      <c r="Q20" s="6"/>
      <c r="R20" s="6"/>
      <c r="S20" s="6"/>
      <c r="T20" s="6"/>
    </row>
    <row r="21" spans="1:20" x14ac:dyDescent="0.2">
      <c r="A21" s="9" t="s">
        <v>285</v>
      </c>
      <c r="B21" s="304" t="str">
        <f>VLOOKUP(A21,'Tariff Schedule Lookup Table'!$A$8:$D$143,2,FALSE)</f>
        <v>High Pressure Sodium 400</v>
      </c>
      <c r="C21" s="105">
        <v>26.59</v>
      </c>
      <c r="D21" s="105">
        <f>C21*(1+'Input data'!$C$7)</f>
        <v>28.701245999999998</v>
      </c>
      <c r="E21" s="105">
        <v>60.72</v>
      </c>
      <c r="F21" s="105">
        <f>E21*(1 +'Input data'!$C$7)</f>
        <v>65.541167999999999</v>
      </c>
      <c r="G21" s="105">
        <v>15.76</v>
      </c>
      <c r="H21" s="105">
        <f>G21*(1 +'Input data'!$C$7)</f>
        <v>17.011343999999998</v>
      </c>
      <c r="I21" s="109" t="s">
        <v>80</v>
      </c>
      <c r="J21" s="7"/>
      <c r="K21" s="6"/>
      <c r="L21" s="6"/>
      <c r="M21" s="6"/>
      <c r="N21" s="6"/>
      <c r="O21" s="6"/>
      <c r="P21" s="6"/>
      <c r="Q21" s="6"/>
      <c r="R21" s="6"/>
      <c r="S21" s="6"/>
      <c r="T21" s="6"/>
    </row>
    <row r="22" spans="1:20" x14ac:dyDescent="0.2">
      <c r="A22" s="9" t="s">
        <v>191</v>
      </c>
      <c r="B22" s="304" t="str">
        <f>CONCATENATE(VLOOKUP(LEFT(A22,7),'Tariff Schedule Lookup Table'!$A$8:$D$143,2,FALSE), " Twin Arc")</f>
        <v>High Pressure Sodium 400 Twin Arc</v>
      </c>
      <c r="C22" s="105">
        <v>60.9</v>
      </c>
      <c r="D22" s="105">
        <f>C22*(1+'Input data'!$C$7)</f>
        <v>65.735459999999989</v>
      </c>
      <c r="E22" s="105">
        <v>60.72</v>
      </c>
      <c r="F22" s="105">
        <f>E22*(1 +'Input data'!$C$7)</f>
        <v>65.541167999999999</v>
      </c>
      <c r="G22" s="105">
        <v>15.76</v>
      </c>
      <c r="H22" s="105">
        <f>G22*(1 +'Input data'!$C$7)</f>
        <v>17.011343999999998</v>
      </c>
      <c r="I22" s="109" t="s">
        <v>80</v>
      </c>
      <c r="J22" s="7"/>
      <c r="K22" s="6"/>
      <c r="L22" s="6"/>
      <c r="M22" s="6"/>
      <c r="N22" s="6"/>
      <c r="O22" s="6"/>
      <c r="P22" s="6"/>
      <c r="Q22" s="6"/>
      <c r="R22" s="6"/>
      <c r="S22" s="6"/>
      <c r="T22" s="6"/>
    </row>
    <row r="23" spans="1:20" x14ac:dyDescent="0.2">
      <c r="A23" s="9" t="s">
        <v>177</v>
      </c>
      <c r="B23" s="304" t="str">
        <f>CONCATENATE(VLOOKUP(LEFT(A23,7),'Tariff Schedule Lookup Table'!$A$8:$D$143,2,FALSE), " Twin Arc")</f>
        <v>High Pressure Sodium 70 Twin Arc</v>
      </c>
      <c r="C23" s="105">
        <v>32.06</v>
      </c>
      <c r="D23" s="105">
        <f>C23*(1+'Input data'!$C$7)</f>
        <v>34.605564000000001</v>
      </c>
      <c r="E23" s="105">
        <v>47.7</v>
      </c>
      <c r="F23" s="105">
        <f>E23*(1 +'Input data'!$C$7)</f>
        <v>51.487380000000002</v>
      </c>
      <c r="G23" s="105">
        <v>19.239999999999998</v>
      </c>
      <c r="H23" s="105">
        <f>G23*(1 +'Input data'!$C$7)</f>
        <v>20.767655999999995</v>
      </c>
      <c r="I23" s="109" t="s">
        <v>79</v>
      </c>
      <c r="J23" s="7"/>
      <c r="K23" s="6"/>
      <c r="L23" s="6"/>
      <c r="M23" s="6"/>
      <c r="N23" s="6"/>
      <c r="O23" s="6"/>
      <c r="P23" s="6"/>
      <c r="Q23" s="6"/>
      <c r="R23" s="6"/>
      <c r="S23" s="6"/>
      <c r="T23" s="6"/>
    </row>
    <row r="24" spans="1:20" x14ac:dyDescent="0.2">
      <c r="A24" s="9" t="s">
        <v>182</v>
      </c>
      <c r="B24" s="304" t="str">
        <f>CONCATENATE(VLOOKUP(LEFT(A24,7),'Tariff Schedule Lookup Table'!$A$8:$D$143,2,FALSE), " Twin Arc")</f>
        <v>High Pressure Sodium 150 Twin Arc</v>
      </c>
      <c r="C24" s="105">
        <v>41.94</v>
      </c>
      <c r="D24" s="105">
        <f>C24*(1+'Input data'!$C$7)</f>
        <v>45.270035999999998</v>
      </c>
      <c r="E24" s="105">
        <v>63.6</v>
      </c>
      <c r="F24" s="105">
        <f>E24*(1 +'Input data'!$C$7)</f>
        <v>68.649839999999998</v>
      </c>
      <c r="G24" s="105">
        <v>15.76</v>
      </c>
      <c r="H24" s="105">
        <f>G24*(1 +'Input data'!$C$7)</f>
        <v>17.011343999999998</v>
      </c>
      <c r="I24" s="109" t="s">
        <v>80</v>
      </c>
      <c r="J24" s="7"/>
      <c r="K24" s="6"/>
      <c r="L24" s="6"/>
      <c r="M24" s="6"/>
      <c r="N24" s="6"/>
      <c r="O24" s="6"/>
      <c r="P24" s="6"/>
      <c r="Q24" s="6"/>
      <c r="R24" s="6"/>
      <c r="S24" s="6"/>
      <c r="T24" s="6"/>
    </row>
    <row r="25" spans="1:20" x14ac:dyDescent="0.2">
      <c r="A25" s="9" t="s">
        <v>185</v>
      </c>
      <c r="B25" s="304" t="str">
        <f>CONCATENATE(VLOOKUP(LEFT(A25,7),'Tariff Schedule Lookup Table'!$A$8:$D$143,2,FALSE), " Twin Arc")</f>
        <v>High Pressure Sodium 250 Twin Arc</v>
      </c>
      <c r="C25" s="105">
        <v>43.78</v>
      </c>
      <c r="D25" s="105">
        <f>C25*(1+'Input data'!$C$7)</f>
        <v>47.256132000000001</v>
      </c>
      <c r="E25" s="105">
        <v>40.6</v>
      </c>
      <c r="F25" s="105">
        <f>E25*(1 +'Input data'!$C$7)</f>
        <v>43.823639999999997</v>
      </c>
      <c r="G25" s="105">
        <v>15.76</v>
      </c>
      <c r="H25" s="105">
        <f>G25*(1 +'Input data'!$C$7)</f>
        <v>17.011343999999998</v>
      </c>
      <c r="I25" s="109" t="s">
        <v>80</v>
      </c>
      <c r="J25" s="7"/>
      <c r="K25" s="6"/>
      <c r="L25" s="6"/>
      <c r="M25" s="6"/>
      <c r="N25" s="6"/>
      <c r="O25" s="6"/>
      <c r="P25" s="6"/>
      <c r="Q25" s="6"/>
      <c r="R25" s="6"/>
      <c r="S25" s="6"/>
      <c r="T25" s="6"/>
    </row>
    <row r="26" spans="1:20" x14ac:dyDescent="0.2">
      <c r="A26" s="9" t="s">
        <v>388</v>
      </c>
      <c r="B26" s="305" t="str">
        <f>CONCATENATE(VLOOKUP(LEFT(A26,7),'Tariff Schedule Lookup Table'!$A$8:$D$143,2,FALSE), " Twin Arc")</f>
        <v>High Pressure Sodium 4x400 Twin Arc</v>
      </c>
      <c r="C26" s="108">
        <v>52.3</v>
      </c>
      <c r="D26" s="108">
        <f>C26*(1+'Input data'!$C$7)</f>
        <v>56.452619999999996</v>
      </c>
      <c r="E26" s="105">
        <v>60.72</v>
      </c>
      <c r="F26" s="105">
        <f>E26*(1 +'Input data'!$C$7)</f>
        <v>65.541167999999999</v>
      </c>
      <c r="G26" s="105">
        <v>19.46</v>
      </c>
      <c r="H26" s="105">
        <f>G26*(1 +'Input data'!$C$7)</f>
        <v>21.005123999999999</v>
      </c>
      <c r="I26" s="109" t="s">
        <v>80</v>
      </c>
      <c r="J26" s="7"/>
      <c r="K26" s="6"/>
      <c r="L26" s="6"/>
      <c r="M26" s="6"/>
      <c r="N26" s="6"/>
      <c r="O26" s="6"/>
      <c r="P26" s="6"/>
      <c r="Q26" s="6"/>
      <c r="R26" s="6"/>
      <c r="S26" s="6"/>
      <c r="T26" s="6"/>
    </row>
    <row r="27" spans="1:20" x14ac:dyDescent="0.2">
      <c r="A27" s="9" t="s">
        <v>337</v>
      </c>
      <c r="B27" s="304" t="str">
        <f>VLOOKUP(A27,'Tariff Schedule Lookup Table'!$A$8:$D$143,2,FALSE)</f>
        <v>Mercury Vapour 50</v>
      </c>
      <c r="C27" s="105">
        <v>3.95</v>
      </c>
      <c r="D27" s="105">
        <f>C27*(1+'Input data'!$C$7)</f>
        <v>4.26363</v>
      </c>
      <c r="E27" s="105">
        <v>17.86</v>
      </c>
      <c r="F27" s="105">
        <f>E27*(1 +'Input data'!$C$7)</f>
        <v>19.278083999999996</v>
      </c>
      <c r="G27" s="108">
        <v>23.9</v>
      </c>
      <c r="H27" s="105">
        <f>G27*(1 +'Input data'!$C$7)</f>
        <v>25.797659999999997</v>
      </c>
      <c r="I27" s="162" t="s">
        <v>6</v>
      </c>
      <c r="J27" s="7"/>
      <c r="K27" s="6"/>
      <c r="L27" s="6"/>
      <c r="M27" s="6"/>
      <c r="N27" s="6"/>
      <c r="O27" s="6"/>
      <c r="P27" s="6"/>
      <c r="Q27" s="6"/>
      <c r="R27" s="6"/>
      <c r="S27" s="6"/>
      <c r="T27" s="6"/>
    </row>
    <row r="28" spans="1:20" x14ac:dyDescent="0.2">
      <c r="A28" s="9" t="s">
        <v>338</v>
      </c>
      <c r="B28" s="304" t="str">
        <f>VLOOKUP(A28,'Tariff Schedule Lookup Table'!$A$8:$D$143,2,FALSE)</f>
        <v>Mercury Vapour 80</v>
      </c>
      <c r="C28" s="105">
        <v>3.27</v>
      </c>
      <c r="D28" s="105">
        <f>C28*(1+'Input data'!$C$7)</f>
        <v>3.5296379999999998</v>
      </c>
      <c r="E28" s="105">
        <v>21.5</v>
      </c>
      <c r="F28" s="105">
        <f>E28*(1 +'Input data'!$C$7)</f>
        <v>23.207099999999997</v>
      </c>
      <c r="G28" s="105">
        <v>19.239999999999998</v>
      </c>
      <c r="H28" s="105">
        <f>G28*(1 +'Input data'!$C$7)</f>
        <v>20.767655999999995</v>
      </c>
      <c r="I28" s="162" t="s">
        <v>79</v>
      </c>
      <c r="J28" s="7"/>
      <c r="K28" s="6"/>
      <c r="L28" s="6"/>
      <c r="M28" s="6"/>
      <c r="N28" s="6"/>
      <c r="O28" s="6"/>
      <c r="P28" s="6"/>
      <c r="Q28" s="6"/>
      <c r="R28" s="6"/>
      <c r="S28" s="6"/>
      <c r="T28" s="6"/>
    </row>
    <row r="29" spans="1:20" x14ac:dyDescent="0.2">
      <c r="A29" s="9" t="s">
        <v>344</v>
      </c>
      <c r="B29" s="304" t="str">
        <f>VLOOKUP(A29,'Tariff Schedule Lookup Table'!$A$8:$D$143,2,FALSE)</f>
        <v>Mercury Vapour 125</v>
      </c>
      <c r="C29" s="105">
        <v>3.74</v>
      </c>
      <c r="D29" s="105">
        <f>C29*(1+'Input data'!$C$7)</f>
        <v>4.036956</v>
      </c>
      <c r="E29" s="105">
        <v>26.7</v>
      </c>
      <c r="F29" s="105">
        <f>E29*(1 +'Input data'!$C$7)</f>
        <v>28.819979999999997</v>
      </c>
      <c r="G29" s="105">
        <v>19.46</v>
      </c>
      <c r="H29" s="105">
        <f>G29*(1 +'Input data'!$C$7)</f>
        <v>21.005123999999999</v>
      </c>
      <c r="I29" s="109" t="s">
        <v>80</v>
      </c>
      <c r="J29" s="7"/>
      <c r="K29" s="6"/>
      <c r="L29" s="6"/>
      <c r="M29" s="6"/>
      <c r="N29" s="6"/>
      <c r="O29" s="6"/>
      <c r="P29" s="6"/>
      <c r="Q29" s="6"/>
      <c r="R29" s="6"/>
      <c r="S29" s="6"/>
      <c r="T29" s="6"/>
    </row>
    <row r="30" spans="1:20" x14ac:dyDescent="0.2">
      <c r="A30" s="9" t="s">
        <v>355</v>
      </c>
      <c r="B30" s="304" t="str">
        <f>VLOOKUP(A30,'Tariff Schedule Lookup Table'!$A$8:$D$143,2,FALSE)</f>
        <v>Mercury Vapour 250</v>
      </c>
      <c r="C30" s="105">
        <v>9.9499999999999993</v>
      </c>
      <c r="D30" s="105">
        <f>C30*(1+'Input data'!$C$7)</f>
        <v>10.740029999999999</v>
      </c>
      <c r="E30" s="105">
        <v>39.15</v>
      </c>
      <c r="F30" s="105">
        <f>E30*(1 +'Input data'!$C$7)</f>
        <v>42.258509999999994</v>
      </c>
      <c r="G30" s="105">
        <v>19.46</v>
      </c>
      <c r="H30" s="105">
        <f>G30*(1 +'Input data'!$C$7)</f>
        <v>21.005123999999999</v>
      </c>
      <c r="I30" s="109" t="s">
        <v>80</v>
      </c>
      <c r="J30" s="7"/>
      <c r="K30" s="6"/>
      <c r="L30" s="6"/>
      <c r="M30" s="6"/>
      <c r="N30" s="6"/>
      <c r="O30" s="6"/>
      <c r="P30" s="6"/>
      <c r="Q30" s="6"/>
      <c r="R30" s="6"/>
      <c r="S30" s="6"/>
      <c r="T30" s="6"/>
    </row>
    <row r="31" spans="1:20" x14ac:dyDescent="0.2">
      <c r="A31" s="9" t="s">
        <v>358</v>
      </c>
      <c r="B31" s="304" t="str">
        <f>VLOOKUP(A31,'Tariff Schedule Lookup Table'!$A$8:$D$143,2,FALSE)</f>
        <v>Mercury Vapour 400</v>
      </c>
      <c r="C31" s="105">
        <v>9.86</v>
      </c>
      <c r="D31" s="105">
        <f>C31*(1+'Input data'!$C$7)</f>
        <v>10.642883999999999</v>
      </c>
      <c r="E31" s="105">
        <v>47.9</v>
      </c>
      <c r="F31" s="105">
        <f>E31*(1 +'Input data'!$C$7)</f>
        <v>51.703259999999993</v>
      </c>
      <c r="G31" s="105">
        <v>19.46</v>
      </c>
      <c r="H31" s="105">
        <f>G31*(1 +'Input data'!$C$7)</f>
        <v>21.005123999999999</v>
      </c>
      <c r="I31" s="109" t="s">
        <v>80</v>
      </c>
      <c r="J31" s="7"/>
      <c r="K31" s="6"/>
      <c r="L31" s="6"/>
      <c r="M31" s="6"/>
      <c r="N31" s="6"/>
      <c r="O31" s="6"/>
      <c r="P31" s="6"/>
      <c r="Q31" s="6"/>
      <c r="R31" s="6"/>
      <c r="S31" s="6"/>
      <c r="T31" s="6"/>
    </row>
    <row r="32" spans="1:20" x14ac:dyDescent="0.2">
      <c r="A32" s="9" t="s">
        <v>359</v>
      </c>
      <c r="B32" s="304" t="str">
        <f>VLOOKUP(A32,'Tariff Schedule Lookup Table'!$A$8:$D$143,2,FALSE)</f>
        <v>Mercury Vapour 2x400</v>
      </c>
      <c r="C32" s="105">
        <v>9.86</v>
      </c>
      <c r="D32" s="105">
        <f>C32*(1+'Input data'!$C$7)</f>
        <v>10.642883999999999</v>
      </c>
      <c r="E32" s="105">
        <v>47.9</v>
      </c>
      <c r="F32" s="105">
        <f>E32*(1 +'Input data'!$C$7)</f>
        <v>51.703259999999993</v>
      </c>
      <c r="G32" s="105">
        <v>19.46</v>
      </c>
      <c r="H32" s="105">
        <f>G32*(1 +'Input data'!$C$7)</f>
        <v>21.005123999999999</v>
      </c>
      <c r="I32" s="109" t="s">
        <v>80</v>
      </c>
      <c r="J32" s="7"/>
      <c r="K32" s="6"/>
      <c r="L32" s="6"/>
      <c r="M32" s="6"/>
      <c r="N32" s="6"/>
      <c r="O32" s="6"/>
      <c r="P32" s="6"/>
      <c r="Q32" s="6"/>
      <c r="R32" s="6"/>
      <c r="S32" s="6"/>
      <c r="T32" s="6"/>
    </row>
    <row r="33" spans="1:20" x14ac:dyDescent="0.2">
      <c r="A33" s="9" t="s">
        <v>329</v>
      </c>
      <c r="B33" s="304" t="str">
        <f>VLOOKUP(A33,'Tariff Schedule Lookup Table'!$A$8:$D$143,2,FALSE)</f>
        <v>Metal Hallide (Reactor Control Gear) 250</v>
      </c>
      <c r="C33" s="105">
        <v>37.94</v>
      </c>
      <c r="D33" s="105">
        <f>C33*(1+'Input data'!$C$7)</f>
        <v>40.952435999999992</v>
      </c>
      <c r="E33" s="105">
        <v>50.8</v>
      </c>
      <c r="F33" s="105">
        <f>E33*(1 +'Input data'!$C$7)</f>
        <v>54.833519999999993</v>
      </c>
      <c r="G33" s="105">
        <v>15.76</v>
      </c>
      <c r="H33" s="105">
        <f>G33*(1 +'Input data'!$C$7)</f>
        <v>17.011343999999998</v>
      </c>
      <c r="I33" s="326" t="s">
        <v>81</v>
      </c>
      <c r="J33" s="7"/>
      <c r="K33" s="6"/>
      <c r="L33" s="6"/>
      <c r="M33" s="6"/>
      <c r="N33" s="6"/>
      <c r="O33" s="6"/>
      <c r="P33" s="6"/>
      <c r="Q33" s="6"/>
      <c r="R33" s="6"/>
      <c r="S33" s="6"/>
      <c r="T33" s="6"/>
    </row>
    <row r="34" spans="1:20" x14ac:dyDescent="0.2">
      <c r="A34" s="9" t="s">
        <v>330</v>
      </c>
      <c r="B34" s="304" t="str">
        <f>VLOOKUP(A34,'Tariff Schedule Lookup Table'!$A$8:$D$143,2,FALSE)</f>
        <v>Metal Hallide (Reactor Control Gear) 400</v>
      </c>
      <c r="C34" s="105">
        <v>38.229999999999997</v>
      </c>
      <c r="D34" s="105">
        <f>C34*(1+'Input data'!$C$7)</f>
        <v>41.265461999999992</v>
      </c>
      <c r="E34" s="105">
        <v>60.72</v>
      </c>
      <c r="F34" s="105">
        <f>E34*(1 +'Input data'!$C$7)</f>
        <v>65.541167999999999</v>
      </c>
      <c r="G34" s="105">
        <v>15.76</v>
      </c>
      <c r="H34" s="105">
        <f>G34*(1 +'Input data'!$C$7)</f>
        <v>17.011343999999998</v>
      </c>
      <c r="I34" s="326"/>
      <c r="J34" s="7"/>
      <c r="K34" s="6"/>
      <c r="L34" s="6"/>
      <c r="M34" s="6"/>
      <c r="N34" s="6"/>
      <c r="O34" s="6"/>
      <c r="P34" s="6"/>
      <c r="Q34" s="6"/>
      <c r="R34" s="6"/>
      <c r="S34" s="6"/>
      <c r="T34" s="6"/>
    </row>
    <row r="35" spans="1:20" ht="22.5" x14ac:dyDescent="0.2">
      <c r="A35" s="18" t="s">
        <v>297</v>
      </c>
      <c r="B35" s="304" t="str">
        <f>VLOOKUP(A35,'Tariff Schedule Lookup Table'!$A$8:$D$143,2,FALSE)</f>
        <v>Incandescent 60</v>
      </c>
      <c r="C35" s="105">
        <v>1.1000000000000001</v>
      </c>
      <c r="D35" s="105">
        <f>C35*(1+'Input data'!$C$7)</f>
        <v>1.1873400000000001</v>
      </c>
      <c r="E35" s="105">
        <v>0</v>
      </c>
      <c r="F35" s="105">
        <f>E35*(1 +'Input data'!$C$7)</f>
        <v>0</v>
      </c>
      <c r="G35" s="105">
        <v>0</v>
      </c>
      <c r="H35" s="105">
        <f>G35*(1 +'Input data'!$C$7)</f>
        <v>0</v>
      </c>
      <c r="I35" s="109" t="s">
        <v>76</v>
      </c>
      <c r="J35" s="7"/>
      <c r="K35" s="6"/>
      <c r="L35" s="6"/>
      <c r="M35" s="6"/>
      <c r="N35" s="6"/>
      <c r="O35" s="6"/>
      <c r="P35" s="6"/>
      <c r="Q35" s="6"/>
      <c r="R35" s="6"/>
      <c r="S35" s="6"/>
      <c r="T35" s="6"/>
    </row>
    <row r="36" spans="1:20" ht="45" x14ac:dyDescent="0.2">
      <c r="A36" s="18" t="s">
        <v>333</v>
      </c>
      <c r="B36" s="304" t="str">
        <f>VLOOKUP(A36,'Tariff Schedule Lookup Table'!$A$8:$D$143,2,FALSE)</f>
        <v>Metal Hallide (Reactor Control Gear) 1000</v>
      </c>
      <c r="C36" s="105">
        <v>46.61</v>
      </c>
      <c r="D36" s="105">
        <f>C36*(1+'Input data'!$C$7)</f>
        <v>50.310833999999993</v>
      </c>
      <c r="E36" s="108">
        <v>130</v>
      </c>
      <c r="F36" s="105">
        <f>E36*(1 +'Input data'!$C$7)</f>
        <v>140.322</v>
      </c>
      <c r="G36" s="105">
        <v>15.76</v>
      </c>
      <c r="H36" s="105">
        <f>G36*(1 +'Input data'!$C$7)</f>
        <v>17.011343999999998</v>
      </c>
      <c r="I36" s="109" t="s">
        <v>77</v>
      </c>
      <c r="J36" s="7"/>
      <c r="K36" s="6"/>
      <c r="L36" s="6"/>
      <c r="M36" s="6"/>
      <c r="N36" s="6"/>
      <c r="O36" s="6"/>
      <c r="P36" s="6"/>
      <c r="Q36" s="6"/>
      <c r="R36" s="6"/>
      <c r="S36" s="6"/>
      <c r="T36" s="6"/>
    </row>
    <row r="37" spans="1:20" x14ac:dyDescent="0.2">
      <c r="A37" s="9" t="s">
        <v>289</v>
      </c>
      <c r="B37" s="305" t="str">
        <f>VLOOKUP(A37,'Tariff Schedule Lookup Table'!$A$8:$D$143,2,FALSE)</f>
        <v>High Pressure Sodium 600 (Internal Ignitor)</v>
      </c>
      <c r="C37" s="108">
        <v>93.91</v>
      </c>
      <c r="D37" s="108">
        <f>C37*(1+'Input data'!$C$7)</f>
        <v>101.36645399999999</v>
      </c>
      <c r="E37" s="108">
        <v>73.319999999999993</v>
      </c>
      <c r="F37" s="105">
        <f>E37*(1 +'Input data'!$C$7)</f>
        <v>79.141607999999991</v>
      </c>
      <c r="G37" s="105">
        <v>19.46</v>
      </c>
      <c r="H37" s="105">
        <f>G37*(1 +'Input data'!$C$7)</f>
        <v>21.005123999999999</v>
      </c>
      <c r="I37" s="109" t="s">
        <v>80</v>
      </c>
      <c r="J37" s="7"/>
      <c r="K37" s="6"/>
      <c r="L37" s="6"/>
      <c r="M37" s="6"/>
      <c r="N37" s="6"/>
      <c r="O37" s="6"/>
      <c r="P37" s="6"/>
      <c r="Q37" s="6"/>
      <c r="R37" s="6"/>
      <c r="S37" s="6"/>
      <c r="T37" s="6"/>
    </row>
    <row r="38" spans="1:20" x14ac:dyDescent="0.2">
      <c r="A38" s="9" t="s">
        <v>283</v>
      </c>
      <c r="B38" s="306" t="str">
        <f>VLOOKUP(A38,'Tariff Schedule Lookup Table'!$A$8:$D$143,2,FALSE)</f>
        <v>Compact Fluorescent 1x42</v>
      </c>
      <c r="C38" s="38">
        <v>8.85</v>
      </c>
      <c r="D38" s="38">
        <f>C38*(1+'Input data'!$C$7)</f>
        <v>9.5526899999999983</v>
      </c>
      <c r="E38" s="38">
        <v>46</v>
      </c>
      <c r="F38" s="105">
        <f>E38*(1 +'Input data'!$C$7)</f>
        <v>49.652399999999993</v>
      </c>
      <c r="G38" s="38">
        <v>23.9</v>
      </c>
      <c r="H38" s="105">
        <f>G38*(1 +'Input data'!$C$7)</f>
        <v>25.797659999999997</v>
      </c>
      <c r="I38" s="163" t="s">
        <v>7</v>
      </c>
      <c r="J38" s="7"/>
      <c r="K38" s="6"/>
      <c r="L38" s="6"/>
      <c r="M38" s="6"/>
      <c r="N38" s="6"/>
      <c r="O38" s="6"/>
      <c r="P38" s="6"/>
      <c r="Q38" s="6"/>
      <c r="R38" s="6"/>
      <c r="S38" s="6"/>
      <c r="T38" s="6"/>
    </row>
    <row r="39" spans="1:20" s="178" customFormat="1" x14ac:dyDescent="0.2">
      <c r="A39" s="86" t="s">
        <v>458</v>
      </c>
      <c r="B39" s="306" t="str">
        <f>VLOOKUP(A39,'Tariff Schedule Lookup Table'!$A$8:$D$143,2,FALSE)</f>
        <v>Compact Fluorescent 1x32</v>
      </c>
      <c r="C39" s="38">
        <v>6.19</v>
      </c>
      <c r="D39" s="38">
        <f>C39*(1+'Input data'!$C$7)</f>
        <v>6.6814859999999996</v>
      </c>
      <c r="E39" s="38">
        <v>46</v>
      </c>
      <c r="F39" s="108">
        <f>E39*(1 +'Input data'!$C$7)</f>
        <v>49.652399999999993</v>
      </c>
      <c r="G39" s="38">
        <v>23.9</v>
      </c>
      <c r="H39" s="108">
        <f>G39*(1 +'Input data'!$C$7)</f>
        <v>25.797659999999997</v>
      </c>
      <c r="I39" s="163" t="s">
        <v>7</v>
      </c>
      <c r="J39" s="29"/>
      <c r="K39" s="27"/>
      <c r="L39" s="27"/>
      <c r="M39" s="27"/>
      <c r="N39" s="27"/>
      <c r="O39" s="27"/>
      <c r="P39" s="27"/>
      <c r="Q39" s="27"/>
      <c r="R39" s="27"/>
      <c r="S39" s="27"/>
      <c r="T39" s="27"/>
    </row>
    <row r="40" spans="1:20" ht="12.75" customHeight="1" x14ac:dyDescent="0.2">
      <c r="A40" s="9" t="s">
        <v>74</v>
      </c>
      <c r="B40" s="307" t="str">
        <f>VLOOKUP(A40,'Tariff Schedule Lookup Table'!$A$8:$D$143,2,FALSE)</f>
        <v>T5 2x14W</v>
      </c>
      <c r="C40" s="110">
        <v>5.8</v>
      </c>
      <c r="D40" s="110">
        <f>C40*(1+'Input data'!$C$7)</f>
        <v>6.2605199999999996</v>
      </c>
      <c r="E40" s="38">
        <v>21.82</v>
      </c>
      <c r="F40" s="105">
        <f>E40*(1 +'Input data'!$C$7)</f>
        <v>23.552508</v>
      </c>
      <c r="G40" s="38">
        <v>23.9</v>
      </c>
      <c r="H40" s="105">
        <f>G40*(1 +'Input data'!$C$7)</f>
        <v>25.797659999999997</v>
      </c>
      <c r="I40" s="163" t="s">
        <v>7</v>
      </c>
      <c r="J40" s="7"/>
      <c r="K40" s="6"/>
      <c r="L40" s="6"/>
      <c r="M40" s="6"/>
      <c r="N40" s="6"/>
      <c r="O40" s="6"/>
      <c r="P40" s="6"/>
      <c r="Q40" s="6"/>
      <c r="R40" s="6"/>
      <c r="S40" s="6"/>
      <c r="T40" s="6"/>
    </row>
    <row r="41" spans="1:20" ht="12" customHeight="1" x14ac:dyDescent="0.2">
      <c r="A41" s="9" t="s">
        <v>75</v>
      </c>
      <c r="B41" s="307" t="str">
        <f>VLOOKUP(A41,'Tariff Schedule Lookup Table'!$A$8:$D$143,2,FALSE)</f>
        <v>T5 2x24W</v>
      </c>
      <c r="C41" s="110">
        <v>12.05</v>
      </c>
      <c r="D41" s="110">
        <f>C41*(1+'Input data'!$C$7)</f>
        <v>13.006769999999999</v>
      </c>
      <c r="E41" s="38">
        <v>34.549999999999997</v>
      </c>
      <c r="F41" s="105">
        <f>E41*(1 +'Input data'!$C$7)</f>
        <v>37.293269999999993</v>
      </c>
      <c r="G41" s="38">
        <v>23.9</v>
      </c>
      <c r="H41" s="105">
        <f>G41*(1 +'Input data'!$C$7)</f>
        <v>25.797659999999997</v>
      </c>
      <c r="I41" s="163" t="s">
        <v>7</v>
      </c>
      <c r="J41" s="7"/>
      <c r="K41" s="6"/>
      <c r="L41" s="6"/>
      <c r="M41" s="6"/>
      <c r="N41" s="6"/>
      <c r="O41" s="6"/>
      <c r="P41" s="6"/>
      <c r="Q41" s="6"/>
      <c r="R41" s="6"/>
      <c r="S41" s="6"/>
      <c r="T41" s="6"/>
    </row>
    <row r="42" spans="1:20" x14ac:dyDescent="0.2">
      <c r="A42" s="9" t="s">
        <v>314</v>
      </c>
      <c r="B42" s="306" t="str">
        <f>VLOOKUP(A42,'Tariff Schedule Lookup Table'!$A$8:$D$143,2,FALSE)</f>
        <v>Low Pressure Sodium 55</v>
      </c>
      <c r="C42" s="38">
        <v>27.8</v>
      </c>
      <c r="D42" s="38">
        <f>C42*(1+'Input data'!$C$7)</f>
        <v>30.00732</v>
      </c>
      <c r="E42" s="38">
        <v>67</v>
      </c>
      <c r="F42" s="105">
        <f>E42*(1 +'Input data'!$C$7)</f>
        <v>72.319800000000001</v>
      </c>
      <c r="G42" s="105">
        <v>19.46</v>
      </c>
      <c r="H42" s="105">
        <f>G42*(1 +'Input data'!$C$7)</f>
        <v>21.005123999999999</v>
      </c>
      <c r="I42" s="24" t="s">
        <v>80</v>
      </c>
      <c r="J42" s="7"/>
      <c r="K42" s="6"/>
      <c r="L42" s="6"/>
      <c r="M42" s="6"/>
      <c r="N42" s="6"/>
      <c r="O42" s="6"/>
      <c r="P42" s="6"/>
      <c r="Q42" s="6"/>
      <c r="R42" s="6"/>
      <c r="S42" s="6"/>
      <c r="T42" s="6"/>
    </row>
    <row r="43" spans="1:20" x14ac:dyDescent="0.2">
      <c r="A43" s="9" t="s">
        <v>315</v>
      </c>
      <c r="B43" s="306" t="str">
        <f>VLOOKUP(A43,'Tariff Schedule Lookup Table'!$A$8:$D$143,2,FALSE)</f>
        <v>Low Pressure Sodium 90/100</v>
      </c>
      <c r="C43" s="38">
        <v>31.55</v>
      </c>
      <c r="D43" s="38">
        <f>C43*(1+'Input data'!$C$7)</f>
        <v>34.055070000000001</v>
      </c>
      <c r="E43" s="38">
        <v>69</v>
      </c>
      <c r="F43" s="105">
        <f>E43*(1 +'Input data'!$C$7)</f>
        <v>74.4786</v>
      </c>
      <c r="G43" s="105">
        <v>19.46</v>
      </c>
      <c r="H43" s="105">
        <f>G43*(1 +'Input data'!$C$7)</f>
        <v>21.005123999999999</v>
      </c>
      <c r="I43" s="24" t="s">
        <v>80</v>
      </c>
      <c r="J43" s="7"/>
      <c r="K43" s="6"/>
      <c r="L43" s="6"/>
      <c r="M43" s="6"/>
      <c r="N43" s="6"/>
      <c r="O43" s="6"/>
      <c r="P43" s="6"/>
      <c r="Q43" s="6"/>
      <c r="R43" s="6"/>
      <c r="S43" s="6"/>
      <c r="T43" s="6"/>
    </row>
    <row r="44" spans="1:20" ht="22.5" x14ac:dyDescent="0.2">
      <c r="A44" s="11" t="s">
        <v>316</v>
      </c>
      <c r="B44" s="308" t="str">
        <f>VLOOKUP(A44,'Tariff Schedule Lookup Table'!$A$8:$D$143,2,FALSE)</f>
        <v>Low Pressure Sodium 135</v>
      </c>
      <c r="C44" s="112">
        <v>35.5</v>
      </c>
      <c r="D44" s="112">
        <f>C44*(1+'Input data'!$C$7)</f>
        <v>38.3187</v>
      </c>
      <c r="E44" s="121">
        <v>73.7</v>
      </c>
      <c r="F44" s="235">
        <f>E44*(1 +'Input data'!$C$7)</f>
        <v>79.551779999999994</v>
      </c>
      <c r="G44" s="121">
        <v>19.46</v>
      </c>
      <c r="H44" s="235">
        <f>G44*(1 +'Input data'!$C$7)</f>
        <v>21.005123999999999</v>
      </c>
      <c r="I44" s="119" t="s">
        <v>626</v>
      </c>
      <c r="J44" s="7"/>
      <c r="K44" s="6"/>
      <c r="L44" s="6"/>
      <c r="M44" s="6"/>
      <c r="N44" s="6"/>
      <c r="O44" s="6"/>
      <c r="P44" s="6"/>
      <c r="Q44" s="6"/>
      <c r="R44" s="6"/>
      <c r="S44" s="6"/>
      <c r="T44" s="6"/>
    </row>
    <row r="45" spans="1:20" x14ac:dyDescent="0.2">
      <c r="A45" s="7"/>
      <c r="B45" s="7"/>
      <c r="C45" s="7"/>
      <c r="D45" s="7"/>
      <c r="E45" s="7"/>
      <c r="F45" s="7"/>
      <c r="G45" s="7"/>
      <c r="H45" s="7"/>
      <c r="I45" s="7"/>
      <c r="J45" s="7"/>
      <c r="K45" s="6"/>
      <c r="L45" s="6"/>
      <c r="M45" s="6"/>
      <c r="N45" s="6"/>
      <c r="O45" s="6"/>
      <c r="P45" s="6"/>
      <c r="Q45" s="6"/>
      <c r="R45" s="6"/>
      <c r="S45" s="6"/>
      <c r="T45" s="6"/>
    </row>
    <row r="46" spans="1:20" x14ac:dyDescent="0.2">
      <c r="A46" s="7"/>
      <c r="B46" s="7"/>
      <c r="C46" s="47"/>
      <c r="D46" s="7"/>
      <c r="E46" s="7"/>
      <c r="F46" s="7"/>
      <c r="G46" s="7"/>
      <c r="H46" s="7"/>
      <c r="I46" s="7"/>
      <c r="J46" s="7"/>
      <c r="K46" s="6"/>
      <c r="L46" s="6"/>
      <c r="M46" s="6"/>
      <c r="N46" s="6"/>
      <c r="O46" s="6"/>
      <c r="P46" s="6"/>
      <c r="Q46" s="6"/>
      <c r="R46" s="6"/>
      <c r="S46" s="6"/>
      <c r="T46" s="6"/>
    </row>
    <row r="47" spans="1:20" x14ac:dyDescent="0.2">
      <c r="A47" s="7"/>
      <c r="B47" s="7"/>
      <c r="C47" s="7"/>
      <c r="D47" s="7"/>
      <c r="E47" s="7"/>
      <c r="F47" s="7"/>
      <c r="G47" s="7"/>
      <c r="H47" s="7"/>
      <c r="I47" s="7"/>
      <c r="J47" s="7"/>
      <c r="K47" s="6"/>
      <c r="L47" s="6"/>
      <c r="M47" s="6"/>
      <c r="N47" s="6"/>
      <c r="O47" s="6"/>
      <c r="P47" s="6"/>
      <c r="Q47" s="6"/>
      <c r="R47" s="6"/>
      <c r="S47" s="6"/>
      <c r="T47" s="6"/>
    </row>
    <row r="48" spans="1:20" x14ac:dyDescent="0.2">
      <c r="A48" s="7"/>
      <c r="B48" s="7"/>
      <c r="C48" s="7"/>
      <c r="D48" s="7"/>
      <c r="E48" s="7"/>
      <c r="F48" s="7"/>
      <c r="G48" s="7"/>
      <c r="H48" s="7"/>
      <c r="I48" s="7"/>
      <c r="J48" s="7"/>
      <c r="K48" s="6"/>
      <c r="L48" s="6"/>
      <c r="M48" s="6"/>
      <c r="N48" s="6"/>
      <c r="O48" s="6"/>
      <c r="P48" s="6"/>
      <c r="Q48" s="6"/>
      <c r="R48" s="6"/>
      <c r="S48" s="6"/>
      <c r="T48" s="6"/>
    </row>
    <row r="49" spans="1:20" x14ac:dyDescent="0.2">
      <c r="A49" s="7"/>
      <c r="B49" s="7"/>
      <c r="C49" s="7"/>
      <c r="D49" s="7"/>
      <c r="E49" s="7"/>
      <c r="F49" s="7"/>
      <c r="G49" s="7"/>
      <c r="H49" s="7"/>
      <c r="I49" s="7"/>
      <c r="J49" s="7"/>
      <c r="K49" s="6"/>
      <c r="L49" s="6"/>
      <c r="M49" s="6"/>
      <c r="N49" s="6"/>
      <c r="O49" s="6"/>
      <c r="P49" s="6"/>
      <c r="Q49" s="6"/>
      <c r="R49" s="6"/>
      <c r="S49" s="6"/>
      <c r="T49" s="6"/>
    </row>
    <row r="50" spans="1:20" x14ac:dyDescent="0.2">
      <c r="A50" s="7"/>
      <c r="B50" s="7"/>
      <c r="C50" s="7"/>
      <c r="D50" s="7"/>
      <c r="E50" s="7"/>
      <c r="F50" s="7"/>
      <c r="G50" s="7"/>
      <c r="H50" s="7"/>
      <c r="I50" s="7"/>
      <c r="J50" s="7"/>
      <c r="K50" s="6"/>
      <c r="L50" s="6"/>
      <c r="M50" s="6"/>
      <c r="N50" s="6"/>
      <c r="O50" s="6"/>
      <c r="P50" s="6"/>
      <c r="Q50" s="6"/>
      <c r="R50" s="6"/>
      <c r="S50" s="6"/>
      <c r="T50" s="6"/>
    </row>
    <row r="51" spans="1:20" x14ac:dyDescent="0.2">
      <c r="A51" s="7"/>
      <c r="B51" s="7"/>
      <c r="C51" s="7"/>
      <c r="D51" s="7"/>
      <c r="E51" s="7"/>
      <c r="F51" s="7"/>
      <c r="G51" s="7"/>
      <c r="H51" s="7"/>
      <c r="I51" s="7"/>
      <c r="J51" s="7"/>
      <c r="K51" s="6"/>
      <c r="L51" s="6"/>
      <c r="M51" s="6"/>
      <c r="N51" s="6"/>
      <c r="O51" s="6"/>
      <c r="P51" s="6"/>
      <c r="Q51" s="6"/>
      <c r="R51" s="6"/>
      <c r="S51" s="6"/>
      <c r="T51" s="6"/>
    </row>
    <row r="52" spans="1:20" x14ac:dyDescent="0.2">
      <c r="A52" s="7"/>
      <c r="B52" s="7"/>
      <c r="C52" s="7"/>
      <c r="D52" s="7"/>
      <c r="E52" s="7"/>
      <c r="F52" s="7"/>
      <c r="G52" s="7"/>
      <c r="H52" s="7"/>
      <c r="I52" s="7"/>
      <c r="J52" s="7"/>
      <c r="K52" s="6"/>
      <c r="L52" s="6"/>
      <c r="M52" s="6"/>
      <c r="N52" s="6"/>
      <c r="O52" s="6"/>
      <c r="P52" s="6"/>
      <c r="Q52" s="6"/>
      <c r="R52" s="6"/>
      <c r="S52" s="6"/>
      <c r="T52" s="6"/>
    </row>
    <row r="53" spans="1:20" x14ac:dyDescent="0.2">
      <c r="A53" s="7"/>
      <c r="B53" s="7"/>
      <c r="C53" s="7"/>
      <c r="D53" s="7"/>
      <c r="E53" s="7"/>
      <c r="F53" s="7"/>
      <c r="G53" s="7"/>
      <c r="H53" s="7"/>
      <c r="I53" s="7"/>
      <c r="J53" s="7"/>
      <c r="K53" s="6"/>
      <c r="L53" s="6"/>
      <c r="M53" s="6"/>
      <c r="N53" s="6"/>
      <c r="O53" s="6"/>
      <c r="P53" s="6"/>
      <c r="Q53" s="6"/>
      <c r="R53" s="6"/>
      <c r="S53" s="6"/>
      <c r="T53" s="6"/>
    </row>
    <row r="54" spans="1:20" x14ac:dyDescent="0.2">
      <c r="A54" s="7"/>
      <c r="B54" s="7"/>
      <c r="C54" s="7"/>
      <c r="D54" s="7"/>
      <c r="E54" s="7"/>
      <c r="F54" s="7"/>
      <c r="G54" s="7"/>
      <c r="H54" s="7"/>
      <c r="I54" s="7"/>
      <c r="J54" s="7"/>
      <c r="K54" s="6"/>
      <c r="L54" s="6"/>
      <c r="M54" s="6"/>
      <c r="N54" s="6"/>
      <c r="O54" s="6"/>
      <c r="P54" s="6"/>
      <c r="Q54" s="6"/>
      <c r="R54" s="6"/>
      <c r="S54" s="6"/>
      <c r="T54" s="6"/>
    </row>
    <row r="55" spans="1:20" x14ac:dyDescent="0.2">
      <c r="A55" s="7"/>
      <c r="B55" s="7"/>
      <c r="C55" s="7"/>
      <c r="D55" s="7"/>
      <c r="E55" s="7"/>
      <c r="F55" s="7"/>
      <c r="G55" s="7"/>
      <c r="H55" s="7"/>
      <c r="I55" s="7"/>
      <c r="J55" s="7"/>
      <c r="K55" s="6"/>
      <c r="L55" s="6"/>
      <c r="M55" s="6"/>
      <c r="N55" s="6"/>
      <c r="O55" s="6"/>
      <c r="P55" s="6"/>
      <c r="Q55" s="6"/>
      <c r="R55" s="6"/>
      <c r="S55" s="6"/>
      <c r="T55" s="6"/>
    </row>
    <row r="56" spans="1:20" x14ac:dyDescent="0.2">
      <c r="A56" s="7"/>
      <c r="B56" s="7"/>
      <c r="C56" s="7"/>
      <c r="D56" s="7"/>
      <c r="E56" s="7"/>
      <c r="F56" s="7"/>
      <c r="G56" s="7"/>
      <c r="H56" s="7"/>
      <c r="I56" s="7"/>
      <c r="J56" s="7"/>
      <c r="K56" s="6"/>
      <c r="L56" s="6"/>
      <c r="M56" s="6"/>
      <c r="N56" s="6"/>
      <c r="O56" s="6"/>
      <c r="P56" s="6"/>
      <c r="Q56" s="6"/>
      <c r="R56" s="6"/>
      <c r="S56" s="6"/>
      <c r="T56" s="6"/>
    </row>
    <row r="57" spans="1:20" x14ac:dyDescent="0.2">
      <c r="A57" s="7"/>
      <c r="B57" s="7"/>
      <c r="C57" s="7"/>
      <c r="D57" s="7"/>
      <c r="E57" s="7"/>
      <c r="F57" s="7"/>
      <c r="G57" s="7"/>
      <c r="H57" s="7"/>
      <c r="I57" s="7"/>
      <c r="J57" s="7"/>
      <c r="K57" s="6"/>
      <c r="L57" s="6"/>
      <c r="M57" s="6"/>
      <c r="N57" s="6"/>
      <c r="O57" s="6"/>
      <c r="P57" s="6"/>
      <c r="Q57" s="6"/>
      <c r="R57" s="6"/>
      <c r="S57" s="6"/>
      <c r="T57" s="6"/>
    </row>
    <row r="58" spans="1:20" x14ac:dyDescent="0.2">
      <c r="A58" s="7"/>
      <c r="B58" s="7"/>
      <c r="C58" s="7"/>
      <c r="D58" s="7"/>
      <c r="E58" s="7"/>
      <c r="F58" s="7"/>
      <c r="G58" s="7"/>
      <c r="H58" s="7"/>
      <c r="I58" s="7"/>
      <c r="J58" s="7"/>
      <c r="K58" s="6"/>
      <c r="L58" s="6"/>
      <c r="M58" s="6"/>
      <c r="N58" s="6"/>
      <c r="O58" s="6"/>
      <c r="P58" s="6"/>
      <c r="Q58" s="6"/>
      <c r="R58" s="6"/>
      <c r="S58" s="6"/>
      <c r="T58" s="6"/>
    </row>
    <row r="59" spans="1:20" x14ac:dyDescent="0.2">
      <c r="A59" s="7"/>
      <c r="B59" s="7"/>
      <c r="C59" s="7"/>
      <c r="D59" s="7"/>
      <c r="E59" s="7"/>
      <c r="F59" s="7"/>
      <c r="G59" s="7"/>
      <c r="H59" s="7"/>
      <c r="I59" s="7"/>
      <c r="J59" s="7"/>
      <c r="K59" s="6"/>
      <c r="L59" s="6"/>
      <c r="M59" s="6"/>
      <c r="N59" s="6"/>
      <c r="O59" s="6"/>
      <c r="P59" s="6"/>
      <c r="Q59" s="6"/>
      <c r="R59" s="6"/>
      <c r="S59" s="6"/>
      <c r="T59" s="6"/>
    </row>
    <row r="60" spans="1:20" x14ac:dyDescent="0.2">
      <c r="A60" s="7"/>
      <c r="B60" s="7"/>
      <c r="C60" s="7"/>
      <c r="D60" s="7"/>
      <c r="E60" s="7"/>
      <c r="F60" s="7"/>
      <c r="G60" s="7"/>
      <c r="H60" s="7"/>
      <c r="I60" s="7"/>
      <c r="J60" s="7"/>
      <c r="K60" s="6"/>
      <c r="L60" s="6"/>
      <c r="M60" s="6"/>
      <c r="N60" s="6"/>
      <c r="O60" s="6"/>
      <c r="P60" s="6"/>
      <c r="Q60" s="6"/>
      <c r="R60" s="6"/>
      <c r="S60" s="6"/>
      <c r="T60" s="6"/>
    </row>
    <row r="61" spans="1:20" x14ac:dyDescent="0.2">
      <c r="A61" s="7"/>
      <c r="B61" s="7"/>
      <c r="C61" s="7"/>
      <c r="D61" s="7"/>
      <c r="E61" s="7"/>
      <c r="F61" s="7"/>
      <c r="G61" s="7"/>
      <c r="H61" s="7"/>
      <c r="I61" s="7"/>
      <c r="J61" s="7"/>
      <c r="K61" s="6"/>
      <c r="L61" s="6"/>
      <c r="M61" s="6"/>
      <c r="N61" s="6"/>
      <c r="O61" s="6"/>
      <c r="P61" s="6"/>
      <c r="Q61" s="6"/>
      <c r="R61" s="6"/>
      <c r="S61" s="6"/>
      <c r="T61" s="6"/>
    </row>
    <row r="62" spans="1:20" x14ac:dyDescent="0.2">
      <c r="A62" s="7"/>
      <c r="B62" s="7"/>
      <c r="C62" s="7"/>
      <c r="D62" s="7"/>
      <c r="E62" s="7"/>
      <c r="F62" s="7"/>
      <c r="G62" s="7"/>
      <c r="H62" s="7"/>
      <c r="I62" s="7"/>
      <c r="J62" s="7"/>
      <c r="K62" s="6"/>
      <c r="L62" s="6"/>
      <c r="M62" s="6"/>
      <c r="N62" s="6"/>
      <c r="O62" s="6"/>
      <c r="P62" s="6"/>
      <c r="Q62" s="6"/>
      <c r="R62" s="6"/>
      <c r="S62" s="6"/>
      <c r="T62" s="6"/>
    </row>
    <row r="63" spans="1:20" x14ac:dyDescent="0.2">
      <c r="A63" s="7"/>
      <c r="B63" s="7"/>
      <c r="C63" s="7"/>
      <c r="D63" s="7"/>
      <c r="E63" s="7"/>
      <c r="F63" s="7"/>
      <c r="G63" s="7"/>
      <c r="H63" s="7"/>
      <c r="I63" s="7"/>
      <c r="J63" s="7"/>
      <c r="K63" s="6"/>
      <c r="L63" s="6"/>
      <c r="M63" s="6"/>
      <c r="N63" s="6"/>
      <c r="O63" s="6"/>
      <c r="P63" s="6"/>
      <c r="Q63" s="6"/>
      <c r="R63" s="6"/>
      <c r="S63" s="6"/>
      <c r="T63" s="6"/>
    </row>
    <row r="64" spans="1:20" x14ac:dyDescent="0.2">
      <c r="A64" s="7"/>
      <c r="B64" s="7"/>
      <c r="C64" s="7"/>
      <c r="D64" s="7"/>
      <c r="E64" s="7"/>
      <c r="F64" s="7"/>
      <c r="G64" s="7"/>
      <c r="H64" s="7"/>
      <c r="I64" s="7"/>
      <c r="J64" s="7"/>
      <c r="K64" s="6"/>
      <c r="L64" s="6"/>
      <c r="M64" s="6"/>
      <c r="N64" s="6"/>
      <c r="O64" s="6"/>
      <c r="P64" s="6"/>
      <c r="Q64" s="6"/>
      <c r="R64" s="6"/>
      <c r="S64" s="6"/>
      <c r="T64" s="6"/>
    </row>
    <row r="65" spans="1:20" x14ac:dyDescent="0.2">
      <c r="A65" s="7"/>
      <c r="B65" s="7"/>
      <c r="C65" s="7"/>
      <c r="D65" s="7"/>
      <c r="E65" s="7"/>
      <c r="F65" s="7"/>
      <c r="G65" s="7"/>
      <c r="H65" s="7"/>
      <c r="I65" s="7"/>
      <c r="J65" s="7"/>
      <c r="K65" s="6"/>
      <c r="L65" s="6"/>
      <c r="M65" s="6"/>
      <c r="N65" s="6"/>
      <c r="O65" s="6"/>
      <c r="P65" s="6"/>
      <c r="Q65" s="6"/>
      <c r="R65" s="6"/>
      <c r="S65" s="6"/>
      <c r="T65" s="6"/>
    </row>
    <row r="66" spans="1:20" x14ac:dyDescent="0.2">
      <c r="A66" s="7"/>
      <c r="B66" s="7"/>
      <c r="C66" s="7"/>
      <c r="D66" s="7"/>
      <c r="E66" s="7"/>
      <c r="F66" s="7"/>
      <c r="G66" s="7"/>
      <c r="H66" s="7"/>
      <c r="I66" s="7"/>
      <c r="J66" s="7"/>
      <c r="K66" s="6"/>
      <c r="L66" s="6"/>
      <c r="M66" s="6"/>
      <c r="N66" s="6"/>
      <c r="O66" s="6"/>
      <c r="P66" s="6"/>
      <c r="Q66" s="6"/>
      <c r="R66" s="6"/>
      <c r="S66" s="6"/>
      <c r="T66" s="6"/>
    </row>
    <row r="67" spans="1:20" x14ac:dyDescent="0.2">
      <c r="A67" s="7"/>
      <c r="B67" s="7"/>
      <c r="C67" s="7"/>
      <c r="D67" s="7"/>
      <c r="E67" s="7"/>
      <c r="F67" s="7"/>
      <c r="G67" s="7"/>
      <c r="H67" s="7"/>
      <c r="I67" s="7"/>
      <c r="J67" s="7"/>
      <c r="K67" s="6"/>
      <c r="L67" s="6"/>
      <c r="M67" s="6"/>
      <c r="N67" s="6"/>
      <c r="O67" s="6"/>
      <c r="P67" s="6"/>
      <c r="Q67" s="6"/>
      <c r="R67" s="6"/>
      <c r="S67" s="6"/>
      <c r="T67" s="6"/>
    </row>
    <row r="68" spans="1:20" x14ac:dyDescent="0.2">
      <c r="A68" s="7"/>
      <c r="B68" s="7"/>
      <c r="C68" s="7"/>
      <c r="D68" s="7"/>
      <c r="E68" s="7"/>
      <c r="F68" s="7"/>
      <c r="G68" s="7"/>
      <c r="H68" s="7"/>
      <c r="I68" s="7"/>
      <c r="J68" s="7"/>
      <c r="K68" s="6"/>
      <c r="L68" s="6"/>
      <c r="M68" s="6"/>
      <c r="N68" s="6"/>
      <c r="O68" s="6"/>
      <c r="P68" s="6"/>
      <c r="Q68" s="6"/>
      <c r="R68" s="6"/>
      <c r="S68" s="6"/>
      <c r="T68" s="6"/>
    </row>
    <row r="69" spans="1:20" x14ac:dyDescent="0.2">
      <c r="A69" s="7"/>
      <c r="B69" s="7"/>
      <c r="C69" s="7"/>
      <c r="D69" s="7"/>
      <c r="E69" s="7"/>
      <c r="F69" s="7"/>
      <c r="G69" s="7"/>
      <c r="H69" s="7"/>
      <c r="I69" s="7"/>
      <c r="J69" s="7"/>
      <c r="K69" s="6"/>
      <c r="L69" s="6"/>
      <c r="M69" s="6"/>
      <c r="N69" s="6"/>
      <c r="O69" s="6"/>
      <c r="P69" s="6"/>
      <c r="Q69" s="6"/>
      <c r="R69" s="6"/>
      <c r="S69" s="6"/>
      <c r="T69" s="6"/>
    </row>
    <row r="70" spans="1:20" x14ac:dyDescent="0.2">
      <c r="A70" s="7"/>
      <c r="B70" s="7"/>
      <c r="C70" s="7"/>
      <c r="D70" s="7"/>
      <c r="E70" s="7"/>
      <c r="F70" s="7"/>
      <c r="G70" s="7"/>
      <c r="H70" s="7"/>
      <c r="I70" s="7"/>
      <c r="J70" s="7"/>
      <c r="K70" s="6"/>
      <c r="L70" s="6"/>
      <c r="M70" s="6"/>
      <c r="N70" s="6"/>
      <c r="O70" s="6"/>
      <c r="P70" s="6"/>
      <c r="Q70" s="6"/>
      <c r="R70" s="6"/>
      <c r="S70" s="6"/>
      <c r="T70" s="6"/>
    </row>
    <row r="71" spans="1:20" x14ac:dyDescent="0.2">
      <c r="A71" s="7"/>
      <c r="B71" s="7"/>
      <c r="C71" s="7"/>
      <c r="D71" s="7"/>
      <c r="E71" s="7"/>
      <c r="F71" s="7"/>
      <c r="G71" s="7"/>
      <c r="H71" s="7"/>
      <c r="I71" s="7"/>
      <c r="J71" s="7"/>
      <c r="K71" s="6"/>
      <c r="L71" s="6"/>
      <c r="M71" s="6"/>
      <c r="N71" s="6"/>
      <c r="O71" s="6"/>
      <c r="P71" s="6"/>
      <c r="Q71" s="6"/>
      <c r="R71" s="6"/>
      <c r="S71" s="6"/>
      <c r="T71" s="6"/>
    </row>
    <row r="72" spans="1:20" x14ac:dyDescent="0.2">
      <c r="A72" s="7"/>
      <c r="B72" s="7"/>
      <c r="C72" s="7"/>
      <c r="D72" s="7"/>
      <c r="E72" s="7"/>
      <c r="F72" s="7"/>
      <c r="G72" s="7"/>
      <c r="H72" s="7"/>
      <c r="I72" s="7"/>
      <c r="J72" s="7"/>
      <c r="K72" s="6"/>
      <c r="L72" s="6"/>
      <c r="M72" s="6"/>
      <c r="N72" s="6"/>
      <c r="O72" s="6"/>
      <c r="P72" s="6"/>
      <c r="Q72" s="6"/>
      <c r="R72" s="6"/>
      <c r="S72" s="6"/>
      <c r="T72" s="6"/>
    </row>
    <row r="73" spans="1:20" x14ac:dyDescent="0.2">
      <c r="A73" s="7"/>
      <c r="B73" s="7"/>
      <c r="C73" s="7"/>
      <c r="D73" s="7"/>
      <c r="E73" s="7"/>
      <c r="F73" s="7"/>
      <c r="G73" s="7"/>
      <c r="H73" s="7"/>
      <c r="I73" s="7"/>
      <c r="J73" s="7"/>
      <c r="K73" s="6"/>
      <c r="L73" s="6"/>
      <c r="M73" s="6"/>
      <c r="N73" s="6"/>
      <c r="O73" s="6"/>
      <c r="P73" s="6"/>
      <c r="Q73" s="6"/>
      <c r="R73" s="6"/>
      <c r="S73" s="6"/>
      <c r="T73" s="6"/>
    </row>
    <row r="74" spans="1:20" x14ac:dyDescent="0.2">
      <c r="A74" s="7"/>
      <c r="B74" s="7"/>
      <c r="C74" s="7"/>
      <c r="D74" s="7"/>
      <c r="E74" s="7"/>
      <c r="F74" s="7"/>
      <c r="G74" s="7"/>
      <c r="H74" s="7"/>
      <c r="I74" s="7"/>
      <c r="J74" s="7"/>
      <c r="K74" s="6"/>
      <c r="L74" s="6"/>
      <c r="M74" s="6"/>
      <c r="N74" s="6"/>
      <c r="O74" s="6"/>
      <c r="P74" s="6"/>
      <c r="Q74" s="6"/>
      <c r="R74" s="6"/>
      <c r="S74" s="6"/>
      <c r="T74" s="6"/>
    </row>
    <row r="75" spans="1:20" x14ac:dyDescent="0.2">
      <c r="A75" s="7"/>
      <c r="B75" s="7"/>
      <c r="C75" s="7"/>
      <c r="D75" s="7"/>
      <c r="E75" s="7"/>
      <c r="F75" s="7"/>
      <c r="G75" s="7"/>
      <c r="H75" s="7"/>
      <c r="I75" s="7"/>
      <c r="J75" s="7"/>
      <c r="K75" s="6"/>
      <c r="L75" s="6"/>
      <c r="M75" s="6"/>
      <c r="N75" s="6"/>
      <c r="O75" s="6"/>
      <c r="P75" s="6"/>
      <c r="Q75" s="6"/>
      <c r="R75" s="6"/>
      <c r="S75" s="6"/>
      <c r="T75" s="6"/>
    </row>
    <row r="76" spans="1:20" x14ac:dyDescent="0.2">
      <c r="A76" s="7"/>
      <c r="B76" s="7"/>
      <c r="C76" s="7"/>
      <c r="D76" s="7"/>
      <c r="E76" s="7"/>
      <c r="F76" s="7"/>
      <c r="G76" s="7"/>
      <c r="H76" s="7"/>
      <c r="I76" s="7"/>
      <c r="J76" s="7"/>
      <c r="K76" s="6"/>
      <c r="L76" s="6"/>
      <c r="M76" s="6"/>
      <c r="N76" s="6"/>
      <c r="O76" s="6"/>
      <c r="P76" s="6"/>
      <c r="Q76" s="6"/>
      <c r="R76" s="6"/>
      <c r="S76" s="6"/>
      <c r="T76" s="6"/>
    </row>
    <row r="77" spans="1:20" x14ac:dyDescent="0.2">
      <c r="A77" s="7"/>
      <c r="B77" s="7"/>
      <c r="C77" s="7"/>
      <c r="D77" s="7"/>
      <c r="E77" s="7"/>
      <c r="F77" s="7"/>
      <c r="G77" s="7"/>
      <c r="H77" s="7"/>
      <c r="I77" s="7"/>
      <c r="J77" s="7"/>
      <c r="K77" s="6"/>
      <c r="L77" s="6"/>
      <c r="M77" s="6"/>
      <c r="N77" s="6"/>
      <c r="O77" s="6"/>
      <c r="P77" s="6"/>
      <c r="Q77" s="6"/>
      <c r="R77" s="6"/>
      <c r="S77" s="6"/>
      <c r="T77" s="6"/>
    </row>
    <row r="78" spans="1:20" x14ac:dyDescent="0.2">
      <c r="A78" s="7"/>
      <c r="B78" s="7"/>
      <c r="C78" s="7"/>
      <c r="D78" s="7"/>
      <c r="E78" s="7"/>
      <c r="F78" s="7"/>
      <c r="G78" s="7"/>
      <c r="H78" s="7"/>
      <c r="I78" s="7"/>
      <c r="J78" s="7"/>
      <c r="K78" s="6"/>
      <c r="L78" s="6"/>
      <c r="M78" s="6"/>
      <c r="N78" s="6"/>
      <c r="O78" s="6"/>
      <c r="P78" s="6"/>
      <c r="Q78" s="6"/>
      <c r="R78" s="6"/>
      <c r="S78" s="6"/>
      <c r="T78" s="6"/>
    </row>
    <row r="79" spans="1:20" x14ac:dyDescent="0.2">
      <c r="A79" s="7"/>
      <c r="B79" s="7"/>
      <c r="C79" s="7"/>
      <c r="D79" s="7"/>
      <c r="E79" s="7"/>
      <c r="F79" s="7"/>
      <c r="G79" s="7"/>
      <c r="H79" s="7"/>
      <c r="I79" s="7"/>
      <c r="J79" s="7"/>
      <c r="K79" s="6"/>
      <c r="L79" s="6"/>
      <c r="M79" s="6"/>
      <c r="N79" s="6"/>
      <c r="O79" s="6"/>
      <c r="P79" s="6"/>
      <c r="Q79" s="6"/>
      <c r="R79" s="6"/>
      <c r="S79" s="6"/>
      <c r="T79" s="6"/>
    </row>
    <row r="80" spans="1:20" x14ac:dyDescent="0.2">
      <c r="A80" s="7"/>
      <c r="B80" s="7"/>
      <c r="C80" s="7"/>
      <c r="D80" s="7"/>
      <c r="E80" s="7"/>
      <c r="F80" s="7"/>
      <c r="G80" s="7"/>
      <c r="H80" s="7"/>
      <c r="I80" s="7"/>
      <c r="J80" s="7"/>
      <c r="K80" s="6"/>
      <c r="L80" s="6"/>
      <c r="M80" s="6"/>
      <c r="N80" s="6"/>
      <c r="O80" s="6"/>
      <c r="P80" s="6"/>
      <c r="Q80" s="6"/>
      <c r="R80" s="6"/>
      <c r="S80" s="6"/>
      <c r="T80" s="6"/>
    </row>
    <row r="81" spans="1:20" x14ac:dyDescent="0.2">
      <c r="A81" s="7"/>
      <c r="B81" s="7"/>
      <c r="C81" s="7"/>
      <c r="D81" s="7"/>
      <c r="E81" s="7"/>
      <c r="F81" s="7"/>
      <c r="G81" s="7"/>
      <c r="H81" s="7"/>
      <c r="I81" s="7"/>
      <c r="J81" s="7"/>
      <c r="K81" s="6"/>
      <c r="L81" s="6"/>
      <c r="M81" s="6"/>
      <c r="N81" s="6"/>
      <c r="O81" s="6"/>
      <c r="P81" s="6"/>
      <c r="Q81" s="6"/>
      <c r="R81" s="6"/>
      <c r="S81" s="6"/>
      <c r="T81" s="6"/>
    </row>
    <row r="82" spans="1:20" x14ac:dyDescent="0.2">
      <c r="A82" s="7"/>
      <c r="B82" s="7"/>
      <c r="C82" s="7"/>
      <c r="D82" s="7"/>
      <c r="E82" s="7"/>
      <c r="F82" s="7"/>
      <c r="G82" s="7"/>
      <c r="H82" s="7"/>
      <c r="I82" s="7"/>
      <c r="J82" s="7"/>
      <c r="K82" s="6"/>
      <c r="L82" s="6"/>
      <c r="M82" s="6"/>
      <c r="N82" s="6"/>
      <c r="O82" s="6"/>
      <c r="P82" s="6"/>
      <c r="Q82" s="6"/>
      <c r="R82" s="6"/>
      <c r="S82" s="6"/>
      <c r="T82" s="6"/>
    </row>
    <row r="83" spans="1:20" x14ac:dyDescent="0.2">
      <c r="A83" s="7"/>
      <c r="B83" s="7"/>
      <c r="C83" s="7"/>
      <c r="D83" s="7"/>
      <c r="E83" s="7"/>
      <c r="F83" s="7"/>
      <c r="G83" s="7"/>
      <c r="H83" s="7"/>
      <c r="I83" s="7"/>
      <c r="J83" s="7"/>
      <c r="K83" s="6"/>
      <c r="L83" s="6"/>
      <c r="M83" s="6"/>
      <c r="N83" s="6"/>
      <c r="O83" s="6"/>
      <c r="P83" s="6"/>
      <c r="Q83" s="6"/>
      <c r="R83" s="6"/>
      <c r="S83" s="6"/>
      <c r="T83" s="6"/>
    </row>
    <row r="84" spans="1:20" x14ac:dyDescent="0.2">
      <c r="A84" s="7"/>
      <c r="B84" s="7"/>
      <c r="C84" s="7"/>
      <c r="D84" s="7"/>
      <c r="E84" s="7"/>
      <c r="F84" s="7"/>
      <c r="G84" s="7"/>
      <c r="H84" s="7"/>
      <c r="I84" s="7"/>
      <c r="J84" s="7"/>
      <c r="K84" s="6"/>
      <c r="L84" s="6"/>
      <c r="M84" s="6"/>
      <c r="N84" s="6"/>
      <c r="O84" s="6"/>
      <c r="P84" s="6"/>
      <c r="Q84" s="6"/>
      <c r="R84" s="6"/>
      <c r="S84" s="6"/>
      <c r="T84" s="6"/>
    </row>
    <row r="85" spans="1:20" x14ac:dyDescent="0.2">
      <c r="A85" s="7"/>
      <c r="B85" s="7"/>
      <c r="C85" s="7"/>
      <c r="D85" s="7"/>
      <c r="E85" s="7"/>
      <c r="F85" s="7"/>
      <c r="G85" s="7"/>
      <c r="H85" s="7"/>
      <c r="I85" s="7"/>
      <c r="J85" s="7"/>
      <c r="K85" s="6"/>
      <c r="L85" s="6"/>
      <c r="M85" s="6"/>
      <c r="N85" s="6"/>
      <c r="O85" s="6"/>
      <c r="P85" s="6"/>
      <c r="Q85" s="6"/>
      <c r="R85" s="6"/>
      <c r="S85" s="6"/>
      <c r="T85" s="6"/>
    </row>
    <row r="86" spans="1:20" x14ac:dyDescent="0.2">
      <c r="A86" s="7"/>
      <c r="B86" s="7"/>
      <c r="C86" s="7"/>
      <c r="D86" s="7"/>
      <c r="E86" s="7"/>
      <c r="F86" s="7"/>
      <c r="G86" s="7"/>
      <c r="H86" s="7"/>
      <c r="I86" s="7"/>
      <c r="J86" s="7"/>
      <c r="K86" s="6"/>
      <c r="L86" s="6"/>
      <c r="M86" s="6"/>
      <c r="N86" s="6"/>
      <c r="O86" s="6"/>
      <c r="P86" s="6"/>
      <c r="Q86" s="6"/>
      <c r="R86" s="6"/>
      <c r="S86" s="6"/>
      <c r="T86" s="6"/>
    </row>
    <row r="87" spans="1:20" x14ac:dyDescent="0.2">
      <c r="A87" s="7"/>
      <c r="B87" s="7"/>
      <c r="C87" s="7"/>
      <c r="D87" s="7"/>
      <c r="E87" s="7"/>
      <c r="F87" s="7"/>
      <c r="G87" s="7"/>
      <c r="H87" s="7"/>
      <c r="I87" s="7"/>
      <c r="J87" s="7"/>
      <c r="K87" s="6"/>
      <c r="L87" s="6"/>
      <c r="M87" s="6"/>
      <c r="N87" s="6"/>
      <c r="O87" s="6"/>
      <c r="P87" s="6"/>
      <c r="Q87" s="6"/>
      <c r="R87" s="6"/>
      <c r="S87" s="6"/>
      <c r="T87" s="6"/>
    </row>
    <row r="88" spans="1:20" x14ac:dyDescent="0.2">
      <c r="A88" s="7"/>
      <c r="B88" s="7"/>
      <c r="C88" s="7"/>
      <c r="D88" s="7"/>
      <c r="E88" s="7"/>
      <c r="F88" s="7"/>
      <c r="G88" s="7"/>
      <c r="H88" s="7"/>
      <c r="I88" s="7"/>
      <c r="J88" s="7"/>
      <c r="K88" s="6"/>
      <c r="L88" s="6"/>
      <c r="M88" s="6"/>
      <c r="N88" s="6"/>
      <c r="O88" s="6"/>
      <c r="P88" s="6"/>
      <c r="Q88" s="6"/>
      <c r="R88" s="6"/>
      <c r="S88" s="6"/>
      <c r="T88" s="6"/>
    </row>
    <row r="89" spans="1:20" x14ac:dyDescent="0.2">
      <c r="A89" s="7"/>
      <c r="B89" s="7"/>
      <c r="C89" s="7"/>
      <c r="D89" s="7"/>
      <c r="E89" s="7"/>
      <c r="F89" s="7"/>
      <c r="G89" s="7"/>
      <c r="H89" s="7"/>
      <c r="I89" s="7"/>
      <c r="J89" s="7"/>
      <c r="K89" s="6"/>
      <c r="L89" s="6"/>
      <c r="M89" s="6"/>
      <c r="N89" s="6"/>
      <c r="O89" s="6"/>
      <c r="P89" s="6"/>
      <c r="Q89" s="6"/>
      <c r="R89" s="6"/>
      <c r="S89" s="6"/>
      <c r="T89" s="6"/>
    </row>
    <row r="90" spans="1:20" x14ac:dyDescent="0.2">
      <c r="A90" s="7"/>
      <c r="B90" s="7"/>
      <c r="C90" s="7"/>
      <c r="D90" s="7"/>
      <c r="E90" s="7"/>
      <c r="F90" s="7"/>
      <c r="G90" s="7"/>
      <c r="H90" s="7"/>
      <c r="I90" s="7"/>
      <c r="J90" s="7"/>
      <c r="K90" s="6"/>
      <c r="L90" s="6"/>
      <c r="M90" s="6"/>
      <c r="N90" s="6"/>
      <c r="O90" s="6"/>
      <c r="P90" s="6"/>
      <c r="Q90" s="6"/>
      <c r="R90" s="6"/>
      <c r="S90" s="6"/>
      <c r="T90" s="6"/>
    </row>
    <row r="91" spans="1:20" x14ac:dyDescent="0.2">
      <c r="A91" s="7"/>
      <c r="B91" s="7"/>
      <c r="C91" s="7"/>
      <c r="D91" s="7"/>
      <c r="E91" s="7"/>
      <c r="F91" s="7"/>
      <c r="G91" s="7"/>
      <c r="H91" s="7"/>
      <c r="I91" s="7"/>
      <c r="J91" s="7"/>
      <c r="K91" s="6"/>
      <c r="L91" s="6"/>
      <c r="M91" s="6"/>
      <c r="N91" s="6"/>
      <c r="O91" s="6"/>
      <c r="P91" s="6"/>
      <c r="Q91" s="6"/>
      <c r="R91" s="6"/>
      <c r="S91" s="6"/>
      <c r="T91" s="6"/>
    </row>
    <row r="92" spans="1:20" x14ac:dyDescent="0.2">
      <c r="A92" s="7"/>
      <c r="B92" s="7"/>
      <c r="C92" s="7"/>
      <c r="D92" s="7"/>
      <c r="E92" s="7"/>
      <c r="F92" s="7"/>
      <c r="G92" s="7"/>
      <c r="H92" s="7"/>
      <c r="I92" s="7"/>
      <c r="J92" s="7"/>
      <c r="K92" s="6"/>
      <c r="L92" s="6"/>
      <c r="M92" s="6"/>
      <c r="N92" s="6"/>
      <c r="O92" s="6"/>
      <c r="P92" s="6"/>
      <c r="Q92" s="6"/>
      <c r="R92" s="6"/>
      <c r="S92" s="6"/>
      <c r="T92" s="6"/>
    </row>
    <row r="93" spans="1:20" x14ac:dyDescent="0.2">
      <c r="A93" s="7"/>
      <c r="B93" s="7"/>
      <c r="C93" s="7"/>
      <c r="D93" s="7"/>
      <c r="E93" s="7"/>
      <c r="F93" s="7"/>
      <c r="G93" s="7"/>
      <c r="H93" s="7"/>
      <c r="I93" s="7"/>
      <c r="J93" s="7"/>
      <c r="K93" s="6"/>
      <c r="L93" s="6"/>
      <c r="M93" s="6"/>
      <c r="N93" s="6"/>
      <c r="O93" s="6"/>
      <c r="P93" s="6"/>
      <c r="Q93" s="6"/>
      <c r="R93" s="6"/>
      <c r="S93" s="6"/>
      <c r="T93" s="6"/>
    </row>
    <row r="94" spans="1:20" x14ac:dyDescent="0.2">
      <c r="A94" s="7"/>
      <c r="B94" s="7"/>
      <c r="C94" s="7"/>
      <c r="D94" s="7"/>
      <c r="E94" s="7"/>
      <c r="F94" s="7"/>
      <c r="G94" s="7"/>
      <c r="H94" s="7"/>
      <c r="I94" s="7"/>
      <c r="J94" s="7"/>
      <c r="K94" s="6"/>
      <c r="L94" s="6"/>
      <c r="M94" s="6"/>
      <c r="N94" s="6"/>
      <c r="O94" s="6"/>
      <c r="P94" s="6"/>
      <c r="Q94" s="6"/>
      <c r="R94" s="6"/>
      <c r="S94" s="6"/>
      <c r="T94" s="6"/>
    </row>
    <row r="95" spans="1:20" x14ac:dyDescent="0.2">
      <c r="A95" s="7"/>
      <c r="B95" s="7"/>
      <c r="C95" s="7"/>
      <c r="D95" s="7"/>
      <c r="E95" s="7"/>
      <c r="F95" s="7"/>
      <c r="G95" s="7"/>
      <c r="H95" s="7"/>
      <c r="I95" s="7"/>
      <c r="J95" s="7"/>
      <c r="K95" s="6"/>
      <c r="L95" s="6"/>
      <c r="M95" s="6"/>
      <c r="N95" s="6"/>
      <c r="O95" s="6"/>
      <c r="P95" s="6"/>
      <c r="Q95" s="6"/>
      <c r="R95" s="6"/>
      <c r="S95" s="6"/>
      <c r="T95" s="6"/>
    </row>
    <row r="96" spans="1:20" x14ac:dyDescent="0.2">
      <c r="A96" s="7"/>
      <c r="B96" s="7"/>
      <c r="C96" s="7"/>
      <c r="D96" s="7"/>
      <c r="E96" s="7"/>
      <c r="F96" s="7"/>
      <c r="G96" s="7"/>
      <c r="H96" s="7"/>
      <c r="I96" s="7"/>
      <c r="J96" s="7"/>
      <c r="K96" s="6"/>
      <c r="L96" s="6"/>
      <c r="M96" s="6"/>
      <c r="N96" s="6"/>
      <c r="O96" s="6"/>
      <c r="P96" s="6"/>
      <c r="Q96" s="6"/>
      <c r="R96" s="6"/>
      <c r="S96" s="6"/>
      <c r="T96" s="6"/>
    </row>
    <row r="97" spans="1:20" x14ac:dyDescent="0.2">
      <c r="A97" s="7"/>
      <c r="B97" s="7"/>
      <c r="C97" s="7"/>
      <c r="D97" s="7"/>
      <c r="E97" s="7"/>
      <c r="F97" s="7"/>
      <c r="G97" s="7"/>
      <c r="H97" s="7"/>
      <c r="I97" s="7"/>
      <c r="J97" s="7"/>
      <c r="K97" s="6"/>
      <c r="L97" s="6"/>
      <c r="M97" s="6"/>
      <c r="N97" s="6"/>
      <c r="O97" s="6"/>
      <c r="P97" s="6"/>
      <c r="Q97" s="6"/>
      <c r="R97" s="6"/>
      <c r="S97" s="6"/>
      <c r="T97" s="6"/>
    </row>
    <row r="98" spans="1:20" x14ac:dyDescent="0.2">
      <c r="A98" s="7"/>
      <c r="B98" s="7"/>
      <c r="C98" s="7"/>
      <c r="D98" s="7"/>
      <c r="E98" s="7"/>
      <c r="F98" s="7"/>
      <c r="G98" s="7"/>
      <c r="H98" s="7"/>
      <c r="I98" s="7"/>
      <c r="J98" s="7"/>
      <c r="K98" s="6"/>
      <c r="L98" s="6"/>
      <c r="M98" s="6"/>
      <c r="N98" s="6"/>
      <c r="O98" s="6"/>
      <c r="P98" s="6"/>
      <c r="Q98" s="6"/>
      <c r="R98" s="6"/>
      <c r="S98" s="6"/>
      <c r="T98" s="6"/>
    </row>
    <row r="99" spans="1:20" x14ac:dyDescent="0.2">
      <c r="A99" s="7"/>
      <c r="B99" s="7"/>
      <c r="C99" s="7"/>
      <c r="D99" s="7"/>
      <c r="E99" s="7"/>
      <c r="F99" s="7"/>
      <c r="G99" s="7"/>
      <c r="H99" s="7"/>
      <c r="I99" s="7"/>
      <c r="J99" s="7"/>
      <c r="K99" s="6"/>
      <c r="L99" s="6"/>
      <c r="M99" s="6"/>
      <c r="N99" s="6"/>
      <c r="O99" s="6"/>
      <c r="P99" s="6"/>
      <c r="Q99" s="6"/>
      <c r="R99" s="6"/>
      <c r="S99" s="6"/>
      <c r="T99" s="6"/>
    </row>
    <row r="100" spans="1:20" x14ac:dyDescent="0.2">
      <c r="A100" s="7"/>
      <c r="B100" s="7"/>
      <c r="C100" s="7"/>
      <c r="D100" s="7"/>
      <c r="E100" s="7"/>
      <c r="F100" s="7"/>
      <c r="G100" s="7"/>
      <c r="H100" s="7"/>
      <c r="I100" s="7"/>
      <c r="J100" s="7"/>
      <c r="K100" s="6"/>
      <c r="L100" s="6"/>
      <c r="M100" s="6"/>
      <c r="N100" s="6"/>
      <c r="O100" s="6"/>
      <c r="P100" s="6"/>
      <c r="Q100" s="6"/>
      <c r="R100" s="6"/>
      <c r="S100" s="6"/>
      <c r="T100" s="6"/>
    </row>
    <row r="101" spans="1:20" x14ac:dyDescent="0.2">
      <c r="A101" s="7"/>
      <c r="B101" s="7"/>
      <c r="C101" s="7"/>
      <c r="D101" s="7"/>
      <c r="E101" s="7"/>
      <c r="F101" s="7"/>
      <c r="G101" s="7"/>
      <c r="H101" s="7"/>
      <c r="I101" s="7"/>
      <c r="J101" s="7"/>
      <c r="K101" s="6"/>
      <c r="L101" s="6"/>
      <c r="M101" s="6"/>
      <c r="N101" s="6"/>
      <c r="O101" s="6"/>
      <c r="P101" s="6"/>
      <c r="Q101" s="6"/>
      <c r="R101" s="6"/>
      <c r="S101" s="6"/>
      <c r="T101" s="6"/>
    </row>
    <row r="102" spans="1:20" x14ac:dyDescent="0.2">
      <c r="A102" s="7"/>
      <c r="B102" s="7"/>
      <c r="C102" s="7"/>
      <c r="D102" s="7"/>
      <c r="E102" s="7"/>
      <c r="F102" s="7"/>
      <c r="G102" s="7"/>
      <c r="H102" s="7"/>
      <c r="I102" s="7"/>
      <c r="J102" s="7"/>
      <c r="K102" s="6"/>
      <c r="L102" s="6"/>
      <c r="M102" s="6"/>
      <c r="N102" s="6"/>
      <c r="O102" s="6"/>
      <c r="P102" s="6"/>
      <c r="Q102" s="6"/>
      <c r="R102" s="6"/>
      <c r="S102" s="6"/>
      <c r="T102" s="6"/>
    </row>
    <row r="103" spans="1:20" x14ac:dyDescent="0.2">
      <c r="A103" s="7"/>
      <c r="B103" s="7"/>
      <c r="C103" s="7"/>
      <c r="D103" s="7"/>
      <c r="E103" s="7"/>
      <c r="F103" s="7"/>
      <c r="G103" s="7"/>
      <c r="H103" s="7"/>
      <c r="I103" s="7"/>
      <c r="J103" s="7"/>
      <c r="K103" s="6"/>
      <c r="L103" s="6"/>
      <c r="M103" s="6"/>
      <c r="N103" s="6"/>
      <c r="O103" s="6"/>
      <c r="P103" s="6"/>
      <c r="Q103" s="6"/>
      <c r="R103" s="6"/>
      <c r="S103" s="6"/>
      <c r="T103" s="6"/>
    </row>
    <row r="104" spans="1:20" x14ac:dyDescent="0.2">
      <c r="A104" s="7"/>
      <c r="B104" s="7"/>
      <c r="C104" s="7"/>
      <c r="D104" s="7"/>
      <c r="E104" s="7"/>
      <c r="F104" s="7"/>
      <c r="G104" s="7"/>
      <c r="H104" s="7"/>
      <c r="I104" s="7"/>
      <c r="J104" s="7"/>
      <c r="K104" s="6"/>
      <c r="L104" s="6"/>
      <c r="M104" s="6"/>
      <c r="N104" s="6"/>
      <c r="O104" s="6"/>
      <c r="P104" s="6"/>
      <c r="Q104" s="6"/>
      <c r="R104" s="6"/>
      <c r="S104" s="6"/>
      <c r="T104" s="6"/>
    </row>
    <row r="105" spans="1:20" x14ac:dyDescent="0.2">
      <c r="A105" s="7"/>
      <c r="B105" s="7"/>
      <c r="C105" s="7"/>
      <c r="D105" s="7"/>
      <c r="E105" s="7"/>
      <c r="F105" s="7"/>
      <c r="G105" s="7"/>
      <c r="H105" s="7"/>
      <c r="I105" s="7"/>
      <c r="J105" s="7"/>
      <c r="K105" s="6"/>
      <c r="L105" s="6"/>
      <c r="M105" s="6"/>
      <c r="N105" s="6"/>
      <c r="O105" s="6"/>
      <c r="P105" s="6"/>
      <c r="Q105" s="6"/>
      <c r="R105" s="6"/>
      <c r="S105" s="6"/>
      <c r="T105" s="6"/>
    </row>
    <row r="106" spans="1:20" x14ac:dyDescent="0.2">
      <c r="A106" s="7"/>
      <c r="B106" s="7"/>
      <c r="C106" s="7"/>
      <c r="D106" s="7"/>
      <c r="E106" s="7"/>
      <c r="F106" s="7"/>
      <c r="G106" s="7"/>
      <c r="H106" s="7"/>
      <c r="I106" s="7"/>
      <c r="J106" s="7"/>
      <c r="K106" s="6"/>
      <c r="L106" s="6"/>
      <c r="M106" s="6"/>
      <c r="N106" s="6"/>
      <c r="O106" s="6"/>
      <c r="P106" s="6"/>
      <c r="Q106" s="6"/>
      <c r="R106" s="6"/>
      <c r="S106" s="6"/>
      <c r="T106" s="6"/>
    </row>
    <row r="107" spans="1:20" x14ac:dyDescent="0.2">
      <c r="A107" s="7"/>
      <c r="B107" s="7"/>
      <c r="C107" s="7"/>
      <c r="D107" s="7"/>
      <c r="E107" s="7"/>
      <c r="F107" s="7"/>
      <c r="G107" s="7"/>
      <c r="H107" s="7"/>
      <c r="I107" s="7"/>
      <c r="J107" s="7"/>
      <c r="K107" s="6"/>
      <c r="L107" s="6"/>
      <c r="M107" s="6"/>
      <c r="N107" s="6"/>
      <c r="O107" s="6"/>
      <c r="P107" s="6"/>
      <c r="Q107" s="6"/>
      <c r="R107" s="6"/>
      <c r="S107" s="6"/>
      <c r="T107" s="6"/>
    </row>
    <row r="108" spans="1:20" x14ac:dyDescent="0.2">
      <c r="A108" s="7"/>
      <c r="B108" s="7"/>
      <c r="C108" s="7"/>
      <c r="D108" s="7"/>
      <c r="E108" s="7"/>
      <c r="F108" s="7"/>
      <c r="G108" s="7"/>
      <c r="H108" s="7"/>
      <c r="I108" s="7"/>
      <c r="J108" s="7"/>
      <c r="K108" s="6"/>
      <c r="L108" s="6"/>
      <c r="M108" s="6"/>
      <c r="N108" s="6"/>
      <c r="O108" s="6"/>
      <c r="P108" s="6"/>
      <c r="Q108" s="6"/>
      <c r="R108" s="6"/>
      <c r="S108" s="6"/>
      <c r="T108" s="6"/>
    </row>
    <row r="109" spans="1:20" x14ac:dyDescent="0.2">
      <c r="A109" s="7"/>
      <c r="B109" s="7"/>
      <c r="C109" s="7"/>
      <c r="D109" s="7"/>
      <c r="E109" s="7"/>
      <c r="F109" s="7"/>
      <c r="G109" s="7"/>
      <c r="H109" s="7"/>
      <c r="I109" s="7"/>
      <c r="J109" s="7"/>
      <c r="K109" s="6"/>
      <c r="L109" s="6"/>
      <c r="M109" s="6"/>
      <c r="N109" s="6"/>
      <c r="O109" s="6"/>
      <c r="P109" s="6"/>
      <c r="Q109" s="6"/>
      <c r="R109" s="6"/>
      <c r="S109" s="6"/>
      <c r="T109" s="6"/>
    </row>
    <row r="110" spans="1:20" x14ac:dyDescent="0.2">
      <c r="A110" s="7"/>
      <c r="B110" s="7"/>
      <c r="C110" s="7"/>
      <c r="D110" s="7"/>
      <c r="E110" s="7"/>
      <c r="F110" s="7"/>
      <c r="G110" s="7"/>
      <c r="H110" s="7"/>
      <c r="I110" s="7"/>
      <c r="J110" s="7"/>
      <c r="K110" s="6"/>
      <c r="L110" s="6"/>
      <c r="M110" s="6"/>
      <c r="N110" s="6"/>
      <c r="O110" s="6"/>
      <c r="P110" s="6"/>
      <c r="Q110" s="6"/>
      <c r="R110" s="6"/>
      <c r="S110" s="6"/>
      <c r="T110" s="6"/>
    </row>
    <row r="111" spans="1:20" x14ac:dyDescent="0.2">
      <c r="A111" s="7"/>
      <c r="B111" s="7"/>
      <c r="C111" s="7"/>
      <c r="D111" s="7"/>
      <c r="E111" s="7"/>
      <c r="F111" s="7"/>
      <c r="G111" s="7"/>
      <c r="H111" s="7"/>
      <c r="I111" s="7"/>
      <c r="J111" s="7"/>
      <c r="K111" s="6"/>
      <c r="L111" s="6"/>
      <c r="M111" s="6"/>
      <c r="N111" s="6"/>
      <c r="O111" s="6"/>
      <c r="P111" s="6"/>
      <c r="Q111" s="6"/>
      <c r="R111" s="6"/>
      <c r="S111" s="6"/>
      <c r="T111" s="6"/>
    </row>
    <row r="112" spans="1:20" x14ac:dyDescent="0.2">
      <c r="A112" s="7"/>
      <c r="B112" s="7"/>
      <c r="C112" s="7"/>
      <c r="D112" s="7"/>
      <c r="E112" s="7"/>
      <c r="F112" s="7"/>
      <c r="G112" s="7"/>
      <c r="H112" s="7"/>
      <c r="I112" s="7"/>
      <c r="J112" s="7"/>
      <c r="K112" s="6"/>
      <c r="L112" s="6"/>
      <c r="M112" s="6"/>
      <c r="N112" s="6"/>
      <c r="O112" s="6"/>
      <c r="P112" s="6"/>
      <c r="Q112" s="6"/>
      <c r="R112" s="6"/>
      <c r="S112" s="6"/>
      <c r="T112" s="6"/>
    </row>
    <row r="113" spans="1:20" x14ac:dyDescent="0.2">
      <c r="A113" s="7"/>
      <c r="B113" s="7"/>
      <c r="C113" s="7"/>
      <c r="D113" s="7"/>
      <c r="E113" s="7"/>
      <c r="F113" s="7"/>
      <c r="G113" s="7"/>
      <c r="H113" s="7"/>
      <c r="I113" s="7"/>
      <c r="J113" s="7"/>
      <c r="K113" s="6"/>
      <c r="L113" s="6"/>
      <c r="M113" s="6"/>
      <c r="N113" s="6"/>
      <c r="O113" s="6"/>
      <c r="P113" s="6"/>
      <c r="Q113" s="6"/>
      <c r="R113" s="6"/>
      <c r="S113" s="6"/>
      <c r="T113" s="6"/>
    </row>
    <row r="114" spans="1:20" x14ac:dyDescent="0.2">
      <c r="A114" s="7"/>
      <c r="B114" s="7"/>
      <c r="C114" s="7"/>
      <c r="D114" s="7"/>
      <c r="E114" s="7"/>
      <c r="F114" s="7"/>
      <c r="G114" s="7"/>
      <c r="H114" s="7"/>
      <c r="I114" s="7"/>
      <c r="J114" s="7"/>
      <c r="K114" s="6"/>
      <c r="L114" s="6"/>
      <c r="M114" s="6"/>
      <c r="N114" s="6"/>
      <c r="O114" s="6"/>
      <c r="P114" s="6"/>
      <c r="Q114" s="6"/>
      <c r="R114" s="6"/>
      <c r="S114" s="6"/>
      <c r="T114" s="6"/>
    </row>
    <row r="115" spans="1:20" x14ac:dyDescent="0.2">
      <c r="A115" s="7"/>
      <c r="B115" s="7"/>
      <c r="C115" s="7"/>
      <c r="D115" s="7"/>
      <c r="E115" s="7"/>
      <c r="F115" s="7"/>
      <c r="G115" s="7"/>
      <c r="H115" s="7"/>
      <c r="I115" s="7"/>
      <c r="J115" s="7"/>
      <c r="K115" s="6"/>
      <c r="L115" s="6"/>
      <c r="M115" s="6"/>
      <c r="N115" s="6"/>
      <c r="O115" s="6"/>
      <c r="P115" s="6"/>
      <c r="Q115" s="6"/>
      <c r="R115" s="6"/>
      <c r="S115" s="6"/>
      <c r="T115" s="6"/>
    </row>
    <row r="116" spans="1:20" x14ac:dyDescent="0.2">
      <c r="A116" s="7"/>
      <c r="B116" s="7"/>
      <c r="C116" s="7"/>
      <c r="D116" s="7"/>
      <c r="E116" s="7"/>
      <c r="F116" s="7"/>
      <c r="G116" s="7"/>
      <c r="H116" s="7"/>
      <c r="I116" s="7"/>
      <c r="J116" s="7"/>
      <c r="K116" s="6"/>
      <c r="L116" s="6"/>
      <c r="M116" s="6"/>
      <c r="N116" s="6"/>
      <c r="O116" s="6"/>
      <c r="P116" s="6"/>
      <c r="Q116" s="6"/>
      <c r="R116" s="6"/>
      <c r="S116" s="6"/>
      <c r="T116" s="6"/>
    </row>
    <row r="117" spans="1:20" x14ac:dyDescent="0.2">
      <c r="A117" s="7"/>
      <c r="B117" s="7"/>
      <c r="C117" s="7"/>
      <c r="D117" s="7"/>
      <c r="E117" s="7"/>
      <c r="F117" s="7"/>
      <c r="G117" s="7"/>
      <c r="H117" s="7"/>
      <c r="I117" s="7"/>
      <c r="J117" s="7"/>
      <c r="K117" s="6"/>
      <c r="L117" s="6"/>
      <c r="M117" s="6"/>
      <c r="N117" s="6"/>
      <c r="O117" s="6"/>
      <c r="P117" s="6"/>
      <c r="Q117" s="6"/>
      <c r="R117" s="6"/>
      <c r="S117" s="6"/>
      <c r="T117" s="6"/>
    </row>
    <row r="118" spans="1:20" x14ac:dyDescent="0.2">
      <c r="A118" s="7"/>
      <c r="B118" s="7"/>
      <c r="C118" s="7"/>
      <c r="D118" s="7"/>
      <c r="E118" s="7"/>
      <c r="F118" s="7"/>
      <c r="G118" s="7"/>
      <c r="H118" s="7"/>
      <c r="I118" s="7"/>
      <c r="J118" s="7"/>
      <c r="K118" s="6"/>
      <c r="L118" s="6"/>
      <c r="M118" s="6"/>
      <c r="N118" s="6"/>
      <c r="O118" s="6"/>
      <c r="P118" s="6"/>
      <c r="Q118" s="6"/>
      <c r="R118" s="6"/>
      <c r="S118" s="6"/>
      <c r="T118" s="6"/>
    </row>
    <row r="119" spans="1:20" x14ac:dyDescent="0.2">
      <c r="A119" s="7"/>
      <c r="B119" s="7"/>
      <c r="C119" s="7"/>
      <c r="D119" s="7"/>
      <c r="E119" s="7"/>
      <c r="F119" s="7"/>
      <c r="G119" s="7"/>
      <c r="H119" s="7"/>
      <c r="I119" s="7"/>
      <c r="J119" s="7"/>
      <c r="K119" s="6"/>
      <c r="L119" s="6"/>
      <c r="M119" s="6"/>
      <c r="N119" s="6"/>
      <c r="O119" s="6"/>
      <c r="P119" s="6"/>
      <c r="Q119" s="6"/>
      <c r="R119" s="6"/>
      <c r="S119" s="6"/>
      <c r="T119" s="6"/>
    </row>
    <row r="120" spans="1:20" x14ac:dyDescent="0.2">
      <c r="A120" s="6"/>
      <c r="B120" s="6"/>
      <c r="C120" s="6"/>
      <c r="D120" s="6"/>
      <c r="E120" s="6"/>
      <c r="F120" s="6"/>
      <c r="G120" s="6"/>
      <c r="H120" s="6"/>
      <c r="I120" s="6"/>
      <c r="J120" s="6"/>
      <c r="K120" s="6"/>
      <c r="L120" s="6"/>
      <c r="M120" s="6"/>
      <c r="N120" s="6"/>
      <c r="O120" s="6"/>
      <c r="P120" s="6"/>
      <c r="Q120" s="6"/>
      <c r="R120" s="6"/>
      <c r="S120" s="6"/>
      <c r="T120" s="6"/>
    </row>
    <row r="121" spans="1:20" x14ac:dyDescent="0.2">
      <c r="A121" s="6"/>
      <c r="B121" s="6"/>
      <c r="C121" s="6"/>
      <c r="D121" s="6"/>
      <c r="E121" s="6"/>
      <c r="F121" s="6"/>
      <c r="G121" s="6"/>
      <c r="H121" s="6"/>
      <c r="I121" s="6"/>
      <c r="J121" s="6"/>
      <c r="K121" s="6"/>
      <c r="L121" s="6"/>
      <c r="M121" s="6"/>
      <c r="N121" s="6"/>
      <c r="O121" s="6"/>
      <c r="P121" s="6"/>
      <c r="Q121" s="6"/>
      <c r="R121" s="6"/>
      <c r="S121" s="6"/>
      <c r="T121" s="6"/>
    </row>
    <row r="122" spans="1:20" x14ac:dyDescent="0.2">
      <c r="A122" s="6"/>
      <c r="B122" s="6"/>
      <c r="C122" s="6"/>
      <c r="D122" s="6"/>
      <c r="E122" s="6"/>
      <c r="F122" s="6"/>
      <c r="G122" s="6"/>
      <c r="H122" s="6"/>
      <c r="I122" s="6"/>
      <c r="J122" s="6"/>
      <c r="K122" s="6"/>
      <c r="L122" s="6"/>
      <c r="M122" s="6"/>
      <c r="N122" s="6"/>
      <c r="O122" s="6"/>
      <c r="P122" s="6"/>
      <c r="Q122" s="6"/>
      <c r="R122" s="6"/>
      <c r="S122" s="6"/>
      <c r="T122" s="6"/>
    </row>
    <row r="123" spans="1:20" x14ac:dyDescent="0.2">
      <c r="A123" s="6"/>
      <c r="B123" s="6"/>
      <c r="C123" s="6"/>
      <c r="D123" s="6"/>
      <c r="E123" s="6"/>
      <c r="F123" s="6"/>
      <c r="G123" s="6"/>
      <c r="H123" s="6"/>
      <c r="I123" s="6"/>
      <c r="J123" s="6"/>
      <c r="K123" s="6"/>
      <c r="L123" s="6"/>
      <c r="M123" s="6"/>
      <c r="N123" s="6"/>
      <c r="O123" s="6"/>
      <c r="P123" s="6"/>
      <c r="Q123" s="6"/>
      <c r="R123" s="6"/>
      <c r="S123" s="6"/>
      <c r="T123" s="6"/>
    </row>
    <row r="124" spans="1:20" x14ac:dyDescent="0.2">
      <c r="A124" s="6"/>
      <c r="B124" s="6"/>
      <c r="C124" s="6"/>
      <c r="D124" s="6"/>
      <c r="E124" s="6"/>
      <c r="F124" s="6"/>
      <c r="G124" s="6"/>
      <c r="H124" s="6"/>
      <c r="I124" s="6"/>
      <c r="J124" s="6"/>
      <c r="K124" s="6"/>
      <c r="L124" s="6"/>
      <c r="M124" s="6"/>
      <c r="N124" s="6"/>
      <c r="O124" s="6"/>
      <c r="P124" s="6"/>
      <c r="Q124" s="6"/>
      <c r="R124" s="6"/>
      <c r="S124" s="6"/>
      <c r="T124" s="6"/>
    </row>
    <row r="125" spans="1:20" x14ac:dyDescent="0.2">
      <c r="A125" s="6"/>
      <c r="B125" s="6"/>
      <c r="C125" s="6"/>
      <c r="D125" s="6"/>
      <c r="E125" s="6"/>
      <c r="F125" s="6"/>
      <c r="G125" s="6"/>
      <c r="H125" s="6"/>
      <c r="I125" s="6"/>
      <c r="J125" s="6"/>
      <c r="K125" s="6"/>
      <c r="L125" s="6"/>
      <c r="M125" s="6"/>
      <c r="N125" s="6"/>
      <c r="O125" s="6"/>
      <c r="P125" s="6"/>
      <c r="Q125" s="6"/>
      <c r="R125" s="6"/>
      <c r="S125" s="6"/>
      <c r="T125" s="6"/>
    </row>
    <row r="126" spans="1:20" x14ac:dyDescent="0.2">
      <c r="A126" s="6"/>
      <c r="B126" s="6"/>
      <c r="C126" s="6"/>
      <c r="D126" s="6"/>
      <c r="E126" s="6"/>
      <c r="F126" s="6"/>
      <c r="G126" s="6"/>
      <c r="H126" s="6"/>
      <c r="I126" s="6"/>
      <c r="J126" s="6"/>
      <c r="K126" s="6"/>
      <c r="L126" s="6"/>
      <c r="M126" s="6"/>
      <c r="N126" s="6"/>
      <c r="O126" s="6"/>
      <c r="P126" s="6"/>
      <c r="Q126" s="6"/>
      <c r="R126" s="6"/>
      <c r="S126" s="6"/>
      <c r="T126" s="6"/>
    </row>
    <row r="127" spans="1:20" x14ac:dyDescent="0.2">
      <c r="A127" s="6"/>
      <c r="B127" s="6"/>
      <c r="C127" s="6"/>
      <c r="D127" s="6"/>
      <c r="E127" s="6"/>
      <c r="F127" s="6"/>
      <c r="G127" s="6"/>
      <c r="H127" s="6"/>
      <c r="I127" s="6"/>
      <c r="J127" s="6"/>
      <c r="K127" s="6"/>
      <c r="L127" s="6"/>
      <c r="M127" s="6"/>
      <c r="N127" s="6"/>
      <c r="O127" s="6"/>
      <c r="P127" s="6"/>
      <c r="Q127" s="6"/>
      <c r="R127" s="6"/>
      <c r="S127" s="6"/>
      <c r="T127" s="6"/>
    </row>
    <row r="128" spans="1:20" x14ac:dyDescent="0.2">
      <c r="A128" s="6"/>
      <c r="B128" s="6"/>
      <c r="C128" s="6"/>
      <c r="D128" s="6"/>
      <c r="E128" s="6"/>
      <c r="F128" s="6"/>
      <c r="G128" s="6"/>
      <c r="H128" s="6"/>
      <c r="I128" s="6"/>
      <c r="J128" s="6"/>
      <c r="K128" s="6"/>
      <c r="L128" s="6"/>
      <c r="M128" s="6"/>
      <c r="N128" s="6"/>
      <c r="O128" s="6"/>
      <c r="P128" s="6"/>
      <c r="Q128" s="6"/>
      <c r="R128" s="6"/>
      <c r="S128" s="6"/>
      <c r="T128" s="6"/>
    </row>
    <row r="129" spans="1:20" x14ac:dyDescent="0.2">
      <c r="A129" s="6"/>
      <c r="B129" s="6"/>
      <c r="C129" s="6"/>
      <c r="D129" s="6"/>
      <c r="E129" s="6"/>
      <c r="F129" s="6"/>
      <c r="G129" s="6"/>
      <c r="H129" s="6"/>
      <c r="I129" s="6"/>
      <c r="J129" s="6"/>
      <c r="K129" s="6"/>
      <c r="L129" s="6"/>
      <c r="M129" s="6"/>
      <c r="N129" s="6"/>
      <c r="O129" s="6"/>
      <c r="P129" s="6"/>
      <c r="Q129" s="6"/>
      <c r="R129" s="6"/>
      <c r="S129" s="6"/>
      <c r="T129" s="6"/>
    </row>
    <row r="130" spans="1:20" x14ac:dyDescent="0.2">
      <c r="A130" s="6"/>
      <c r="B130" s="6"/>
      <c r="C130" s="6"/>
      <c r="D130" s="6"/>
      <c r="E130" s="6"/>
      <c r="F130" s="6"/>
      <c r="G130" s="6"/>
      <c r="H130" s="6"/>
      <c r="I130" s="6"/>
      <c r="J130" s="6"/>
      <c r="K130" s="6"/>
      <c r="L130" s="6"/>
      <c r="M130" s="6"/>
      <c r="N130" s="6"/>
      <c r="O130" s="6"/>
      <c r="P130" s="6"/>
      <c r="Q130" s="6"/>
      <c r="R130" s="6"/>
      <c r="S130" s="6"/>
      <c r="T130" s="6"/>
    </row>
    <row r="131" spans="1:20" x14ac:dyDescent="0.2">
      <c r="A131" s="6"/>
      <c r="B131" s="6"/>
      <c r="C131" s="6"/>
      <c r="D131" s="6"/>
      <c r="E131" s="6"/>
      <c r="F131" s="6"/>
      <c r="G131" s="6"/>
      <c r="H131" s="6"/>
      <c r="I131" s="6"/>
      <c r="J131" s="6"/>
      <c r="K131" s="6"/>
      <c r="L131" s="6"/>
      <c r="M131" s="6"/>
      <c r="N131" s="6"/>
      <c r="O131" s="6"/>
      <c r="P131" s="6"/>
      <c r="Q131" s="6"/>
      <c r="R131" s="6"/>
      <c r="S131" s="6"/>
      <c r="T131" s="6"/>
    </row>
    <row r="132" spans="1:20" x14ac:dyDescent="0.2">
      <c r="A132" s="6"/>
      <c r="B132" s="6"/>
      <c r="C132" s="6"/>
      <c r="D132" s="6"/>
      <c r="E132" s="6"/>
      <c r="F132" s="6"/>
      <c r="G132" s="6"/>
      <c r="H132" s="6"/>
      <c r="I132" s="6"/>
      <c r="J132" s="6"/>
      <c r="K132" s="6"/>
      <c r="L132" s="6"/>
      <c r="M132" s="6"/>
      <c r="N132" s="6"/>
      <c r="O132" s="6"/>
      <c r="P132" s="6"/>
      <c r="Q132" s="6"/>
      <c r="R132" s="6"/>
      <c r="S132" s="6"/>
      <c r="T132" s="6"/>
    </row>
    <row r="133" spans="1:20" x14ac:dyDescent="0.2">
      <c r="A133" s="6"/>
      <c r="B133" s="6"/>
      <c r="C133" s="6"/>
      <c r="D133" s="6"/>
      <c r="E133" s="6"/>
      <c r="F133" s="6"/>
      <c r="G133" s="6"/>
      <c r="H133" s="6"/>
      <c r="I133" s="6"/>
      <c r="J133" s="6"/>
      <c r="K133" s="6"/>
      <c r="L133" s="6"/>
      <c r="M133" s="6"/>
      <c r="N133" s="6"/>
      <c r="O133" s="6"/>
      <c r="P133" s="6"/>
      <c r="Q133" s="6"/>
      <c r="R133" s="6"/>
      <c r="S133" s="6"/>
      <c r="T133" s="6"/>
    </row>
    <row r="134" spans="1:20" x14ac:dyDescent="0.2">
      <c r="A134" s="6"/>
      <c r="B134" s="6"/>
      <c r="C134" s="6"/>
      <c r="D134" s="6"/>
      <c r="E134" s="6"/>
      <c r="F134" s="6"/>
      <c r="G134" s="6"/>
      <c r="H134" s="6"/>
      <c r="I134" s="6"/>
      <c r="J134" s="6"/>
      <c r="K134" s="6"/>
      <c r="L134" s="6"/>
      <c r="M134" s="6"/>
      <c r="N134" s="6"/>
      <c r="O134" s="6"/>
      <c r="P134" s="6"/>
      <c r="Q134" s="6"/>
      <c r="R134" s="6"/>
      <c r="S134" s="6"/>
      <c r="T134" s="6"/>
    </row>
    <row r="135" spans="1:20" x14ac:dyDescent="0.2">
      <c r="A135" s="6"/>
      <c r="B135" s="6"/>
      <c r="C135" s="6"/>
      <c r="D135" s="6"/>
      <c r="E135" s="6"/>
      <c r="F135" s="6"/>
      <c r="G135" s="6"/>
      <c r="H135" s="6"/>
      <c r="I135" s="6"/>
      <c r="J135" s="6"/>
      <c r="K135" s="6"/>
      <c r="L135" s="6"/>
      <c r="M135" s="6"/>
      <c r="N135" s="6"/>
      <c r="O135" s="6"/>
      <c r="P135" s="6"/>
      <c r="Q135" s="6"/>
      <c r="R135" s="6"/>
      <c r="S135" s="6"/>
      <c r="T135" s="6"/>
    </row>
    <row r="136" spans="1:20" x14ac:dyDescent="0.2">
      <c r="A136" s="6"/>
      <c r="B136" s="6"/>
      <c r="C136" s="6"/>
      <c r="D136" s="6"/>
      <c r="E136" s="6"/>
      <c r="F136" s="6"/>
      <c r="G136" s="6"/>
      <c r="H136" s="6"/>
      <c r="I136" s="6"/>
      <c r="J136" s="6"/>
      <c r="K136" s="6"/>
      <c r="L136" s="6"/>
      <c r="M136" s="6"/>
      <c r="N136" s="6"/>
      <c r="O136" s="6"/>
      <c r="P136" s="6"/>
      <c r="Q136" s="6"/>
      <c r="R136" s="6"/>
      <c r="S136" s="6"/>
      <c r="T136" s="6"/>
    </row>
    <row r="137" spans="1:20" x14ac:dyDescent="0.2">
      <c r="A137" s="6"/>
      <c r="B137" s="6"/>
      <c r="C137" s="6"/>
      <c r="D137" s="6"/>
      <c r="E137" s="6"/>
      <c r="F137" s="6"/>
      <c r="G137" s="6"/>
      <c r="H137" s="6"/>
      <c r="I137" s="6"/>
      <c r="J137" s="6"/>
      <c r="K137" s="6"/>
      <c r="L137" s="6"/>
      <c r="M137" s="6"/>
      <c r="N137" s="6"/>
      <c r="O137" s="6"/>
      <c r="P137" s="6"/>
      <c r="Q137" s="6"/>
      <c r="R137" s="6"/>
      <c r="S137" s="6"/>
      <c r="T137" s="6"/>
    </row>
    <row r="138" spans="1:20" x14ac:dyDescent="0.2">
      <c r="A138" s="6"/>
      <c r="B138" s="6"/>
      <c r="C138" s="6"/>
      <c r="D138" s="6"/>
      <c r="E138" s="6"/>
      <c r="F138" s="6"/>
      <c r="G138" s="6"/>
      <c r="H138" s="6"/>
      <c r="I138" s="6"/>
      <c r="J138" s="6"/>
      <c r="K138" s="6"/>
      <c r="L138" s="6"/>
      <c r="M138" s="6"/>
      <c r="N138" s="6"/>
      <c r="O138" s="6"/>
      <c r="P138" s="6"/>
      <c r="Q138" s="6"/>
      <c r="R138" s="6"/>
      <c r="S138" s="6"/>
      <c r="T138" s="6"/>
    </row>
    <row r="139" spans="1:20" x14ac:dyDescent="0.2">
      <c r="A139" s="6"/>
      <c r="B139" s="6"/>
      <c r="C139" s="6"/>
      <c r="D139" s="6"/>
      <c r="E139" s="6"/>
      <c r="F139" s="6"/>
      <c r="G139" s="6"/>
      <c r="H139" s="6"/>
      <c r="I139" s="6"/>
      <c r="J139" s="6"/>
      <c r="K139" s="6"/>
      <c r="L139" s="6"/>
      <c r="M139" s="6"/>
      <c r="N139" s="6"/>
      <c r="O139" s="6"/>
      <c r="P139" s="6"/>
      <c r="Q139" s="6"/>
      <c r="R139" s="6"/>
      <c r="S139" s="6"/>
      <c r="T139" s="6"/>
    </row>
    <row r="140" spans="1:20" x14ac:dyDescent="0.2">
      <c r="A140" s="6"/>
      <c r="B140" s="6"/>
      <c r="C140" s="6"/>
      <c r="D140" s="6"/>
      <c r="E140" s="6"/>
      <c r="F140" s="6"/>
      <c r="G140" s="6"/>
      <c r="H140" s="6"/>
      <c r="I140" s="6"/>
      <c r="J140" s="6"/>
      <c r="K140" s="6"/>
      <c r="L140" s="6"/>
      <c r="M140" s="6"/>
      <c r="N140" s="6"/>
      <c r="O140" s="6"/>
      <c r="P140" s="6"/>
      <c r="Q140" s="6"/>
      <c r="R140" s="6"/>
      <c r="S140" s="6"/>
      <c r="T140" s="6"/>
    </row>
    <row r="141" spans="1:20" x14ac:dyDescent="0.2">
      <c r="A141" s="6"/>
      <c r="B141" s="6"/>
      <c r="C141" s="6"/>
      <c r="D141" s="6"/>
      <c r="E141" s="6"/>
      <c r="F141" s="6"/>
      <c r="G141" s="6"/>
      <c r="H141" s="6"/>
      <c r="I141" s="6"/>
      <c r="J141" s="6"/>
      <c r="K141" s="6"/>
      <c r="L141" s="6"/>
      <c r="M141" s="6"/>
      <c r="N141" s="6"/>
      <c r="O141" s="6"/>
      <c r="P141" s="6"/>
      <c r="Q141" s="6"/>
      <c r="R141" s="6"/>
      <c r="S141" s="6"/>
      <c r="T141" s="6"/>
    </row>
    <row r="142" spans="1:20" x14ac:dyDescent="0.2">
      <c r="A142" s="6"/>
      <c r="B142" s="6"/>
      <c r="C142" s="6"/>
      <c r="D142" s="6"/>
      <c r="E142" s="6"/>
      <c r="F142" s="6"/>
      <c r="G142" s="6"/>
      <c r="H142" s="6"/>
      <c r="I142" s="6"/>
      <c r="J142" s="6"/>
      <c r="K142" s="6"/>
      <c r="L142" s="6"/>
      <c r="M142" s="6"/>
      <c r="N142" s="6"/>
      <c r="O142" s="6"/>
      <c r="P142" s="6"/>
      <c r="Q142" s="6"/>
      <c r="R142" s="6"/>
      <c r="S142" s="6"/>
      <c r="T142" s="6"/>
    </row>
    <row r="143" spans="1:20" x14ac:dyDescent="0.2">
      <c r="A143" s="6"/>
      <c r="B143" s="6"/>
      <c r="C143" s="6"/>
      <c r="D143" s="6"/>
      <c r="E143" s="6"/>
      <c r="F143" s="6"/>
      <c r="G143" s="6"/>
      <c r="H143" s="6"/>
      <c r="I143" s="6"/>
      <c r="J143" s="6"/>
      <c r="K143" s="6"/>
      <c r="L143" s="6"/>
      <c r="M143" s="6"/>
      <c r="N143" s="6"/>
      <c r="O143" s="6"/>
      <c r="P143" s="6"/>
      <c r="Q143" s="6"/>
      <c r="R143" s="6"/>
      <c r="S143" s="6"/>
      <c r="T143" s="6"/>
    </row>
    <row r="144" spans="1:20" x14ac:dyDescent="0.2">
      <c r="A144" s="6"/>
      <c r="B144" s="6"/>
      <c r="C144" s="6"/>
      <c r="D144" s="6"/>
      <c r="E144" s="6"/>
      <c r="F144" s="6"/>
      <c r="G144" s="6"/>
      <c r="H144" s="6"/>
      <c r="I144" s="6"/>
      <c r="J144" s="6"/>
      <c r="K144" s="6"/>
      <c r="L144" s="6"/>
      <c r="M144" s="6"/>
      <c r="N144" s="6"/>
      <c r="O144" s="6"/>
      <c r="P144" s="6"/>
      <c r="Q144" s="6"/>
      <c r="R144" s="6"/>
      <c r="S144" s="6"/>
      <c r="T144" s="6"/>
    </row>
    <row r="145" spans="1:20" x14ac:dyDescent="0.2">
      <c r="A145" s="6"/>
      <c r="B145" s="6"/>
      <c r="C145" s="6"/>
      <c r="D145" s="6"/>
      <c r="E145" s="6"/>
      <c r="F145" s="6"/>
      <c r="G145" s="6"/>
      <c r="H145" s="6"/>
      <c r="I145" s="6"/>
      <c r="J145" s="6"/>
      <c r="K145" s="6"/>
      <c r="L145" s="6"/>
      <c r="M145" s="6"/>
      <c r="N145" s="6"/>
      <c r="O145" s="6"/>
      <c r="P145" s="6"/>
      <c r="Q145" s="6"/>
      <c r="R145" s="6"/>
      <c r="S145" s="6"/>
      <c r="T145" s="6"/>
    </row>
    <row r="146" spans="1:20" x14ac:dyDescent="0.2">
      <c r="A146" s="6"/>
      <c r="B146" s="6"/>
      <c r="C146" s="6"/>
      <c r="D146" s="6"/>
      <c r="E146" s="6"/>
      <c r="F146" s="6"/>
      <c r="G146" s="6"/>
      <c r="H146" s="6"/>
      <c r="I146" s="6"/>
      <c r="J146" s="6"/>
      <c r="K146" s="6"/>
      <c r="L146" s="6"/>
      <c r="M146" s="6"/>
      <c r="N146" s="6"/>
      <c r="O146" s="6"/>
      <c r="P146" s="6"/>
      <c r="Q146" s="6"/>
      <c r="R146" s="6"/>
      <c r="S146" s="6"/>
      <c r="T146" s="6"/>
    </row>
    <row r="147" spans="1:20" x14ac:dyDescent="0.2">
      <c r="A147" s="6"/>
      <c r="B147" s="6"/>
      <c r="C147" s="6"/>
      <c r="D147" s="6"/>
      <c r="E147" s="6"/>
      <c r="F147" s="6"/>
      <c r="G147" s="6"/>
      <c r="H147" s="6"/>
      <c r="I147" s="6"/>
      <c r="J147" s="6"/>
      <c r="K147" s="6"/>
      <c r="L147" s="6"/>
      <c r="M147" s="6"/>
      <c r="N147" s="6"/>
      <c r="O147" s="6"/>
      <c r="P147" s="6"/>
      <c r="Q147" s="6"/>
      <c r="R147" s="6"/>
      <c r="S147" s="6"/>
      <c r="T147" s="6"/>
    </row>
    <row r="148" spans="1:20" x14ac:dyDescent="0.2">
      <c r="A148" s="6"/>
      <c r="B148" s="6"/>
      <c r="C148" s="6"/>
      <c r="D148" s="6"/>
      <c r="E148" s="6"/>
      <c r="F148" s="6"/>
      <c r="G148" s="6"/>
      <c r="H148" s="6"/>
      <c r="I148" s="6"/>
      <c r="J148" s="6"/>
      <c r="K148" s="6"/>
      <c r="L148" s="6"/>
      <c r="M148" s="6"/>
      <c r="N148" s="6"/>
      <c r="O148" s="6"/>
      <c r="P148" s="6"/>
      <c r="Q148" s="6"/>
      <c r="R148" s="6"/>
      <c r="S148" s="6"/>
      <c r="T148" s="6"/>
    </row>
    <row r="149" spans="1:20" x14ac:dyDescent="0.2">
      <c r="A149" s="6"/>
      <c r="B149" s="6"/>
      <c r="C149" s="6"/>
      <c r="D149" s="6"/>
      <c r="E149" s="6"/>
      <c r="F149" s="6"/>
      <c r="G149" s="6"/>
      <c r="H149" s="6"/>
      <c r="I149" s="6"/>
      <c r="J149" s="6"/>
      <c r="K149" s="6"/>
      <c r="L149" s="6"/>
      <c r="M149" s="6"/>
      <c r="N149" s="6"/>
      <c r="O149" s="6"/>
      <c r="P149" s="6"/>
      <c r="Q149" s="6"/>
      <c r="R149" s="6"/>
      <c r="S149" s="6"/>
      <c r="T149" s="6"/>
    </row>
    <row r="150" spans="1:20" x14ac:dyDescent="0.2">
      <c r="A150" s="6"/>
      <c r="B150" s="6"/>
      <c r="C150" s="6"/>
      <c r="D150" s="6"/>
      <c r="E150" s="6"/>
      <c r="F150" s="6"/>
      <c r="G150" s="6"/>
      <c r="H150" s="6"/>
      <c r="I150" s="6"/>
      <c r="J150" s="6"/>
      <c r="K150" s="6"/>
      <c r="L150" s="6"/>
      <c r="M150" s="6"/>
      <c r="N150" s="6"/>
      <c r="O150" s="6"/>
      <c r="P150" s="6"/>
      <c r="Q150" s="6"/>
      <c r="R150" s="6"/>
      <c r="S150" s="6"/>
      <c r="T150" s="6"/>
    </row>
    <row r="151" spans="1:20" x14ac:dyDescent="0.2">
      <c r="A151" s="6"/>
      <c r="B151" s="6"/>
      <c r="C151" s="6"/>
      <c r="D151" s="6"/>
      <c r="E151" s="6"/>
      <c r="F151" s="6"/>
      <c r="G151" s="6"/>
      <c r="H151" s="6"/>
      <c r="I151" s="6"/>
      <c r="J151" s="6"/>
      <c r="K151" s="6"/>
      <c r="L151" s="6"/>
      <c r="M151" s="6"/>
      <c r="N151" s="6"/>
      <c r="O151" s="6"/>
      <c r="P151" s="6"/>
      <c r="Q151" s="6"/>
      <c r="R151" s="6"/>
      <c r="S151" s="6"/>
      <c r="T151" s="6"/>
    </row>
    <row r="152" spans="1:20" x14ac:dyDescent="0.2">
      <c r="A152" s="6"/>
      <c r="B152" s="6"/>
      <c r="C152" s="6"/>
      <c r="D152" s="6"/>
      <c r="E152" s="6"/>
      <c r="F152" s="6"/>
      <c r="G152" s="6"/>
      <c r="H152" s="6"/>
      <c r="I152" s="6"/>
      <c r="J152" s="6"/>
      <c r="K152" s="6"/>
      <c r="L152" s="6"/>
      <c r="M152" s="6"/>
      <c r="N152" s="6"/>
      <c r="O152" s="6"/>
      <c r="P152" s="6"/>
      <c r="Q152" s="6"/>
      <c r="R152" s="6"/>
      <c r="S152" s="6"/>
      <c r="T152" s="6"/>
    </row>
    <row r="153" spans="1:20" x14ac:dyDescent="0.2">
      <c r="A153" s="6"/>
      <c r="B153" s="6"/>
      <c r="C153" s="6"/>
      <c r="D153" s="6"/>
      <c r="E153" s="6"/>
      <c r="F153" s="6"/>
      <c r="G153" s="6"/>
      <c r="H153" s="6"/>
      <c r="I153" s="6"/>
      <c r="J153" s="6"/>
      <c r="K153" s="6"/>
      <c r="L153" s="6"/>
      <c r="M153" s="6"/>
      <c r="N153" s="6"/>
      <c r="O153" s="6"/>
      <c r="P153" s="6"/>
      <c r="Q153" s="6"/>
      <c r="R153" s="6"/>
      <c r="S153" s="6"/>
      <c r="T153" s="6"/>
    </row>
    <row r="154" spans="1:20" x14ac:dyDescent="0.2">
      <c r="A154" s="6"/>
      <c r="B154" s="6"/>
      <c r="C154" s="6"/>
      <c r="D154" s="6"/>
      <c r="E154" s="6"/>
      <c r="F154" s="6"/>
      <c r="G154" s="6"/>
      <c r="H154" s="6"/>
      <c r="I154" s="6"/>
      <c r="J154" s="6"/>
      <c r="K154" s="6"/>
      <c r="L154" s="6"/>
      <c r="M154" s="6"/>
      <c r="N154" s="6"/>
      <c r="O154" s="6"/>
      <c r="P154" s="6"/>
      <c r="Q154" s="6"/>
      <c r="R154" s="6"/>
      <c r="S154" s="6"/>
      <c r="T154" s="6"/>
    </row>
    <row r="155" spans="1:20" x14ac:dyDescent="0.2">
      <c r="A155" s="6"/>
      <c r="B155" s="6"/>
      <c r="C155" s="6"/>
      <c r="D155" s="6"/>
      <c r="E155" s="6"/>
      <c r="F155" s="6"/>
      <c r="G155" s="6"/>
      <c r="H155" s="6"/>
      <c r="I155" s="6"/>
      <c r="J155" s="6"/>
      <c r="K155" s="6"/>
      <c r="L155" s="6"/>
      <c r="M155" s="6"/>
      <c r="N155" s="6"/>
      <c r="O155" s="6"/>
      <c r="P155" s="6"/>
      <c r="Q155" s="6"/>
      <c r="R155" s="6"/>
      <c r="S155" s="6"/>
      <c r="T155" s="6"/>
    </row>
    <row r="156" spans="1:20" x14ac:dyDescent="0.2">
      <c r="A156" s="6"/>
      <c r="B156" s="6"/>
      <c r="C156" s="6"/>
      <c r="D156" s="6"/>
      <c r="E156" s="6"/>
      <c r="F156" s="6"/>
      <c r="G156" s="6"/>
      <c r="H156" s="6"/>
      <c r="I156" s="6"/>
      <c r="J156" s="6"/>
      <c r="K156" s="6"/>
      <c r="L156" s="6"/>
      <c r="M156" s="6"/>
      <c r="N156" s="6"/>
      <c r="O156" s="6"/>
      <c r="P156" s="6"/>
      <c r="Q156" s="6"/>
      <c r="R156" s="6"/>
      <c r="S156" s="6"/>
      <c r="T156" s="6"/>
    </row>
    <row r="157" spans="1:20" x14ac:dyDescent="0.2">
      <c r="A157" s="6"/>
      <c r="B157" s="6"/>
      <c r="C157" s="6"/>
      <c r="D157" s="6"/>
      <c r="E157" s="6"/>
      <c r="F157" s="6"/>
      <c r="G157" s="6"/>
      <c r="H157" s="6"/>
      <c r="I157" s="6"/>
      <c r="J157" s="6"/>
      <c r="K157" s="6"/>
      <c r="L157" s="6"/>
      <c r="M157" s="6"/>
      <c r="N157" s="6"/>
      <c r="O157" s="6"/>
      <c r="P157" s="6"/>
      <c r="Q157" s="6"/>
      <c r="R157" s="6"/>
      <c r="S157" s="6"/>
      <c r="T157" s="6"/>
    </row>
    <row r="158" spans="1:20" x14ac:dyDescent="0.2">
      <c r="A158" s="6"/>
      <c r="B158" s="6"/>
      <c r="C158" s="6"/>
      <c r="D158" s="6"/>
      <c r="E158" s="6"/>
      <c r="F158" s="6"/>
      <c r="G158" s="6"/>
      <c r="H158" s="6"/>
      <c r="I158" s="6"/>
      <c r="J158" s="6"/>
      <c r="K158" s="6"/>
      <c r="L158" s="6"/>
      <c r="M158" s="6"/>
      <c r="N158" s="6"/>
      <c r="O158" s="6"/>
      <c r="P158" s="6"/>
      <c r="Q158" s="6"/>
      <c r="R158" s="6"/>
      <c r="S158" s="6"/>
      <c r="T158" s="6"/>
    </row>
    <row r="159" spans="1:20" x14ac:dyDescent="0.2">
      <c r="A159" s="6"/>
      <c r="B159" s="6"/>
      <c r="C159" s="6"/>
      <c r="D159" s="6"/>
      <c r="E159" s="6"/>
      <c r="F159" s="6"/>
      <c r="G159" s="6"/>
      <c r="H159" s="6"/>
      <c r="I159" s="6"/>
      <c r="J159" s="6"/>
      <c r="K159" s="6"/>
      <c r="L159" s="6"/>
      <c r="M159" s="6"/>
      <c r="N159" s="6"/>
      <c r="O159" s="6"/>
      <c r="P159" s="6"/>
      <c r="Q159" s="6"/>
      <c r="R159" s="6"/>
      <c r="S159" s="6"/>
      <c r="T159" s="6"/>
    </row>
    <row r="160" spans="1:20" x14ac:dyDescent="0.2">
      <c r="A160" s="6"/>
      <c r="B160" s="6"/>
      <c r="C160" s="6"/>
      <c r="D160" s="6"/>
      <c r="E160" s="6"/>
      <c r="F160" s="6"/>
      <c r="G160" s="6"/>
      <c r="H160" s="6"/>
      <c r="I160" s="6"/>
      <c r="J160" s="6"/>
      <c r="K160" s="6"/>
      <c r="L160" s="6"/>
      <c r="M160" s="6"/>
      <c r="N160" s="6"/>
      <c r="O160" s="6"/>
      <c r="P160" s="6"/>
      <c r="Q160" s="6"/>
      <c r="R160" s="6"/>
      <c r="S160" s="6"/>
      <c r="T160" s="6"/>
    </row>
    <row r="161" spans="1:20" x14ac:dyDescent="0.2">
      <c r="A161" s="6"/>
      <c r="B161" s="6"/>
      <c r="C161" s="6"/>
      <c r="D161" s="6"/>
      <c r="E161" s="6"/>
      <c r="F161" s="6"/>
      <c r="G161" s="6"/>
      <c r="H161" s="6"/>
      <c r="I161" s="6"/>
      <c r="J161" s="6"/>
      <c r="K161" s="6"/>
      <c r="L161" s="6"/>
      <c r="M161" s="6"/>
      <c r="N161" s="6"/>
      <c r="O161" s="6"/>
      <c r="P161" s="6"/>
      <c r="Q161" s="6"/>
      <c r="R161" s="6"/>
      <c r="S161" s="6"/>
      <c r="T161" s="6"/>
    </row>
    <row r="162" spans="1:20" x14ac:dyDescent="0.2">
      <c r="A162" s="6"/>
      <c r="B162" s="6"/>
      <c r="C162" s="6"/>
      <c r="D162" s="6"/>
      <c r="E162" s="6"/>
      <c r="F162" s="6"/>
      <c r="G162" s="6"/>
      <c r="H162" s="6"/>
      <c r="I162" s="6"/>
      <c r="J162" s="6"/>
      <c r="K162" s="6"/>
      <c r="L162" s="6"/>
      <c r="M162" s="6"/>
      <c r="N162" s="6"/>
      <c r="O162" s="6"/>
      <c r="P162" s="6"/>
      <c r="Q162" s="6"/>
      <c r="R162" s="6"/>
      <c r="S162" s="6"/>
      <c r="T162" s="6"/>
    </row>
    <row r="163" spans="1:20" x14ac:dyDescent="0.2">
      <c r="A163" s="6"/>
      <c r="B163" s="6"/>
      <c r="C163" s="6"/>
      <c r="D163" s="6"/>
      <c r="E163" s="6"/>
      <c r="F163" s="6"/>
      <c r="G163" s="6"/>
      <c r="H163" s="6"/>
      <c r="I163" s="6"/>
      <c r="J163" s="6"/>
      <c r="K163" s="6"/>
      <c r="L163" s="6"/>
      <c r="M163" s="6"/>
      <c r="N163" s="6"/>
      <c r="O163" s="6"/>
      <c r="P163" s="6"/>
      <c r="Q163" s="6"/>
      <c r="R163" s="6"/>
      <c r="S163" s="6"/>
      <c r="T163" s="6"/>
    </row>
    <row r="164" spans="1:20" x14ac:dyDescent="0.2">
      <c r="A164" s="6"/>
      <c r="B164" s="6"/>
      <c r="C164" s="6"/>
      <c r="D164" s="6"/>
      <c r="E164" s="6"/>
      <c r="F164" s="6"/>
      <c r="G164" s="6"/>
      <c r="H164" s="6"/>
      <c r="I164" s="6"/>
      <c r="J164" s="6"/>
      <c r="K164" s="6"/>
      <c r="L164" s="6"/>
      <c r="M164" s="6"/>
      <c r="N164" s="6"/>
      <c r="O164" s="6"/>
      <c r="P164" s="6"/>
      <c r="Q164" s="6"/>
      <c r="R164" s="6"/>
      <c r="S164" s="6"/>
      <c r="T164" s="6"/>
    </row>
    <row r="165" spans="1:20" x14ac:dyDescent="0.2">
      <c r="A165" s="6"/>
      <c r="B165" s="6"/>
      <c r="C165" s="6"/>
      <c r="D165" s="6"/>
      <c r="E165" s="6"/>
      <c r="F165" s="6"/>
      <c r="G165" s="6"/>
      <c r="H165" s="6"/>
      <c r="I165" s="6"/>
      <c r="J165" s="6"/>
      <c r="K165" s="6"/>
      <c r="L165" s="6"/>
      <c r="M165" s="6"/>
      <c r="N165" s="6"/>
      <c r="O165" s="6"/>
      <c r="P165" s="6"/>
      <c r="Q165" s="6"/>
      <c r="R165" s="6"/>
      <c r="S165" s="6"/>
      <c r="T165" s="6"/>
    </row>
    <row r="166" spans="1:20" x14ac:dyDescent="0.2">
      <c r="A166" s="6"/>
      <c r="B166" s="6"/>
      <c r="C166" s="6"/>
      <c r="D166" s="6"/>
      <c r="E166" s="6"/>
      <c r="F166" s="6"/>
      <c r="G166" s="6"/>
      <c r="H166" s="6"/>
      <c r="I166" s="6"/>
      <c r="J166" s="6"/>
      <c r="K166" s="6"/>
      <c r="L166" s="6"/>
      <c r="M166" s="6"/>
      <c r="N166" s="6"/>
      <c r="O166" s="6"/>
      <c r="P166" s="6"/>
      <c r="Q166" s="6"/>
      <c r="R166" s="6"/>
      <c r="S166" s="6"/>
      <c r="T166" s="6"/>
    </row>
    <row r="167" spans="1:20" x14ac:dyDescent="0.2">
      <c r="A167" s="6"/>
      <c r="B167" s="6"/>
      <c r="C167" s="6"/>
      <c r="D167" s="6"/>
      <c r="E167" s="6"/>
      <c r="F167" s="6"/>
      <c r="G167" s="6"/>
      <c r="H167" s="6"/>
      <c r="I167" s="6"/>
      <c r="J167" s="6"/>
      <c r="K167" s="6"/>
      <c r="L167" s="6"/>
      <c r="M167" s="6"/>
      <c r="N167" s="6"/>
      <c r="O167" s="6"/>
      <c r="P167" s="6"/>
      <c r="Q167" s="6"/>
      <c r="R167" s="6"/>
      <c r="S167" s="6"/>
      <c r="T167" s="6"/>
    </row>
    <row r="168" spans="1:20" x14ac:dyDescent="0.2">
      <c r="A168" s="6"/>
      <c r="B168" s="6"/>
      <c r="C168" s="6"/>
      <c r="D168" s="6"/>
      <c r="E168" s="6"/>
      <c r="F168" s="6"/>
      <c r="G168" s="6"/>
      <c r="H168" s="6"/>
      <c r="I168" s="6"/>
      <c r="J168" s="6"/>
      <c r="K168" s="6"/>
      <c r="L168" s="6"/>
      <c r="M168" s="6"/>
      <c r="N168" s="6"/>
      <c r="O168" s="6"/>
      <c r="P168" s="6"/>
      <c r="Q168" s="6"/>
      <c r="R168" s="6"/>
      <c r="S168" s="6"/>
      <c r="T168" s="6"/>
    </row>
    <row r="169" spans="1:20" x14ac:dyDescent="0.2">
      <c r="A169" s="6"/>
      <c r="B169" s="6"/>
      <c r="C169" s="6"/>
      <c r="D169" s="6"/>
      <c r="E169" s="6"/>
      <c r="F169" s="6"/>
      <c r="G169" s="6"/>
      <c r="H169" s="6"/>
      <c r="I169" s="6"/>
      <c r="J169" s="6"/>
      <c r="K169" s="6"/>
      <c r="L169" s="6"/>
      <c r="M169" s="6"/>
      <c r="N169" s="6"/>
      <c r="O169" s="6"/>
      <c r="P169" s="6"/>
      <c r="Q169" s="6"/>
      <c r="R169" s="6"/>
      <c r="S169" s="6"/>
      <c r="T169" s="6"/>
    </row>
    <row r="170" spans="1:20" x14ac:dyDescent="0.2">
      <c r="A170" s="6"/>
      <c r="B170" s="6"/>
      <c r="C170" s="6"/>
      <c r="D170" s="6"/>
      <c r="E170" s="6"/>
      <c r="F170" s="6"/>
      <c r="G170" s="6"/>
      <c r="H170" s="6"/>
      <c r="I170" s="6"/>
      <c r="J170" s="6"/>
      <c r="K170" s="6"/>
      <c r="L170" s="6"/>
      <c r="M170" s="6"/>
      <c r="N170" s="6"/>
      <c r="O170" s="6"/>
      <c r="P170" s="6"/>
      <c r="Q170" s="6"/>
      <c r="R170" s="6"/>
      <c r="S170" s="6"/>
      <c r="T170" s="6"/>
    </row>
    <row r="171" spans="1:20" x14ac:dyDescent="0.2">
      <c r="A171" s="6"/>
      <c r="B171" s="6"/>
      <c r="C171" s="6"/>
      <c r="D171" s="6"/>
      <c r="E171" s="6"/>
      <c r="F171" s="6"/>
      <c r="G171" s="6"/>
      <c r="H171" s="6"/>
      <c r="I171" s="6"/>
      <c r="J171" s="6"/>
      <c r="K171" s="6"/>
      <c r="L171" s="6"/>
      <c r="M171" s="6"/>
      <c r="N171" s="6"/>
      <c r="O171" s="6"/>
      <c r="P171" s="6"/>
      <c r="Q171" s="6"/>
      <c r="R171" s="6"/>
      <c r="S171" s="6"/>
      <c r="T171" s="6"/>
    </row>
    <row r="172" spans="1:20" x14ac:dyDescent="0.2">
      <c r="A172" s="6"/>
      <c r="B172" s="6"/>
      <c r="C172" s="6"/>
      <c r="D172" s="6"/>
      <c r="E172" s="6"/>
      <c r="F172" s="6"/>
      <c r="G172" s="6"/>
      <c r="H172" s="6"/>
      <c r="I172" s="6"/>
      <c r="J172" s="6"/>
      <c r="K172" s="6"/>
      <c r="L172" s="6"/>
      <c r="M172" s="6"/>
      <c r="N172" s="6"/>
      <c r="O172" s="6"/>
      <c r="P172" s="6"/>
      <c r="Q172" s="6"/>
      <c r="R172" s="6"/>
      <c r="S172" s="6"/>
      <c r="T172" s="6"/>
    </row>
    <row r="173" spans="1:20" x14ac:dyDescent="0.2">
      <c r="A173" s="6"/>
      <c r="B173" s="6"/>
      <c r="C173" s="6"/>
      <c r="D173" s="6"/>
      <c r="E173" s="6"/>
      <c r="F173" s="6"/>
      <c r="G173" s="6"/>
      <c r="H173" s="6"/>
      <c r="I173" s="6"/>
      <c r="J173" s="6"/>
      <c r="K173" s="6"/>
      <c r="L173" s="6"/>
      <c r="M173" s="6"/>
      <c r="N173" s="6"/>
      <c r="O173" s="6"/>
      <c r="P173" s="6"/>
      <c r="Q173" s="6"/>
      <c r="R173" s="6"/>
      <c r="S173" s="6"/>
      <c r="T173" s="6"/>
    </row>
    <row r="174" spans="1:20" x14ac:dyDescent="0.2">
      <c r="A174" s="6"/>
      <c r="B174" s="6"/>
      <c r="C174" s="6"/>
      <c r="D174" s="6"/>
      <c r="E174" s="6"/>
      <c r="F174" s="6"/>
      <c r="G174" s="6"/>
      <c r="H174" s="6"/>
      <c r="I174" s="6"/>
      <c r="J174" s="6"/>
      <c r="K174" s="6"/>
      <c r="L174" s="6"/>
      <c r="M174" s="6"/>
      <c r="N174" s="6"/>
      <c r="O174" s="6"/>
      <c r="P174" s="6"/>
      <c r="Q174" s="6"/>
      <c r="R174" s="6"/>
      <c r="S174" s="6"/>
      <c r="T174" s="6"/>
    </row>
    <row r="175" spans="1:20" x14ac:dyDescent="0.2">
      <c r="A175" s="6"/>
      <c r="B175" s="6"/>
      <c r="C175" s="6"/>
      <c r="D175" s="6"/>
      <c r="E175" s="6"/>
      <c r="F175" s="6"/>
      <c r="G175" s="6"/>
      <c r="H175" s="6"/>
      <c r="I175" s="6"/>
      <c r="J175" s="6"/>
      <c r="K175" s="6"/>
      <c r="L175" s="6"/>
      <c r="M175" s="6"/>
      <c r="N175" s="6"/>
      <c r="O175" s="6"/>
      <c r="P175" s="6"/>
      <c r="Q175" s="6"/>
      <c r="R175" s="6"/>
      <c r="S175" s="6"/>
      <c r="T175" s="6"/>
    </row>
    <row r="176" spans="1:20" x14ac:dyDescent="0.2">
      <c r="A176" s="6"/>
      <c r="B176" s="6"/>
      <c r="C176" s="6"/>
      <c r="D176" s="6"/>
      <c r="E176" s="6"/>
      <c r="F176" s="6"/>
      <c r="G176" s="6"/>
      <c r="H176" s="6"/>
      <c r="I176" s="6"/>
      <c r="J176" s="6"/>
      <c r="K176" s="6"/>
      <c r="L176" s="6"/>
      <c r="M176" s="6"/>
      <c r="N176" s="6"/>
      <c r="O176" s="6"/>
      <c r="P176" s="6"/>
      <c r="Q176" s="6"/>
      <c r="R176" s="6"/>
      <c r="S176" s="6"/>
      <c r="T176" s="6"/>
    </row>
    <row r="177" spans="1:20" x14ac:dyDescent="0.2">
      <c r="A177" s="6"/>
      <c r="B177" s="6"/>
      <c r="C177" s="6"/>
      <c r="D177" s="6"/>
      <c r="E177" s="6"/>
      <c r="F177" s="6"/>
      <c r="G177" s="6"/>
      <c r="H177" s="6"/>
      <c r="I177" s="6"/>
      <c r="J177" s="6"/>
      <c r="K177" s="6"/>
      <c r="L177" s="6"/>
      <c r="M177" s="6"/>
      <c r="N177" s="6"/>
      <c r="O177" s="6"/>
      <c r="P177" s="6"/>
      <c r="Q177" s="6"/>
      <c r="R177" s="6"/>
      <c r="S177" s="6"/>
      <c r="T177" s="6"/>
    </row>
    <row r="178" spans="1:20" x14ac:dyDescent="0.2">
      <c r="A178" s="6"/>
      <c r="B178" s="6"/>
      <c r="C178" s="6"/>
      <c r="D178" s="6"/>
      <c r="E178" s="6"/>
      <c r="F178" s="6"/>
      <c r="G178" s="6"/>
      <c r="H178" s="6"/>
      <c r="I178" s="6"/>
      <c r="J178" s="6"/>
      <c r="K178" s="6"/>
      <c r="L178" s="6"/>
      <c r="M178" s="6"/>
      <c r="N178" s="6"/>
      <c r="O178" s="6"/>
      <c r="P178" s="6"/>
      <c r="Q178" s="6"/>
      <c r="R178" s="6"/>
      <c r="S178" s="6"/>
      <c r="T178" s="6"/>
    </row>
    <row r="179" spans="1:20" x14ac:dyDescent="0.2">
      <c r="A179" s="6"/>
      <c r="B179" s="6"/>
      <c r="C179" s="6"/>
      <c r="D179" s="6"/>
      <c r="E179" s="6"/>
      <c r="F179" s="6"/>
      <c r="G179" s="6"/>
      <c r="H179" s="6"/>
      <c r="I179" s="6"/>
      <c r="J179" s="6"/>
      <c r="K179" s="6"/>
      <c r="L179" s="6"/>
      <c r="M179" s="6"/>
      <c r="N179" s="6"/>
      <c r="O179" s="6"/>
      <c r="P179" s="6"/>
      <c r="Q179" s="6"/>
      <c r="R179" s="6"/>
      <c r="S179" s="6"/>
      <c r="T179" s="6"/>
    </row>
    <row r="180" spans="1:20" x14ac:dyDescent="0.2">
      <c r="A180" s="6"/>
      <c r="B180" s="6"/>
      <c r="C180" s="6"/>
      <c r="D180" s="6"/>
      <c r="E180" s="6"/>
      <c r="F180" s="6"/>
      <c r="G180" s="6"/>
      <c r="H180" s="6"/>
      <c r="I180" s="6"/>
      <c r="J180" s="6"/>
      <c r="K180" s="6"/>
      <c r="L180" s="6"/>
      <c r="M180" s="6"/>
      <c r="N180" s="6"/>
      <c r="O180" s="6"/>
      <c r="P180" s="6"/>
      <c r="Q180" s="6"/>
      <c r="R180" s="6"/>
      <c r="S180" s="6"/>
      <c r="T180" s="6"/>
    </row>
    <row r="181" spans="1:20" x14ac:dyDescent="0.2">
      <c r="A181" s="6"/>
      <c r="B181" s="6"/>
      <c r="C181" s="6"/>
      <c r="D181" s="6"/>
      <c r="E181" s="6"/>
      <c r="F181" s="6"/>
      <c r="G181" s="6"/>
      <c r="H181" s="6"/>
      <c r="I181" s="6"/>
      <c r="J181" s="6"/>
      <c r="K181" s="6"/>
      <c r="L181" s="6"/>
      <c r="M181" s="6"/>
      <c r="N181" s="6"/>
      <c r="O181" s="6"/>
      <c r="P181" s="6"/>
      <c r="Q181" s="6"/>
      <c r="R181" s="6"/>
      <c r="S181" s="6"/>
      <c r="T181" s="6"/>
    </row>
    <row r="182" spans="1:20" x14ac:dyDescent="0.2">
      <c r="A182" s="6"/>
      <c r="B182" s="6"/>
      <c r="C182" s="6"/>
      <c r="D182" s="6"/>
      <c r="E182" s="6"/>
      <c r="F182" s="6"/>
      <c r="G182" s="6"/>
      <c r="H182" s="6"/>
      <c r="I182" s="6"/>
      <c r="J182" s="6"/>
      <c r="K182" s="6"/>
      <c r="L182" s="6"/>
      <c r="M182" s="6"/>
      <c r="N182" s="6"/>
      <c r="O182" s="6"/>
      <c r="P182" s="6"/>
      <c r="Q182" s="6"/>
      <c r="R182" s="6"/>
      <c r="S182" s="6"/>
      <c r="T182" s="6"/>
    </row>
    <row r="183" spans="1:20" x14ac:dyDescent="0.2">
      <c r="A183" s="6"/>
      <c r="B183" s="6"/>
      <c r="C183" s="6"/>
      <c r="D183" s="6"/>
      <c r="E183" s="6"/>
      <c r="F183" s="6"/>
      <c r="G183" s="6"/>
      <c r="H183" s="6"/>
      <c r="I183" s="6"/>
      <c r="J183" s="6"/>
      <c r="K183" s="6"/>
      <c r="L183" s="6"/>
      <c r="M183" s="6"/>
      <c r="N183" s="6"/>
      <c r="O183" s="6"/>
      <c r="P183" s="6"/>
      <c r="Q183" s="6"/>
      <c r="R183" s="6"/>
      <c r="S183" s="6"/>
      <c r="T183" s="6"/>
    </row>
    <row r="184" spans="1:20" x14ac:dyDescent="0.2">
      <c r="A184" s="6"/>
      <c r="B184" s="6"/>
      <c r="C184" s="6"/>
      <c r="D184" s="6"/>
      <c r="E184" s="6"/>
      <c r="F184" s="6"/>
      <c r="G184" s="6"/>
      <c r="H184" s="6"/>
      <c r="I184" s="6"/>
      <c r="J184" s="6"/>
      <c r="K184" s="6"/>
      <c r="L184" s="6"/>
      <c r="M184" s="6"/>
      <c r="N184" s="6"/>
      <c r="O184" s="6"/>
      <c r="P184" s="6"/>
      <c r="Q184" s="6"/>
      <c r="R184" s="6"/>
      <c r="S184" s="6"/>
      <c r="T184" s="6"/>
    </row>
    <row r="185" spans="1:20" x14ac:dyDescent="0.2">
      <c r="A185" s="6"/>
      <c r="B185" s="6"/>
      <c r="C185" s="6"/>
      <c r="D185" s="6"/>
      <c r="E185" s="6"/>
      <c r="F185" s="6"/>
      <c r="G185" s="6"/>
      <c r="H185" s="6"/>
      <c r="I185" s="6"/>
      <c r="J185" s="6"/>
      <c r="K185" s="6"/>
      <c r="L185" s="6"/>
      <c r="M185" s="6"/>
      <c r="N185" s="6"/>
      <c r="O185" s="6"/>
      <c r="P185" s="6"/>
      <c r="Q185" s="6"/>
      <c r="R185" s="6"/>
      <c r="S185" s="6"/>
      <c r="T185" s="6"/>
    </row>
    <row r="186" spans="1:20" x14ac:dyDescent="0.2">
      <c r="A186" s="6"/>
      <c r="B186" s="6"/>
      <c r="C186" s="6"/>
      <c r="D186" s="6"/>
      <c r="E186" s="6"/>
      <c r="F186" s="6"/>
      <c r="G186" s="6"/>
      <c r="H186" s="6"/>
      <c r="I186" s="6"/>
      <c r="J186" s="6"/>
      <c r="K186" s="6"/>
      <c r="L186" s="6"/>
      <c r="M186" s="6"/>
      <c r="N186" s="6"/>
      <c r="O186" s="6"/>
      <c r="P186" s="6"/>
      <c r="Q186" s="6"/>
      <c r="R186" s="6"/>
      <c r="S186" s="6"/>
      <c r="T186" s="6"/>
    </row>
    <row r="187" spans="1:20" x14ac:dyDescent="0.2">
      <c r="A187" s="6"/>
      <c r="B187" s="6"/>
      <c r="C187" s="6"/>
      <c r="D187" s="6"/>
      <c r="E187" s="6"/>
      <c r="F187" s="6"/>
      <c r="G187" s="6"/>
      <c r="H187" s="6"/>
      <c r="I187" s="6"/>
      <c r="J187" s="6"/>
      <c r="K187" s="6"/>
      <c r="L187" s="6"/>
      <c r="M187" s="6"/>
      <c r="N187" s="6"/>
      <c r="O187" s="6"/>
      <c r="P187" s="6"/>
      <c r="Q187" s="6"/>
      <c r="R187" s="6"/>
      <c r="S187" s="6"/>
      <c r="T187" s="6"/>
    </row>
    <row r="188" spans="1:20" x14ac:dyDescent="0.2">
      <c r="A188" s="6"/>
      <c r="B188" s="6"/>
      <c r="C188" s="6"/>
      <c r="D188" s="6"/>
      <c r="E188" s="6"/>
      <c r="F188" s="6"/>
      <c r="G188" s="6"/>
      <c r="H188" s="6"/>
      <c r="I188" s="6"/>
      <c r="J188" s="6"/>
      <c r="K188" s="6"/>
      <c r="L188" s="6"/>
      <c r="M188" s="6"/>
      <c r="N188" s="6"/>
      <c r="O188" s="6"/>
      <c r="P188" s="6"/>
      <c r="Q188" s="6"/>
      <c r="R188" s="6"/>
      <c r="S188" s="6"/>
      <c r="T188" s="6"/>
    </row>
    <row r="189" spans="1:20" x14ac:dyDescent="0.2">
      <c r="A189" s="6"/>
      <c r="B189" s="6"/>
      <c r="C189" s="6"/>
      <c r="D189" s="6"/>
      <c r="E189" s="6"/>
      <c r="F189" s="6"/>
      <c r="G189" s="6"/>
      <c r="H189" s="6"/>
      <c r="I189" s="6"/>
      <c r="J189" s="6"/>
      <c r="K189" s="6"/>
      <c r="L189" s="6"/>
      <c r="M189" s="6"/>
      <c r="N189" s="6"/>
      <c r="O189" s="6"/>
      <c r="P189" s="6"/>
      <c r="Q189" s="6"/>
      <c r="R189" s="6"/>
      <c r="S189" s="6"/>
      <c r="T189" s="6"/>
    </row>
    <row r="190" spans="1:20" x14ac:dyDescent="0.2">
      <c r="A190" s="6"/>
      <c r="B190" s="6"/>
      <c r="C190" s="6"/>
      <c r="D190" s="6"/>
      <c r="E190" s="6"/>
      <c r="F190" s="6"/>
      <c r="G190" s="6"/>
      <c r="H190" s="6"/>
      <c r="I190" s="6"/>
      <c r="J190" s="6"/>
      <c r="K190" s="6"/>
      <c r="L190" s="6"/>
      <c r="M190" s="6"/>
      <c r="N190" s="6"/>
      <c r="O190" s="6"/>
      <c r="P190" s="6"/>
      <c r="Q190" s="6"/>
      <c r="R190" s="6"/>
      <c r="S190" s="6"/>
      <c r="T190" s="6"/>
    </row>
    <row r="191" spans="1:20" x14ac:dyDescent="0.2">
      <c r="A191" s="6"/>
      <c r="B191" s="6"/>
      <c r="C191" s="6"/>
      <c r="D191" s="6"/>
      <c r="E191" s="6"/>
      <c r="F191" s="6"/>
      <c r="G191" s="6"/>
      <c r="H191" s="6"/>
      <c r="I191" s="6"/>
      <c r="J191" s="6"/>
      <c r="K191" s="6"/>
      <c r="L191" s="6"/>
      <c r="M191" s="6"/>
      <c r="N191" s="6"/>
      <c r="O191" s="6"/>
      <c r="P191" s="6"/>
      <c r="Q191" s="6"/>
      <c r="R191" s="6"/>
      <c r="S191" s="6"/>
      <c r="T191" s="6"/>
    </row>
    <row r="192" spans="1:20" x14ac:dyDescent="0.2">
      <c r="A192" s="6"/>
      <c r="B192" s="6"/>
      <c r="C192" s="6"/>
      <c r="D192" s="6"/>
      <c r="E192" s="6"/>
      <c r="F192" s="6"/>
      <c r="G192" s="6"/>
      <c r="H192" s="6"/>
      <c r="I192" s="6"/>
      <c r="J192" s="6"/>
      <c r="K192" s="6"/>
      <c r="L192" s="6"/>
      <c r="M192" s="6"/>
      <c r="N192" s="6"/>
      <c r="O192" s="6"/>
      <c r="P192" s="6"/>
      <c r="Q192" s="6"/>
      <c r="R192" s="6"/>
      <c r="S192" s="6"/>
      <c r="T192" s="6"/>
    </row>
    <row r="193" spans="1:20" x14ac:dyDescent="0.2">
      <c r="A193" s="6"/>
      <c r="B193" s="6"/>
      <c r="C193" s="6"/>
      <c r="D193" s="6"/>
      <c r="E193" s="6"/>
      <c r="F193" s="6"/>
      <c r="G193" s="6"/>
      <c r="H193" s="6"/>
      <c r="I193" s="6"/>
      <c r="J193" s="6"/>
      <c r="K193" s="6"/>
      <c r="L193" s="6"/>
      <c r="M193" s="6"/>
      <c r="N193" s="6"/>
      <c r="O193" s="6"/>
      <c r="P193" s="6"/>
      <c r="Q193" s="6"/>
      <c r="R193" s="6"/>
      <c r="S193" s="6"/>
      <c r="T193" s="6"/>
    </row>
    <row r="194" spans="1:20" x14ac:dyDescent="0.2">
      <c r="A194" s="6"/>
      <c r="B194" s="6"/>
      <c r="C194" s="6"/>
      <c r="D194" s="6"/>
      <c r="E194" s="6"/>
      <c r="F194" s="6"/>
      <c r="G194" s="6"/>
      <c r="H194" s="6"/>
      <c r="I194" s="6"/>
      <c r="J194" s="6"/>
      <c r="K194" s="6"/>
      <c r="L194" s="6"/>
      <c r="M194" s="6"/>
      <c r="N194" s="6"/>
      <c r="O194" s="6"/>
      <c r="P194" s="6"/>
      <c r="Q194" s="6"/>
      <c r="R194" s="6"/>
      <c r="S194" s="6"/>
      <c r="T194" s="6"/>
    </row>
    <row r="195" spans="1:20" x14ac:dyDescent="0.2">
      <c r="A195" s="6"/>
      <c r="B195" s="6"/>
      <c r="C195" s="6"/>
      <c r="D195" s="6"/>
      <c r="E195" s="6"/>
      <c r="F195" s="6"/>
      <c r="G195" s="6"/>
      <c r="H195" s="6"/>
      <c r="I195" s="6"/>
      <c r="J195" s="6"/>
      <c r="K195" s="6"/>
      <c r="L195" s="6"/>
      <c r="M195" s="6"/>
      <c r="N195" s="6"/>
      <c r="O195" s="6"/>
      <c r="P195" s="6"/>
      <c r="Q195" s="6"/>
      <c r="R195" s="6"/>
      <c r="S195" s="6"/>
      <c r="T195" s="6"/>
    </row>
    <row r="196" spans="1:20" x14ac:dyDescent="0.2">
      <c r="A196" s="6"/>
      <c r="B196" s="6"/>
      <c r="C196" s="6"/>
      <c r="D196" s="6"/>
      <c r="E196" s="6"/>
      <c r="F196" s="6"/>
      <c r="G196" s="6"/>
      <c r="H196" s="6"/>
      <c r="I196" s="6"/>
      <c r="J196" s="6"/>
      <c r="K196" s="6"/>
      <c r="L196" s="6"/>
      <c r="M196" s="6"/>
      <c r="N196" s="6"/>
      <c r="O196" s="6"/>
      <c r="P196" s="6"/>
      <c r="Q196" s="6"/>
      <c r="R196" s="6"/>
      <c r="S196" s="6"/>
      <c r="T196" s="6"/>
    </row>
    <row r="197" spans="1:20" x14ac:dyDescent="0.2">
      <c r="A197" s="6"/>
      <c r="B197" s="6"/>
      <c r="C197" s="6"/>
      <c r="D197" s="6"/>
      <c r="E197" s="6"/>
      <c r="F197" s="6"/>
      <c r="G197" s="6"/>
      <c r="H197" s="6"/>
      <c r="I197" s="6"/>
      <c r="J197" s="6"/>
      <c r="K197" s="6"/>
      <c r="L197" s="6"/>
      <c r="M197" s="6"/>
      <c r="N197" s="6"/>
      <c r="O197" s="6"/>
      <c r="P197" s="6"/>
      <c r="Q197" s="6"/>
      <c r="R197" s="6"/>
      <c r="S197" s="6"/>
      <c r="T197" s="6"/>
    </row>
    <row r="198" spans="1:20" x14ac:dyDescent="0.2">
      <c r="A198" s="6"/>
      <c r="B198" s="6"/>
      <c r="C198" s="6"/>
      <c r="D198" s="6"/>
      <c r="E198" s="6"/>
      <c r="F198" s="6"/>
      <c r="G198" s="6"/>
      <c r="H198" s="6"/>
      <c r="I198" s="6"/>
      <c r="J198" s="6"/>
      <c r="K198" s="6"/>
      <c r="L198" s="6"/>
      <c r="M198" s="6"/>
      <c r="N198" s="6"/>
      <c r="O198" s="6"/>
      <c r="P198" s="6"/>
      <c r="Q198" s="6"/>
      <c r="R198" s="6"/>
      <c r="S198" s="6"/>
      <c r="T198" s="6"/>
    </row>
    <row r="199" spans="1:20" x14ac:dyDescent="0.2">
      <c r="A199" s="6"/>
      <c r="B199" s="6"/>
      <c r="C199" s="6"/>
      <c r="D199" s="6"/>
      <c r="E199" s="6"/>
      <c r="F199" s="6"/>
      <c r="G199" s="6"/>
      <c r="H199" s="6"/>
      <c r="I199" s="6"/>
      <c r="J199" s="6"/>
      <c r="K199" s="6"/>
      <c r="L199" s="6"/>
      <c r="M199" s="6"/>
      <c r="N199" s="6"/>
      <c r="O199" s="6"/>
      <c r="P199" s="6"/>
      <c r="Q199" s="6"/>
      <c r="R199" s="6"/>
      <c r="S199" s="6"/>
      <c r="T199" s="6"/>
    </row>
    <row r="200" spans="1:20" x14ac:dyDescent="0.2">
      <c r="A200" s="6"/>
      <c r="B200" s="6"/>
      <c r="C200" s="6"/>
      <c r="D200" s="6"/>
      <c r="E200" s="6"/>
      <c r="F200" s="6"/>
      <c r="G200" s="6"/>
      <c r="H200" s="6"/>
      <c r="I200" s="6"/>
      <c r="J200" s="6"/>
      <c r="K200" s="6"/>
      <c r="L200" s="6"/>
      <c r="M200" s="6"/>
      <c r="N200" s="6"/>
      <c r="O200" s="6"/>
      <c r="P200" s="6"/>
      <c r="Q200" s="6"/>
      <c r="R200" s="6"/>
      <c r="S200" s="6"/>
      <c r="T200" s="6"/>
    </row>
    <row r="201" spans="1:20" x14ac:dyDescent="0.2">
      <c r="A201" s="6"/>
      <c r="B201" s="6"/>
      <c r="C201" s="6"/>
      <c r="D201" s="6"/>
      <c r="E201" s="6"/>
      <c r="F201" s="6"/>
      <c r="G201" s="6"/>
      <c r="H201" s="6"/>
      <c r="I201" s="6"/>
      <c r="J201" s="6"/>
      <c r="K201" s="6"/>
      <c r="L201" s="6"/>
      <c r="M201" s="6"/>
      <c r="N201" s="6"/>
      <c r="O201" s="6"/>
      <c r="P201" s="6"/>
      <c r="Q201" s="6"/>
      <c r="R201" s="6"/>
      <c r="S201" s="6"/>
      <c r="T201" s="6"/>
    </row>
    <row r="202" spans="1:20" x14ac:dyDescent="0.2">
      <c r="A202" s="6"/>
      <c r="B202" s="6"/>
      <c r="C202" s="6"/>
      <c r="D202" s="6"/>
      <c r="E202" s="6"/>
      <c r="F202" s="6"/>
      <c r="G202" s="6"/>
      <c r="H202" s="6"/>
      <c r="I202" s="6"/>
      <c r="J202" s="6"/>
      <c r="K202" s="6"/>
      <c r="L202" s="6"/>
      <c r="M202" s="6"/>
      <c r="N202" s="6"/>
      <c r="O202" s="6"/>
      <c r="P202" s="6"/>
      <c r="Q202" s="6"/>
      <c r="R202" s="6"/>
      <c r="S202" s="6"/>
      <c r="T202" s="6"/>
    </row>
    <row r="203" spans="1:20" x14ac:dyDescent="0.2">
      <c r="A203" s="6"/>
      <c r="B203" s="6"/>
      <c r="C203" s="6"/>
      <c r="D203" s="6"/>
      <c r="E203" s="6"/>
      <c r="F203" s="6"/>
      <c r="G203" s="6"/>
      <c r="H203" s="6"/>
      <c r="I203" s="6"/>
      <c r="J203" s="6"/>
      <c r="K203" s="6"/>
      <c r="L203" s="6"/>
      <c r="M203" s="6"/>
      <c r="N203" s="6"/>
      <c r="O203" s="6"/>
      <c r="P203" s="6"/>
      <c r="Q203" s="6"/>
      <c r="R203" s="6"/>
      <c r="S203" s="6"/>
      <c r="T203" s="6"/>
    </row>
    <row r="204" spans="1:20" x14ac:dyDescent="0.2">
      <c r="A204" s="6"/>
      <c r="B204" s="6"/>
      <c r="C204" s="6"/>
      <c r="D204" s="6"/>
      <c r="E204" s="6"/>
      <c r="F204" s="6"/>
      <c r="G204" s="6"/>
      <c r="H204" s="6"/>
      <c r="I204" s="6"/>
      <c r="J204" s="6"/>
      <c r="K204" s="6"/>
      <c r="L204" s="6"/>
      <c r="M204" s="6"/>
      <c r="N204" s="6"/>
      <c r="O204" s="6"/>
      <c r="P204" s="6"/>
      <c r="Q204" s="6"/>
      <c r="R204" s="6"/>
      <c r="S204" s="6"/>
      <c r="T204" s="6"/>
    </row>
    <row r="205" spans="1:20" x14ac:dyDescent="0.2">
      <c r="A205" s="6"/>
      <c r="B205" s="6"/>
      <c r="C205" s="6"/>
      <c r="D205" s="6"/>
      <c r="E205" s="6"/>
      <c r="F205" s="6"/>
      <c r="G205" s="6"/>
      <c r="H205" s="6"/>
      <c r="I205" s="6"/>
      <c r="J205" s="6"/>
      <c r="K205" s="6"/>
      <c r="L205" s="6"/>
      <c r="M205" s="6"/>
      <c r="N205" s="6"/>
      <c r="O205" s="6"/>
      <c r="P205" s="6"/>
      <c r="Q205" s="6"/>
      <c r="R205" s="6"/>
      <c r="S205" s="6"/>
      <c r="T205" s="6"/>
    </row>
    <row r="206" spans="1:20" x14ac:dyDescent="0.2">
      <c r="A206" s="6"/>
      <c r="B206" s="6"/>
      <c r="C206" s="6"/>
      <c r="D206" s="6"/>
      <c r="E206" s="6"/>
      <c r="F206" s="6"/>
      <c r="G206" s="6"/>
      <c r="H206" s="6"/>
      <c r="I206" s="6"/>
      <c r="J206" s="6"/>
      <c r="K206" s="6"/>
      <c r="L206" s="6"/>
      <c r="M206" s="6"/>
      <c r="N206" s="6"/>
      <c r="O206" s="6"/>
      <c r="P206" s="6"/>
      <c r="Q206" s="6"/>
      <c r="R206" s="6"/>
      <c r="S206" s="6"/>
      <c r="T206" s="6"/>
    </row>
    <row r="207" spans="1:20" x14ac:dyDescent="0.2">
      <c r="A207" s="6"/>
      <c r="B207" s="6"/>
      <c r="C207" s="6"/>
      <c r="D207" s="6"/>
      <c r="E207" s="6"/>
      <c r="F207" s="6"/>
      <c r="G207" s="6"/>
      <c r="H207" s="6"/>
      <c r="I207" s="6"/>
      <c r="J207" s="6"/>
      <c r="K207" s="6"/>
      <c r="L207" s="6"/>
      <c r="M207" s="6"/>
      <c r="N207" s="6"/>
      <c r="O207" s="6"/>
      <c r="P207" s="6"/>
      <c r="Q207" s="6"/>
      <c r="R207" s="6"/>
      <c r="S207" s="6"/>
      <c r="T207" s="6"/>
    </row>
    <row r="208" spans="1:20" x14ac:dyDescent="0.2">
      <c r="A208" s="6"/>
      <c r="B208" s="6"/>
      <c r="C208" s="6"/>
      <c r="D208" s="6"/>
      <c r="E208" s="6"/>
      <c r="F208" s="6"/>
      <c r="G208" s="6"/>
      <c r="H208" s="6"/>
      <c r="I208" s="6"/>
      <c r="J208" s="6"/>
      <c r="K208" s="6"/>
      <c r="L208" s="6"/>
      <c r="M208" s="6"/>
      <c r="N208" s="6"/>
      <c r="O208" s="6"/>
      <c r="P208" s="6"/>
      <c r="Q208" s="6"/>
      <c r="R208" s="6"/>
      <c r="S208" s="6"/>
      <c r="T208" s="6"/>
    </row>
    <row r="209" spans="1:20" x14ac:dyDescent="0.2">
      <c r="A209" s="6"/>
      <c r="B209" s="6"/>
      <c r="C209" s="6"/>
      <c r="D209" s="6"/>
      <c r="E209" s="6"/>
      <c r="F209" s="6"/>
      <c r="G209" s="6"/>
      <c r="H209" s="6"/>
      <c r="I209" s="6"/>
      <c r="J209" s="6"/>
      <c r="K209" s="6"/>
      <c r="L209" s="6"/>
      <c r="M209" s="6"/>
      <c r="N209" s="6"/>
      <c r="O209" s="6"/>
      <c r="P209" s="6"/>
      <c r="Q209" s="6"/>
      <c r="R209" s="6"/>
      <c r="S209" s="6"/>
      <c r="T209" s="6"/>
    </row>
    <row r="210" spans="1:20" x14ac:dyDescent="0.2">
      <c r="A210" s="6"/>
      <c r="B210" s="6"/>
      <c r="C210" s="6"/>
      <c r="D210" s="6"/>
      <c r="E210" s="6"/>
      <c r="F210" s="6"/>
      <c r="G210" s="6"/>
      <c r="H210" s="6"/>
      <c r="I210" s="6"/>
      <c r="J210" s="6"/>
      <c r="K210" s="6"/>
      <c r="L210" s="6"/>
      <c r="M210" s="6"/>
      <c r="N210" s="6"/>
      <c r="O210" s="6"/>
      <c r="P210" s="6"/>
      <c r="Q210" s="6"/>
      <c r="R210" s="6"/>
      <c r="S210" s="6"/>
      <c r="T210" s="6"/>
    </row>
    <row r="211" spans="1:20" x14ac:dyDescent="0.2">
      <c r="A211" s="6"/>
      <c r="B211" s="6"/>
      <c r="C211" s="6"/>
      <c r="D211" s="6"/>
      <c r="E211" s="6"/>
      <c r="F211" s="6"/>
      <c r="G211" s="6"/>
      <c r="H211" s="6"/>
      <c r="I211" s="6"/>
      <c r="J211" s="6"/>
      <c r="K211" s="6"/>
      <c r="L211" s="6"/>
      <c r="M211" s="6"/>
      <c r="N211" s="6"/>
      <c r="O211" s="6"/>
      <c r="P211" s="6"/>
      <c r="Q211" s="6"/>
      <c r="R211" s="6"/>
      <c r="S211" s="6"/>
      <c r="T211" s="6"/>
    </row>
    <row r="212" spans="1:20" x14ac:dyDescent="0.2">
      <c r="A212" s="6"/>
      <c r="B212" s="6"/>
      <c r="C212" s="6"/>
      <c r="D212" s="6"/>
      <c r="E212" s="6"/>
      <c r="F212" s="6"/>
      <c r="G212" s="6"/>
      <c r="H212" s="6"/>
      <c r="I212" s="6"/>
      <c r="J212" s="6"/>
      <c r="K212" s="6"/>
      <c r="L212" s="6"/>
      <c r="M212" s="6"/>
      <c r="N212" s="6"/>
      <c r="O212" s="6"/>
      <c r="P212" s="6"/>
      <c r="Q212" s="6"/>
      <c r="R212" s="6"/>
      <c r="S212" s="6"/>
      <c r="T212" s="6"/>
    </row>
    <row r="213" spans="1:20" x14ac:dyDescent="0.2">
      <c r="A213" s="6"/>
      <c r="B213" s="6"/>
      <c r="C213" s="6"/>
      <c r="D213" s="6"/>
      <c r="E213" s="6"/>
      <c r="F213" s="6"/>
      <c r="G213" s="6"/>
      <c r="H213" s="6"/>
      <c r="I213" s="6"/>
      <c r="J213" s="6"/>
      <c r="K213" s="6"/>
      <c r="L213" s="6"/>
      <c r="M213" s="6"/>
      <c r="N213" s="6"/>
      <c r="O213" s="6"/>
      <c r="P213" s="6"/>
      <c r="Q213" s="6"/>
      <c r="R213" s="6"/>
      <c r="S213" s="6"/>
      <c r="T213" s="6"/>
    </row>
    <row r="214" spans="1:20" x14ac:dyDescent="0.2">
      <c r="A214" s="6"/>
      <c r="B214" s="6"/>
      <c r="C214" s="6"/>
      <c r="D214" s="6"/>
      <c r="E214" s="6"/>
      <c r="F214" s="6"/>
      <c r="G214" s="6"/>
      <c r="H214" s="6"/>
      <c r="I214" s="6"/>
      <c r="J214" s="6"/>
      <c r="K214" s="6"/>
      <c r="L214" s="6"/>
      <c r="M214" s="6"/>
      <c r="N214" s="6"/>
      <c r="O214" s="6"/>
      <c r="P214" s="6"/>
      <c r="Q214" s="6"/>
      <c r="R214" s="6"/>
      <c r="S214" s="6"/>
      <c r="T214" s="6"/>
    </row>
    <row r="215" spans="1:20" x14ac:dyDescent="0.2">
      <c r="A215" s="6"/>
      <c r="B215" s="6"/>
      <c r="C215" s="6"/>
      <c r="D215" s="6"/>
      <c r="E215" s="6"/>
      <c r="F215" s="6"/>
      <c r="G215" s="6"/>
      <c r="H215" s="6"/>
      <c r="I215" s="6"/>
      <c r="J215" s="6"/>
      <c r="K215" s="6"/>
      <c r="L215" s="6"/>
      <c r="M215" s="6"/>
      <c r="N215" s="6"/>
      <c r="O215" s="6"/>
      <c r="P215" s="6"/>
      <c r="Q215" s="6"/>
      <c r="R215" s="6"/>
      <c r="S215" s="6"/>
      <c r="T215" s="6"/>
    </row>
    <row r="216" spans="1:20" x14ac:dyDescent="0.2">
      <c r="A216" s="6"/>
      <c r="B216" s="6"/>
      <c r="C216" s="6"/>
      <c r="D216" s="6"/>
      <c r="E216" s="6"/>
      <c r="F216" s="6"/>
      <c r="G216" s="6"/>
      <c r="H216" s="6"/>
      <c r="I216" s="6"/>
      <c r="J216" s="6"/>
      <c r="K216" s="6"/>
      <c r="L216" s="6"/>
      <c r="M216" s="6"/>
      <c r="N216" s="6"/>
      <c r="O216" s="6"/>
      <c r="P216" s="6"/>
      <c r="Q216" s="6"/>
      <c r="R216" s="6"/>
      <c r="S216" s="6"/>
      <c r="T216" s="6"/>
    </row>
    <row r="217" spans="1:20" x14ac:dyDescent="0.2">
      <c r="A217" s="6"/>
      <c r="B217" s="6"/>
      <c r="C217" s="6"/>
      <c r="D217" s="6"/>
      <c r="E217" s="6"/>
      <c r="F217" s="6"/>
      <c r="G217" s="6"/>
      <c r="H217" s="6"/>
      <c r="I217" s="6"/>
      <c r="J217" s="6"/>
      <c r="K217" s="6"/>
      <c r="L217" s="6"/>
      <c r="M217" s="6"/>
      <c r="N217" s="6"/>
      <c r="O217" s="6"/>
      <c r="P217" s="6"/>
      <c r="Q217" s="6"/>
      <c r="R217" s="6"/>
      <c r="S217" s="6"/>
      <c r="T217" s="6"/>
    </row>
    <row r="218" spans="1:20" x14ac:dyDescent="0.2">
      <c r="A218" s="6"/>
      <c r="B218" s="6"/>
      <c r="C218" s="6"/>
      <c r="D218" s="6"/>
      <c r="E218" s="6"/>
      <c r="F218" s="6"/>
      <c r="G218" s="6"/>
      <c r="H218" s="6"/>
      <c r="I218" s="6"/>
      <c r="J218" s="6"/>
      <c r="K218" s="6"/>
      <c r="L218" s="6"/>
      <c r="M218" s="6"/>
      <c r="N218" s="6"/>
      <c r="O218" s="6"/>
      <c r="P218" s="6"/>
      <c r="Q218" s="6"/>
      <c r="R218" s="6"/>
      <c r="S218" s="6"/>
      <c r="T218" s="6"/>
    </row>
    <row r="219" spans="1:20" x14ac:dyDescent="0.2">
      <c r="A219" s="6"/>
      <c r="B219" s="6"/>
      <c r="C219" s="6"/>
      <c r="D219" s="6"/>
      <c r="E219" s="6"/>
      <c r="F219" s="6"/>
      <c r="G219" s="6"/>
      <c r="H219" s="6"/>
      <c r="I219" s="6"/>
      <c r="J219" s="6"/>
      <c r="K219" s="6"/>
      <c r="L219" s="6"/>
      <c r="M219" s="6"/>
      <c r="N219" s="6"/>
      <c r="O219" s="6"/>
      <c r="P219" s="6"/>
      <c r="Q219" s="6"/>
      <c r="R219" s="6"/>
      <c r="S219" s="6"/>
      <c r="T219" s="6"/>
    </row>
    <row r="220" spans="1:20" x14ac:dyDescent="0.2">
      <c r="A220" s="6"/>
      <c r="B220" s="6"/>
      <c r="C220" s="6"/>
      <c r="D220" s="6"/>
      <c r="E220" s="6"/>
      <c r="F220" s="6"/>
      <c r="G220" s="6"/>
      <c r="H220" s="6"/>
      <c r="I220" s="6"/>
      <c r="J220" s="6"/>
      <c r="K220" s="6"/>
      <c r="L220" s="6"/>
      <c r="M220" s="6"/>
      <c r="N220" s="6"/>
      <c r="O220" s="6"/>
      <c r="P220" s="6"/>
      <c r="Q220" s="6"/>
      <c r="R220" s="6"/>
      <c r="S220" s="6"/>
      <c r="T220" s="6"/>
    </row>
    <row r="221" spans="1:20" x14ac:dyDescent="0.2">
      <c r="A221" s="6"/>
      <c r="B221" s="6"/>
      <c r="C221" s="6"/>
      <c r="D221" s="6"/>
      <c r="E221" s="6"/>
      <c r="F221" s="6"/>
      <c r="G221" s="6"/>
      <c r="H221" s="6"/>
      <c r="I221" s="6"/>
      <c r="J221" s="6"/>
      <c r="K221" s="6"/>
      <c r="L221" s="6"/>
      <c r="M221" s="6"/>
      <c r="N221" s="6"/>
      <c r="O221" s="6"/>
      <c r="P221" s="6"/>
      <c r="Q221" s="6"/>
      <c r="R221" s="6"/>
      <c r="S221" s="6"/>
      <c r="T221" s="6"/>
    </row>
    <row r="222" spans="1:20" x14ac:dyDescent="0.2">
      <c r="A222" s="6"/>
      <c r="B222" s="6"/>
      <c r="C222" s="6"/>
      <c r="D222" s="6"/>
      <c r="E222" s="6"/>
      <c r="F222" s="6"/>
      <c r="G222" s="6"/>
      <c r="H222" s="6"/>
      <c r="I222" s="6"/>
      <c r="J222" s="6"/>
      <c r="K222" s="6"/>
      <c r="L222" s="6"/>
      <c r="M222" s="6"/>
      <c r="N222" s="6"/>
      <c r="O222" s="6"/>
      <c r="P222" s="6"/>
      <c r="Q222" s="6"/>
      <c r="R222" s="6"/>
      <c r="S222" s="6"/>
      <c r="T222" s="6"/>
    </row>
    <row r="223" spans="1:20" x14ac:dyDescent="0.2">
      <c r="A223" s="6"/>
      <c r="B223" s="6"/>
      <c r="C223" s="6"/>
      <c r="D223" s="6"/>
      <c r="E223" s="6"/>
      <c r="F223" s="6"/>
      <c r="G223" s="6"/>
      <c r="H223" s="6"/>
      <c r="I223" s="6"/>
      <c r="J223" s="6"/>
      <c r="K223" s="6"/>
      <c r="L223" s="6"/>
      <c r="M223" s="6"/>
      <c r="N223" s="6"/>
      <c r="O223" s="6"/>
      <c r="P223" s="6"/>
      <c r="Q223" s="6"/>
      <c r="R223" s="6"/>
      <c r="S223" s="6"/>
      <c r="T223" s="6"/>
    </row>
    <row r="224" spans="1:20" x14ac:dyDescent="0.2">
      <c r="A224" s="6"/>
      <c r="B224" s="6"/>
      <c r="C224" s="6"/>
      <c r="D224" s="6"/>
      <c r="E224" s="6"/>
      <c r="F224" s="6"/>
      <c r="G224" s="6"/>
      <c r="H224" s="6"/>
      <c r="I224" s="6"/>
      <c r="J224" s="6"/>
      <c r="K224" s="6"/>
      <c r="L224" s="6"/>
      <c r="M224" s="6"/>
      <c r="N224" s="6"/>
      <c r="O224" s="6"/>
      <c r="P224" s="6"/>
      <c r="Q224" s="6"/>
      <c r="R224" s="6"/>
      <c r="S224" s="6"/>
      <c r="T224" s="6"/>
    </row>
    <row r="225" spans="1:20" x14ac:dyDescent="0.2">
      <c r="A225" s="6"/>
      <c r="B225" s="6"/>
      <c r="C225" s="6"/>
      <c r="D225" s="6"/>
      <c r="E225" s="6"/>
      <c r="F225" s="6"/>
      <c r="G225" s="6"/>
      <c r="H225" s="6"/>
      <c r="I225" s="6"/>
      <c r="J225" s="6"/>
      <c r="K225" s="6"/>
      <c r="L225" s="6"/>
      <c r="M225" s="6"/>
      <c r="N225" s="6"/>
      <c r="O225" s="6"/>
      <c r="P225" s="6"/>
      <c r="Q225" s="6"/>
      <c r="R225" s="6"/>
      <c r="S225" s="6"/>
      <c r="T225" s="6"/>
    </row>
    <row r="226" spans="1:20" x14ac:dyDescent="0.2">
      <c r="A226" s="6"/>
      <c r="B226" s="6"/>
      <c r="C226" s="6"/>
      <c r="D226" s="6"/>
      <c r="E226" s="6"/>
      <c r="F226" s="6"/>
      <c r="G226" s="6"/>
      <c r="H226" s="6"/>
      <c r="I226" s="6"/>
      <c r="J226" s="6"/>
      <c r="K226" s="6"/>
      <c r="L226" s="6"/>
      <c r="M226" s="6"/>
      <c r="N226" s="6"/>
      <c r="O226" s="6"/>
      <c r="P226" s="6"/>
      <c r="Q226" s="6"/>
      <c r="R226" s="6"/>
      <c r="S226" s="6"/>
      <c r="T226" s="6"/>
    </row>
    <row r="227" spans="1:20" x14ac:dyDescent="0.2">
      <c r="A227" s="6"/>
      <c r="B227" s="6"/>
      <c r="C227" s="6"/>
      <c r="D227" s="6"/>
      <c r="E227" s="6"/>
      <c r="F227" s="6"/>
      <c r="G227" s="6"/>
      <c r="H227" s="6"/>
      <c r="I227" s="6"/>
      <c r="J227" s="6"/>
      <c r="K227" s="6"/>
      <c r="L227" s="6"/>
      <c r="M227" s="6"/>
      <c r="N227" s="6"/>
      <c r="O227" s="6"/>
      <c r="P227" s="6"/>
      <c r="Q227" s="6"/>
      <c r="R227" s="6"/>
      <c r="S227" s="6"/>
      <c r="T227" s="6"/>
    </row>
    <row r="228" spans="1:20" x14ac:dyDescent="0.2">
      <c r="A228" s="6"/>
      <c r="B228" s="6"/>
      <c r="C228" s="6"/>
      <c r="D228" s="6"/>
      <c r="E228" s="6"/>
      <c r="F228" s="6"/>
      <c r="G228" s="6"/>
      <c r="H228" s="6"/>
      <c r="I228" s="6"/>
      <c r="J228" s="6"/>
      <c r="K228" s="6"/>
      <c r="L228" s="6"/>
      <c r="M228" s="6"/>
      <c r="N228" s="6"/>
      <c r="O228" s="6"/>
      <c r="P228" s="6"/>
      <c r="Q228" s="6"/>
      <c r="R228" s="6"/>
      <c r="S228" s="6"/>
      <c r="T228" s="6"/>
    </row>
    <row r="229" spans="1:20" x14ac:dyDescent="0.2">
      <c r="A229" s="6"/>
      <c r="B229" s="6"/>
      <c r="C229" s="6"/>
      <c r="D229" s="6"/>
      <c r="E229" s="6"/>
      <c r="F229" s="6"/>
      <c r="G229" s="6"/>
      <c r="H229" s="6"/>
      <c r="I229" s="6"/>
      <c r="J229" s="6"/>
      <c r="K229" s="6"/>
      <c r="L229" s="6"/>
      <c r="M229" s="6"/>
      <c r="N229" s="6"/>
      <c r="O229" s="6"/>
      <c r="P229" s="6"/>
      <c r="Q229" s="6"/>
      <c r="R229" s="6"/>
      <c r="S229" s="6"/>
      <c r="T229" s="6"/>
    </row>
    <row r="230" spans="1:20" x14ac:dyDescent="0.2">
      <c r="A230" s="6"/>
      <c r="B230" s="6"/>
      <c r="C230" s="6"/>
      <c r="D230" s="6"/>
      <c r="E230" s="6"/>
      <c r="F230" s="6"/>
      <c r="G230" s="6"/>
      <c r="H230" s="6"/>
      <c r="I230" s="6"/>
      <c r="J230" s="6"/>
      <c r="K230" s="6"/>
      <c r="L230" s="6"/>
      <c r="M230" s="6"/>
      <c r="N230" s="6"/>
      <c r="O230" s="6"/>
      <c r="P230" s="6"/>
      <c r="Q230" s="6"/>
      <c r="R230" s="6"/>
      <c r="S230" s="6"/>
      <c r="T230" s="6"/>
    </row>
    <row r="231" spans="1:20" x14ac:dyDescent="0.2">
      <c r="A231" s="6"/>
      <c r="B231" s="6"/>
      <c r="C231" s="6"/>
      <c r="D231" s="6"/>
      <c r="E231" s="6"/>
      <c r="F231" s="6"/>
      <c r="G231" s="6"/>
      <c r="H231" s="6"/>
      <c r="I231" s="6"/>
      <c r="J231" s="6"/>
      <c r="K231" s="6"/>
      <c r="L231" s="6"/>
      <c r="M231" s="6"/>
      <c r="N231" s="6"/>
      <c r="O231" s="6"/>
      <c r="P231" s="6"/>
      <c r="Q231" s="6"/>
      <c r="R231" s="6"/>
      <c r="S231" s="6"/>
      <c r="T231" s="6"/>
    </row>
    <row r="232" spans="1:20" x14ac:dyDescent="0.2">
      <c r="A232" s="6"/>
      <c r="B232" s="6"/>
      <c r="C232" s="6"/>
      <c r="D232" s="6"/>
      <c r="E232" s="6"/>
      <c r="F232" s="6"/>
      <c r="G232" s="6"/>
      <c r="H232" s="6"/>
      <c r="I232" s="6"/>
      <c r="J232" s="6"/>
      <c r="K232" s="6"/>
      <c r="L232" s="6"/>
      <c r="M232" s="6"/>
      <c r="N232" s="6"/>
      <c r="O232" s="6"/>
      <c r="P232" s="6"/>
      <c r="Q232" s="6"/>
      <c r="R232" s="6"/>
      <c r="S232" s="6"/>
      <c r="T232" s="6"/>
    </row>
    <row r="233" spans="1:20" x14ac:dyDescent="0.2">
      <c r="A233" s="6"/>
      <c r="B233" s="6"/>
      <c r="C233" s="6"/>
      <c r="D233" s="6"/>
      <c r="E233" s="6"/>
      <c r="F233" s="6"/>
      <c r="G233" s="6"/>
      <c r="H233" s="6"/>
      <c r="I233" s="6"/>
      <c r="J233" s="6"/>
      <c r="K233" s="6"/>
      <c r="L233" s="6"/>
      <c r="M233" s="6"/>
      <c r="N233" s="6"/>
      <c r="O233" s="6"/>
      <c r="P233" s="6"/>
      <c r="Q233" s="6"/>
      <c r="R233" s="6"/>
      <c r="S233" s="6"/>
      <c r="T233" s="6"/>
    </row>
    <row r="234" spans="1:20" x14ac:dyDescent="0.2">
      <c r="A234" s="6"/>
      <c r="B234" s="6"/>
      <c r="C234" s="6"/>
      <c r="D234" s="6"/>
      <c r="E234" s="6"/>
      <c r="F234" s="6"/>
      <c r="G234" s="6"/>
      <c r="H234" s="6"/>
      <c r="I234" s="6"/>
      <c r="J234" s="6"/>
      <c r="K234" s="6"/>
      <c r="L234" s="6"/>
      <c r="M234" s="6"/>
      <c r="N234" s="6"/>
      <c r="O234" s="6"/>
      <c r="P234" s="6"/>
      <c r="Q234" s="6"/>
      <c r="R234" s="6"/>
      <c r="S234" s="6"/>
      <c r="T234" s="6"/>
    </row>
    <row r="235" spans="1:20" x14ac:dyDescent="0.2">
      <c r="A235" s="6"/>
      <c r="B235" s="6"/>
      <c r="C235" s="6"/>
      <c r="D235" s="6"/>
      <c r="E235" s="6"/>
      <c r="F235" s="6"/>
      <c r="G235" s="6"/>
      <c r="H235" s="6"/>
      <c r="I235" s="6"/>
      <c r="J235" s="6"/>
      <c r="K235" s="6"/>
      <c r="L235" s="6"/>
      <c r="M235" s="6"/>
      <c r="N235" s="6"/>
      <c r="O235" s="6"/>
      <c r="P235" s="6"/>
      <c r="Q235" s="6"/>
      <c r="R235" s="6"/>
      <c r="S235" s="6"/>
      <c r="T235" s="6"/>
    </row>
    <row r="236" spans="1:20" x14ac:dyDescent="0.2">
      <c r="A236" s="6"/>
      <c r="B236" s="6"/>
      <c r="C236" s="6"/>
      <c r="D236" s="6"/>
      <c r="E236" s="6"/>
      <c r="F236" s="6"/>
      <c r="G236" s="6"/>
      <c r="H236" s="6"/>
      <c r="I236" s="6"/>
      <c r="J236" s="6"/>
      <c r="K236" s="6"/>
      <c r="L236" s="6"/>
      <c r="M236" s="6"/>
      <c r="N236" s="6"/>
      <c r="O236" s="6"/>
      <c r="P236" s="6"/>
      <c r="Q236" s="6"/>
      <c r="R236" s="6"/>
      <c r="S236" s="6"/>
      <c r="T236" s="6"/>
    </row>
    <row r="237" spans="1:20" x14ac:dyDescent="0.2">
      <c r="A237" s="6"/>
      <c r="B237" s="6"/>
      <c r="C237" s="6"/>
      <c r="D237" s="6"/>
      <c r="E237" s="6"/>
      <c r="F237" s="6"/>
      <c r="G237" s="6"/>
      <c r="H237" s="6"/>
      <c r="I237" s="6"/>
      <c r="J237" s="6"/>
      <c r="K237" s="6"/>
      <c r="L237" s="6"/>
      <c r="M237" s="6"/>
      <c r="N237" s="6"/>
      <c r="O237" s="6"/>
      <c r="P237" s="6"/>
      <c r="Q237" s="6"/>
      <c r="R237" s="6"/>
      <c r="S237" s="6"/>
      <c r="T237" s="6"/>
    </row>
    <row r="238" spans="1:20" x14ac:dyDescent="0.2">
      <c r="A238" s="6"/>
      <c r="B238" s="6"/>
      <c r="C238" s="6"/>
      <c r="D238" s="6"/>
      <c r="E238" s="6"/>
      <c r="F238" s="6"/>
      <c r="G238" s="6"/>
      <c r="H238" s="6"/>
      <c r="I238" s="6"/>
      <c r="J238" s="6"/>
      <c r="K238" s="6"/>
      <c r="L238" s="6"/>
      <c r="M238" s="6"/>
      <c r="N238" s="6"/>
      <c r="O238" s="6"/>
      <c r="P238" s="6"/>
      <c r="Q238" s="6"/>
      <c r="R238" s="6"/>
      <c r="S238" s="6"/>
      <c r="T238" s="6"/>
    </row>
    <row r="239" spans="1:20" x14ac:dyDescent="0.2">
      <c r="A239" s="6"/>
      <c r="B239" s="6"/>
      <c r="C239" s="6"/>
      <c r="D239" s="6"/>
      <c r="E239" s="6"/>
      <c r="F239" s="6"/>
      <c r="G239" s="6"/>
      <c r="H239" s="6"/>
      <c r="I239" s="6"/>
      <c r="J239" s="6"/>
      <c r="K239" s="6"/>
      <c r="L239" s="6"/>
      <c r="M239" s="6"/>
      <c r="N239" s="6"/>
      <c r="O239" s="6"/>
      <c r="P239" s="6"/>
      <c r="Q239" s="6"/>
      <c r="R239" s="6"/>
      <c r="S239" s="6"/>
      <c r="T239" s="6"/>
    </row>
    <row r="240" spans="1:20" x14ac:dyDescent="0.2">
      <c r="A240" s="6"/>
      <c r="B240" s="6"/>
      <c r="C240" s="6"/>
      <c r="D240" s="6"/>
      <c r="E240" s="6"/>
      <c r="F240" s="6"/>
      <c r="G240" s="6"/>
      <c r="H240" s="6"/>
      <c r="I240" s="6"/>
      <c r="J240" s="6"/>
      <c r="K240" s="6"/>
      <c r="L240" s="6"/>
      <c r="M240" s="6"/>
      <c r="N240" s="6"/>
      <c r="O240" s="6"/>
      <c r="P240" s="6"/>
      <c r="Q240" s="6"/>
      <c r="R240" s="6"/>
      <c r="S240" s="6"/>
      <c r="T240" s="6"/>
    </row>
    <row r="241" spans="1:20" x14ac:dyDescent="0.2">
      <c r="A241" s="6"/>
      <c r="B241" s="6"/>
      <c r="C241" s="6"/>
      <c r="D241" s="6"/>
      <c r="E241" s="6"/>
      <c r="F241" s="6"/>
      <c r="G241" s="6"/>
      <c r="H241" s="6"/>
      <c r="I241" s="6"/>
      <c r="J241" s="6"/>
      <c r="K241" s="6"/>
      <c r="L241" s="6"/>
      <c r="M241" s="6"/>
      <c r="N241" s="6"/>
      <c r="O241" s="6"/>
      <c r="P241" s="6"/>
      <c r="Q241" s="6"/>
      <c r="R241" s="6"/>
      <c r="S241" s="6"/>
      <c r="T241" s="6"/>
    </row>
    <row r="242" spans="1:20" x14ac:dyDescent="0.2">
      <c r="A242" s="6"/>
      <c r="B242" s="6"/>
      <c r="C242" s="6"/>
      <c r="D242" s="6"/>
      <c r="E242" s="6"/>
      <c r="F242" s="6"/>
      <c r="G242" s="6"/>
      <c r="H242" s="6"/>
      <c r="I242" s="6"/>
      <c r="J242" s="6"/>
      <c r="K242" s="6"/>
      <c r="L242" s="6"/>
      <c r="M242" s="6"/>
      <c r="N242" s="6"/>
      <c r="O242" s="6"/>
      <c r="P242" s="6"/>
      <c r="Q242" s="6"/>
      <c r="R242" s="6"/>
      <c r="S242" s="6"/>
      <c r="T242" s="6"/>
    </row>
    <row r="243" spans="1:20" x14ac:dyDescent="0.2">
      <c r="A243" s="6"/>
      <c r="B243" s="6"/>
      <c r="C243" s="6"/>
      <c r="D243" s="6"/>
      <c r="E243" s="6"/>
      <c r="F243" s="6"/>
      <c r="G243" s="6"/>
      <c r="H243" s="6"/>
      <c r="I243" s="6"/>
      <c r="J243" s="6"/>
      <c r="K243" s="6"/>
      <c r="L243" s="6"/>
      <c r="M243" s="6"/>
      <c r="N243" s="6"/>
      <c r="O243" s="6"/>
      <c r="P243" s="6"/>
      <c r="Q243" s="6"/>
      <c r="R243" s="6"/>
      <c r="S243" s="6"/>
      <c r="T243" s="6"/>
    </row>
    <row r="244" spans="1:20" x14ac:dyDescent="0.2">
      <c r="A244" s="6"/>
      <c r="B244" s="6"/>
      <c r="C244" s="6"/>
      <c r="D244" s="6"/>
      <c r="E244" s="6"/>
      <c r="F244" s="6"/>
      <c r="G244" s="6"/>
      <c r="H244" s="6"/>
      <c r="I244" s="6"/>
      <c r="J244" s="6"/>
      <c r="K244" s="6"/>
      <c r="L244" s="6"/>
      <c r="M244" s="6"/>
      <c r="N244" s="6"/>
      <c r="O244" s="6"/>
      <c r="P244" s="6"/>
      <c r="Q244" s="6"/>
      <c r="R244" s="6"/>
      <c r="S244" s="6"/>
      <c r="T244" s="6"/>
    </row>
    <row r="245" spans="1:20" x14ac:dyDescent="0.2">
      <c r="A245" s="6"/>
      <c r="B245" s="6"/>
      <c r="C245" s="6"/>
      <c r="D245" s="6"/>
      <c r="E245" s="6"/>
      <c r="F245" s="6"/>
      <c r="G245" s="6"/>
      <c r="H245" s="6"/>
      <c r="I245" s="6"/>
      <c r="J245" s="6"/>
      <c r="K245" s="6"/>
      <c r="L245" s="6"/>
      <c r="M245" s="6"/>
      <c r="N245" s="6"/>
      <c r="O245" s="6"/>
      <c r="P245" s="6"/>
      <c r="Q245" s="6"/>
      <c r="R245" s="6"/>
      <c r="S245" s="6"/>
      <c r="T245" s="6"/>
    </row>
    <row r="246" spans="1:20" x14ac:dyDescent="0.2">
      <c r="A246" s="6"/>
      <c r="B246" s="6"/>
      <c r="C246" s="6"/>
      <c r="D246" s="6"/>
      <c r="E246" s="6"/>
      <c r="F246" s="6"/>
      <c r="G246" s="6"/>
      <c r="H246" s="6"/>
      <c r="I246" s="6"/>
      <c r="J246" s="6"/>
      <c r="K246" s="6"/>
      <c r="L246" s="6"/>
      <c r="M246" s="6"/>
      <c r="N246" s="6"/>
      <c r="O246" s="6"/>
      <c r="P246" s="6"/>
      <c r="Q246" s="6"/>
      <c r="R246" s="6"/>
      <c r="S246" s="6"/>
      <c r="T246" s="6"/>
    </row>
    <row r="247" spans="1:20" x14ac:dyDescent="0.2">
      <c r="A247" s="6"/>
      <c r="B247" s="6"/>
      <c r="C247" s="6"/>
      <c r="D247" s="6"/>
      <c r="E247" s="6"/>
      <c r="F247" s="6"/>
      <c r="G247" s="6"/>
      <c r="H247" s="6"/>
      <c r="I247" s="6"/>
      <c r="J247" s="6"/>
      <c r="K247" s="6"/>
      <c r="L247" s="6"/>
      <c r="M247" s="6"/>
      <c r="N247" s="6"/>
      <c r="O247" s="6"/>
      <c r="P247" s="6"/>
      <c r="Q247" s="6"/>
      <c r="R247" s="6"/>
      <c r="S247" s="6"/>
      <c r="T247" s="6"/>
    </row>
    <row r="248" spans="1:20" x14ac:dyDescent="0.2">
      <c r="A248" s="6"/>
      <c r="B248" s="6"/>
      <c r="C248" s="6"/>
      <c r="D248" s="6"/>
      <c r="E248" s="6"/>
      <c r="F248" s="6"/>
      <c r="G248" s="6"/>
      <c r="H248" s="6"/>
      <c r="I248" s="6"/>
      <c r="J248" s="6"/>
      <c r="K248" s="6"/>
      <c r="L248" s="6"/>
      <c r="M248" s="6"/>
      <c r="N248" s="6"/>
      <c r="O248" s="6"/>
      <c r="P248" s="6"/>
      <c r="Q248" s="6"/>
      <c r="R248" s="6"/>
      <c r="S248" s="6"/>
      <c r="T248" s="6"/>
    </row>
    <row r="249" spans="1:20" x14ac:dyDescent="0.2">
      <c r="A249" s="6"/>
      <c r="B249" s="6"/>
      <c r="C249" s="6"/>
      <c r="D249" s="6"/>
      <c r="E249" s="6"/>
      <c r="F249" s="6"/>
      <c r="G249" s="6"/>
      <c r="H249" s="6"/>
      <c r="I249" s="6"/>
      <c r="J249" s="6"/>
      <c r="K249" s="6"/>
      <c r="L249" s="6"/>
      <c r="M249" s="6"/>
      <c r="N249" s="6"/>
      <c r="O249" s="6"/>
      <c r="P249" s="6"/>
      <c r="Q249" s="6"/>
      <c r="R249" s="6"/>
      <c r="S249" s="6"/>
      <c r="T249" s="6"/>
    </row>
  </sheetData>
  <autoFilter ref="A13:T44"/>
  <mergeCells count="6">
    <mergeCell ref="I33:I34"/>
    <mergeCell ref="E1:G1"/>
    <mergeCell ref="I14:I15"/>
    <mergeCell ref="A5:E5"/>
    <mergeCell ref="A10:E10"/>
    <mergeCell ref="A11:E11"/>
  </mergeCells>
  <phoneticPr fontId="2" type="noConversion"/>
  <pageMargins left="0.75" right="0.75" top="0.46" bottom="0.36" header="0.26" footer="0.17"/>
  <pageSetup paperSize="9" scale="75" orientation="landscape" r:id="rId1"/>
  <headerFooter alignWithMargins="0">
    <oddHeader>&amp;R&amp;D</oddHeader>
    <oddFooter>&amp;L&amp;8&amp;Z&amp;F&amp;R&amp;8&amp;A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S442"/>
  <sheetViews>
    <sheetView topLeftCell="A31" zoomScaleNormal="100" workbookViewId="0">
      <selection activeCell="B97" sqref="B97"/>
    </sheetView>
  </sheetViews>
  <sheetFormatPr defaultRowHeight="12.75" x14ac:dyDescent="0.2"/>
  <cols>
    <col min="1" max="1" width="22.85546875" customWidth="1"/>
    <col min="2" max="2" width="23.5703125" customWidth="1"/>
    <col min="3" max="3" width="28.5703125" customWidth="1"/>
    <col min="4" max="4" width="12.5703125" customWidth="1"/>
    <col min="5" max="5" width="5.85546875" customWidth="1"/>
    <col min="6" max="7" width="6.7109375" customWidth="1"/>
    <col min="8" max="9" width="6.42578125" customWidth="1"/>
    <col min="10" max="10" width="6.28515625" customWidth="1"/>
    <col min="11" max="13" width="6.5703125" customWidth="1"/>
    <col min="14" max="14" width="6.42578125" customWidth="1"/>
    <col min="15" max="15" width="7.5703125" customWidth="1"/>
    <col min="16" max="16" width="6.7109375" customWidth="1"/>
    <col min="17" max="17" width="10.140625" customWidth="1"/>
    <col min="18" max="18" width="13.5703125" customWidth="1"/>
    <col min="19" max="19" width="7.140625" customWidth="1"/>
    <col min="20" max="20" width="6.85546875" customWidth="1"/>
    <col min="21" max="21" width="7.42578125" customWidth="1"/>
    <col min="22" max="22" width="7.5703125" customWidth="1"/>
    <col min="23" max="23" width="7.7109375" customWidth="1"/>
    <col min="24" max="24" width="7.5703125" customWidth="1"/>
    <col min="25" max="25" width="7.28515625" customWidth="1"/>
    <col min="26" max="26" width="7.140625" customWidth="1"/>
    <col min="27" max="27" width="7.7109375" customWidth="1"/>
    <col min="28" max="28" width="6.7109375" customWidth="1"/>
    <col min="29" max="30" width="7.7109375" customWidth="1"/>
    <col min="31" max="31" width="7.85546875" customWidth="1"/>
    <col min="32" max="32" width="7.5703125" customWidth="1"/>
    <col min="33" max="33" width="7.7109375" customWidth="1"/>
    <col min="34" max="34" width="7.42578125" customWidth="1"/>
    <col min="35" max="35" width="7.7109375" customWidth="1"/>
    <col min="36" max="36" width="7.140625" customWidth="1"/>
    <col min="37" max="37" width="7.5703125" customWidth="1"/>
    <col min="38" max="39" width="7.140625" customWidth="1"/>
    <col min="40" max="40" width="7.5703125" customWidth="1"/>
    <col min="41" max="41" width="7.7109375" customWidth="1"/>
    <col min="44" max="44" width="6.85546875" customWidth="1"/>
    <col min="45" max="45" width="7.42578125" customWidth="1"/>
    <col min="46" max="46" width="7.5703125" customWidth="1"/>
    <col min="47" max="47" width="7.28515625" customWidth="1"/>
    <col min="48" max="48" width="7" customWidth="1"/>
    <col min="49" max="49" width="8" customWidth="1"/>
    <col min="50" max="50" width="7.5703125" customWidth="1"/>
    <col min="51" max="51" width="7.85546875" customWidth="1"/>
    <col min="52" max="52" width="7" customWidth="1"/>
    <col min="53" max="53" width="7.5703125" customWidth="1"/>
    <col min="54" max="54" width="7.28515625" customWidth="1"/>
    <col min="55" max="55" width="8" customWidth="1"/>
  </cols>
  <sheetData>
    <row r="1" spans="1:149" ht="24.75" customHeight="1" x14ac:dyDescent="0.35">
      <c r="A1" s="332" t="s">
        <v>402</v>
      </c>
      <c r="B1" s="315"/>
      <c r="C1" s="138"/>
      <c r="D1" s="138"/>
      <c r="E1" s="138"/>
      <c r="F1" s="29"/>
      <c r="G1" s="29"/>
      <c r="H1" s="329"/>
      <c r="I1" s="329"/>
      <c r="J1" s="329"/>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1:149" ht="13.5" customHeight="1" x14ac:dyDescent="0.35">
      <c r="A2" s="48"/>
      <c r="B2" s="25"/>
      <c r="C2" s="25"/>
      <c r="D2" s="25"/>
      <c r="E2" s="25"/>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row>
    <row r="3" spans="1:149" x14ac:dyDescent="0.2">
      <c r="A3" s="17" t="s">
        <v>664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row>
    <row r="4" spans="1:149"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row>
    <row r="5" spans="1:149" ht="44.25" customHeight="1" x14ac:dyDescent="0.2">
      <c r="A5" s="328" t="s">
        <v>646</v>
      </c>
      <c r="B5" s="328"/>
      <c r="C5" s="315"/>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row>
    <row r="6" spans="1:149" ht="16.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row>
    <row r="7" spans="1:149" ht="14.25" customHeight="1" x14ac:dyDescent="0.2">
      <c r="A7" s="17" t="s">
        <v>504</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row>
    <row r="8" spans="1:149" ht="14.25" customHeight="1" x14ac:dyDescent="0.2">
      <c r="A8" s="1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row>
    <row r="9" spans="1:149" ht="27" customHeight="1" x14ac:dyDescent="0.2">
      <c r="A9" s="45" t="s">
        <v>655</v>
      </c>
      <c r="B9" s="139">
        <v>5</v>
      </c>
      <c r="C9" s="45" t="s">
        <v>656</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row>
    <row r="10" spans="1:149"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row>
    <row r="11" spans="1:149" ht="13.5" customHeight="1" x14ac:dyDescent="0.2">
      <c r="A11" s="17" t="s">
        <v>483</v>
      </c>
      <c r="B11" s="10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row>
    <row r="12" spans="1:149" ht="12.75" customHeight="1" x14ac:dyDescent="0.2">
      <c r="A12" s="339" t="s">
        <v>846</v>
      </c>
      <c r="B12" s="339"/>
      <c r="C12" s="339"/>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row>
    <row r="13" spans="1:149" ht="15.75" customHeight="1" x14ac:dyDescent="0.2">
      <c r="A13" s="333" t="s">
        <v>625</v>
      </c>
      <c r="B13" s="334"/>
      <c r="C13" s="7"/>
      <c r="D13" s="192" t="s">
        <v>836</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row>
    <row r="14" spans="1:149" ht="13.5" customHeight="1" x14ac:dyDescent="0.2">
      <c r="A14" s="120" t="s">
        <v>648</v>
      </c>
      <c r="B14" s="127" t="s">
        <v>664</v>
      </c>
      <c r="C14" s="71" t="s">
        <v>649</v>
      </c>
      <c r="D14" s="193" t="s">
        <v>649</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row>
    <row r="15" spans="1:149" ht="22.5" customHeight="1" x14ac:dyDescent="0.25">
      <c r="A15" s="134" t="s">
        <v>30</v>
      </c>
      <c r="B15" s="126" t="s">
        <v>31</v>
      </c>
      <c r="C15" s="196">
        <v>6.23</v>
      </c>
      <c r="D15" s="111">
        <v>5.01</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row>
    <row r="16" spans="1:149" ht="23.25" customHeight="1" x14ac:dyDescent="0.25">
      <c r="A16" s="134" t="s">
        <v>820</v>
      </c>
      <c r="B16" s="126" t="s">
        <v>821</v>
      </c>
      <c r="C16" s="196">
        <v>0.97</v>
      </c>
      <c r="D16" s="111">
        <v>1.48</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row>
    <row r="17" spans="1:149" ht="24.75" customHeight="1" x14ac:dyDescent="0.25">
      <c r="A17" s="134" t="s">
        <v>0</v>
      </c>
      <c r="B17" s="126" t="s">
        <v>637</v>
      </c>
      <c r="C17" s="196">
        <v>8.8000000000000007</v>
      </c>
      <c r="D17" s="111">
        <v>4</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row>
    <row r="18" spans="1:149" ht="15.75" customHeight="1" x14ac:dyDescent="0.25">
      <c r="A18" s="134" t="s">
        <v>1</v>
      </c>
      <c r="B18" s="126" t="s">
        <v>2</v>
      </c>
      <c r="C18" s="196">
        <v>0.14000000000000001</v>
      </c>
      <c r="D18" s="111">
        <v>0.14000000000000001</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row>
    <row r="19" spans="1:149" ht="26.25" customHeight="1" x14ac:dyDescent="0.25">
      <c r="A19" s="134" t="s">
        <v>3</v>
      </c>
      <c r="B19" s="126" t="s">
        <v>4</v>
      </c>
      <c r="C19" s="196">
        <v>62</v>
      </c>
      <c r="D19" s="111">
        <v>58</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row>
    <row r="20" spans="1:149" ht="24" customHeight="1" x14ac:dyDescent="0.25">
      <c r="A20" s="134" t="s">
        <v>638</v>
      </c>
      <c r="B20" s="126" t="s">
        <v>639</v>
      </c>
      <c r="C20" s="196">
        <v>108.2</v>
      </c>
      <c r="D20" s="111">
        <v>82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row>
    <row r="21" spans="1:149" ht="18.75" customHeight="1" x14ac:dyDescent="0.25">
      <c r="A21" s="134" t="s">
        <v>5</v>
      </c>
      <c r="B21" s="126" t="s">
        <v>8</v>
      </c>
      <c r="C21" s="196">
        <v>31.5</v>
      </c>
      <c r="D21" s="111">
        <v>31.5</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row>
    <row r="22" spans="1:149" ht="28.5" customHeight="1" x14ac:dyDescent="0.25">
      <c r="A22" s="134" t="s">
        <v>9</v>
      </c>
      <c r="B22" s="126" t="s">
        <v>10</v>
      </c>
      <c r="C22" s="196">
        <v>38.15</v>
      </c>
      <c r="D22" s="111">
        <v>31.96</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row>
    <row r="23" spans="1:149" ht="26.25" customHeight="1" x14ac:dyDescent="0.25">
      <c r="A23" s="134" t="s">
        <v>11</v>
      </c>
      <c r="B23" s="126" t="s">
        <v>12</v>
      </c>
      <c r="C23" s="196">
        <v>38.9</v>
      </c>
      <c r="D23" s="111">
        <v>32.549999999999997</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row>
    <row r="24" spans="1:149" ht="26.25" customHeight="1" x14ac:dyDescent="0.25">
      <c r="A24" s="134" t="s">
        <v>13</v>
      </c>
      <c r="B24" s="126" t="s">
        <v>15</v>
      </c>
      <c r="C24" s="196">
        <v>158</v>
      </c>
      <c r="D24" s="111">
        <v>158</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row>
    <row r="25" spans="1:149" ht="25.5" customHeight="1" x14ac:dyDescent="0.25">
      <c r="A25" s="134" t="s">
        <v>16</v>
      </c>
      <c r="B25" s="126" t="s">
        <v>17</v>
      </c>
      <c r="C25" s="196">
        <v>253.33</v>
      </c>
      <c r="D25" s="111">
        <v>163</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row>
    <row r="26" spans="1:149" ht="23.25" customHeight="1" x14ac:dyDescent="0.25">
      <c r="A26" s="134" t="s">
        <v>18</v>
      </c>
      <c r="B26" s="126" t="s">
        <v>19</v>
      </c>
      <c r="C26" s="196">
        <v>30.48</v>
      </c>
      <c r="D26" s="111">
        <v>23</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row>
    <row r="27" spans="1:149" ht="25.5" customHeight="1" x14ac:dyDescent="0.25">
      <c r="A27" s="134" t="s">
        <v>20</v>
      </c>
      <c r="B27" s="126" t="s">
        <v>21</v>
      </c>
      <c r="C27" s="196">
        <v>5.81</v>
      </c>
      <c r="D27" s="111">
        <v>4.6500000000000004</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row>
    <row r="28" spans="1:149" ht="27" customHeight="1" x14ac:dyDescent="0.25">
      <c r="A28" s="134" t="s">
        <v>22</v>
      </c>
      <c r="B28" s="126" t="s">
        <v>23</v>
      </c>
      <c r="C28" s="196">
        <v>1.9656</v>
      </c>
      <c r="D28" s="111">
        <v>1.42</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row>
    <row r="29" spans="1:149" ht="27" customHeight="1" x14ac:dyDescent="0.25">
      <c r="A29" s="134" t="s">
        <v>24</v>
      </c>
      <c r="B29" s="126" t="s">
        <v>25</v>
      </c>
      <c r="C29" s="196">
        <v>5.22</v>
      </c>
      <c r="D29" s="111">
        <v>4.45</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row>
    <row r="30" spans="1:149" ht="26.25" customHeight="1" x14ac:dyDescent="0.25">
      <c r="A30" s="134" t="s">
        <v>26</v>
      </c>
      <c r="B30" s="126" t="s">
        <v>27</v>
      </c>
      <c r="C30" s="196">
        <v>23.1</v>
      </c>
      <c r="D30" s="111">
        <v>23.1</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row>
    <row r="31" spans="1:149" ht="24.75" customHeight="1" x14ac:dyDescent="0.25">
      <c r="A31" s="134" t="s">
        <v>32</v>
      </c>
      <c r="B31" s="126" t="s">
        <v>33</v>
      </c>
      <c r="C31" s="197">
        <v>32</v>
      </c>
      <c r="D31" s="111">
        <v>32</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row>
    <row r="32" spans="1:149" ht="24.75" customHeight="1" x14ac:dyDescent="0.25">
      <c r="A32" s="134" t="s">
        <v>34</v>
      </c>
      <c r="B32" s="126" t="s">
        <v>35</v>
      </c>
      <c r="C32" s="196">
        <v>32</v>
      </c>
      <c r="D32" s="111">
        <v>32</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row>
    <row r="33" spans="1:149" ht="26.25" customHeight="1" x14ac:dyDescent="0.25">
      <c r="A33" s="134" t="s">
        <v>36</v>
      </c>
      <c r="B33" s="126" t="s">
        <v>37</v>
      </c>
      <c r="C33" s="196">
        <v>36</v>
      </c>
      <c r="D33" s="111">
        <v>36</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row>
    <row r="34" spans="1:149" ht="27" customHeight="1" x14ac:dyDescent="0.25">
      <c r="A34" s="135" t="s">
        <v>68</v>
      </c>
      <c r="B34" s="126" t="s">
        <v>69</v>
      </c>
      <c r="C34" s="197">
        <v>12</v>
      </c>
      <c r="D34" s="111">
        <v>16.5</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row>
    <row r="35" spans="1:149" ht="27" customHeight="1" x14ac:dyDescent="0.25">
      <c r="A35" s="134" t="s">
        <v>38</v>
      </c>
      <c r="B35" s="126" t="s">
        <v>39</v>
      </c>
      <c r="C35" s="197">
        <v>74.099999999999994</v>
      </c>
      <c r="D35" s="111">
        <v>73.36</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row>
    <row r="36" spans="1:149" ht="27.75" customHeight="1" x14ac:dyDescent="0.25">
      <c r="A36" s="134" t="s">
        <v>640</v>
      </c>
      <c r="B36" s="126" t="s">
        <v>641</v>
      </c>
      <c r="C36" s="197">
        <v>187</v>
      </c>
      <c r="D36" s="111">
        <v>170</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row>
    <row r="37" spans="1:149" ht="24.75" customHeight="1" x14ac:dyDescent="0.25">
      <c r="A37" s="134" t="s">
        <v>40</v>
      </c>
      <c r="B37" s="126" t="s">
        <v>41</v>
      </c>
      <c r="C37" s="196">
        <v>7.39</v>
      </c>
      <c r="D37" s="111">
        <v>7.39</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row>
    <row r="38" spans="1:149" ht="25.5" customHeight="1" x14ac:dyDescent="0.25">
      <c r="A38" s="134" t="s">
        <v>42</v>
      </c>
      <c r="B38" s="126" t="s">
        <v>43</v>
      </c>
      <c r="C38" s="196">
        <v>8</v>
      </c>
      <c r="D38" s="111">
        <v>8</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row>
    <row r="39" spans="1:149" ht="24" customHeight="1" x14ac:dyDescent="0.25">
      <c r="A39" s="134" t="s">
        <v>44</v>
      </c>
      <c r="B39" s="126" t="s">
        <v>45</v>
      </c>
      <c r="C39" s="197">
        <v>66.8</v>
      </c>
      <c r="D39" s="111">
        <v>54.75</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row>
    <row r="40" spans="1:149" ht="25.5" customHeight="1" x14ac:dyDescent="0.25">
      <c r="A40" s="134" t="s">
        <v>46</v>
      </c>
      <c r="B40" s="126" t="s">
        <v>47</v>
      </c>
      <c r="C40" s="196">
        <v>66.8</v>
      </c>
      <c r="D40" s="111">
        <v>45.85</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row>
    <row r="41" spans="1:149" ht="25.5" customHeight="1" x14ac:dyDescent="0.25">
      <c r="A41" s="191" t="s">
        <v>48</v>
      </c>
      <c r="B41" s="190" t="s">
        <v>49</v>
      </c>
      <c r="C41" s="199">
        <v>62.4</v>
      </c>
      <c r="D41" s="189">
        <v>62.4</v>
      </c>
      <c r="E41" s="337" t="s">
        <v>837</v>
      </c>
      <c r="F41" s="338"/>
      <c r="G41" s="338"/>
      <c r="H41" s="338"/>
      <c r="I41" s="338"/>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row>
    <row r="42" spans="1:149" ht="24.75" customHeight="1" x14ac:dyDescent="0.25">
      <c r="A42" s="134" t="s">
        <v>50</v>
      </c>
      <c r="B42" s="126" t="s">
        <v>51</v>
      </c>
      <c r="C42" s="197">
        <v>35</v>
      </c>
      <c r="D42" s="111">
        <v>35</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row>
    <row r="43" spans="1:149" ht="25.5" customHeight="1" x14ac:dyDescent="0.25">
      <c r="A43" s="134" t="s">
        <v>52</v>
      </c>
      <c r="B43" s="126" t="s">
        <v>53</v>
      </c>
      <c r="C43" s="197">
        <v>75</v>
      </c>
      <c r="D43" s="111">
        <v>75</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row>
    <row r="44" spans="1:149" ht="26.25" customHeight="1" x14ac:dyDescent="0.25">
      <c r="A44" s="134" t="s">
        <v>54</v>
      </c>
      <c r="B44" s="126" t="s">
        <v>55</v>
      </c>
      <c r="C44" s="197">
        <v>87</v>
      </c>
      <c r="D44" s="111">
        <v>87</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row>
    <row r="45" spans="1:149" ht="26.25" customHeight="1" x14ac:dyDescent="0.25">
      <c r="A45" s="134" t="s">
        <v>56</v>
      </c>
      <c r="B45" s="126" t="s">
        <v>57</v>
      </c>
      <c r="C45" s="196">
        <v>25</v>
      </c>
      <c r="D45" s="111">
        <v>25</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row>
    <row r="46" spans="1:149" ht="26.25" customHeight="1" x14ac:dyDescent="0.25">
      <c r="A46" s="134" t="s">
        <v>58</v>
      </c>
      <c r="B46" s="126" t="s">
        <v>59</v>
      </c>
      <c r="C46" s="196">
        <v>32</v>
      </c>
      <c r="D46" s="111">
        <v>31.5</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row>
    <row r="47" spans="1:149" ht="27.75" customHeight="1" x14ac:dyDescent="0.25">
      <c r="A47" s="134" t="s">
        <v>60</v>
      </c>
      <c r="B47" s="126" t="s">
        <v>61</v>
      </c>
      <c r="C47" s="197">
        <v>21</v>
      </c>
      <c r="D47" s="111">
        <v>84.75</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row>
    <row r="48" spans="1:149" ht="26.25" customHeight="1" x14ac:dyDescent="0.25">
      <c r="A48" s="134" t="s">
        <v>642</v>
      </c>
      <c r="B48" s="126" t="s">
        <v>643</v>
      </c>
      <c r="C48" s="196">
        <v>108</v>
      </c>
      <c r="D48" s="111">
        <v>108</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row>
    <row r="49" spans="1:149" ht="26.25" customHeight="1" x14ac:dyDescent="0.25">
      <c r="A49" s="134" t="s">
        <v>62</v>
      </c>
      <c r="B49" s="126" t="s">
        <v>63</v>
      </c>
      <c r="C49" s="196">
        <v>23.27</v>
      </c>
      <c r="D49" s="111">
        <v>23.27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row>
    <row r="50" spans="1:149" ht="25.5" customHeight="1" x14ac:dyDescent="0.25">
      <c r="A50" s="134" t="s">
        <v>64</v>
      </c>
      <c r="B50" s="126" t="s">
        <v>65</v>
      </c>
      <c r="C50" s="196">
        <v>32.89</v>
      </c>
      <c r="D50" s="111">
        <v>42.5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row>
    <row r="51" spans="1:149" ht="25.5" customHeight="1" x14ac:dyDescent="0.25">
      <c r="A51" s="134" t="s">
        <v>66</v>
      </c>
      <c r="B51" s="126" t="s">
        <v>67</v>
      </c>
      <c r="C51" s="196">
        <v>63</v>
      </c>
      <c r="D51" s="111">
        <v>63</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row>
    <row r="52" spans="1:149" ht="27" customHeight="1" x14ac:dyDescent="0.25">
      <c r="A52" s="134" t="s">
        <v>644</v>
      </c>
      <c r="B52" s="126" t="s">
        <v>645</v>
      </c>
      <c r="C52" s="197">
        <v>97.1</v>
      </c>
      <c r="D52" s="111">
        <v>97.1</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row>
    <row r="53" spans="1:149" ht="36" customHeight="1" x14ac:dyDescent="0.2">
      <c r="A53" s="102" t="s">
        <v>28</v>
      </c>
      <c r="B53" s="19" t="s">
        <v>29</v>
      </c>
      <c r="C53" s="198">
        <v>0.52470000000000006</v>
      </c>
      <c r="D53" s="142">
        <f>0.72</f>
        <v>0.72</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row>
    <row r="54" spans="1:149" ht="13.5" customHeight="1" x14ac:dyDescent="0.2">
      <c r="A54" s="17"/>
      <c r="B54" s="10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row>
    <row r="55" spans="1:149" x14ac:dyDescent="0.2">
      <c r="A55" s="335" t="s">
        <v>647</v>
      </c>
      <c r="B55" s="33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row>
    <row r="56" spans="1:149" x14ac:dyDescent="0.2">
      <c r="A56" s="125"/>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row>
    <row r="57" spans="1:149" ht="34.5" customHeight="1" x14ac:dyDescent="0.2">
      <c r="A57" s="330" t="s">
        <v>652</v>
      </c>
      <c r="B57" s="331"/>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row>
    <row r="58" spans="1:149" ht="14.25" customHeight="1" x14ac:dyDescent="0.2">
      <c r="A58" s="130"/>
      <c r="B58" s="129"/>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row>
    <row r="59" spans="1:149" x14ac:dyDescent="0.2">
      <c r="A59" s="188" t="s">
        <v>651</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row>
    <row r="60" spans="1:149" x14ac:dyDescent="0.2">
      <c r="A60" s="122" t="s">
        <v>71</v>
      </c>
      <c r="B60" s="123" t="s">
        <v>664</v>
      </c>
      <c r="C60" s="123"/>
      <c r="D60" s="123">
        <v>1</v>
      </c>
      <c r="E60" s="123">
        <v>2</v>
      </c>
      <c r="F60" s="123">
        <v>3</v>
      </c>
      <c r="G60" s="123">
        <v>4</v>
      </c>
      <c r="H60" s="123">
        <v>5</v>
      </c>
      <c r="I60" s="123">
        <v>6</v>
      </c>
      <c r="J60" s="123">
        <v>7</v>
      </c>
      <c r="K60" s="123">
        <v>8</v>
      </c>
      <c r="L60" s="123">
        <v>9</v>
      </c>
      <c r="M60" s="123">
        <v>10</v>
      </c>
      <c r="N60" s="123">
        <v>11</v>
      </c>
      <c r="O60" s="123">
        <v>12</v>
      </c>
      <c r="P60" s="124" t="s">
        <v>396</v>
      </c>
      <c r="Q60" s="141" t="s">
        <v>649</v>
      </c>
      <c r="R60" s="141" t="s">
        <v>650</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row>
    <row r="61" spans="1:149" x14ac:dyDescent="0.2">
      <c r="A61" s="146" t="s">
        <v>0</v>
      </c>
      <c r="B61" s="147" t="str">
        <f t="shared" ref="B61:B89" si="0">VLOOKUP(A61,$A$15:$B$53,2,FALSE)</f>
        <v>Screw 12G X 40mm Tek H/H (pack)</v>
      </c>
      <c r="C61" s="148"/>
      <c r="D61" s="149">
        <v>3</v>
      </c>
      <c r="E61" s="149">
        <v>4</v>
      </c>
      <c r="F61" s="149">
        <v>5</v>
      </c>
      <c r="G61" s="149"/>
      <c r="H61" s="149"/>
      <c r="I61" s="149"/>
      <c r="J61" s="149"/>
      <c r="K61" s="149"/>
      <c r="L61" s="149">
        <v>1</v>
      </c>
      <c r="M61" s="149"/>
      <c r="N61" s="149"/>
      <c r="O61" s="149"/>
      <c r="P61" s="149">
        <f>SUM(D61:O61)</f>
        <v>13</v>
      </c>
      <c r="Q61" s="150">
        <f t="shared" ref="Q61:Q89" si="1">VLOOKUP(A61,A$15:C$53,3,FALSE)</f>
        <v>8.8000000000000007</v>
      </c>
      <c r="R61" s="150">
        <f>IF(Q61&lt;&gt;"N/A",P61*Q61,0)</f>
        <v>114.4</v>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row>
    <row r="62" spans="1:149" x14ac:dyDescent="0.2">
      <c r="A62" s="151" t="s">
        <v>1</v>
      </c>
      <c r="B62" s="152" t="str">
        <f t="shared" si="0"/>
        <v>Saddle Conduit 16mm Galv</v>
      </c>
      <c r="C62" s="153"/>
      <c r="D62" s="154">
        <v>20</v>
      </c>
      <c r="E62" s="154">
        <v>160</v>
      </c>
      <c r="F62" s="154">
        <v>100</v>
      </c>
      <c r="G62" s="154">
        <v>200</v>
      </c>
      <c r="H62" s="154"/>
      <c r="I62" s="154"/>
      <c r="J62" s="154"/>
      <c r="K62" s="154">
        <v>125</v>
      </c>
      <c r="L62" s="154"/>
      <c r="M62" s="154"/>
      <c r="N62" s="154"/>
      <c r="O62" s="154"/>
      <c r="P62" s="154">
        <f t="shared" ref="P62:P89" si="2">SUM(D62:O62)</f>
        <v>605</v>
      </c>
      <c r="Q62" s="155">
        <f t="shared" si="1"/>
        <v>0.14000000000000001</v>
      </c>
      <c r="R62" s="155">
        <f t="shared" ref="R62:R89" si="3">IF(Q62&lt;&gt;"N/A",P62*Q62,0)</f>
        <v>84.7</v>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row>
    <row r="63" spans="1:149" x14ac:dyDescent="0.2">
      <c r="A63" s="151" t="s">
        <v>3</v>
      </c>
      <c r="B63" s="152" t="str">
        <f t="shared" si="0"/>
        <v>Spigot Adaptor 32mm to 25mm Pedestrian</v>
      </c>
      <c r="C63" s="153"/>
      <c r="D63" s="154"/>
      <c r="E63" s="154"/>
      <c r="F63" s="154">
        <v>4</v>
      </c>
      <c r="G63" s="154">
        <v>6</v>
      </c>
      <c r="H63" s="154">
        <v>20</v>
      </c>
      <c r="I63" s="154">
        <v>-2</v>
      </c>
      <c r="J63" s="154"/>
      <c r="K63" s="154"/>
      <c r="L63" s="154"/>
      <c r="M63" s="154"/>
      <c r="N63" s="154"/>
      <c r="O63" s="154"/>
      <c r="P63" s="154">
        <f t="shared" si="2"/>
        <v>28</v>
      </c>
      <c r="Q63" s="155">
        <f t="shared" si="1"/>
        <v>62</v>
      </c>
      <c r="R63" s="155">
        <f t="shared" si="3"/>
        <v>1736</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row>
    <row r="64" spans="1:149" x14ac:dyDescent="0.2">
      <c r="A64" s="151" t="s">
        <v>638</v>
      </c>
      <c r="B64" s="152" t="str">
        <f t="shared" si="0"/>
        <v>Spigot Adaptor 50mm to 32mm Pedestrian</v>
      </c>
      <c r="C64" s="153"/>
      <c r="D64" s="154"/>
      <c r="E64" s="154">
        <v>3</v>
      </c>
      <c r="F64" s="154">
        <v>4</v>
      </c>
      <c r="G64" s="154"/>
      <c r="H64" s="154"/>
      <c r="I64" s="154">
        <v>2</v>
      </c>
      <c r="J64" s="154"/>
      <c r="K64" s="154">
        <v>-2</v>
      </c>
      <c r="L64" s="154"/>
      <c r="M64" s="154"/>
      <c r="N64" s="154"/>
      <c r="O64" s="154"/>
      <c r="P64" s="154">
        <f t="shared" si="2"/>
        <v>7</v>
      </c>
      <c r="Q64" s="155">
        <f t="shared" si="1"/>
        <v>108.2</v>
      </c>
      <c r="R64" s="155">
        <f t="shared" si="3"/>
        <v>757.4</v>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row>
    <row r="65" spans="1:149" x14ac:dyDescent="0.2">
      <c r="A65" s="151" t="s">
        <v>5</v>
      </c>
      <c r="B65" s="152" t="str">
        <f t="shared" si="0"/>
        <v>Trunion 360 Deg. Sylflood</v>
      </c>
      <c r="C65" s="153"/>
      <c r="D65" s="154"/>
      <c r="E65" s="154">
        <v>4</v>
      </c>
      <c r="F65" s="154"/>
      <c r="G65" s="154"/>
      <c r="H65" s="154"/>
      <c r="I65" s="154"/>
      <c r="J65" s="154"/>
      <c r="K65" s="154"/>
      <c r="L65" s="154"/>
      <c r="M65" s="154"/>
      <c r="N65" s="154"/>
      <c r="O65" s="154"/>
      <c r="P65" s="154">
        <f t="shared" si="2"/>
        <v>4</v>
      </c>
      <c r="Q65" s="155">
        <f t="shared" si="1"/>
        <v>31.5</v>
      </c>
      <c r="R65" s="155">
        <f t="shared" si="3"/>
        <v>126</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row>
    <row r="66" spans="1:149" x14ac:dyDescent="0.2">
      <c r="A66" s="151" t="s">
        <v>9</v>
      </c>
      <c r="B66" s="152" t="str">
        <f t="shared" si="0"/>
        <v>Spigot Adaptor 40mm to 25mm Streetlight</v>
      </c>
      <c r="C66" s="153"/>
      <c r="D66" s="154">
        <v>53</v>
      </c>
      <c r="E66" s="154"/>
      <c r="F66" s="154">
        <v>4</v>
      </c>
      <c r="G66" s="154">
        <v>40</v>
      </c>
      <c r="H66" s="154">
        <v>26</v>
      </c>
      <c r="I66" s="154">
        <v>25</v>
      </c>
      <c r="J66" s="154"/>
      <c r="K66" s="154">
        <v>22</v>
      </c>
      <c r="L66" s="154"/>
      <c r="M66" s="154"/>
      <c r="N66" s="154">
        <v>16</v>
      </c>
      <c r="O66" s="154">
        <v>18</v>
      </c>
      <c r="P66" s="154">
        <f t="shared" si="2"/>
        <v>204</v>
      </c>
      <c r="Q66" s="155">
        <f t="shared" si="1"/>
        <v>38.15</v>
      </c>
      <c r="R66" s="155">
        <f t="shared" si="3"/>
        <v>7782.5999999999995</v>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row>
    <row r="67" spans="1:149" x14ac:dyDescent="0.2">
      <c r="A67" s="151" t="s">
        <v>11</v>
      </c>
      <c r="B67" s="152" t="str">
        <f t="shared" si="0"/>
        <v>Spigot Adaptor 50mm to 25mm Streetlight</v>
      </c>
      <c r="C67" s="153"/>
      <c r="D67" s="154">
        <v>143</v>
      </c>
      <c r="E67" s="154">
        <v>40</v>
      </c>
      <c r="F67" s="154">
        <v>4</v>
      </c>
      <c r="G67" s="154">
        <v>10</v>
      </c>
      <c r="H67" s="154">
        <v>105</v>
      </c>
      <c r="I67" s="154"/>
      <c r="J67" s="154">
        <v>5</v>
      </c>
      <c r="K67" s="154">
        <v>20</v>
      </c>
      <c r="L67" s="154">
        <v>195</v>
      </c>
      <c r="M67" s="154"/>
      <c r="N67" s="154">
        <v>53</v>
      </c>
      <c r="O67" s="154">
        <v>6</v>
      </c>
      <c r="P67" s="154">
        <f t="shared" si="2"/>
        <v>581</v>
      </c>
      <c r="Q67" s="155">
        <f t="shared" si="1"/>
        <v>38.9</v>
      </c>
      <c r="R67" s="155">
        <f t="shared" si="3"/>
        <v>22600.899999999998</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1:149" x14ac:dyDescent="0.2">
      <c r="A68" s="151" t="s">
        <v>16</v>
      </c>
      <c r="B68" s="152" t="str">
        <f t="shared" si="0"/>
        <v>Adaptor Bracket Streetlight Outreach 4 Way(Pipe)</v>
      </c>
      <c r="C68" s="153"/>
      <c r="D68" s="154"/>
      <c r="E68" s="154"/>
      <c r="F68" s="154"/>
      <c r="G68" s="154"/>
      <c r="H68" s="154"/>
      <c r="I68" s="154"/>
      <c r="J68" s="154">
        <v>1</v>
      </c>
      <c r="K68" s="154"/>
      <c r="L68" s="154">
        <v>1</v>
      </c>
      <c r="M68" s="154"/>
      <c r="N68" s="154"/>
      <c r="O68" s="154"/>
      <c r="P68" s="154">
        <f t="shared" si="2"/>
        <v>2</v>
      </c>
      <c r="Q68" s="155">
        <f t="shared" si="1"/>
        <v>253.33</v>
      </c>
      <c r="R68" s="155">
        <f t="shared" si="3"/>
        <v>506.66</v>
      </c>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row>
    <row r="69" spans="1:149" x14ac:dyDescent="0.2">
      <c r="A69" s="151" t="s">
        <v>18</v>
      </c>
      <c r="B69" s="152" t="str">
        <f t="shared" si="0"/>
        <v>Fuse Holder C/W 6.5A Inline Cartridge</v>
      </c>
      <c r="C69" s="153"/>
      <c r="D69" s="154">
        <v>424</v>
      </c>
      <c r="E69" s="154">
        <v>130</v>
      </c>
      <c r="F69" s="154">
        <v>184</v>
      </c>
      <c r="G69" s="154">
        <v>165</v>
      </c>
      <c r="H69" s="154">
        <v>386</v>
      </c>
      <c r="I69" s="154">
        <v>353</v>
      </c>
      <c r="J69" s="154">
        <v>284</v>
      </c>
      <c r="K69" s="154">
        <v>230</v>
      </c>
      <c r="L69" s="154">
        <v>46</v>
      </c>
      <c r="M69" s="154">
        <v>6</v>
      </c>
      <c r="N69" s="154">
        <v>24</v>
      </c>
      <c r="O69" s="154">
        <v>190</v>
      </c>
      <c r="P69" s="154">
        <f t="shared" si="2"/>
        <v>2422</v>
      </c>
      <c r="Q69" s="155">
        <f t="shared" si="1"/>
        <v>30.48</v>
      </c>
      <c r="R69" s="155">
        <f t="shared" si="3"/>
        <v>73822.559999999998</v>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row>
    <row r="70" spans="1:149" x14ac:dyDescent="0.2">
      <c r="A70" s="151" t="s">
        <v>20</v>
      </c>
      <c r="B70" s="152" t="str">
        <f t="shared" si="0"/>
        <v>Cartridge 6.5A Fuse Hrc Suit In Line Fuse Holder</v>
      </c>
      <c r="C70" s="153"/>
      <c r="D70" s="154"/>
      <c r="E70" s="154"/>
      <c r="F70" s="154"/>
      <c r="G70" s="154">
        <v>4</v>
      </c>
      <c r="H70" s="154">
        <v>25</v>
      </c>
      <c r="I70" s="154">
        <v>220</v>
      </c>
      <c r="J70" s="154">
        <v>50</v>
      </c>
      <c r="K70" s="154">
        <v>30</v>
      </c>
      <c r="L70" s="154">
        <v>30</v>
      </c>
      <c r="M70" s="154"/>
      <c r="N70" s="154"/>
      <c r="O70" s="154"/>
      <c r="P70" s="154">
        <f t="shared" si="2"/>
        <v>359</v>
      </c>
      <c r="Q70" s="155">
        <f t="shared" si="1"/>
        <v>5.81</v>
      </c>
      <c r="R70" s="155">
        <f t="shared" si="3"/>
        <v>2085.79</v>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row>
    <row r="71" spans="1:149" x14ac:dyDescent="0.2">
      <c r="A71" s="151" t="s">
        <v>22</v>
      </c>
      <c r="B71" s="152" t="str">
        <f t="shared" si="0"/>
        <v>Conduit 20mm Corrugated Flexible PVC Medium Duty Grey UV Sta</v>
      </c>
      <c r="C71" s="153"/>
      <c r="D71" s="154"/>
      <c r="E71" s="154"/>
      <c r="F71" s="154"/>
      <c r="G71" s="154">
        <v>50</v>
      </c>
      <c r="H71" s="154"/>
      <c r="I71" s="154"/>
      <c r="J71" s="154">
        <v>20</v>
      </c>
      <c r="K71" s="154"/>
      <c r="L71" s="154">
        <v>15</v>
      </c>
      <c r="M71" s="154"/>
      <c r="N71" s="154"/>
      <c r="O71" s="154"/>
      <c r="P71" s="154">
        <f t="shared" si="2"/>
        <v>85</v>
      </c>
      <c r="Q71" s="155">
        <f t="shared" si="1"/>
        <v>1.9656</v>
      </c>
      <c r="R71" s="155">
        <f t="shared" si="3"/>
        <v>167.07599999999999</v>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row>
    <row r="72" spans="1:149" x14ac:dyDescent="0.2">
      <c r="A72" s="151" t="s">
        <v>24</v>
      </c>
      <c r="B72" s="152" t="str">
        <f t="shared" si="0"/>
        <v>Photoelectric S/Light Control D2 Base Only C/W 300mm Leads</v>
      </c>
      <c r="C72" s="153"/>
      <c r="D72" s="154">
        <v>23</v>
      </c>
      <c r="E72" s="154">
        <v>10</v>
      </c>
      <c r="F72" s="154">
        <v>3</v>
      </c>
      <c r="G72" s="154">
        <v>1</v>
      </c>
      <c r="H72" s="154">
        <v>15</v>
      </c>
      <c r="I72" s="154">
        <v>21</v>
      </c>
      <c r="J72" s="154">
        <v>42</v>
      </c>
      <c r="K72" s="154">
        <v>3</v>
      </c>
      <c r="L72" s="154"/>
      <c r="M72" s="154"/>
      <c r="N72" s="154">
        <v>13</v>
      </c>
      <c r="O72" s="154">
        <v>12</v>
      </c>
      <c r="P72" s="154">
        <f t="shared" si="2"/>
        <v>143</v>
      </c>
      <c r="Q72" s="155">
        <f t="shared" si="1"/>
        <v>5.22</v>
      </c>
      <c r="R72" s="155">
        <f t="shared" si="3"/>
        <v>746.45999999999992</v>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row>
    <row r="73" spans="1:149" x14ac:dyDescent="0.2">
      <c r="A73" s="151" t="s">
        <v>26</v>
      </c>
      <c r="B73" s="152" t="str">
        <f t="shared" si="0"/>
        <v>Shade Suit Photo Elec Cell</v>
      </c>
      <c r="C73" s="153"/>
      <c r="D73" s="154"/>
      <c r="E73" s="154"/>
      <c r="F73" s="154"/>
      <c r="G73" s="154"/>
      <c r="H73" s="154"/>
      <c r="I73" s="154"/>
      <c r="J73" s="154"/>
      <c r="K73" s="154"/>
      <c r="L73" s="154"/>
      <c r="M73" s="154">
        <v>5</v>
      </c>
      <c r="N73" s="154">
        <v>7</v>
      </c>
      <c r="O73" s="154"/>
      <c r="P73" s="154">
        <f t="shared" si="2"/>
        <v>12</v>
      </c>
      <c r="Q73" s="155">
        <f t="shared" si="1"/>
        <v>23.1</v>
      </c>
      <c r="R73" s="155">
        <f t="shared" si="3"/>
        <v>277.20000000000005</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row>
    <row r="74" spans="1:149" x14ac:dyDescent="0.2">
      <c r="A74" s="151" t="s">
        <v>28</v>
      </c>
      <c r="B74" s="152" t="str">
        <f t="shared" si="0"/>
        <v>Cable 4.0mm 7/0.85 SDI Black Cu</v>
      </c>
      <c r="C74" s="153"/>
      <c r="D74" s="154">
        <v>100</v>
      </c>
      <c r="E74" s="154">
        <v>1200</v>
      </c>
      <c r="F74" s="154">
        <v>100</v>
      </c>
      <c r="G74" s="154">
        <v>700</v>
      </c>
      <c r="H74" s="154">
        <v>100</v>
      </c>
      <c r="I74" s="154">
        <v>300</v>
      </c>
      <c r="J74" s="154">
        <v>800</v>
      </c>
      <c r="K74" s="154">
        <v>300</v>
      </c>
      <c r="L74" s="154">
        <v>300</v>
      </c>
      <c r="M74" s="154">
        <v>800</v>
      </c>
      <c r="N74" s="154">
        <v>100</v>
      </c>
      <c r="O74" s="154">
        <v>600</v>
      </c>
      <c r="P74" s="154">
        <f t="shared" si="2"/>
        <v>5400</v>
      </c>
      <c r="Q74" s="155">
        <f t="shared" si="1"/>
        <v>0.52470000000000006</v>
      </c>
      <c r="R74" s="155">
        <f t="shared" si="3"/>
        <v>2833.38</v>
      </c>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row>
    <row r="75" spans="1:149" x14ac:dyDescent="0.2">
      <c r="A75" s="151" t="s">
        <v>30</v>
      </c>
      <c r="B75" s="152" t="str">
        <f t="shared" si="0"/>
        <v>Silicone Sealant Clear 310gm</v>
      </c>
      <c r="C75" s="153"/>
      <c r="D75" s="154"/>
      <c r="E75" s="154"/>
      <c r="F75" s="154"/>
      <c r="G75" s="154">
        <v>13</v>
      </c>
      <c r="H75" s="154"/>
      <c r="I75" s="154"/>
      <c r="J75" s="154"/>
      <c r="K75" s="154">
        <v>2</v>
      </c>
      <c r="L75" s="154">
        <v>2</v>
      </c>
      <c r="M75" s="154">
        <v>2</v>
      </c>
      <c r="N75" s="154"/>
      <c r="O75" s="154"/>
      <c r="P75" s="154">
        <f t="shared" si="2"/>
        <v>19</v>
      </c>
      <c r="Q75" s="155">
        <f t="shared" si="1"/>
        <v>6.23</v>
      </c>
      <c r="R75" s="155">
        <f t="shared" si="3"/>
        <v>118.37</v>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row>
    <row r="76" spans="1:149" x14ac:dyDescent="0.2">
      <c r="A76" s="151" t="s">
        <v>34</v>
      </c>
      <c r="B76" s="152" t="str">
        <f t="shared" si="0"/>
        <v>Diffuser Suit Nostalgia Type Lantern</v>
      </c>
      <c r="C76" s="153"/>
      <c r="D76" s="154">
        <v>16</v>
      </c>
      <c r="E76" s="154"/>
      <c r="F76" s="154"/>
      <c r="G76" s="154">
        <v>2</v>
      </c>
      <c r="H76" s="154"/>
      <c r="I76" s="154"/>
      <c r="J76" s="154"/>
      <c r="K76" s="154"/>
      <c r="L76" s="154"/>
      <c r="M76" s="154">
        <v>100</v>
      </c>
      <c r="N76" s="154"/>
      <c r="O76" s="154"/>
      <c r="P76" s="154">
        <f t="shared" si="2"/>
        <v>118</v>
      </c>
      <c r="Q76" s="155">
        <f t="shared" si="1"/>
        <v>32</v>
      </c>
      <c r="R76" s="155">
        <f t="shared" si="3"/>
        <v>3776</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row>
    <row r="77" spans="1:149" x14ac:dyDescent="0.2">
      <c r="A77" s="151" t="s">
        <v>36</v>
      </c>
      <c r="B77" s="152" t="str">
        <f t="shared" si="0"/>
        <v>Bowl Sylvania Urban Glare Shield `</v>
      </c>
      <c r="C77" s="153"/>
      <c r="D77" s="154"/>
      <c r="E77" s="154"/>
      <c r="F77" s="154">
        <v>6</v>
      </c>
      <c r="G77" s="154"/>
      <c r="H77" s="154">
        <v>6</v>
      </c>
      <c r="I77" s="154">
        <v>2</v>
      </c>
      <c r="J77" s="154">
        <v>1</v>
      </c>
      <c r="K77" s="154">
        <v>6</v>
      </c>
      <c r="L77" s="154"/>
      <c r="M77" s="154">
        <v>6</v>
      </c>
      <c r="N77" s="154">
        <v>11</v>
      </c>
      <c r="O77" s="154">
        <v>19</v>
      </c>
      <c r="P77" s="154">
        <f t="shared" si="2"/>
        <v>57</v>
      </c>
      <c r="Q77" s="155">
        <f t="shared" si="1"/>
        <v>36</v>
      </c>
      <c r="R77" s="155">
        <f t="shared" si="3"/>
        <v>2052</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row>
    <row r="78" spans="1:149" x14ac:dyDescent="0.2">
      <c r="A78" s="151" t="s">
        <v>38</v>
      </c>
      <c r="B78" s="152" t="str">
        <f t="shared" si="0"/>
        <v>Spigot Adaptor S/L Outreach 45 Deg</v>
      </c>
      <c r="C78" s="153"/>
      <c r="D78" s="154">
        <v>5</v>
      </c>
      <c r="E78" s="154"/>
      <c r="F78" s="154"/>
      <c r="G78" s="154"/>
      <c r="H78" s="154"/>
      <c r="I78" s="154"/>
      <c r="J78" s="154"/>
      <c r="K78" s="154"/>
      <c r="L78" s="154"/>
      <c r="M78" s="154"/>
      <c r="N78" s="154"/>
      <c r="O78" s="154"/>
      <c r="P78" s="154">
        <f t="shared" si="2"/>
        <v>5</v>
      </c>
      <c r="Q78" s="155">
        <f t="shared" si="1"/>
        <v>74.099999999999994</v>
      </c>
      <c r="R78" s="155">
        <f t="shared" si="3"/>
        <v>370.5</v>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row>
    <row r="79" spans="1:149" x14ac:dyDescent="0.2">
      <c r="A79" s="151" t="s">
        <v>40</v>
      </c>
      <c r="B79" s="152" t="str">
        <f t="shared" si="0"/>
        <v>Plug Shorting For Nema Pe Cell Base</v>
      </c>
      <c r="C79" s="153"/>
      <c r="D79" s="154"/>
      <c r="E79" s="154"/>
      <c r="F79" s="154">
        <v>12</v>
      </c>
      <c r="G79" s="154"/>
      <c r="H79" s="154"/>
      <c r="I79" s="154"/>
      <c r="J79" s="154"/>
      <c r="K79" s="154"/>
      <c r="L79" s="154"/>
      <c r="M79" s="154"/>
      <c r="N79" s="154">
        <v>1</v>
      </c>
      <c r="O79" s="154"/>
      <c r="P79" s="154">
        <f t="shared" si="2"/>
        <v>13</v>
      </c>
      <c r="Q79" s="155">
        <f t="shared" si="1"/>
        <v>7.39</v>
      </c>
      <c r="R79" s="155">
        <f t="shared" si="3"/>
        <v>96.07</v>
      </c>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row>
    <row r="80" spans="1:149" x14ac:dyDescent="0.2">
      <c r="A80" s="151" t="s">
        <v>42</v>
      </c>
      <c r="B80" s="152" t="str">
        <f t="shared" si="0"/>
        <v>Control Base for NEMA PE Cell Suits Rexel Lanterns</v>
      </c>
      <c r="C80" s="153"/>
      <c r="D80" s="154"/>
      <c r="E80" s="154">
        <v>20</v>
      </c>
      <c r="F80" s="154">
        <v>20</v>
      </c>
      <c r="G80" s="154"/>
      <c r="H80" s="154">
        <v>30</v>
      </c>
      <c r="I80" s="154"/>
      <c r="J80" s="154"/>
      <c r="K80" s="154"/>
      <c r="L80" s="154"/>
      <c r="M80" s="154"/>
      <c r="N80" s="154">
        <v>0</v>
      </c>
      <c r="O80" s="154"/>
      <c r="P80" s="154">
        <f t="shared" si="2"/>
        <v>70</v>
      </c>
      <c r="Q80" s="155">
        <f t="shared" si="1"/>
        <v>8</v>
      </c>
      <c r="R80" s="155">
        <f t="shared" si="3"/>
        <v>560</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row>
    <row r="81" spans="1:149" x14ac:dyDescent="0.2">
      <c r="A81" s="151" t="s">
        <v>46</v>
      </c>
      <c r="B81" s="152" t="str">
        <f t="shared" si="0"/>
        <v>Guard Wire Sylvania Urban Luminaire</v>
      </c>
      <c r="C81" s="153"/>
      <c r="D81" s="154"/>
      <c r="E81" s="154"/>
      <c r="F81" s="154"/>
      <c r="G81" s="154">
        <v>10</v>
      </c>
      <c r="H81" s="154">
        <v>21</v>
      </c>
      <c r="I81" s="154"/>
      <c r="J81" s="154">
        <v>12</v>
      </c>
      <c r="K81" s="154"/>
      <c r="L81" s="154"/>
      <c r="M81" s="154">
        <v>12</v>
      </c>
      <c r="N81" s="154">
        <v>3</v>
      </c>
      <c r="O81" s="154">
        <v>50</v>
      </c>
      <c r="P81" s="154">
        <f t="shared" si="2"/>
        <v>108</v>
      </c>
      <c r="Q81" s="155">
        <f t="shared" si="1"/>
        <v>66.8</v>
      </c>
      <c r="R81" s="155">
        <f t="shared" si="3"/>
        <v>7214.4</v>
      </c>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row>
    <row r="82" spans="1:149" x14ac:dyDescent="0.2">
      <c r="A82" s="151" t="s">
        <v>50</v>
      </c>
      <c r="B82" s="152" t="str">
        <f t="shared" si="0"/>
        <v>Guard Mesh For Sentry Floodlight</v>
      </c>
      <c r="C82" s="153"/>
      <c r="D82" s="154"/>
      <c r="E82" s="154"/>
      <c r="F82" s="154"/>
      <c r="G82" s="154"/>
      <c r="H82" s="154"/>
      <c r="I82" s="154"/>
      <c r="J82" s="154">
        <v>4</v>
      </c>
      <c r="K82" s="154"/>
      <c r="L82" s="154"/>
      <c r="M82" s="154"/>
      <c r="N82" s="154">
        <v>1</v>
      </c>
      <c r="O82" s="154">
        <v>6</v>
      </c>
      <c r="P82" s="154">
        <f t="shared" si="2"/>
        <v>11</v>
      </c>
      <c r="Q82" s="155">
        <f t="shared" si="1"/>
        <v>35</v>
      </c>
      <c r="R82" s="155">
        <f t="shared" si="3"/>
        <v>385</v>
      </c>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row>
    <row r="83" spans="1:149" x14ac:dyDescent="0.2">
      <c r="A83" s="151" t="s">
        <v>56</v>
      </c>
      <c r="B83" s="152" t="str">
        <f t="shared" si="0"/>
        <v>Diffuser Ec80 Suit Gough  Lantern</v>
      </c>
      <c r="C83" s="153"/>
      <c r="D83" s="154"/>
      <c r="E83" s="154"/>
      <c r="F83" s="154"/>
      <c r="G83" s="154"/>
      <c r="H83" s="154"/>
      <c r="I83" s="154"/>
      <c r="J83" s="154"/>
      <c r="K83" s="154"/>
      <c r="L83" s="154">
        <v>17</v>
      </c>
      <c r="M83" s="154"/>
      <c r="N83" s="154">
        <v>1</v>
      </c>
      <c r="O83" s="154"/>
      <c r="P83" s="154">
        <f t="shared" si="2"/>
        <v>18</v>
      </c>
      <c r="Q83" s="155">
        <f t="shared" si="1"/>
        <v>25</v>
      </c>
      <c r="R83" s="155">
        <f t="shared" si="3"/>
        <v>450</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row>
    <row r="84" spans="1:149" x14ac:dyDescent="0.2">
      <c r="A84" s="151" t="s">
        <v>58</v>
      </c>
      <c r="B84" s="152" t="str">
        <f t="shared" si="0"/>
        <v>Diffuser Bowl Sylvania Urban 80 W</v>
      </c>
      <c r="C84" s="153"/>
      <c r="D84" s="154"/>
      <c r="E84" s="154"/>
      <c r="F84" s="154"/>
      <c r="G84" s="154"/>
      <c r="H84" s="154">
        <v>10</v>
      </c>
      <c r="I84" s="154"/>
      <c r="J84" s="154">
        <v>12</v>
      </c>
      <c r="K84" s="154"/>
      <c r="L84" s="154">
        <v>41</v>
      </c>
      <c r="M84" s="154"/>
      <c r="N84" s="154">
        <v>1</v>
      </c>
      <c r="O84" s="154">
        <v>6</v>
      </c>
      <c r="P84" s="154">
        <f t="shared" si="2"/>
        <v>70</v>
      </c>
      <c r="Q84" s="155">
        <f t="shared" si="1"/>
        <v>32</v>
      </c>
      <c r="R84" s="155">
        <f t="shared" si="3"/>
        <v>2240</v>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row>
    <row r="85" spans="1:149" x14ac:dyDescent="0.2">
      <c r="A85" s="151" t="s">
        <v>60</v>
      </c>
      <c r="B85" s="152" t="str">
        <f t="shared" si="0"/>
        <v>Diffuser Bowl Glare Reducing Roadster Max 250W</v>
      </c>
      <c r="C85" s="153"/>
      <c r="D85" s="154"/>
      <c r="E85" s="154"/>
      <c r="F85" s="154"/>
      <c r="G85" s="154"/>
      <c r="H85" s="154"/>
      <c r="I85" s="154"/>
      <c r="J85" s="154"/>
      <c r="K85" s="154">
        <v>5</v>
      </c>
      <c r="L85" s="154"/>
      <c r="M85" s="154">
        <v>22</v>
      </c>
      <c r="N85" s="154">
        <v>8</v>
      </c>
      <c r="O85" s="154"/>
      <c r="P85" s="154">
        <f t="shared" si="2"/>
        <v>35</v>
      </c>
      <c r="Q85" s="155">
        <f t="shared" si="1"/>
        <v>21</v>
      </c>
      <c r="R85" s="155">
        <f t="shared" si="3"/>
        <v>735</v>
      </c>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row>
    <row r="86" spans="1:149" x14ac:dyDescent="0.2">
      <c r="A86" s="151" t="s">
        <v>62</v>
      </c>
      <c r="B86" s="152" t="str">
        <f t="shared" si="0"/>
        <v>Diffuser Toughened Acrylic Bowl To</v>
      </c>
      <c r="C86" s="153"/>
      <c r="D86" s="154"/>
      <c r="E86" s="154"/>
      <c r="F86" s="154"/>
      <c r="G86" s="154">
        <v>20</v>
      </c>
      <c r="H86" s="154"/>
      <c r="I86" s="154"/>
      <c r="J86" s="154"/>
      <c r="K86" s="154"/>
      <c r="L86" s="154"/>
      <c r="M86" s="154">
        <v>28</v>
      </c>
      <c r="N86" s="154">
        <v>2</v>
      </c>
      <c r="O86" s="154">
        <v>25</v>
      </c>
      <c r="P86" s="154">
        <f t="shared" si="2"/>
        <v>75</v>
      </c>
      <c r="Q86" s="155">
        <f t="shared" si="1"/>
        <v>23.27</v>
      </c>
      <c r="R86" s="155">
        <f t="shared" si="3"/>
        <v>1745.25</v>
      </c>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row>
    <row r="87" spans="1:149" x14ac:dyDescent="0.2">
      <c r="A87" s="151" t="s">
        <v>64</v>
      </c>
      <c r="B87" s="152" t="str">
        <f t="shared" si="0"/>
        <v>Diffuser 250W Sonpe Gec Optispan</v>
      </c>
      <c r="C87" s="153"/>
      <c r="D87" s="154"/>
      <c r="E87" s="154"/>
      <c r="F87" s="154">
        <v>10</v>
      </c>
      <c r="G87" s="154"/>
      <c r="H87" s="154"/>
      <c r="I87" s="154"/>
      <c r="J87" s="154"/>
      <c r="K87" s="154"/>
      <c r="L87" s="154"/>
      <c r="M87" s="154"/>
      <c r="N87" s="154"/>
      <c r="O87" s="154"/>
      <c r="P87" s="154">
        <f t="shared" si="2"/>
        <v>10</v>
      </c>
      <c r="Q87" s="155">
        <f t="shared" si="1"/>
        <v>32.89</v>
      </c>
      <c r="R87" s="155">
        <f t="shared" si="3"/>
        <v>328.9</v>
      </c>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row>
    <row r="88" spans="1:149" x14ac:dyDescent="0.2">
      <c r="A88" s="151" t="s">
        <v>66</v>
      </c>
      <c r="B88" s="152" t="str">
        <f t="shared" si="0"/>
        <v>Diffuser Acrylic Bowl Gec Optispec</v>
      </c>
      <c r="C88" s="153"/>
      <c r="D88" s="154"/>
      <c r="E88" s="154"/>
      <c r="F88" s="154"/>
      <c r="G88" s="154"/>
      <c r="H88" s="154"/>
      <c r="I88" s="154"/>
      <c r="J88" s="154"/>
      <c r="K88" s="154"/>
      <c r="L88" s="154"/>
      <c r="M88" s="154"/>
      <c r="N88" s="154">
        <v>1</v>
      </c>
      <c r="O88" s="154"/>
      <c r="P88" s="154">
        <f t="shared" si="2"/>
        <v>1</v>
      </c>
      <c r="Q88" s="155">
        <f t="shared" si="1"/>
        <v>63</v>
      </c>
      <c r="R88" s="155">
        <f t="shared" si="3"/>
        <v>63</v>
      </c>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row>
    <row r="89" spans="1:149" x14ac:dyDescent="0.2">
      <c r="A89" s="156" t="s">
        <v>644</v>
      </c>
      <c r="B89" s="157" t="str">
        <f t="shared" si="0"/>
        <v>Diffuser Suit Sylvania B3000 Lantern</v>
      </c>
      <c r="C89" s="158"/>
      <c r="D89" s="159"/>
      <c r="E89" s="159"/>
      <c r="F89" s="159"/>
      <c r="G89" s="159"/>
      <c r="H89" s="159"/>
      <c r="I89" s="159"/>
      <c r="J89" s="159">
        <v>2</v>
      </c>
      <c r="K89" s="159">
        <v>18</v>
      </c>
      <c r="L89" s="159"/>
      <c r="M89" s="159"/>
      <c r="N89" s="159"/>
      <c r="O89" s="159"/>
      <c r="P89" s="159">
        <f t="shared" si="2"/>
        <v>20</v>
      </c>
      <c r="Q89" s="160">
        <f t="shared" si="1"/>
        <v>97.1</v>
      </c>
      <c r="R89" s="160">
        <f t="shared" si="3"/>
        <v>1942</v>
      </c>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row>
    <row r="90" spans="1:149" x14ac:dyDescent="0.2">
      <c r="A90" s="87" t="s">
        <v>70</v>
      </c>
      <c r="B90" s="88"/>
      <c r="C90" s="88"/>
      <c r="D90" s="136">
        <f t="shared" ref="D90:P90" si="4">SUM(D61:D89)</f>
        <v>787</v>
      </c>
      <c r="E90" s="136">
        <f t="shared" si="4"/>
        <v>1571</v>
      </c>
      <c r="F90" s="136">
        <f t="shared" si="4"/>
        <v>456</v>
      </c>
      <c r="G90" s="136">
        <f t="shared" si="4"/>
        <v>1221</v>
      </c>
      <c r="H90" s="136">
        <f t="shared" si="4"/>
        <v>744</v>
      </c>
      <c r="I90" s="136">
        <f t="shared" si="4"/>
        <v>921</v>
      </c>
      <c r="J90" s="136">
        <f t="shared" si="4"/>
        <v>1233</v>
      </c>
      <c r="K90" s="136">
        <f t="shared" si="4"/>
        <v>759</v>
      </c>
      <c r="L90" s="136">
        <f t="shared" si="4"/>
        <v>648</v>
      </c>
      <c r="M90" s="136">
        <f t="shared" si="4"/>
        <v>981</v>
      </c>
      <c r="N90" s="136">
        <f t="shared" si="4"/>
        <v>242</v>
      </c>
      <c r="O90" s="136">
        <f t="shared" si="4"/>
        <v>932</v>
      </c>
      <c r="P90" s="137">
        <f t="shared" si="4"/>
        <v>10495</v>
      </c>
      <c r="Q90" s="128"/>
      <c r="R90" s="131">
        <f>SUM(R61:R89)</f>
        <v>135717.61600000001</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row>
    <row r="91" spans="1:149" x14ac:dyDescent="0.2">
      <c r="A91" s="23"/>
      <c r="B91" s="7"/>
      <c r="C91" s="192" t="s">
        <v>838</v>
      </c>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row>
    <row r="92" spans="1:149" x14ac:dyDescent="0.2">
      <c r="A92" s="23" t="s">
        <v>654</v>
      </c>
      <c r="B92" s="132">
        <f>SUMIF(Q61:Q89,"&lt;&gt;N/A",P61:P89)</f>
        <v>10495</v>
      </c>
      <c r="C92" s="192"/>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row>
    <row r="93" spans="1:149" ht="45" x14ac:dyDescent="0.2">
      <c r="A93" s="45" t="s">
        <v>628</v>
      </c>
      <c r="B93" s="140">
        <f>R90/P90*1.15</f>
        <v>14.871391939018579</v>
      </c>
      <c r="C93" s="194">
        <v>14.553674614340167</v>
      </c>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row>
    <row r="94" spans="1:149" ht="22.5" x14ac:dyDescent="0.2">
      <c r="A94" s="17" t="s">
        <v>657</v>
      </c>
      <c r="B94" s="133">
        <f>B93/B9</f>
        <v>2.9742783878037158</v>
      </c>
      <c r="C94" s="195">
        <v>2.9107349228680333</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row>
    <row r="95" spans="1:149"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row>
    <row r="96" spans="1:149"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row>
    <row r="97" spans="1:149"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row>
    <row r="98" spans="1:149"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row>
    <row r="99" spans="1:149"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row>
    <row r="100" spans="1:149"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row>
    <row r="101" spans="1:149"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row>
    <row r="102" spans="1:149"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row>
    <row r="103" spans="1:149"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row>
    <row r="104" spans="1:149"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row>
    <row r="105" spans="1:149"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row>
    <row r="106" spans="1:149"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row>
    <row r="107" spans="1:149"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row>
    <row r="108" spans="1:149"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row>
    <row r="109" spans="1:149"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row>
    <row r="110" spans="1:149"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row>
    <row r="111" spans="1:149"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row>
    <row r="112" spans="1:149"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row>
    <row r="113" spans="1:149"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row>
    <row r="114" spans="1:149"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row>
    <row r="115" spans="1:149"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row>
    <row r="116" spans="1:149"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row>
    <row r="117" spans="1:149"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row>
    <row r="118" spans="1:149"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row>
    <row r="119" spans="1:149"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row>
    <row r="120" spans="1:149"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row>
    <row r="121" spans="1:149"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row>
    <row r="122" spans="1:149"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row>
    <row r="123" spans="1:149"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row>
    <row r="124" spans="1:149"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row>
    <row r="125" spans="1:149"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row>
    <row r="126" spans="1:149"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row>
    <row r="127" spans="1:149"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row>
    <row r="128" spans="1:149"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row>
    <row r="129" spans="1:149"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row>
    <row r="130" spans="1:149"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row>
    <row r="131" spans="1:149"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row>
    <row r="132" spans="1:149"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row>
    <row r="133" spans="1:149"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row>
    <row r="134" spans="1:149"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row>
    <row r="135" spans="1:149"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row>
    <row r="136" spans="1:149"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row>
    <row r="137" spans="1:149"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row>
    <row r="138" spans="1:149"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row>
    <row r="139" spans="1:149"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row>
    <row r="140" spans="1:149"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row>
    <row r="141" spans="1:149"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row>
    <row r="142" spans="1:149"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row>
    <row r="143" spans="1:149"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row>
    <row r="144" spans="1:149"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row>
    <row r="145" spans="1:149"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row>
    <row r="146" spans="1:149"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row>
    <row r="147" spans="1:149"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row>
    <row r="148" spans="1:149"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row>
    <row r="149" spans="1:149"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row>
    <row r="150" spans="1:149"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row>
    <row r="151" spans="1:149"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row>
    <row r="152" spans="1:149"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row>
    <row r="153" spans="1:149"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row>
    <row r="154" spans="1:149"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row>
    <row r="155" spans="1:149"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row>
    <row r="156" spans="1:149"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row>
    <row r="157" spans="1:149"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row>
    <row r="158" spans="1:149"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row>
    <row r="159" spans="1:149"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row>
    <row r="160" spans="1:149"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row>
    <row r="161" spans="1:149"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row>
    <row r="162" spans="1:149"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row>
    <row r="163" spans="1:149"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row>
    <row r="164" spans="1:149"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row>
    <row r="165" spans="1:149"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row>
    <row r="166" spans="1:149"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row>
    <row r="167" spans="1:149"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row>
    <row r="168" spans="1:149"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row>
    <row r="169" spans="1:149"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row>
    <row r="170" spans="1:149"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row>
    <row r="171" spans="1:149"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row>
    <row r="172" spans="1:149"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row>
    <row r="173" spans="1:149"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row>
    <row r="174" spans="1:149"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row>
    <row r="175" spans="1:149"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row>
    <row r="176" spans="1:149"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row>
    <row r="177" spans="1:149"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row>
    <row r="178" spans="1:149"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row>
    <row r="179" spans="1:149"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row>
    <row r="180" spans="1:149"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row>
    <row r="181" spans="1:149"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row>
    <row r="182" spans="1:149"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row>
    <row r="183" spans="1:149"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row>
    <row r="184" spans="1:149"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row>
    <row r="185" spans="1:149"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row>
    <row r="186" spans="1:149"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row>
    <row r="187" spans="1:149"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row>
    <row r="188" spans="1:149"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row>
    <row r="189" spans="1:149"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row>
    <row r="190" spans="1:149"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row>
    <row r="191" spans="1:149"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row>
    <row r="192" spans="1:149"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row>
    <row r="193" spans="1:149"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row>
    <row r="194" spans="1:149"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row>
    <row r="195" spans="1:149"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row>
    <row r="196" spans="1:149"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row>
    <row r="197" spans="1:149"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row>
    <row r="198" spans="1:149"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row>
    <row r="199" spans="1:149"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row>
    <row r="200" spans="1:149"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row>
    <row r="201" spans="1:149"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row>
    <row r="202" spans="1:149"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row>
    <row r="203" spans="1:149"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row>
    <row r="204" spans="1:149"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row>
    <row r="205" spans="1:149"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row>
    <row r="206" spans="1:149"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row>
    <row r="207" spans="1:149"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row>
    <row r="208" spans="1:149"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row>
    <row r="209" spans="1:149"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row>
    <row r="210" spans="1:149"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row>
    <row r="211" spans="1:149"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row>
    <row r="212" spans="1:149"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row>
    <row r="213" spans="1:149"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row>
    <row r="214" spans="1:149"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row>
    <row r="215" spans="1:149"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row>
    <row r="216" spans="1:149"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row>
    <row r="217" spans="1:149"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row>
    <row r="218" spans="1:149"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row>
    <row r="219" spans="1:149"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row>
    <row r="220" spans="1:149"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row>
    <row r="221" spans="1:149"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row>
    <row r="222" spans="1:149"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row>
    <row r="223" spans="1:149"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row>
    <row r="224" spans="1:149"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row>
    <row r="225" spans="1:149"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row>
    <row r="226" spans="1:149"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row>
    <row r="227" spans="1:149"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row>
    <row r="228" spans="1:149"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row>
    <row r="229" spans="1:149"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row>
    <row r="230" spans="1:149"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row>
    <row r="231" spans="1:149"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row>
    <row r="232" spans="1:149"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row>
    <row r="233" spans="1:149"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row>
    <row r="234" spans="1:149"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row>
    <row r="235" spans="1:149"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row>
    <row r="236" spans="1:149"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row>
    <row r="237" spans="1:149"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row>
    <row r="238" spans="1:149"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row>
    <row r="239" spans="1:149"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row>
    <row r="240" spans="1:149"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row>
    <row r="241" spans="1:149"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row>
    <row r="242" spans="1:149"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row>
    <row r="243" spans="1:149"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row>
    <row r="244" spans="1:149"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row>
    <row r="245" spans="1:149"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row>
    <row r="246" spans="1:149"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row>
    <row r="247" spans="1:149"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row>
    <row r="248" spans="1:149"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row>
    <row r="249" spans="1:149"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row>
    <row r="250" spans="1:149"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row>
    <row r="251" spans="1:149"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row>
    <row r="252" spans="1:149"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row>
    <row r="253" spans="1:149"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row>
    <row r="254" spans="1:149"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row>
    <row r="255" spans="1:149"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row>
    <row r="256" spans="1:149"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row>
    <row r="257" spans="1:149"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row>
    <row r="258" spans="1:149"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row>
    <row r="259" spans="1:149"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row>
    <row r="260" spans="1:149"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row>
    <row r="261" spans="1:149"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row>
    <row r="262" spans="1:149"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row>
    <row r="263" spans="1:149"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row>
    <row r="264" spans="1:149"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row>
    <row r="265" spans="1:149"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row>
    <row r="266" spans="1:149"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row>
    <row r="267" spans="1:149"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row>
    <row r="268" spans="1:149"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row>
    <row r="269" spans="1:149"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row>
    <row r="270" spans="1:149"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row>
    <row r="271" spans="1:149"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row>
    <row r="272" spans="1:149"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row>
    <row r="273" spans="1:149"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row>
    <row r="274" spans="1:149"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row>
    <row r="275" spans="1:149"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row>
    <row r="276" spans="1:149"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row>
    <row r="277" spans="1:149"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row>
    <row r="278" spans="1:149"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row>
    <row r="279" spans="1:149"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row>
    <row r="280" spans="1:149"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row>
    <row r="281" spans="1:149"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row>
    <row r="282" spans="1:149"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row>
    <row r="283" spans="1:149"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row>
    <row r="284" spans="1:149"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row>
    <row r="285" spans="1:149"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row>
    <row r="286" spans="1:149"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row>
    <row r="287" spans="1:149"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row>
    <row r="288" spans="1:149"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row>
    <row r="289" spans="1:149"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row>
    <row r="290" spans="1:149"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row>
    <row r="291" spans="1:149"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row>
    <row r="292" spans="1:149"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row>
    <row r="293" spans="1:149"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row>
    <row r="294" spans="1:149"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row>
    <row r="295" spans="1:149"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row>
    <row r="296" spans="1:149"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row>
    <row r="297" spans="1:149"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row>
    <row r="298" spans="1:149"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row>
    <row r="299" spans="1:149"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row>
    <row r="300" spans="1:149"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row>
    <row r="301" spans="1:149"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row>
    <row r="302" spans="1:149"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row>
    <row r="303" spans="1:149"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row>
    <row r="304" spans="1:149"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row>
    <row r="305" spans="1:149"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row>
    <row r="306" spans="1:149"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row>
    <row r="307" spans="1:149"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row>
    <row r="308" spans="1:149"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row>
    <row r="309" spans="1:149"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row>
    <row r="310" spans="1:149"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row>
    <row r="311" spans="1:149"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row>
    <row r="312" spans="1:149"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row>
    <row r="313" spans="1:149"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row>
    <row r="314" spans="1:149"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row>
    <row r="315" spans="1:149"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row>
    <row r="316" spans="1:149"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row>
    <row r="317" spans="1:149"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row>
    <row r="318" spans="1:149"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row>
    <row r="319" spans="1:149"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row>
    <row r="320" spans="1:149"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row>
    <row r="321" spans="1:149"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row>
    <row r="322" spans="1:149"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row>
    <row r="323" spans="1:149"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row>
    <row r="324" spans="1:149"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row>
    <row r="325" spans="1:149"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row>
    <row r="326" spans="1:149"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row>
    <row r="327" spans="1:149"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row>
    <row r="328" spans="1:149"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row>
    <row r="329" spans="1:149"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row>
    <row r="330" spans="1:149"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row>
    <row r="331" spans="1:149"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row>
    <row r="332" spans="1:149"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row>
    <row r="333" spans="1:149"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row>
    <row r="334" spans="1:149"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row>
    <row r="335" spans="1:149"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row>
    <row r="336" spans="1:149"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row>
    <row r="337" spans="1:149"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row>
    <row r="338" spans="1:149"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row>
    <row r="339" spans="1:149"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row>
    <row r="340" spans="1:149"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row>
    <row r="341" spans="1:149"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row>
    <row r="342" spans="1:149"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row>
    <row r="343" spans="1:149"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row>
    <row r="344" spans="1:149"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row>
    <row r="345" spans="1:149"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row>
    <row r="346" spans="1:149"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row>
    <row r="347" spans="1:149"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row>
    <row r="348" spans="1:149"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row>
    <row r="349" spans="1:149"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row>
    <row r="350" spans="1:149"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row>
    <row r="351" spans="1:149"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row>
    <row r="352" spans="1:149"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row>
    <row r="353" spans="1:149"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row>
    <row r="354" spans="1:149"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row>
    <row r="355" spans="1:149"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row>
    <row r="356" spans="1:149"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row>
    <row r="357" spans="1:149"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row>
    <row r="358" spans="1:149"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row>
    <row r="359" spans="1:149"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row>
    <row r="360" spans="1:149"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row>
    <row r="361" spans="1:149"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row>
    <row r="362" spans="1:149"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row>
    <row r="363" spans="1:149"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row>
    <row r="364" spans="1:149"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row>
    <row r="365" spans="1:149"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row>
    <row r="366" spans="1:149"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row>
    <row r="367" spans="1:149"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row>
    <row r="368" spans="1:149"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row>
    <row r="369" spans="1:149"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row>
    <row r="370" spans="1:149"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row>
    <row r="371" spans="1:149"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row>
    <row r="372" spans="1:149"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row>
    <row r="373" spans="1:149"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row>
    <row r="374" spans="1:149"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row>
    <row r="375" spans="1:149"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row>
    <row r="376" spans="1:149"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row>
    <row r="377" spans="1:149"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row>
    <row r="378" spans="1:149"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row>
    <row r="379" spans="1:149"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row>
    <row r="380" spans="1:149"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row>
    <row r="381" spans="1:149"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row>
    <row r="382" spans="1:149"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row>
    <row r="383" spans="1:149"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row>
    <row r="384" spans="1:149"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row>
    <row r="385" spans="1:149"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row>
    <row r="386" spans="1:149"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row>
    <row r="387" spans="1:149"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row>
    <row r="388" spans="1:149"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row>
    <row r="389" spans="1:149"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row>
    <row r="390" spans="1:149"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row>
    <row r="391" spans="1:149"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row>
    <row r="392" spans="1:149"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row>
    <row r="393" spans="1:149"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row>
    <row r="394" spans="1:149"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row>
    <row r="395" spans="1:149"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row>
    <row r="396" spans="1:149"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row>
    <row r="397" spans="1:149"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row>
    <row r="398" spans="1:149"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row>
    <row r="399" spans="1:149"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row>
    <row r="400" spans="1:149"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row>
    <row r="401" spans="1:149"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row>
    <row r="402" spans="1:149"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row>
    <row r="403" spans="1:149"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row>
    <row r="404" spans="1:149"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row>
    <row r="405" spans="1:149"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row>
    <row r="406" spans="1:149"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row>
    <row r="407" spans="1:149"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row>
    <row r="408" spans="1:149"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row>
    <row r="409" spans="1:149"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row>
    <row r="410" spans="1:149"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row>
    <row r="411" spans="1:149"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row>
    <row r="412" spans="1:149"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row>
    <row r="413" spans="1:149"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row>
    <row r="414" spans="1:149"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row>
    <row r="415" spans="1:149"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row>
    <row r="416" spans="1:149"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row>
    <row r="417" spans="1:149"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row>
    <row r="418" spans="1:149"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row>
    <row r="419" spans="1:149"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row>
    <row r="420" spans="1:149"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row>
    <row r="421" spans="1:149"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row>
    <row r="422" spans="1:149"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row>
    <row r="423" spans="1:149"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row>
    <row r="424" spans="1:149"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row>
    <row r="425" spans="1:149"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row>
    <row r="426" spans="1:149"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row>
    <row r="427" spans="1:149"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row>
    <row r="428" spans="1:149"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row>
    <row r="429" spans="1:149"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row>
    <row r="430" spans="1:149"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row>
    <row r="431" spans="1:149"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row>
    <row r="432" spans="1:149"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row>
    <row r="433" spans="1:149"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row>
    <row r="434" spans="1:149"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row>
    <row r="435" spans="1:149"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row>
    <row r="436" spans="1:149"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row>
    <row r="437" spans="1:149"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row>
    <row r="438" spans="1:149"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row>
    <row r="439" spans="1:149"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row>
    <row r="440" spans="1:149"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row>
    <row r="441" spans="1:149"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row>
    <row r="442" spans="1:149"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row>
  </sheetData>
  <mergeCells count="8">
    <mergeCell ref="H1:J1"/>
    <mergeCell ref="A57:B57"/>
    <mergeCell ref="A1:B1"/>
    <mergeCell ref="A13:B13"/>
    <mergeCell ref="A5:C5"/>
    <mergeCell ref="A55:B55"/>
    <mergeCell ref="E41:I41"/>
    <mergeCell ref="A12:C12"/>
  </mergeCells>
  <phoneticPr fontId="2" type="noConversion"/>
  <printOptions headings="1" gridLines="1"/>
  <pageMargins left="0.74803149606299213" right="0.74803149606299213" top="0.98425196850393704" bottom="0.98425196850393704" header="0.51181102362204722" footer="0.51181102362204722"/>
  <pageSetup paperSize="8" scale="79" fitToHeight="2" orientation="landscape" r:id="rId1"/>
  <headerFooter alignWithMargins="0">
    <oddHeader>&amp;R&amp;D</oddHeader>
    <oddFooter>&amp;L&amp;Z&amp;F&amp;R&amp;A</oddFooter>
  </headerFooter>
  <ignoredErrors>
    <ignoredError sqref="D90:H90 I90:O9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290"/>
  <sheetViews>
    <sheetView zoomScaleNormal="100" workbookViewId="0">
      <pane xSplit="6" ySplit="19" topLeftCell="G20" activePane="bottomRight" state="frozen"/>
      <selection pane="topRight" activeCell="G1" sqref="G1"/>
      <selection pane="bottomLeft" activeCell="A20" sqref="A20"/>
      <selection pane="bottomRight" activeCell="V20" sqref="V20"/>
    </sheetView>
  </sheetViews>
  <sheetFormatPr defaultRowHeight="12.75" x14ac:dyDescent="0.2"/>
  <cols>
    <col min="1" max="1" width="14.7109375" customWidth="1"/>
    <col min="2" max="3" width="11.5703125" style="1" customWidth="1"/>
    <col min="4" max="4" width="15.28515625" customWidth="1"/>
    <col min="5" max="5" width="10.28515625" customWidth="1"/>
    <col min="6" max="6" width="11" customWidth="1"/>
    <col min="7" max="7" width="8.5703125" bestFit="1" customWidth="1"/>
    <col min="8" max="8" width="11.7109375" customWidth="1"/>
    <col min="9" max="9" width="10.28515625" bestFit="1" customWidth="1"/>
    <col min="10" max="12" width="17.42578125" style="2" customWidth="1"/>
    <col min="13" max="13" width="15.140625" customWidth="1"/>
    <col min="14" max="14" width="14.28515625" style="3" customWidth="1"/>
    <col min="15" max="15" width="14.140625" style="4" customWidth="1"/>
    <col min="16" max="16" width="11.7109375" customWidth="1"/>
    <col min="17" max="17" width="8.7109375" customWidth="1"/>
    <col min="18" max="18" width="10.28515625" customWidth="1"/>
    <col min="19" max="21" width="11.7109375" customWidth="1"/>
    <col min="22" max="22" width="12" style="238" customWidth="1"/>
    <col min="23" max="23" width="13.85546875" customWidth="1"/>
    <col min="24" max="24" width="12.42578125" customWidth="1"/>
    <col min="25" max="25" width="11.7109375" customWidth="1"/>
    <col min="26" max="26" width="13.42578125" customWidth="1"/>
    <col min="27" max="27" width="12.5703125" customWidth="1"/>
    <col min="28" max="28" width="12" style="238" customWidth="1"/>
    <col min="29" max="29" width="9.140625" style="6" customWidth="1"/>
  </cols>
  <sheetData>
    <row r="1" spans="1:50" ht="33.75" customHeight="1" x14ac:dyDescent="0.35">
      <c r="A1" s="353" t="s">
        <v>412</v>
      </c>
      <c r="B1" s="315"/>
      <c r="C1" s="315"/>
      <c r="D1" s="315"/>
      <c r="E1" s="315"/>
      <c r="F1" s="315"/>
      <c r="G1" s="315"/>
      <c r="H1" s="315"/>
      <c r="I1" s="41"/>
      <c r="J1" s="352"/>
      <c r="K1" s="352"/>
      <c r="L1" s="89"/>
      <c r="M1" s="25"/>
      <c r="N1" s="42"/>
      <c r="O1" s="43"/>
      <c r="P1" s="49"/>
      <c r="Q1" s="50"/>
      <c r="R1" s="44"/>
      <c r="S1" s="44"/>
      <c r="T1" s="44"/>
      <c r="U1" s="44"/>
      <c r="V1" s="44"/>
      <c r="W1" s="44"/>
      <c r="X1" s="44"/>
      <c r="Y1" s="44"/>
      <c r="Z1" s="44"/>
      <c r="AA1" s="44"/>
      <c r="AB1" s="44"/>
      <c r="AC1" s="7"/>
      <c r="AD1" s="25"/>
      <c r="AE1" s="25"/>
      <c r="AF1" s="25"/>
      <c r="AG1" s="25"/>
      <c r="AH1" s="25"/>
      <c r="AI1" s="25"/>
      <c r="AJ1" s="25"/>
      <c r="AK1" s="25"/>
      <c r="AL1" s="25"/>
      <c r="AM1" s="25"/>
      <c r="AN1" s="25"/>
      <c r="AO1" s="25"/>
      <c r="AP1" s="25"/>
      <c r="AQ1" s="25"/>
      <c r="AR1" s="25"/>
      <c r="AS1" s="25"/>
      <c r="AT1" s="25"/>
      <c r="AU1" s="25"/>
      <c r="AV1" s="25"/>
      <c r="AW1" s="25"/>
      <c r="AX1" s="25"/>
    </row>
    <row r="2" spans="1:50" ht="15" customHeight="1" x14ac:dyDescent="0.2">
      <c r="A2" s="45"/>
      <c r="B2" s="45"/>
      <c r="C2" s="45"/>
      <c r="D2" s="45"/>
      <c r="E2" s="45"/>
      <c r="F2" s="45"/>
      <c r="G2" s="45"/>
      <c r="H2" s="45"/>
      <c r="I2" s="36"/>
      <c r="J2" s="53"/>
      <c r="K2" s="53"/>
      <c r="L2" s="53"/>
      <c r="M2" s="36"/>
      <c r="N2" s="54"/>
      <c r="O2" s="55"/>
      <c r="P2" s="56"/>
      <c r="Q2" s="56"/>
      <c r="R2" s="56"/>
      <c r="S2" s="56"/>
      <c r="T2" s="56"/>
      <c r="U2" s="56"/>
      <c r="V2" s="56"/>
      <c r="W2" s="56"/>
      <c r="X2" s="56"/>
      <c r="Y2" s="56"/>
      <c r="Z2" s="56"/>
      <c r="AA2" s="56"/>
      <c r="AB2" s="56"/>
      <c r="AC2" s="7"/>
      <c r="AD2" s="25"/>
      <c r="AE2" s="25"/>
      <c r="AF2" s="25"/>
      <c r="AG2" s="25"/>
      <c r="AH2" s="25"/>
      <c r="AI2" s="25"/>
      <c r="AJ2" s="25"/>
      <c r="AK2" s="25"/>
      <c r="AL2" s="25"/>
      <c r="AM2" s="25"/>
      <c r="AN2" s="25"/>
      <c r="AO2" s="25"/>
      <c r="AP2" s="25"/>
      <c r="AQ2" s="25"/>
      <c r="AR2" s="25"/>
      <c r="AS2" s="25"/>
      <c r="AT2" s="25"/>
      <c r="AU2" s="25"/>
      <c r="AV2" s="25"/>
      <c r="AW2" s="25"/>
      <c r="AX2" s="25"/>
    </row>
    <row r="3" spans="1:50" ht="16.5" customHeight="1" x14ac:dyDescent="0.2">
      <c r="A3" s="354" t="s">
        <v>664</v>
      </c>
      <c r="B3" s="354"/>
      <c r="C3" s="17"/>
      <c r="D3" s="45"/>
      <c r="E3" s="45"/>
      <c r="F3" s="45"/>
      <c r="G3" s="45"/>
      <c r="H3" s="45"/>
      <c r="I3" s="36"/>
      <c r="J3" s="53"/>
      <c r="K3" s="53"/>
      <c r="L3" s="53"/>
      <c r="M3" s="36"/>
      <c r="N3" s="54"/>
      <c r="O3" s="55"/>
      <c r="P3" s="56"/>
      <c r="Q3" s="56"/>
      <c r="R3" s="56"/>
      <c r="S3" s="56"/>
      <c r="T3" s="56"/>
      <c r="U3" s="56"/>
      <c r="V3" s="56"/>
      <c r="W3" s="56"/>
      <c r="X3" s="56"/>
      <c r="Y3" s="56"/>
      <c r="Z3" s="56"/>
      <c r="AA3" s="56"/>
      <c r="AB3" s="56"/>
      <c r="AC3" s="7"/>
      <c r="AD3" s="25"/>
      <c r="AE3" s="25"/>
      <c r="AF3" s="25"/>
      <c r="AG3" s="25"/>
      <c r="AH3" s="25"/>
      <c r="AI3" s="25"/>
      <c r="AJ3" s="25"/>
      <c r="AK3" s="25"/>
      <c r="AL3" s="25"/>
      <c r="AM3" s="25"/>
      <c r="AN3" s="25"/>
      <c r="AO3" s="25"/>
      <c r="AP3" s="25"/>
      <c r="AQ3" s="25"/>
      <c r="AR3" s="25"/>
      <c r="AS3" s="25"/>
      <c r="AT3" s="25"/>
      <c r="AU3" s="25"/>
      <c r="AV3" s="25"/>
      <c r="AW3" s="25"/>
      <c r="AX3" s="25"/>
    </row>
    <row r="4" spans="1:50" ht="11.25" customHeight="1" x14ac:dyDescent="0.2">
      <c r="A4" s="17"/>
      <c r="B4" s="17"/>
      <c r="C4" s="17"/>
      <c r="D4" s="45"/>
      <c r="E4" s="45"/>
      <c r="F4" s="45"/>
      <c r="G4" s="45"/>
      <c r="H4" s="45"/>
      <c r="I4" s="36"/>
      <c r="J4" s="53"/>
      <c r="K4" s="53"/>
      <c r="L4" s="53"/>
      <c r="M4" s="36"/>
      <c r="N4" s="54"/>
      <c r="O4" s="55"/>
      <c r="P4" s="56"/>
      <c r="Q4" s="56"/>
      <c r="R4" s="56"/>
      <c r="S4" s="56"/>
      <c r="T4" s="56"/>
      <c r="U4" s="56"/>
      <c r="V4" s="56"/>
      <c r="W4" s="56"/>
      <c r="X4" s="56"/>
      <c r="Y4" s="56"/>
      <c r="Z4" s="56"/>
      <c r="AA4" s="56"/>
      <c r="AB4" s="56"/>
      <c r="AC4" s="7"/>
      <c r="AD4" s="25"/>
      <c r="AE4" s="25"/>
      <c r="AF4" s="25"/>
      <c r="AG4" s="25"/>
      <c r="AH4" s="25"/>
      <c r="AI4" s="25"/>
      <c r="AJ4" s="25"/>
      <c r="AK4" s="25"/>
      <c r="AL4" s="25"/>
      <c r="AM4" s="25"/>
      <c r="AN4" s="25"/>
      <c r="AO4" s="25"/>
      <c r="AP4" s="25"/>
      <c r="AQ4" s="25"/>
      <c r="AR4" s="25"/>
      <c r="AS4" s="25"/>
      <c r="AT4" s="25"/>
      <c r="AU4" s="25"/>
      <c r="AV4" s="25"/>
      <c r="AW4" s="25"/>
      <c r="AX4" s="25"/>
    </row>
    <row r="5" spans="1:50" ht="14.25" customHeight="1" x14ac:dyDescent="0.2">
      <c r="A5" s="57" t="s">
        <v>414</v>
      </c>
      <c r="B5" s="58"/>
      <c r="C5" s="58"/>
      <c r="D5" s="57"/>
      <c r="E5" s="57"/>
      <c r="F5" s="57"/>
      <c r="G5" s="57"/>
      <c r="H5" s="57"/>
      <c r="I5" s="59"/>
      <c r="J5" s="60"/>
      <c r="K5" s="60"/>
      <c r="L5" s="60" t="s">
        <v>418</v>
      </c>
      <c r="M5" s="59"/>
      <c r="N5" s="61"/>
      <c r="O5" s="62"/>
      <c r="P5" s="63"/>
      <c r="Q5" s="63"/>
      <c r="R5" s="63"/>
      <c r="S5" s="63"/>
      <c r="T5" s="63"/>
      <c r="U5" s="63"/>
      <c r="V5" s="63"/>
      <c r="W5" s="63"/>
      <c r="X5" s="63"/>
      <c r="Y5" s="63"/>
      <c r="Z5" s="63"/>
      <c r="AA5" s="63"/>
      <c r="AB5" s="63"/>
      <c r="AC5" s="7"/>
      <c r="AD5" s="25"/>
      <c r="AE5" s="25"/>
      <c r="AF5" s="25"/>
      <c r="AG5" s="25"/>
      <c r="AH5" s="25"/>
      <c r="AI5" s="25"/>
      <c r="AJ5" s="25"/>
      <c r="AK5" s="25"/>
      <c r="AL5" s="25"/>
      <c r="AM5" s="25"/>
      <c r="AN5" s="25"/>
      <c r="AO5" s="25"/>
      <c r="AP5" s="25"/>
      <c r="AQ5" s="25"/>
      <c r="AR5" s="25"/>
      <c r="AS5" s="25"/>
      <c r="AT5" s="25"/>
      <c r="AU5" s="25"/>
      <c r="AV5" s="25"/>
      <c r="AW5" s="25"/>
      <c r="AX5" s="25"/>
    </row>
    <row r="6" spans="1:50" ht="13.5" customHeight="1" x14ac:dyDescent="0.2">
      <c r="A6" s="57" t="s">
        <v>413</v>
      </c>
      <c r="B6" s="58"/>
      <c r="C6" s="58"/>
      <c r="D6" s="57"/>
      <c r="E6" s="57"/>
      <c r="F6" s="57"/>
      <c r="G6" s="57"/>
      <c r="H6" s="57"/>
      <c r="I6" s="59"/>
      <c r="J6" s="60"/>
      <c r="K6" s="60"/>
      <c r="L6" s="60"/>
      <c r="M6" s="59"/>
      <c r="N6" s="61"/>
      <c r="O6" s="62"/>
      <c r="P6" s="63"/>
      <c r="Q6" s="63"/>
      <c r="R6" s="63"/>
      <c r="S6" s="63"/>
      <c r="T6" s="63"/>
      <c r="U6" s="63"/>
      <c r="V6" s="63"/>
      <c r="W6" s="63"/>
      <c r="X6" s="63"/>
      <c r="Y6" s="63"/>
      <c r="Z6" s="63"/>
      <c r="AA6" s="63"/>
      <c r="AB6" s="63"/>
      <c r="AC6" s="7"/>
      <c r="AD6" s="25"/>
      <c r="AE6" s="25"/>
      <c r="AF6" s="25"/>
      <c r="AG6" s="25"/>
      <c r="AH6" s="25"/>
      <c r="AI6" s="25"/>
      <c r="AJ6" s="25"/>
      <c r="AK6" s="25"/>
      <c r="AL6" s="25"/>
      <c r="AM6" s="25"/>
      <c r="AN6" s="25"/>
      <c r="AO6" s="25"/>
      <c r="AP6" s="25"/>
      <c r="AQ6" s="25"/>
      <c r="AR6" s="25"/>
      <c r="AS6" s="25"/>
      <c r="AT6" s="25"/>
      <c r="AU6" s="25"/>
      <c r="AV6" s="25"/>
      <c r="AW6" s="25"/>
      <c r="AX6" s="25"/>
    </row>
    <row r="7" spans="1:50" ht="14.25" customHeight="1" x14ac:dyDescent="0.2">
      <c r="A7" s="57"/>
      <c r="B7" s="58"/>
      <c r="C7" s="58"/>
      <c r="D7" s="57"/>
      <c r="E7" s="57"/>
      <c r="F7" s="57"/>
      <c r="G7" s="57"/>
      <c r="H7" s="57"/>
      <c r="I7" s="59"/>
      <c r="J7" s="60"/>
      <c r="K7" s="60"/>
      <c r="L7" s="60"/>
      <c r="M7" s="59"/>
      <c r="N7" s="61"/>
      <c r="O7" s="62"/>
      <c r="P7" s="63"/>
      <c r="Q7" s="63"/>
      <c r="R7" s="63"/>
      <c r="S7" s="63"/>
      <c r="T7" s="63"/>
      <c r="U7" s="63"/>
      <c r="V7" s="63"/>
      <c r="W7" s="63"/>
      <c r="X7" s="63"/>
      <c r="Y7" s="63"/>
      <c r="Z7" s="63"/>
      <c r="AA7" s="63"/>
      <c r="AB7" s="63"/>
      <c r="AC7" s="7"/>
      <c r="AD7" s="25"/>
      <c r="AE7" s="25"/>
      <c r="AF7" s="25"/>
      <c r="AG7" s="25"/>
      <c r="AH7" s="25"/>
      <c r="AI7" s="25"/>
      <c r="AJ7" s="25"/>
      <c r="AK7" s="25"/>
      <c r="AL7" s="25"/>
      <c r="AM7" s="25"/>
      <c r="AN7" s="25"/>
      <c r="AO7" s="25"/>
      <c r="AP7" s="25"/>
      <c r="AQ7" s="25"/>
      <c r="AR7" s="25"/>
      <c r="AS7" s="25"/>
      <c r="AT7" s="25"/>
      <c r="AU7" s="25"/>
      <c r="AV7" s="25"/>
      <c r="AW7" s="25"/>
      <c r="AX7" s="25"/>
    </row>
    <row r="8" spans="1:50" ht="15.75" customHeight="1" x14ac:dyDescent="0.2">
      <c r="A8" s="58" t="s">
        <v>504</v>
      </c>
      <c r="B8" s="58"/>
      <c r="C8" s="58"/>
      <c r="D8" s="57"/>
      <c r="E8" s="57"/>
      <c r="F8" s="57"/>
      <c r="G8" s="57"/>
      <c r="H8" s="57"/>
      <c r="I8" s="59"/>
      <c r="J8" s="60"/>
      <c r="K8" s="60"/>
      <c r="L8" s="60"/>
      <c r="M8" s="59"/>
      <c r="N8" s="61"/>
      <c r="O8" s="62"/>
      <c r="P8" s="63"/>
      <c r="Q8" s="63"/>
      <c r="R8" s="63"/>
      <c r="S8" s="63"/>
      <c r="T8" s="63"/>
      <c r="U8" s="63"/>
      <c r="V8" s="63"/>
      <c r="W8" s="63"/>
      <c r="X8" s="63"/>
      <c r="Y8" s="63"/>
      <c r="Z8" s="63"/>
      <c r="AA8" s="63"/>
      <c r="AB8" s="63"/>
      <c r="AC8" s="7"/>
      <c r="AD8" s="25"/>
      <c r="AE8" s="25"/>
      <c r="AF8" s="25"/>
      <c r="AG8" s="25"/>
      <c r="AH8" s="25"/>
      <c r="AI8" s="25"/>
      <c r="AJ8" s="25"/>
      <c r="AK8" s="25"/>
      <c r="AL8" s="25"/>
      <c r="AM8" s="25"/>
      <c r="AN8" s="25"/>
      <c r="AO8" s="25"/>
      <c r="AP8" s="25"/>
      <c r="AQ8" s="25"/>
      <c r="AR8" s="25"/>
      <c r="AS8" s="25"/>
      <c r="AT8" s="25"/>
      <c r="AU8" s="25"/>
      <c r="AV8" s="25"/>
      <c r="AW8" s="25"/>
      <c r="AX8" s="25"/>
    </row>
    <row r="9" spans="1:50" ht="12.75" customHeight="1" x14ac:dyDescent="0.2">
      <c r="A9" s="57"/>
      <c r="B9" s="57"/>
      <c r="C9" s="57"/>
      <c r="D9" s="57"/>
      <c r="E9" s="57"/>
      <c r="F9" s="57"/>
      <c r="G9" s="57"/>
      <c r="H9" s="57"/>
      <c r="I9" s="57"/>
      <c r="J9" s="64"/>
      <c r="K9" s="64"/>
      <c r="L9" s="64"/>
      <c r="M9" s="57"/>
      <c r="N9" s="65"/>
      <c r="O9" s="66"/>
      <c r="P9" s="67"/>
      <c r="Q9" s="67"/>
      <c r="R9" s="67"/>
      <c r="S9" s="67"/>
      <c r="T9" s="67"/>
      <c r="U9" s="67"/>
      <c r="V9" s="63"/>
      <c r="W9" s="67"/>
      <c r="X9" s="67"/>
      <c r="Y9" s="67"/>
      <c r="Z9" s="67"/>
      <c r="AA9" s="67"/>
      <c r="AB9" s="63"/>
      <c r="AC9" s="7"/>
      <c r="AD9" s="25"/>
      <c r="AE9" s="25"/>
      <c r="AF9" s="25"/>
      <c r="AG9" s="25"/>
      <c r="AH9" s="25"/>
      <c r="AI9" s="25"/>
      <c r="AJ9" s="25"/>
      <c r="AK9" s="25"/>
      <c r="AL9" s="25"/>
      <c r="AM9" s="25"/>
      <c r="AN9" s="25"/>
      <c r="AO9" s="25"/>
      <c r="AP9" s="25"/>
      <c r="AQ9" s="25"/>
      <c r="AR9" s="25"/>
      <c r="AS9" s="25"/>
      <c r="AT9" s="25"/>
      <c r="AU9" s="25"/>
      <c r="AV9" s="25"/>
      <c r="AW9" s="25"/>
      <c r="AX9" s="25"/>
    </row>
    <row r="10" spans="1:50" ht="11.25" customHeight="1" x14ac:dyDescent="0.2">
      <c r="A10" s="57" t="s">
        <v>533</v>
      </c>
      <c r="B10" s="57"/>
      <c r="C10" s="57"/>
      <c r="D10" s="57"/>
      <c r="E10" s="57"/>
      <c r="F10" s="57"/>
      <c r="G10" s="57"/>
      <c r="H10" s="57"/>
      <c r="I10" s="57"/>
      <c r="J10" s="64"/>
      <c r="K10" s="64"/>
      <c r="L10" s="64"/>
      <c r="M10" s="57"/>
      <c r="N10" s="65"/>
      <c r="O10" s="66"/>
      <c r="P10" s="67"/>
      <c r="Q10" s="67"/>
      <c r="R10" s="67"/>
      <c r="S10" s="67"/>
      <c r="T10" s="67"/>
      <c r="U10" s="67"/>
      <c r="V10" s="63"/>
      <c r="W10" s="67"/>
      <c r="X10" s="67"/>
      <c r="Y10" s="67"/>
      <c r="Z10" s="67"/>
      <c r="AA10" s="67"/>
      <c r="AB10" s="63"/>
      <c r="AC10" s="7"/>
      <c r="AD10" s="25"/>
      <c r="AE10" s="25"/>
      <c r="AF10" s="25"/>
      <c r="AG10" s="25"/>
      <c r="AH10" s="25"/>
      <c r="AI10" s="25"/>
      <c r="AJ10" s="25"/>
      <c r="AK10" s="25"/>
      <c r="AL10" s="25"/>
      <c r="AM10" s="25"/>
      <c r="AN10" s="25"/>
      <c r="AO10" s="25"/>
      <c r="AP10" s="25"/>
      <c r="AQ10" s="25"/>
      <c r="AR10" s="25"/>
      <c r="AS10" s="25"/>
      <c r="AT10" s="25"/>
      <c r="AU10" s="25"/>
      <c r="AV10" s="25"/>
      <c r="AW10" s="25"/>
      <c r="AX10" s="25"/>
    </row>
    <row r="11" spans="1:50" ht="15" customHeight="1" x14ac:dyDescent="0.2">
      <c r="A11" s="57" t="s">
        <v>492</v>
      </c>
      <c r="B11" s="57"/>
      <c r="C11" s="57"/>
      <c r="D11" s="57"/>
      <c r="E11" s="57"/>
      <c r="F11" s="57"/>
      <c r="G11" s="57"/>
      <c r="H11" s="57"/>
      <c r="I11" s="57"/>
      <c r="J11" s="64"/>
      <c r="K11" s="64"/>
      <c r="L11" s="64"/>
      <c r="M11" s="57"/>
      <c r="N11" s="65"/>
      <c r="O11" s="66"/>
      <c r="P11" s="67"/>
      <c r="Q11" s="67"/>
      <c r="R11" s="67"/>
      <c r="S11" s="67"/>
      <c r="T11" s="67"/>
      <c r="U11" s="67"/>
      <c r="V11" s="63"/>
      <c r="W11" s="67"/>
      <c r="X11" s="67"/>
      <c r="Y11" s="67"/>
      <c r="Z11" s="67"/>
      <c r="AA11" s="67"/>
      <c r="AB11" s="63"/>
      <c r="AC11" s="7"/>
      <c r="AD11" s="25"/>
      <c r="AE11" s="25"/>
      <c r="AF11" s="25"/>
      <c r="AG11" s="25"/>
      <c r="AH11" s="25"/>
      <c r="AI11" s="25"/>
      <c r="AJ11" s="25"/>
      <c r="AK11" s="25"/>
      <c r="AL11" s="25"/>
      <c r="AM11" s="25"/>
      <c r="AN11" s="25"/>
      <c r="AO11" s="25"/>
      <c r="AP11" s="25"/>
      <c r="AQ11" s="25"/>
      <c r="AR11" s="25"/>
      <c r="AS11" s="25"/>
      <c r="AT11" s="25"/>
      <c r="AU11" s="25"/>
      <c r="AV11" s="25"/>
      <c r="AW11" s="25"/>
      <c r="AX11" s="25"/>
    </row>
    <row r="12" spans="1:50" ht="15" customHeight="1" x14ac:dyDescent="0.2">
      <c r="A12" s="57" t="s">
        <v>819</v>
      </c>
      <c r="B12" s="57"/>
      <c r="C12" s="57"/>
      <c r="D12" s="57"/>
      <c r="E12" s="57"/>
      <c r="F12" s="57"/>
      <c r="G12" s="57"/>
      <c r="H12" s="57"/>
      <c r="I12" s="57"/>
      <c r="J12" s="64"/>
      <c r="K12" s="64"/>
      <c r="L12" s="64"/>
      <c r="M12" s="57"/>
      <c r="N12" s="65"/>
      <c r="O12" s="66"/>
      <c r="P12" s="67"/>
      <c r="Q12" s="67"/>
      <c r="R12" s="67"/>
      <c r="S12" s="67"/>
      <c r="T12" s="67"/>
      <c r="U12" s="67"/>
      <c r="V12" s="63"/>
      <c r="W12" s="67"/>
      <c r="X12" s="67"/>
      <c r="Y12" s="67"/>
      <c r="Z12" s="67"/>
      <c r="AA12" s="67"/>
      <c r="AB12" s="63"/>
      <c r="AC12" s="7"/>
      <c r="AD12" s="25"/>
      <c r="AE12" s="25"/>
      <c r="AF12" s="25"/>
      <c r="AG12" s="25"/>
      <c r="AH12" s="25"/>
      <c r="AI12" s="25"/>
      <c r="AJ12" s="25"/>
      <c r="AK12" s="25"/>
      <c r="AL12" s="25"/>
      <c r="AM12" s="25"/>
      <c r="AN12" s="25"/>
      <c r="AO12" s="25"/>
      <c r="AP12" s="25"/>
      <c r="AQ12" s="25"/>
      <c r="AR12" s="25"/>
      <c r="AS12" s="25"/>
      <c r="AT12" s="25"/>
      <c r="AU12" s="25"/>
      <c r="AV12" s="25"/>
      <c r="AW12" s="25"/>
      <c r="AX12" s="25"/>
    </row>
    <row r="13" spans="1:50" ht="14.25" customHeight="1" x14ac:dyDescent="0.2">
      <c r="A13" s="58" t="s">
        <v>483</v>
      </c>
      <c r="B13" s="58"/>
      <c r="C13" s="58"/>
      <c r="D13" s="57"/>
      <c r="E13" s="57"/>
      <c r="F13" s="57"/>
      <c r="G13" s="57"/>
      <c r="H13" s="57"/>
      <c r="I13" s="59"/>
      <c r="J13" s="60"/>
      <c r="K13" s="60"/>
      <c r="L13" s="60"/>
      <c r="M13" s="59"/>
      <c r="N13" s="61"/>
      <c r="O13" s="62"/>
      <c r="P13" s="63"/>
      <c r="Q13" s="63"/>
      <c r="R13" s="63"/>
      <c r="S13" s="63"/>
      <c r="T13" s="63"/>
      <c r="U13" s="63"/>
      <c r="V13" s="63"/>
      <c r="W13" s="63"/>
      <c r="X13" s="63"/>
      <c r="Y13" s="63"/>
      <c r="Z13" s="63"/>
      <c r="AA13" s="63"/>
      <c r="AB13" s="63"/>
      <c r="AC13" s="7"/>
      <c r="AD13" s="25"/>
      <c r="AE13" s="25"/>
      <c r="AF13" s="25"/>
      <c r="AG13" s="25"/>
      <c r="AH13" s="25"/>
      <c r="AI13" s="25"/>
      <c r="AJ13" s="25"/>
      <c r="AK13" s="25"/>
      <c r="AL13" s="25"/>
      <c r="AM13" s="25"/>
      <c r="AN13" s="25"/>
      <c r="AO13" s="25"/>
      <c r="AP13" s="25"/>
      <c r="AQ13" s="25"/>
      <c r="AR13" s="25"/>
      <c r="AS13" s="25"/>
      <c r="AT13" s="25"/>
      <c r="AU13" s="25"/>
      <c r="AV13" s="25"/>
      <c r="AW13" s="25"/>
      <c r="AX13" s="25"/>
    </row>
    <row r="14" spans="1:50" ht="14.25" customHeight="1" x14ac:dyDescent="0.2">
      <c r="A14" s="58">
        <v>1</v>
      </c>
      <c r="B14" s="58">
        <v>2</v>
      </c>
      <c r="C14" s="58">
        <v>3</v>
      </c>
      <c r="D14" s="58">
        <v>4</v>
      </c>
      <c r="E14" s="58">
        <v>5</v>
      </c>
      <c r="F14" s="58">
        <v>6</v>
      </c>
      <c r="G14" s="58">
        <v>7</v>
      </c>
      <c r="H14" s="58">
        <v>8</v>
      </c>
      <c r="I14" s="58">
        <v>9</v>
      </c>
      <c r="J14" s="58">
        <v>10</v>
      </c>
      <c r="K14" s="58">
        <v>11</v>
      </c>
      <c r="L14" s="58">
        <v>12</v>
      </c>
      <c r="M14" s="58">
        <v>13</v>
      </c>
      <c r="N14" s="58">
        <v>14</v>
      </c>
      <c r="O14" s="58">
        <v>15</v>
      </c>
      <c r="P14" s="58">
        <v>16</v>
      </c>
      <c r="Q14" s="58">
        <v>17</v>
      </c>
      <c r="R14" s="58">
        <v>18</v>
      </c>
      <c r="S14" s="58">
        <v>19</v>
      </c>
      <c r="T14" s="58">
        <v>20</v>
      </c>
      <c r="U14" s="58">
        <v>21</v>
      </c>
      <c r="V14" s="58">
        <v>22</v>
      </c>
      <c r="W14" s="58">
        <v>23</v>
      </c>
      <c r="X14" s="58">
        <v>24</v>
      </c>
      <c r="Y14" s="58">
        <v>25</v>
      </c>
      <c r="Z14" s="58">
        <v>26</v>
      </c>
      <c r="AA14" s="58">
        <v>27</v>
      </c>
      <c r="AB14" s="58">
        <v>28</v>
      </c>
      <c r="AC14" s="58">
        <v>29</v>
      </c>
      <c r="AD14" s="25">
        <v>15</v>
      </c>
      <c r="AE14" s="25"/>
      <c r="AF14" s="25"/>
      <c r="AG14" s="25"/>
      <c r="AH14" s="25"/>
      <c r="AI14" s="25"/>
      <c r="AJ14" s="25"/>
      <c r="AK14" s="25"/>
      <c r="AL14" s="25"/>
      <c r="AM14" s="25"/>
      <c r="AN14" s="25"/>
      <c r="AO14" s="25"/>
      <c r="AP14" s="25"/>
      <c r="AQ14" s="25"/>
      <c r="AR14" s="25"/>
      <c r="AS14" s="25"/>
      <c r="AT14" s="25"/>
      <c r="AU14" s="25"/>
      <c r="AV14" s="25"/>
      <c r="AW14" s="25"/>
      <c r="AX14" s="25"/>
    </row>
    <row r="15" spans="1:50" ht="42.75" customHeight="1" x14ac:dyDescent="0.2">
      <c r="A15" s="355" t="s">
        <v>839</v>
      </c>
      <c r="B15" s="356"/>
      <c r="C15" s="356"/>
      <c r="D15" s="356"/>
      <c r="E15" s="356"/>
      <c r="F15" s="356"/>
      <c r="G15" s="356"/>
      <c r="H15" s="356"/>
      <c r="I15" s="59"/>
      <c r="J15" s="60"/>
      <c r="K15" s="60"/>
      <c r="L15" s="60"/>
      <c r="M15" s="69"/>
      <c r="N15" s="61"/>
      <c r="O15" s="62"/>
      <c r="P15" s="63"/>
      <c r="Q15" s="63"/>
      <c r="R15" s="63"/>
      <c r="S15" s="63"/>
      <c r="T15" s="63"/>
      <c r="U15" s="63"/>
      <c r="V15" s="63"/>
      <c r="W15" s="63"/>
      <c r="X15" s="63"/>
      <c r="Y15" s="63"/>
      <c r="Z15" s="63"/>
      <c r="AA15" s="63"/>
      <c r="AB15" s="63"/>
      <c r="AC15" s="7"/>
      <c r="AD15" s="25"/>
      <c r="AE15" s="25"/>
      <c r="AF15" s="25"/>
      <c r="AG15" s="25"/>
      <c r="AH15" s="25"/>
      <c r="AI15" s="25"/>
      <c r="AJ15" s="25"/>
      <c r="AK15" s="25"/>
      <c r="AL15" s="25"/>
      <c r="AM15" s="25"/>
      <c r="AN15" s="25"/>
      <c r="AO15" s="25"/>
      <c r="AP15" s="25"/>
      <c r="AQ15" s="25"/>
      <c r="AR15" s="25"/>
      <c r="AS15" s="25"/>
      <c r="AT15" s="25"/>
      <c r="AU15" s="25"/>
      <c r="AV15" s="25"/>
      <c r="AW15" s="25"/>
      <c r="AX15" s="25"/>
    </row>
    <row r="16" spans="1:50" ht="14.25" customHeight="1" x14ac:dyDescent="0.2">
      <c r="A16" s="15" t="s">
        <v>866</v>
      </c>
      <c r="B16" s="57"/>
      <c r="C16" s="57"/>
      <c r="D16" s="57"/>
      <c r="E16" s="57"/>
      <c r="F16" s="57"/>
      <c r="G16" s="68"/>
      <c r="H16" s="68"/>
      <c r="I16" s="69"/>
      <c r="J16" s="60"/>
      <c r="K16" s="60"/>
      <c r="L16" s="70"/>
      <c r="M16" s="279"/>
      <c r="N16" s="61"/>
      <c r="O16" s="62"/>
      <c r="P16" s="361" t="s">
        <v>892</v>
      </c>
      <c r="Q16" s="362"/>
      <c r="R16" s="362"/>
      <c r="S16" s="362"/>
      <c r="T16" s="362"/>
      <c r="U16" s="362"/>
      <c r="V16" s="362"/>
      <c r="W16" s="361" t="s">
        <v>893</v>
      </c>
      <c r="X16" s="362"/>
      <c r="Y16" s="362"/>
      <c r="Z16" s="362"/>
      <c r="AA16" s="362"/>
      <c r="AB16" s="349"/>
      <c r="AC16" s="7"/>
      <c r="AD16" s="25"/>
      <c r="AE16" s="25"/>
      <c r="AF16" s="25"/>
      <c r="AG16" s="25"/>
      <c r="AH16" s="25"/>
      <c r="AI16" s="25"/>
      <c r="AJ16" s="25"/>
      <c r="AK16" s="25"/>
      <c r="AL16" s="25"/>
      <c r="AM16" s="25"/>
      <c r="AN16" s="25"/>
      <c r="AO16" s="25"/>
      <c r="AP16" s="25"/>
      <c r="AQ16" s="25"/>
      <c r="AR16" s="25"/>
      <c r="AS16" s="25"/>
      <c r="AT16" s="25"/>
      <c r="AU16" s="25"/>
      <c r="AV16" s="25"/>
      <c r="AW16" s="25"/>
      <c r="AX16" s="25"/>
    </row>
    <row r="17" spans="1:50" ht="12.75" customHeight="1" x14ac:dyDescent="0.2">
      <c r="A17" s="357" t="s">
        <v>672</v>
      </c>
      <c r="B17" s="343" t="s">
        <v>493</v>
      </c>
      <c r="C17" s="343" t="s">
        <v>889</v>
      </c>
      <c r="D17" s="343" t="s">
        <v>406</v>
      </c>
      <c r="E17" s="343" t="s">
        <v>847</v>
      </c>
      <c r="F17" s="343" t="s">
        <v>507</v>
      </c>
      <c r="G17" s="343" t="s">
        <v>407</v>
      </c>
      <c r="H17" s="343" t="s">
        <v>408</v>
      </c>
      <c r="I17" s="343" t="s">
        <v>529</v>
      </c>
      <c r="J17" s="360" t="s">
        <v>494</v>
      </c>
      <c r="K17" s="343" t="s">
        <v>495</v>
      </c>
      <c r="L17" s="343" t="s">
        <v>496</v>
      </c>
      <c r="M17" s="343" t="s">
        <v>636</v>
      </c>
      <c r="N17" s="345" t="s">
        <v>497</v>
      </c>
      <c r="O17" s="340" t="s">
        <v>904</v>
      </c>
      <c r="P17" s="361" t="s">
        <v>409</v>
      </c>
      <c r="Q17" s="362" t="s">
        <v>914</v>
      </c>
      <c r="R17" s="362" t="s">
        <v>921</v>
      </c>
      <c r="S17" s="362" t="s">
        <v>395</v>
      </c>
      <c r="T17" s="362" t="s">
        <v>411</v>
      </c>
      <c r="U17" s="362" t="s">
        <v>915</v>
      </c>
      <c r="V17" s="349" t="s">
        <v>396</v>
      </c>
      <c r="W17" s="361" t="s">
        <v>909</v>
      </c>
      <c r="X17" s="362" t="s">
        <v>410</v>
      </c>
      <c r="Y17" s="362" t="s">
        <v>395</v>
      </c>
      <c r="Z17" s="362" t="s">
        <v>894</v>
      </c>
      <c r="AA17" s="362" t="s">
        <v>895</v>
      </c>
      <c r="AB17" s="349" t="s">
        <v>396</v>
      </c>
      <c r="AC17" s="346" t="s">
        <v>910</v>
      </c>
      <c r="AD17" s="313" t="s">
        <v>1478</v>
      </c>
      <c r="AE17" s="25"/>
      <c r="AF17" s="25"/>
      <c r="AG17" s="25"/>
      <c r="AH17" s="25"/>
      <c r="AI17" s="25"/>
      <c r="AJ17" s="25"/>
      <c r="AK17" s="25"/>
      <c r="AL17" s="25"/>
      <c r="AM17" s="25"/>
      <c r="AN17" s="25"/>
      <c r="AO17" s="25"/>
      <c r="AP17" s="25"/>
      <c r="AQ17" s="25"/>
      <c r="AR17" s="25"/>
      <c r="AS17" s="25"/>
      <c r="AT17" s="25"/>
      <c r="AU17" s="25"/>
      <c r="AV17" s="25"/>
      <c r="AW17" s="25"/>
      <c r="AX17" s="25"/>
    </row>
    <row r="18" spans="1:50" ht="12.75" customHeight="1" x14ac:dyDescent="0.2">
      <c r="A18" s="358"/>
      <c r="B18" s="314"/>
      <c r="C18" s="314"/>
      <c r="D18" s="314"/>
      <c r="E18" s="315"/>
      <c r="F18" s="314"/>
      <c r="G18" s="314"/>
      <c r="H18" s="314"/>
      <c r="I18" s="314"/>
      <c r="J18" s="314"/>
      <c r="K18" s="315"/>
      <c r="L18" s="315"/>
      <c r="M18" s="314"/>
      <c r="N18" s="314"/>
      <c r="O18" s="341"/>
      <c r="P18" s="363"/>
      <c r="Q18" s="365"/>
      <c r="R18" s="365"/>
      <c r="S18" s="365"/>
      <c r="T18" s="365"/>
      <c r="U18" s="365"/>
      <c r="V18" s="350"/>
      <c r="W18" s="363"/>
      <c r="X18" s="365"/>
      <c r="Y18" s="365"/>
      <c r="Z18" s="365"/>
      <c r="AA18" s="365"/>
      <c r="AB18" s="350"/>
      <c r="AC18" s="347"/>
      <c r="AD18" s="25"/>
      <c r="AE18" s="25"/>
      <c r="AF18" s="25"/>
      <c r="AG18" s="25"/>
      <c r="AH18" s="25"/>
      <c r="AI18" s="25"/>
      <c r="AJ18" s="25"/>
      <c r="AK18" s="25"/>
      <c r="AL18" s="25"/>
      <c r="AM18" s="25"/>
      <c r="AN18" s="25"/>
      <c r="AO18" s="25"/>
      <c r="AP18" s="25"/>
      <c r="AQ18" s="25"/>
      <c r="AR18" s="25"/>
      <c r="AS18" s="25"/>
      <c r="AT18" s="25"/>
      <c r="AU18" s="25"/>
      <c r="AV18" s="25"/>
      <c r="AW18" s="25"/>
      <c r="AX18" s="25"/>
    </row>
    <row r="19" spans="1:50" ht="61.5" customHeight="1" x14ac:dyDescent="0.2">
      <c r="A19" s="359"/>
      <c r="B19" s="344"/>
      <c r="C19" s="344"/>
      <c r="D19" s="344"/>
      <c r="E19" s="334"/>
      <c r="F19" s="344"/>
      <c r="G19" s="344"/>
      <c r="H19" s="344"/>
      <c r="I19" s="344"/>
      <c r="J19" s="344"/>
      <c r="K19" s="334"/>
      <c r="L19" s="334"/>
      <c r="M19" s="344"/>
      <c r="N19" s="344"/>
      <c r="O19" s="342"/>
      <c r="P19" s="364"/>
      <c r="Q19" s="366"/>
      <c r="R19" s="366"/>
      <c r="S19" s="366"/>
      <c r="T19" s="366"/>
      <c r="U19" s="366"/>
      <c r="V19" s="351"/>
      <c r="W19" s="364"/>
      <c r="X19" s="366"/>
      <c r="Y19" s="366"/>
      <c r="Z19" s="366"/>
      <c r="AA19" s="366"/>
      <c r="AB19" s="351"/>
      <c r="AC19" s="348"/>
      <c r="AD19" s="25"/>
      <c r="AE19" s="25"/>
      <c r="AF19" s="25"/>
      <c r="AG19" s="25"/>
      <c r="AH19" s="25"/>
      <c r="AI19" s="25"/>
      <c r="AJ19" s="25"/>
      <c r="AK19" s="25"/>
      <c r="AL19" s="25"/>
      <c r="AM19" s="25"/>
      <c r="AN19" s="25"/>
      <c r="AO19" s="25"/>
      <c r="AP19" s="25"/>
      <c r="AQ19" s="25"/>
      <c r="AR19" s="25"/>
      <c r="AS19" s="25"/>
      <c r="AT19" s="25"/>
      <c r="AU19" s="25"/>
      <c r="AV19" s="25"/>
      <c r="AW19" s="25"/>
      <c r="AX19" s="25"/>
    </row>
    <row r="20" spans="1:50" s="178" customFormat="1" ht="14.25" customHeight="1" x14ac:dyDescent="0.2">
      <c r="A20" s="72" t="s">
        <v>282</v>
      </c>
      <c r="B20" s="73">
        <f>VLOOKUP(LEFT(A20,7),'Tariff Schedule Lookup Table'!A$8:D$143,3,FALSE)</f>
        <v>42</v>
      </c>
      <c r="C20" s="236" t="s">
        <v>890</v>
      </c>
      <c r="D20" s="74">
        <v>1</v>
      </c>
      <c r="E20" s="74">
        <v>55274</v>
      </c>
      <c r="F20" s="74" t="s">
        <v>283</v>
      </c>
      <c r="G20" s="106">
        <f>VLOOKUP(F20,'Lamp Stock'!A$14:H$48,4,FALSE)</f>
        <v>9.5526899999999983</v>
      </c>
      <c r="H20" s="106">
        <f>VLOOKUP(F20,'Lamp Stock'!A$14:G$48,6,FALSE)</f>
        <v>49.652399999999993</v>
      </c>
      <c r="I20" s="106">
        <f>VLOOKUP(F20,'Lamp Stock'!A$14:H$48,8,FALSE)</f>
        <v>25.797659999999997</v>
      </c>
      <c r="J20" s="262">
        <v>0.22</v>
      </c>
      <c r="K20" s="262">
        <v>0.1</v>
      </c>
      <c r="L20" s="262">
        <v>0.2</v>
      </c>
      <c r="M20" s="74">
        <v>4</v>
      </c>
      <c r="N20" s="75">
        <f t="shared" ref="N20:N51" si="0">1/M20</f>
        <v>0.25</v>
      </c>
      <c r="O20" s="311">
        <v>0.06</v>
      </c>
      <c r="P20" s="263">
        <f>'Input data'!B$92*O20</f>
        <v>9.529798581333333</v>
      </c>
      <c r="Q20" s="114">
        <f t="shared" ref="Q20:Q51" si="1">D20*(G20*O20)</f>
        <v>0.57316139999999993</v>
      </c>
      <c r="R20" s="114">
        <f t="shared" ref="R20:R51" si="2">I20*O20+H20*O20*0.2</f>
        <v>2.1436883999999998</v>
      </c>
      <c r="S20" s="114">
        <f>IF(C20="Yes",'Input data'!$E$47*'Input data'!$B$51*O20,'Input data'!$E$47*'Input data'!$B$49*O20)</f>
        <v>1.9215702399999999</v>
      </c>
      <c r="T20" s="114">
        <f>'Other Maintenance'!$B$94*'Maintenance Costs'!O52</f>
        <v>0.1487139193901858</v>
      </c>
      <c r="U20" s="310">
        <f>'Input data'!$B$112</f>
        <v>2.9565521226700353</v>
      </c>
      <c r="V20" s="239">
        <f t="shared" ref="V20:V51" si="3">SUM(P20:U20)</f>
        <v>17.273484663393553</v>
      </c>
      <c r="W20" s="76">
        <f>'Input data'!$C$15*'Maintenance Costs'!N52</f>
        <v>9.75</v>
      </c>
      <c r="X20" s="76">
        <f t="shared" ref="X20:X51" si="4">D20*(G20+I20)*N20</f>
        <v>8.8375874999999979</v>
      </c>
      <c r="Y20" s="76">
        <f>'Input data'!$B$47*'Maintenance Costs'!N52</f>
        <v>0</v>
      </c>
      <c r="Z20" s="76">
        <f>'Other Maintenance'!$B$94*'Maintenance Costs'!N52</f>
        <v>0.74356959695092895</v>
      </c>
      <c r="AA20" s="76">
        <f>('Input data'!$B$96+'Input data'!$B$97)*'Input data'!$B$76</f>
        <v>0.87776744444444454</v>
      </c>
      <c r="AB20" s="240">
        <f t="shared" ref="AB20:AB51" si="5">SUM(W20:AA20)</f>
        <v>20.208924541395373</v>
      </c>
      <c r="AC20" s="282" t="str">
        <f>LEFT(A20,3)</f>
        <v>FLU</v>
      </c>
      <c r="AD20" s="311">
        <v>7.6960402044883455E-2</v>
      </c>
      <c r="AE20" s="312">
        <f t="shared" ref="AE20:AE51" si="6">AD20-O20</f>
        <v>1.6960402044883457E-2</v>
      </c>
      <c r="AF20" s="177"/>
      <c r="AG20" s="177"/>
      <c r="AH20" s="177"/>
      <c r="AI20" s="177"/>
      <c r="AJ20" s="177"/>
      <c r="AK20" s="177"/>
      <c r="AL20" s="177"/>
      <c r="AM20" s="177"/>
      <c r="AN20" s="177"/>
      <c r="AO20" s="177"/>
      <c r="AP20" s="177"/>
      <c r="AQ20" s="177"/>
      <c r="AR20" s="177"/>
      <c r="AS20" s="177"/>
      <c r="AT20" s="177"/>
      <c r="AU20" s="177"/>
      <c r="AV20" s="177"/>
      <c r="AW20" s="177"/>
      <c r="AX20" s="177"/>
    </row>
    <row r="21" spans="1:50" s="178" customFormat="1" x14ac:dyDescent="0.2">
      <c r="A21" s="72" t="s">
        <v>176</v>
      </c>
      <c r="B21" s="73">
        <f>VLOOKUP(LEFT(A21,7),'Tariff Schedule Lookup Table'!A$8:D$143,3,FALSE)</f>
        <v>70</v>
      </c>
      <c r="C21" s="236" t="s">
        <v>890</v>
      </c>
      <c r="D21" s="74">
        <v>1</v>
      </c>
      <c r="E21" s="74">
        <v>27453</v>
      </c>
      <c r="F21" s="74" t="s">
        <v>268</v>
      </c>
      <c r="G21" s="106">
        <f>VLOOKUP(F21,'Lamp Stock'!A$14:H$48,4,FALSE)</f>
        <v>15.651299999999999</v>
      </c>
      <c r="H21" s="106">
        <f>VLOOKUP(F21,'Lamp Stock'!A$14:G$48,6,FALSE)</f>
        <v>27.200879999999998</v>
      </c>
      <c r="I21" s="106">
        <f>VLOOKUP(F21,'Lamp Stock'!A$14:H$48,8,FALSE)</f>
        <v>20.767655999999995</v>
      </c>
      <c r="J21" s="262">
        <v>0.2</v>
      </c>
      <c r="K21" s="262">
        <v>0.1</v>
      </c>
      <c r="L21" s="262">
        <v>0.2</v>
      </c>
      <c r="M21" s="74">
        <v>4</v>
      </c>
      <c r="N21" s="75">
        <f t="shared" si="0"/>
        <v>0.25</v>
      </c>
      <c r="O21" s="311">
        <v>0.05</v>
      </c>
      <c r="P21" s="265">
        <f>'Input data'!B$92*O21</f>
        <v>7.9414988177777772</v>
      </c>
      <c r="Q21" s="76">
        <f t="shared" si="1"/>
        <v>0.78256499999999996</v>
      </c>
      <c r="R21" s="76">
        <f t="shared" si="2"/>
        <v>1.3103915999999998</v>
      </c>
      <c r="S21" s="76">
        <f>IF(C21="Yes",'Input data'!$E$47*'Input data'!$B$51*O21,'Input data'!$E$47*'Input data'!$B$49*O21)</f>
        <v>1.6013085333333335</v>
      </c>
      <c r="T21" s="76">
        <f>'Other Maintenance'!$B$94*'Maintenance Costs'!O58</f>
        <v>1.6655958971700809E-2</v>
      </c>
      <c r="U21" s="264">
        <f>'Input data'!$B$112</f>
        <v>2.9565521226700353</v>
      </c>
      <c r="V21" s="240">
        <f t="shared" si="3"/>
        <v>14.608972032752845</v>
      </c>
      <c r="W21" s="76">
        <f>'Input data'!$C$15*'Maintenance Costs'!N58</f>
        <v>9.75</v>
      </c>
      <c r="X21" s="76">
        <f t="shared" si="4"/>
        <v>9.1047389999999986</v>
      </c>
      <c r="Y21" s="76">
        <f>'Input data'!$B$47*'Maintenance Costs'!N58</f>
        <v>0</v>
      </c>
      <c r="Z21" s="76">
        <f>'Other Maintenance'!$B$94*'Maintenance Costs'!N58</f>
        <v>0.74356959695092895</v>
      </c>
      <c r="AA21" s="76">
        <f>('Input data'!$B$96+'Input data'!$B$97)*'Input data'!$B$76</f>
        <v>0.87776744444444454</v>
      </c>
      <c r="AB21" s="240">
        <f t="shared" si="5"/>
        <v>20.476076041395373</v>
      </c>
      <c r="AC21" s="163" t="s">
        <v>905</v>
      </c>
      <c r="AD21" s="311">
        <v>9.5500000000000002E-2</v>
      </c>
      <c r="AE21" s="312">
        <f t="shared" si="6"/>
        <v>4.5499999999999999E-2</v>
      </c>
      <c r="AF21" s="177"/>
      <c r="AG21" s="177"/>
      <c r="AH21" s="177"/>
      <c r="AI21" s="177"/>
      <c r="AJ21" s="177"/>
      <c r="AK21" s="177"/>
      <c r="AL21" s="177"/>
      <c r="AM21" s="177"/>
      <c r="AN21" s="177"/>
      <c r="AO21" s="177"/>
      <c r="AP21" s="177"/>
      <c r="AQ21" s="177"/>
      <c r="AR21" s="177"/>
      <c r="AS21" s="177"/>
      <c r="AT21" s="177"/>
      <c r="AU21" s="177"/>
      <c r="AV21" s="177"/>
      <c r="AW21" s="177"/>
      <c r="AX21" s="177"/>
    </row>
    <row r="22" spans="1:50" s="178" customFormat="1" x14ac:dyDescent="0.2">
      <c r="A22" s="72" t="s">
        <v>184</v>
      </c>
      <c r="B22" s="73">
        <f>VLOOKUP(LEFT(A22,7),'Tariff Schedule Lookup Table'!A$8:D$143,3,FALSE)</f>
        <v>250</v>
      </c>
      <c r="C22" s="236" t="s">
        <v>891</v>
      </c>
      <c r="D22" s="74">
        <v>1</v>
      </c>
      <c r="E22" s="74">
        <v>21897</v>
      </c>
      <c r="F22" s="74" t="s">
        <v>277</v>
      </c>
      <c r="G22" s="106">
        <f>VLOOKUP(F22,'Lamp Stock'!A$14:H$48,4,FALSE)</f>
        <v>20.756861999999998</v>
      </c>
      <c r="H22" s="106">
        <f>VLOOKUP(F22,'Lamp Stock'!A$14:G$48,6,FALSE)</f>
        <v>54.833519999999993</v>
      </c>
      <c r="I22" s="106">
        <f>VLOOKUP(F22,'Lamp Stock'!A$14:H$48,8,FALSE)</f>
        <v>17.011343999999998</v>
      </c>
      <c r="J22" s="262">
        <v>0.2</v>
      </c>
      <c r="K22" s="262">
        <v>0.1</v>
      </c>
      <c r="L22" s="262">
        <v>0.2</v>
      </c>
      <c r="M22" s="74">
        <v>4</v>
      </c>
      <c r="N22" s="75">
        <f t="shared" si="0"/>
        <v>0.25</v>
      </c>
      <c r="O22" s="311">
        <v>0.05</v>
      </c>
      <c r="P22" s="265">
        <f>'Input data'!B$92*O22</f>
        <v>7.9414988177777772</v>
      </c>
      <c r="Q22" s="76">
        <f t="shared" si="1"/>
        <v>1.0378430999999999</v>
      </c>
      <c r="R22" s="76">
        <f t="shared" si="2"/>
        <v>1.3989023999999999</v>
      </c>
      <c r="S22" s="76">
        <f>IF(C22="Yes",'Input data'!$E$47*'Input data'!$B$51*O22,'Input data'!$E$47*'Input data'!$B$49*O22)</f>
        <v>12.810468266666668</v>
      </c>
      <c r="T22" s="76">
        <f>'Other Maintenance'!$B$94*'Maintenance Costs'!O67</f>
        <v>0.11897113551214863</v>
      </c>
      <c r="U22" s="264">
        <f>'Input data'!$B$112</f>
        <v>2.9565521226700353</v>
      </c>
      <c r="V22" s="240">
        <f t="shared" si="3"/>
        <v>26.264235842626629</v>
      </c>
      <c r="W22" s="76">
        <f>'Input data'!$C$15*'Maintenance Costs'!N67</f>
        <v>9.75</v>
      </c>
      <c r="X22" s="76">
        <f t="shared" si="4"/>
        <v>9.442051499999998</v>
      </c>
      <c r="Y22" s="76">
        <f>'Input data'!$B$47*'Maintenance Costs'!N67</f>
        <v>0</v>
      </c>
      <c r="Z22" s="76">
        <f>'Other Maintenance'!$B$94*'Maintenance Costs'!N67</f>
        <v>0.74356959695092895</v>
      </c>
      <c r="AA22" s="76">
        <f>('Input data'!$B$96+'Input data'!$B$97)*'Input data'!$B$76</f>
        <v>0.87776744444444454</v>
      </c>
      <c r="AB22" s="240">
        <f t="shared" si="5"/>
        <v>20.813388541395373</v>
      </c>
      <c r="AC22" s="163" t="s">
        <v>905</v>
      </c>
      <c r="AD22" s="311">
        <v>9.5500000000000002E-2</v>
      </c>
      <c r="AE22" s="312">
        <f t="shared" si="6"/>
        <v>4.5499999999999999E-2</v>
      </c>
      <c r="AF22" s="177"/>
      <c r="AG22" s="177"/>
      <c r="AH22" s="177"/>
      <c r="AI22" s="177"/>
      <c r="AJ22" s="177"/>
      <c r="AK22" s="177"/>
      <c r="AL22" s="177"/>
      <c r="AM22" s="177"/>
      <c r="AN22" s="177"/>
      <c r="AO22" s="177"/>
      <c r="AP22" s="177"/>
      <c r="AQ22" s="177"/>
      <c r="AR22" s="177"/>
      <c r="AS22" s="177"/>
      <c r="AT22" s="177"/>
      <c r="AU22" s="177"/>
      <c r="AV22" s="177"/>
      <c r="AW22" s="177"/>
      <c r="AX22" s="177"/>
    </row>
    <row r="23" spans="1:50" s="178" customFormat="1" x14ac:dyDescent="0.2">
      <c r="A23" s="72" t="s">
        <v>226</v>
      </c>
      <c r="B23" s="73">
        <f>VLOOKUP(LEFT(A23,7),'Tariff Schedule Lookup Table'!A$8:D$143,3,FALSE)</f>
        <v>80</v>
      </c>
      <c r="C23" s="236" t="s">
        <v>890</v>
      </c>
      <c r="D23" s="74">
        <v>1</v>
      </c>
      <c r="E23" s="74">
        <v>20536</v>
      </c>
      <c r="F23" s="74" t="s">
        <v>338</v>
      </c>
      <c r="G23" s="106">
        <f>VLOOKUP(F23,'Lamp Stock'!A$14:H$48,4,FALSE)</f>
        <v>3.5296379999999998</v>
      </c>
      <c r="H23" s="106">
        <f>VLOOKUP(F23,'Lamp Stock'!A$14:G$48,6,FALSE)</f>
        <v>23.207099999999997</v>
      </c>
      <c r="I23" s="106">
        <f>VLOOKUP(F23,'Lamp Stock'!A$14:H$48,8,FALSE)</f>
        <v>20.767655999999995</v>
      </c>
      <c r="J23" s="262">
        <v>0.22</v>
      </c>
      <c r="K23" s="262">
        <v>0.1</v>
      </c>
      <c r="L23" s="262">
        <v>0.2</v>
      </c>
      <c r="M23" s="74">
        <v>4</v>
      </c>
      <c r="N23" s="75">
        <f t="shared" si="0"/>
        <v>0.25</v>
      </c>
      <c r="O23" s="311">
        <v>0.04</v>
      </c>
      <c r="P23" s="265">
        <f>'Input data'!B$92*O23</f>
        <v>6.3531990542222223</v>
      </c>
      <c r="Q23" s="76">
        <f t="shared" si="1"/>
        <v>0.14118552000000001</v>
      </c>
      <c r="R23" s="76">
        <f t="shared" si="2"/>
        <v>1.0163630399999999</v>
      </c>
      <c r="S23" s="76">
        <f>IF(C23="Yes",'Input data'!$E$47*'Input data'!$B$51*O23,'Input data'!$E$47*'Input data'!$B$49*O23)</f>
        <v>1.2810468266666666</v>
      </c>
      <c r="T23" s="76">
        <f>'Other Maintenance'!$B$94*'Maintenance Costs'!O144</f>
        <v>0.17845670326822294</v>
      </c>
      <c r="U23" s="264">
        <f>'Input data'!$B$112</f>
        <v>2.9565521226700353</v>
      </c>
      <c r="V23" s="240">
        <f t="shared" si="3"/>
        <v>11.926803266827147</v>
      </c>
      <c r="W23" s="76">
        <f>'Input data'!$C$15*'Maintenance Costs'!N144</f>
        <v>9.75</v>
      </c>
      <c r="X23" s="76">
        <f t="shared" si="4"/>
        <v>6.0743234999999984</v>
      </c>
      <c r="Y23" s="76">
        <f>'Input data'!$B$47*'Maintenance Costs'!N144</f>
        <v>0</v>
      </c>
      <c r="Z23" s="76">
        <f>'Other Maintenance'!$B$94*'Maintenance Costs'!N144</f>
        <v>0.74356959695092895</v>
      </c>
      <c r="AA23" s="76">
        <f>('Input data'!$B$96+'Input data'!$B$97)*'Input data'!$B$76</f>
        <v>0.87776744444444454</v>
      </c>
      <c r="AB23" s="240">
        <f t="shared" si="5"/>
        <v>17.445660541395373</v>
      </c>
      <c r="AC23" s="163" t="str">
        <f>LEFT(A23,3)</f>
        <v>MVA</v>
      </c>
      <c r="AD23" s="311">
        <v>4.4699999999999997E-2</v>
      </c>
      <c r="AE23" s="312">
        <f t="shared" si="6"/>
        <v>4.6999999999999958E-3</v>
      </c>
      <c r="AF23" s="177"/>
      <c r="AG23" s="177"/>
      <c r="AH23" s="177"/>
      <c r="AI23" s="177"/>
      <c r="AJ23" s="177"/>
      <c r="AK23" s="177"/>
      <c r="AL23" s="177"/>
      <c r="AM23" s="177"/>
      <c r="AN23" s="177"/>
      <c r="AO23" s="177"/>
      <c r="AP23" s="177"/>
      <c r="AQ23" s="177"/>
      <c r="AR23" s="177"/>
      <c r="AS23" s="177"/>
      <c r="AT23" s="177"/>
      <c r="AU23" s="177"/>
      <c r="AV23" s="177"/>
      <c r="AW23" s="177"/>
      <c r="AX23" s="177"/>
    </row>
    <row r="24" spans="1:50" s="178" customFormat="1" x14ac:dyDescent="0.2">
      <c r="A24" s="72" t="s">
        <v>181</v>
      </c>
      <c r="B24" s="73">
        <f>VLOOKUP(LEFT(A24,7),'Tariff Schedule Lookup Table'!A$8:D$143,3,FALSE)</f>
        <v>150</v>
      </c>
      <c r="C24" s="236" t="s">
        <v>891</v>
      </c>
      <c r="D24" s="74">
        <v>1</v>
      </c>
      <c r="E24" s="74">
        <v>9205</v>
      </c>
      <c r="F24" s="74" t="s">
        <v>275</v>
      </c>
      <c r="G24" s="106">
        <f>VLOOKUP(F24,'Lamp Stock'!A$14:H$48,4,FALSE)</f>
        <v>17.918040000000001</v>
      </c>
      <c r="H24" s="106">
        <f>VLOOKUP(F24,'Lamp Stock'!A$14:G$48,6,FALSE)</f>
        <v>47.655509999999992</v>
      </c>
      <c r="I24" s="106">
        <f>VLOOKUP(F24,'Lamp Stock'!A$14:H$48,8,FALSE)</f>
        <v>17.011343999999998</v>
      </c>
      <c r="J24" s="262">
        <v>0.2</v>
      </c>
      <c r="K24" s="262">
        <v>0.1</v>
      </c>
      <c r="L24" s="262">
        <v>0.2</v>
      </c>
      <c r="M24" s="74">
        <v>4</v>
      </c>
      <c r="N24" s="75">
        <f t="shared" si="0"/>
        <v>0.25</v>
      </c>
      <c r="O24" s="311">
        <v>0.05</v>
      </c>
      <c r="P24" s="265">
        <f>'Input data'!B$92*O24</f>
        <v>7.9414988177777772</v>
      </c>
      <c r="Q24" s="76">
        <f t="shared" si="1"/>
        <v>0.89590200000000009</v>
      </c>
      <c r="R24" s="76">
        <f t="shared" si="2"/>
        <v>1.3271222999999999</v>
      </c>
      <c r="S24" s="76">
        <f>IF(C24="Yes",'Input data'!$E$47*'Input data'!$B$51*O24,'Input data'!$E$47*'Input data'!$B$49*O24)</f>
        <v>12.810468266666668</v>
      </c>
      <c r="T24" s="76">
        <f>'Other Maintenance'!$B$94*'Maintenance Costs'!O65</f>
        <v>0.17845670326822294</v>
      </c>
      <c r="U24" s="264">
        <f>'Input data'!$B$112</f>
        <v>2.9565521226700353</v>
      </c>
      <c r="V24" s="240">
        <f t="shared" si="3"/>
        <v>26.110000210382704</v>
      </c>
      <c r="W24" s="76">
        <f>'Input data'!$C$15*'Maintenance Costs'!N65</f>
        <v>9.75</v>
      </c>
      <c r="X24" s="76">
        <f t="shared" si="4"/>
        <v>8.7323459999999997</v>
      </c>
      <c r="Y24" s="76">
        <f>'Input data'!$B$47*'Maintenance Costs'!N65</f>
        <v>0</v>
      </c>
      <c r="Z24" s="76">
        <f>'Other Maintenance'!$B$94*'Maintenance Costs'!N65</f>
        <v>0.74356959695092895</v>
      </c>
      <c r="AA24" s="76">
        <f>('Input data'!$B$96+'Input data'!$B$97)*'Input data'!$B$76</f>
        <v>0.87776744444444454</v>
      </c>
      <c r="AB24" s="240">
        <f t="shared" si="5"/>
        <v>20.103683041395374</v>
      </c>
      <c r="AC24" s="163" t="s">
        <v>905</v>
      </c>
      <c r="AD24" s="311">
        <v>9.5500000000000002E-2</v>
      </c>
      <c r="AE24" s="312">
        <f t="shared" si="6"/>
        <v>4.5499999999999999E-2</v>
      </c>
      <c r="AF24" s="177"/>
      <c r="AG24" s="177"/>
      <c r="AH24" s="177"/>
      <c r="AI24" s="177"/>
      <c r="AJ24" s="177"/>
      <c r="AK24" s="177"/>
      <c r="AL24" s="177"/>
      <c r="AM24" s="177"/>
      <c r="AN24" s="177"/>
      <c r="AO24" s="177"/>
      <c r="AP24" s="177"/>
      <c r="AQ24" s="177"/>
      <c r="AR24" s="177"/>
      <c r="AS24" s="177"/>
      <c r="AT24" s="177"/>
      <c r="AU24" s="177"/>
      <c r="AV24" s="177"/>
      <c r="AW24" s="177"/>
      <c r="AX24" s="177"/>
    </row>
    <row r="25" spans="1:50" s="178" customFormat="1" x14ac:dyDescent="0.2">
      <c r="A25" s="72" t="s">
        <v>225</v>
      </c>
      <c r="B25" s="73">
        <f>VLOOKUP(LEFT(A25,7),'Tariff Schedule Lookup Table'!A$8:D$143,3,FALSE)</f>
        <v>50</v>
      </c>
      <c r="C25" s="236" t="s">
        <v>890</v>
      </c>
      <c r="D25" s="74">
        <v>1</v>
      </c>
      <c r="E25" s="74">
        <v>2265</v>
      </c>
      <c r="F25" s="74" t="s">
        <v>337</v>
      </c>
      <c r="G25" s="106">
        <f>VLOOKUP(F25,'Lamp Stock'!A$14:H$48,4,FALSE)</f>
        <v>4.26363</v>
      </c>
      <c r="H25" s="106">
        <f>VLOOKUP(F25,'Lamp Stock'!A$14:G$48,6,FALSE)</f>
        <v>19.278083999999996</v>
      </c>
      <c r="I25" s="106">
        <f>VLOOKUP(F25,'Lamp Stock'!A$14:H$48,8,FALSE)</f>
        <v>25.797659999999997</v>
      </c>
      <c r="J25" s="262">
        <v>0.22</v>
      </c>
      <c r="K25" s="262">
        <v>0.1</v>
      </c>
      <c r="L25" s="262">
        <v>0.2</v>
      </c>
      <c r="M25" s="74">
        <v>4</v>
      </c>
      <c r="N25" s="75">
        <f t="shared" si="0"/>
        <v>0.25</v>
      </c>
      <c r="O25" s="311">
        <v>0.04</v>
      </c>
      <c r="P25" s="265">
        <f>'Input data'!B$92*O25</f>
        <v>6.3531990542222223</v>
      </c>
      <c r="Q25" s="76">
        <f t="shared" si="1"/>
        <v>0.17054520000000001</v>
      </c>
      <c r="R25" s="76">
        <f t="shared" si="2"/>
        <v>1.186131072</v>
      </c>
      <c r="S25" s="76">
        <f>IF(C25="Yes",'Input data'!$E$47*'Input data'!$B$51*O25,'Input data'!$E$47*'Input data'!$B$49*O25)</f>
        <v>1.2810468266666666</v>
      </c>
      <c r="T25" s="76">
        <f>'Other Maintenance'!$B$94*'Maintenance Costs'!O143</f>
        <v>0.17845670326822294</v>
      </c>
      <c r="U25" s="264">
        <f>'Input data'!$B$112</f>
        <v>2.9565521226700353</v>
      </c>
      <c r="V25" s="240">
        <f t="shared" si="3"/>
        <v>12.125930978827146</v>
      </c>
      <c r="W25" s="76">
        <f>'Input data'!$C$15*'Maintenance Costs'!N143</f>
        <v>9.75</v>
      </c>
      <c r="X25" s="76">
        <f t="shared" si="4"/>
        <v>7.515322499999999</v>
      </c>
      <c r="Y25" s="76">
        <f>'Input data'!$B$47*'Maintenance Costs'!N143</f>
        <v>0</v>
      </c>
      <c r="Z25" s="76">
        <f>'Other Maintenance'!$B$94*'Maintenance Costs'!N143</f>
        <v>0.74356959695092895</v>
      </c>
      <c r="AA25" s="76">
        <f>('Input data'!$B$96+'Input data'!$B$97)*'Input data'!$B$76</f>
        <v>0.87776744444444454</v>
      </c>
      <c r="AB25" s="240">
        <f t="shared" si="5"/>
        <v>18.886659541395375</v>
      </c>
      <c r="AC25" s="163" t="str">
        <f>LEFT(A25,3)</f>
        <v>MVA</v>
      </c>
      <c r="AD25" s="311">
        <v>4.4699999999999997E-2</v>
      </c>
      <c r="AE25" s="312">
        <f t="shared" si="6"/>
        <v>4.6999999999999958E-3</v>
      </c>
      <c r="AF25" s="177"/>
      <c r="AG25" s="177"/>
      <c r="AH25" s="177"/>
      <c r="AI25" s="177"/>
      <c r="AJ25" s="177"/>
      <c r="AK25" s="177"/>
      <c r="AL25" s="177"/>
      <c r="AM25" s="177"/>
      <c r="AN25" s="177"/>
      <c r="AO25" s="177"/>
      <c r="AP25" s="177"/>
      <c r="AQ25" s="177"/>
      <c r="AR25" s="177"/>
      <c r="AS25" s="177"/>
      <c r="AT25" s="177"/>
      <c r="AU25" s="177"/>
      <c r="AV25" s="177"/>
      <c r="AW25" s="177"/>
      <c r="AX25" s="177"/>
    </row>
    <row r="26" spans="1:50" s="178" customFormat="1" x14ac:dyDescent="0.2">
      <c r="A26" s="72" t="s">
        <v>175</v>
      </c>
      <c r="B26" s="73">
        <f>VLOOKUP(LEFT(A26,7),'Tariff Schedule Lookup Table'!A$8:D$143,3,FALSE)</f>
        <v>50</v>
      </c>
      <c r="C26" s="236" t="s">
        <v>890</v>
      </c>
      <c r="D26" s="74">
        <v>1</v>
      </c>
      <c r="E26" s="74">
        <v>2084</v>
      </c>
      <c r="F26" s="74" t="s">
        <v>175</v>
      </c>
      <c r="G26" s="106">
        <f>VLOOKUP(F26,'Lamp Stock'!A$14:H$48,4,FALSE)</f>
        <v>26.229419999999998</v>
      </c>
      <c r="H26" s="106">
        <f>VLOOKUP(F26,'Lamp Stock'!A$14:G$48,6,FALSE)</f>
        <v>19.278083999999996</v>
      </c>
      <c r="I26" s="106">
        <f>VLOOKUP(F26,'Lamp Stock'!A$14:H$48,8,FALSE)</f>
        <v>25.797659999999997</v>
      </c>
      <c r="J26" s="262">
        <v>0.12</v>
      </c>
      <c r="K26" s="262">
        <v>0.1</v>
      </c>
      <c r="L26" s="262">
        <v>0.2</v>
      </c>
      <c r="M26" s="74">
        <v>4</v>
      </c>
      <c r="N26" s="75">
        <f t="shared" si="0"/>
        <v>0.25</v>
      </c>
      <c r="O26" s="311">
        <v>0.05</v>
      </c>
      <c r="P26" s="265">
        <f>'Input data'!B$92*O26</f>
        <v>7.9414988177777772</v>
      </c>
      <c r="Q26" s="76">
        <f t="shared" si="1"/>
        <v>1.3114710000000001</v>
      </c>
      <c r="R26" s="76">
        <f t="shared" si="2"/>
        <v>1.4826638399999998</v>
      </c>
      <c r="S26" s="76">
        <f>IF(C26="Yes",'Input data'!$E$47*'Input data'!$B$51*O26,'Input data'!$E$47*'Input data'!$B$49*O26)</f>
        <v>1.6013085333333335</v>
      </c>
      <c r="T26" s="76">
        <f>'Other Maintenance'!$B$94*'Maintenance Costs'!O83</f>
        <v>0.17845670326822294</v>
      </c>
      <c r="U26" s="264">
        <f>'Input data'!$B$112</f>
        <v>2.9565521226700353</v>
      </c>
      <c r="V26" s="240">
        <f t="shared" si="3"/>
        <v>15.471951017049371</v>
      </c>
      <c r="W26" s="76">
        <f>'Input data'!$C$15*'Maintenance Costs'!N83</f>
        <v>9.75</v>
      </c>
      <c r="X26" s="76">
        <f t="shared" si="4"/>
        <v>13.006769999999999</v>
      </c>
      <c r="Y26" s="76">
        <f>'Input data'!$B$47*'Maintenance Costs'!N83</f>
        <v>0</v>
      </c>
      <c r="Z26" s="76">
        <f>'Other Maintenance'!$B$94*'Maintenance Costs'!N83</f>
        <v>0.74356959695092895</v>
      </c>
      <c r="AA26" s="76">
        <f>('Input data'!$B$96+'Input data'!$B$97)*'Input data'!$B$76</f>
        <v>0.87776744444444454</v>
      </c>
      <c r="AB26" s="240">
        <f t="shared" si="5"/>
        <v>24.378107041395374</v>
      </c>
      <c r="AC26" s="163" t="s">
        <v>906</v>
      </c>
      <c r="AD26" s="311">
        <v>7.2499999999999995E-2</v>
      </c>
      <c r="AE26" s="312">
        <f t="shared" si="6"/>
        <v>2.2499999999999992E-2</v>
      </c>
      <c r="AF26" s="177"/>
      <c r="AG26" s="177"/>
      <c r="AH26" s="177"/>
      <c r="AI26" s="177"/>
      <c r="AJ26" s="177"/>
      <c r="AK26" s="177"/>
      <c r="AL26" s="177"/>
      <c r="AM26" s="177"/>
      <c r="AN26" s="177"/>
      <c r="AO26" s="177"/>
      <c r="AP26" s="177"/>
      <c r="AQ26" s="177"/>
      <c r="AR26" s="177"/>
      <c r="AS26" s="177"/>
      <c r="AT26" s="177"/>
      <c r="AU26" s="177"/>
      <c r="AV26" s="177"/>
      <c r="AW26" s="177"/>
      <c r="AX26" s="177"/>
    </row>
    <row r="27" spans="1:50" s="178" customFormat="1" x14ac:dyDescent="0.2">
      <c r="A27" s="72" t="s">
        <v>190</v>
      </c>
      <c r="B27" s="73">
        <f>VLOOKUP(LEFT(A27,7),'Tariff Schedule Lookup Table'!A$8:D$143,3,FALSE)</f>
        <v>400</v>
      </c>
      <c r="C27" s="236" t="s">
        <v>891</v>
      </c>
      <c r="D27" s="74">
        <v>1</v>
      </c>
      <c r="E27" s="74">
        <v>2001</v>
      </c>
      <c r="F27" s="74" t="s">
        <v>285</v>
      </c>
      <c r="G27" s="106">
        <f>VLOOKUP(F27,'Lamp Stock'!A$14:H$48,4,FALSE)</f>
        <v>28.701245999999998</v>
      </c>
      <c r="H27" s="106">
        <f>VLOOKUP(F27,'Lamp Stock'!A$14:G$48,6,FALSE)</f>
        <v>65.541167999999999</v>
      </c>
      <c r="I27" s="106">
        <f>VLOOKUP(F27,'Lamp Stock'!A$14:H$48,8,FALSE)</f>
        <v>17.011343999999998</v>
      </c>
      <c r="J27" s="262">
        <v>0.2</v>
      </c>
      <c r="K27" s="262">
        <v>0.1</v>
      </c>
      <c r="L27" s="262">
        <v>0.2</v>
      </c>
      <c r="M27" s="74">
        <v>4</v>
      </c>
      <c r="N27" s="75">
        <f t="shared" si="0"/>
        <v>0.25</v>
      </c>
      <c r="O27" s="311">
        <v>0.05</v>
      </c>
      <c r="P27" s="265">
        <f>'Input data'!B$92*O27</f>
        <v>7.9414988177777772</v>
      </c>
      <c r="Q27" s="76">
        <f t="shared" si="1"/>
        <v>1.4350623</v>
      </c>
      <c r="R27" s="76">
        <f t="shared" si="2"/>
        <v>1.50597888</v>
      </c>
      <c r="S27" s="76">
        <f>IF(C27="Yes",'Input data'!$E$47*'Input data'!$B$51*O27,'Input data'!$E$47*'Input data'!$B$49*O27)</f>
        <v>12.810468266666668</v>
      </c>
      <c r="T27" s="76">
        <f>'Other Maintenance'!$B$94*'Maintenance Costs'!O73</f>
        <v>0.17845670326822294</v>
      </c>
      <c r="U27" s="264">
        <f>'Input data'!$B$112</f>
        <v>2.9565521226700353</v>
      </c>
      <c r="V27" s="240">
        <f t="shared" si="3"/>
        <v>26.828017090382705</v>
      </c>
      <c r="W27" s="76">
        <f>'Input data'!$C$15*'Maintenance Costs'!N73</f>
        <v>9.75</v>
      </c>
      <c r="X27" s="76">
        <f t="shared" si="4"/>
        <v>11.428147499999998</v>
      </c>
      <c r="Y27" s="76">
        <f>'Input data'!$B$47*'Maintenance Costs'!N73</f>
        <v>0</v>
      </c>
      <c r="Z27" s="76">
        <f>'Other Maintenance'!$B$94*'Maintenance Costs'!N73</f>
        <v>0.74356959695092895</v>
      </c>
      <c r="AA27" s="76">
        <f>('Input data'!$B$96+'Input data'!$B$97)*'Input data'!$B$76</f>
        <v>0.87776744444444454</v>
      </c>
      <c r="AB27" s="240">
        <f t="shared" si="5"/>
        <v>22.799484541395373</v>
      </c>
      <c r="AC27" s="163" t="s">
        <v>905</v>
      </c>
      <c r="AD27" s="311">
        <v>9.5500000000000002E-2</v>
      </c>
      <c r="AE27" s="312">
        <f t="shared" si="6"/>
        <v>4.5499999999999999E-2</v>
      </c>
      <c r="AF27" s="177"/>
      <c r="AG27" s="177"/>
      <c r="AH27" s="177"/>
      <c r="AI27" s="177"/>
      <c r="AJ27" s="177"/>
      <c r="AK27" s="177"/>
      <c r="AL27" s="177"/>
      <c r="AM27" s="177"/>
      <c r="AN27" s="177"/>
      <c r="AO27" s="177"/>
      <c r="AP27" s="177"/>
      <c r="AQ27" s="177"/>
      <c r="AR27" s="177"/>
      <c r="AS27" s="177"/>
      <c r="AT27" s="177"/>
      <c r="AU27" s="177"/>
      <c r="AV27" s="177"/>
      <c r="AW27" s="177"/>
      <c r="AX27" s="177"/>
    </row>
    <row r="28" spans="1:50" s="178" customFormat="1" x14ac:dyDescent="0.2">
      <c r="A28" s="72" t="s">
        <v>162</v>
      </c>
      <c r="B28" s="73">
        <f>VLOOKUP(LEFT(A28,7),'Tariff Schedule Lookup Table'!A$8:D$143,3,FALSE)</f>
        <v>40</v>
      </c>
      <c r="C28" s="236" t="s">
        <v>890</v>
      </c>
      <c r="D28" s="74">
        <v>1</v>
      </c>
      <c r="E28" s="74">
        <v>1502</v>
      </c>
      <c r="F28" s="74" t="s">
        <v>247</v>
      </c>
      <c r="G28" s="106">
        <f>VLOOKUP(F28,'Lamp Stock'!A$14:H$48,4,FALSE)</f>
        <v>1.9968899999999998</v>
      </c>
      <c r="H28" s="106">
        <f>VLOOKUP(F28,'Lamp Stock'!A$14:G$48,6,FALSE)</f>
        <v>25.319593739999998</v>
      </c>
      <c r="I28" s="106">
        <f>VLOOKUP(F28,'Lamp Stock'!A$14:H$48,8,FALSE)</f>
        <v>0.38858399999999993</v>
      </c>
      <c r="J28" s="262">
        <v>0.35</v>
      </c>
      <c r="K28" s="262">
        <v>0.1</v>
      </c>
      <c r="L28" s="262">
        <v>0.2</v>
      </c>
      <c r="M28" s="74">
        <v>4</v>
      </c>
      <c r="N28" s="75">
        <f t="shared" si="0"/>
        <v>0.25</v>
      </c>
      <c r="O28" s="311">
        <v>0.06</v>
      </c>
      <c r="P28" s="265">
        <f>'Input data'!B$92*O28</f>
        <v>9.529798581333333</v>
      </c>
      <c r="Q28" s="76">
        <f t="shared" si="1"/>
        <v>0.11981339999999999</v>
      </c>
      <c r="R28" s="76">
        <f t="shared" si="2"/>
        <v>0.32715016487999998</v>
      </c>
      <c r="S28" s="76">
        <f>IF(C28="Yes",'Input data'!$E$47*'Input data'!$B$51*O28,'Input data'!$E$47*'Input data'!$B$49*O28)</f>
        <v>1.9215702399999999</v>
      </c>
      <c r="T28" s="76">
        <f>'Other Maintenance'!$B$94*'Maintenance Costs'!O32</f>
        <v>0.11897113551214863</v>
      </c>
      <c r="U28" s="264">
        <f>'Input data'!$B$112</f>
        <v>2.9565521226700353</v>
      </c>
      <c r="V28" s="240">
        <f t="shared" si="3"/>
        <v>14.973855644395517</v>
      </c>
      <c r="W28" s="76">
        <f>'Input data'!$C$15*'Maintenance Costs'!N32</f>
        <v>9.75</v>
      </c>
      <c r="X28" s="76">
        <f t="shared" si="4"/>
        <v>0.59636849999999997</v>
      </c>
      <c r="Y28" s="76">
        <f>'Input data'!$B$47*'Maintenance Costs'!N32</f>
        <v>0</v>
      </c>
      <c r="Z28" s="76">
        <f>'Other Maintenance'!$B$94*'Maintenance Costs'!N32</f>
        <v>0.74356959695092895</v>
      </c>
      <c r="AA28" s="76">
        <f>('Input data'!$B$96+'Input data'!$B$97)*'Input data'!$B$76</f>
        <v>0.87776744444444454</v>
      </c>
      <c r="AB28" s="240">
        <f t="shared" si="5"/>
        <v>11.967705541395373</v>
      </c>
      <c r="AC28" s="163" t="str">
        <f>LEFT(A28,3)</f>
        <v>FLU</v>
      </c>
      <c r="AD28" s="311">
        <v>7.6960402044883455E-2</v>
      </c>
      <c r="AE28" s="312">
        <f t="shared" si="6"/>
        <v>1.6960402044883457E-2</v>
      </c>
      <c r="AF28" s="177"/>
      <c r="AG28" s="177"/>
      <c r="AH28" s="177"/>
      <c r="AI28" s="177"/>
      <c r="AJ28" s="177"/>
      <c r="AK28" s="177"/>
      <c r="AL28" s="177"/>
      <c r="AM28" s="177"/>
      <c r="AN28" s="177"/>
      <c r="AO28" s="177"/>
      <c r="AP28" s="177"/>
      <c r="AQ28" s="177"/>
      <c r="AR28" s="177"/>
      <c r="AS28" s="177"/>
      <c r="AT28" s="177"/>
      <c r="AU28" s="177"/>
      <c r="AV28" s="177"/>
      <c r="AW28" s="177"/>
      <c r="AX28" s="177"/>
    </row>
    <row r="29" spans="1:50" s="178" customFormat="1" x14ac:dyDescent="0.2">
      <c r="A29" s="72" t="s">
        <v>177</v>
      </c>
      <c r="B29" s="73">
        <f>VLOOKUP(LEFT(A29,7),'Tariff Schedule Lookup Table'!A$8:D$143,3,FALSE)</f>
        <v>70</v>
      </c>
      <c r="C29" s="236" t="s">
        <v>890</v>
      </c>
      <c r="D29" s="74">
        <v>1</v>
      </c>
      <c r="E29" s="74">
        <v>1156</v>
      </c>
      <c r="F29" s="74" t="s">
        <v>177</v>
      </c>
      <c r="G29" s="106">
        <f>VLOOKUP(F29,'Lamp Stock'!A$14:H$48,4,FALSE)</f>
        <v>34.605564000000001</v>
      </c>
      <c r="H29" s="106">
        <f>VLOOKUP(F29,'Lamp Stock'!A$14:G$48,6,FALSE)</f>
        <v>51.487380000000002</v>
      </c>
      <c r="I29" s="106">
        <f>VLOOKUP(F29,'Lamp Stock'!A$14:H$48,8,FALSE)</f>
        <v>20.767655999999995</v>
      </c>
      <c r="J29" s="262">
        <v>0.12</v>
      </c>
      <c r="K29" s="262">
        <v>0.1</v>
      </c>
      <c r="L29" s="262">
        <v>0.2</v>
      </c>
      <c r="M29" s="74">
        <v>4</v>
      </c>
      <c r="N29" s="75">
        <f t="shared" si="0"/>
        <v>0.25</v>
      </c>
      <c r="O29" s="311">
        <v>0.05</v>
      </c>
      <c r="P29" s="265">
        <f>'Input data'!B$92*O29</f>
        <v>7.9414988177777772</v>
      </c>
      <c r="Q29" s="76">
        <f t="shared" si="1"/>
        <v>1.7302782000000001</v>
      </c>
      <c r="R29" s="76">
        <f t="shared" si="2"/>
        <v>1.5532565999999997</v>
      </c>
      <c r="S29" s="76">
        <f>IF(C29="Yes",'Input data'!$E$47*'Input data'!$B$51*O29,'Input data'!$E$47*'Input data'!$B$49*O29)</f>
        <v>1.6013085333333335</v>
      </c>
      <c r="T29" s="76">
        <f>'Other Maintenance'!$B$94*'Maintenance Costs'!O84</f>
        <v>0.17845670326822294</v>
      </c>
      <c r="U29" s="264">
        <f>'Input data'!$B$112</f>
        <v>2.9565521226700353</v>
      </c>
      <c r="V29" s="240">
        <f t="shared" si="3"/>
        <v>15.961350977049367</v>
      </c>
      <c r="W29" s="76">
        <f>'Input data'!$C$15*'Maintenance Costs'!N84</f>
        <v>9.75</v>
      </c>
      <c r="X29" s="76">
        <f t="shared" si="4"/>
        <v>13.843304999999999</v>
      </c>
      <c r="Y29" s="76">
        <f>'Input data'!$B$47*'Maintenance Costs'!N84</f>
        <v>0</v>
      </c>
      <c r="Z29" s="76">
        <f>'Other Maintenance'!$B$94*'Maintenance Costs'!N84</f>
        <v>0.74356959695092895</v>
      </c>
      <c r="AA29" s="76">
        <f>('Input data'!$B$96+'Input data'!$B$97)*'Input data'!$B$76</f>
        <v>0.87776744444444454</v>
      </c>
      <c r="AB29" s="240">
        <f t="shared" si="5"/>
        <v>25.214642041395376</v>
      </c>
      <c r="AC29" s="163" t="s">
        <v>906</v>
      </c>
      <c r="AD29" s="311">
        <v>7.2499999999999995E-2</v>
      </c>
      <c r="AE29" s="312">
        <f t="shared" si="6"/>
        <v>2.2499999999999992E-2</v>
      </c>
      <c r="AF29" s="177"/>
      <c r="AG29" s="177"/>
      <c r="AH29" s="177"/>
      <c r="AI29" s="177"/>
      <c r="AJ29" s="177"/>
      <c r="AK29" s="177"/>
      <c r="AL29" s="177"/>
      <c r="AM29" s="177"/>
      <c r="AN29" s="177"/>
      <c r="AO29" s="177"/>
      <c r="AP29" s="177"/>
      <c r="AQ29" s="177"/>
      <c r="AR29" s="177"/>
      <c r="AS29" s="177"/>
      <c r="AT29" s="177"/>
      <c r="AU29" s="177"/>
      <c r="AV29" s="177"/>
      <c r="AW29" s="177"/>
      <c r="AX29" s="177"/>
    </row>
    <row r="30" spans="1:50" s="178" customFormat="1" x14ac:dyDescent="0.2">
      <c r="A30" s="72" t="s">
        <v>231</v>
      </c>
      <c r="B30" s="73">
        <f>VLOOKUP(LEFT(A30,7),'Tariff Schedule Lookup Table'!A$8:D$143,3,FALSE)</f>
        <v>400</v>
      </c>
      <c r="C30" s="236" t="s">
        <v>891</v>
      </c>
      <c r="D30" s="74">
        <v>2</v>
      </c>
      <c r="E30" s="74">
        <v>872</v>
      </c>
      <c r="F30" s="74" t="s">
        <v>358</v>
      </c>
      <c r="G30" s="106">
        <f>VLOOKUP(F30,'Lamp Stock'!A$14:H$48,4,FALSE)</f>
        <v>10.642883999999999</v>
      </c>
      <c r="H30" s="106">
        <f>VLOOKUP(F30,'Lamp Stock'!A$14:G$48,6,FALSE)</f>
        <v>51.703259999999993</v>
      </c>
      <c r="I30" s="106">
        <f>VLOOKUP(F30,'Lamp Stock'!A$14:H$48,8,FALSE)</f>
        <v>21.005123999999999</v>
      </c>
      <c r="J30" s="262">
        <v>0.22</v>
      </c>
      <c r="K30" s="262">
        <v>0.1</v>
      </c>
      <c r="L30" s="262">
        <v>0.2</v>
      </c>
      <c r="M30" s="74">
        <v>4</v>
      </c>
      <c r="N30" s="75">
        <f t="shared" si="0"/>
        <v>0.25</v>
      </c>
      <c r="O30" s="311">
        <v>0.04</v>
      </c>
      <c r="P30" s="265">
        <f>'Input data'!B$92*O30</f>
        <v>6.3531990542222223</v>
      </c>
      <c r="Q30" s="76">
        <f t="shared" si="1"/>
        <v>0.85143071999999986</v>
      </c>
      <c r="R30" s="76">
        <f t="shared" si="2"/>
        <v>1.2538310400000001</v>
      </c>
      <c r="S30" s="76">
        <f>IF(C30="Yes",'Input data'!$E$47*'Input data'!$B$51*O30,'Input data'!$E$47*'Input data'!$B$49*O30)</f>
        <v>10.248374613333333</v>
      </c>
      <c r="T30" s="76">
        <f>'Other Maintenance'!$B$94*'Maintenance Costs'!O164</f>
        <v>0.11897113551214863</v>
      </c>
      <c r="U30" s="264">
        <f>'Input data'!$B$112</f>
        <v>2.9565521226700353</v>
      </c>
      <c r="V30" s="240">
        <f t="shared" si="3"/>
        <v>21.782358685737737</v>
      </c>
      <c r="W30" s="76">
        <f>'Input data'!$C$15*'Maintenance Costs'!N164</f>
        <v>9.75</v>
      </c>
      <c r="X30" s="76">
        <f t="shared" si="4"/>
        <v>15.824003999999999</v>
      </c>
      <c r="Y30" s="76">
        <f>'Input data'!$B$47*'Maintenance Costs'!N164</f>
        <v>0</v>
      </c>
      <c r="Z30" s="76">
        <f>'Other Maintenance'!$B$94*'Maintenance Costs'!N164</f>
        <v>0.74356959695092895</v>
      </c>
      <c r="AA30" s="76">
        <f>('Input data'!$B$96+'Input data'!$B$97)*'Input data'!$B$76</f>
        <v>0.87776744444444454</v>
      </c>
      <c r="AB30" s="240">
        <f t="shared" si="5"/>
        <v>27.195341041395373</v>
      </c>
      <c r="AC30" s="163" t="str">
        <f>LEFT(A30,3)</f>
        <v>MVA</v>
      </c>
      <c r="AD30" s="311">
        <v>4.4699999999999997E-2</v>
      </c>
      <c r="AE30" s="312">
        <f t="shared" si="6"/>
        <v>4.6999999999999958E-3</v>
      </c>
      <c r="AF30" s="177"/>
      <c r="AG30" s="177"/>
      <c r="AH30" s="177"/>
      <c r="AI30" s="177"/>
      <c r="AJ30" s="177"/>
      <c r="AK30" s="177"/>
      <c r="AL30" s="177"/>
      <c r="AM30" s="177"/>
      <c r="AN30" s="177"/>
      <c r="AO30" s="177"/>
      <c r="AP30" s="177"/>
      <c r="AQ30" s="177"/>
      <c r="AR30" s="177"/>
      <c r="AS30" s="177"/>
      <c r="AT30" s="177"/>
      <c r="AU30" s="177"/>
      <c r="AV30" s="177"/>
      <c r="AW30" s="177"/>
      <c r="AX30" s="177"/>
    </row>
    <row r="31" spans="1:50" s="178" customFormat="1" x14ac:dyDescent="0.2">
      <c r="A31" s="72" t="s">
        <v>174</v>
      </c>
      <c r="B31" s="73">
        <f>VLOOKUP(LEFT(A31,7),'Tariff Schedule Lookup Table'!A$8:D$143,3,FALSE)</f>
        <v>50</v>
      </c>
      <c r="C31" s="236" t="s">
        <v>890</v>
      </c>
      <c r="D31" s="74">
        <v>1</v>
      </c>
      <c r="E31" s="74">
        <v>812</v>
      </c>
      <c r="F31" s="74" t="s">
        <v>267</v>
      </c>
      <c r="G31" s="106">
        <f>VLOOKUP(F31,'Lamp Stock'!A$14:H$48,4,FALSE)</f>
        <v>13.913466</v>
      </c>
      <c r="H31" s="106">
        <f>VLOOKUP(F31,'Lamp Stock'!A$14:G$48,6,FALSE)</f>
        <v>19.278083999999996</v>
      </c>
      <c r="I31" s="106">
        <f>VLOOKUP(F31,'Lamp Stock'!A$14:H$48,8,FALSE)</f>
        <v>25.797659999999997</v>
      </c>
      <c r="J31" s="262">
        <v>0.2</v>
      </c>
      <c r="K31" s="262">
        <v>0.1</v>
      </c>
      <c r="L31" s="262">
        <v>0.2</v>
      </c>
      <c r="M31" s="74">
        <v>4</v>
      </c>
      <c r="N31" s="75">
        <f t="shared" si="0"/>
        <v>0.25</v>
      </c>
      <c r="O31" s="311">
        <v>0.05</v>
      </c>
      <c r="P31" s="265">
        <f>'Input data'!B$92*O31</f>
        <v>7.9414988177777772</v>
      </c>
      <c r="Q31" s="76">
        <f t="shared" si="1"/>
        <v>0.69567330000000005</v>
      </c>
      <c r="R31" s="76">
        <f t="shared" si="2"/>
        <v>1.4826638399999998</v>
      </c>
      <c r="S31" s="76">
        <f>IF(C31="Yes",'Input data'!$E$47*'Input data'!$B$51*O31,'Input data'!$E$47*'Input data'!$B$49*O31)</f>
        <v>1.6013085333333335</v>
      </c>
      <c r="T31" s="76">
        <f>'Other Maintenance'!$B$94*'Maintenance Costs'!O57</f>
        <v>0.1487139193901858</v>
      </c>
      <c r="U31" s="264">
        <f>'Input data'!$B$112</f>
        <v>2.9565521226700353</v>
      </c>
      <c r="V31" s="240">
        <f t="shared" si="3"/>
        <v>14.826410533171334</v>
      </c>
      <c r="W31" s="76">
        <f>'Input data'!$C$15*'Maintenance Costs'!N57</f>
        <v>9.75</v>
      </c>
      <c r="X31" s="76">
        <f t="shared" si="4"/>
        <v>9.9277814999999983</v>
      </c>
      <c r="Y31" s="76">
        <f>'Input data'!$B$47*'Maintenance Costs'!N57</f>
        <v>0</v>
      </c>
      <c r="Z31" s="76">
        <f>'Other Maintenance'!$B$94*'Maintenance Costs'!N57</f>
        <v>0.74356959695092895</v>
      </c>
      <c r="AA31" s="76">
        <f>('Input data'!$B$96+'Input data'!$B$97)*'Input data'!$B$76</f>
        <v>0.87776744444444454</v>
      </c>
      <c r="AB31" s="240">
        <f t="shared" si="5"/>
        <v>21.299118541395373</v>
      </c>
      <c r="AC31" s="163" t="s">
        <v>905</v>
      </c>
      <c r="AD31" s="311">
        <v>9.5500000000000002E-2</v>
      </c>
      <c r="AE31" s="312">
        <f t="shared" si="6"/>
        <v>4.5499999999999999E-2</v>
      </c>
      <c r="AF31" s="177"/>
      <c r="AG31" s="177"/>
      <c r="AH31" s="177"/>
      <c r="AI31" s="177"/>
      <c r="AJ31" s="177"/>
      <c r="AK31" s="177"/>
      <c r="AL31" s="177"/>
      <c r="AM31" s="177"/>
      <c r="AN31" s="177"/>
      <c r="AO31" s="177"/>
      <c r="AP31" s="177"/>
      <c r="AQ31" s="177"/>
      <c r="AR31" s="177"/>
      <c r="AS31" s="177"/>
      <c r="AT31" s="177"/>
      <c r="AU31" s="177"/>
      <c r="AV31" s="177"/>
      <c r="AW31" s="177"/>
      <c r="AX31" s="177"/>
    </row>
    <row r="32" spans="1:50" s="178" customFormat="1" x14ac:dyDescent="0.2">
      <c r="A32" s="72" t="s">
        <v>230</v>
      </c>
      <c r="B32" s="73">
        <f>VLOOKUP(LEFT(A32,7),'Tariff Schedule Lookup Table'!A$8:D$143,3,FALSE)</f>
        <v>250</v>
      </c>
      <c r="C32" s="236" t="s">
        <v>891</v>
      </c>
      <c r="D32" s="74">
        <v>1</v>
      </c>
      <c r="E32" s="74">
        <v>770</v>
      </c>
      <c r="F32" s="74" t="s">
        <v>355</v>
      </c>
      <c r="G32" s="106">
        <f>VLOOKUP(F32,'Lamp Stock'!A$14:H$48,4,FALSE)</f>
        <v>10.740029999999999</v>
      </c>
      <c r="H32" s="106">
        <f>VLOOKUP(F32,'Lamp Stock'!A$14:G$48,6,FALSE)</f>
        <v>42.258509999999994</v>
      </c>
      <c r="I32" s="106">
        <f>VLOOKUP(F32,'Lamp Stock'!A$14:H$48,8,FALSE)</f>
        <v>21.005123999999999</v>
      </c>
      <c r="J32" s="262">
        <v>0.22</v>
      </c>
      <c r="K32" s="262">
        <v>0.1</v>
      </c>
      <c r="L32" s="262">
        <v>0.2</v>
      </c>
      <c r="M32" s="74">
        <v>4</v>
      </c>
      <c r="N32" s="75">
        <f t="shared" si="0"/>
        <v>0.25</v>
      </c>
      <c r="O32" s="311">
        <v>0.04</v>
      </c>
      <c r="P32" s="265">
        <f>'Input data'!B$92*O32</f>
        <v>6.3531990542222223</v>
      </c>
      <c r="Q32" s="76">
        <f t="shared" si="1"/>
        <v>0.42960119999999996</v>
      </c>
      <c r="R32" s="76">
        <f t="shared" si="2"/>
        <v>1.1782730400000001</v>
      </c>
      <c r="S32" s="76">
        <f>IF(C32="Yes",'Input data'!$E$47*'Input data'!$B$51*O32,'Input data'!$E$47*'Input data'!$B$49*O32)</f>
        <v>10.248374613333333</v>
      </c>
      <c r="T32" s="76">
        <f>'Other Maintenance'!$B$94*'Maintenance Costs'!O161</f>
        <v>0.11897113551214863</v>
      </c>
      <c r="U32" s="264">
        <f>'Input data'!$B$112</f>
        <v>2.9565521226700353</v>
      </c>
      <c r="V32" s="240">
        <f t="shared" si="3"/>
        <v>21.284971165737741</v>
      </c>
      <c r="W32" s="76">
        <f>'Input data'!$C$15*'Maintenance Costs'!N161</f>
        <v>9.75</v>
      </c>
      <c r="X32" s="76">
        <f t="shared" si="4"/>
        <v>7.9362884999999999</v>
      </c>
      <c r="Y32" s="76">
        <f>'Input data'!$B$47*'Maintenance Costs'!N161</f>
        <v>0</v>
      </c>
      <c r="Z32" s="76">
        <f>'Other Maintenance'!$B$94*'Maintenance Costs'!N161</f>
        <v>0.74356959695092895</v>
      </c>
      <c r="AA32" s="76">
        <f>('Input data'!$B$96+'Input data'!$B$97)*'Input data'!$B$76</f>
        <v>0.87776744444444454</v>
      </c>
      <c r="AB32" s="240">
        <f t="shared" si="5"/>
        <v>19.307625541395375</v>
      </c>
      <c r="AC32" s="163" t="str">
        <f>LEFT(A32,3)</f>
        <v>MVA</v>
      </c>
      <c r="AD32" s="311">
        <v>4.4699999999999997E-2</v>
      </c>
      <c r="AE32" s="312">
        <f t="shared" si="6"/>
        <v>4.6999999999999958E-3</v>
      </c>
      <c r="AF32" s="177"/>
      <c r="AG32" s="177"/>
      <c r="AH32" s="177"/>
      <c r="AI32" s="177"/>
      <c r="AJ32" s="177"/>
      <c r="AK32" s="177"/>
      <c r="AL32" s="177"/>
      <c r="AM32" s="177"/>
      <c r="AN32" s="177"/>
      <c r="AO32" s="177"/>
      <c r="AP32" s="177"/>
      <c r="AQ32" s="177"/>
      <c r="AR32" s="177"/>
      <c r="AS32" s="177"/>
      <c r="AT32" s="177"/>
      <c r="AU32" s="177"/>
      <c r="AV32" s="177"/>
      <c r="AW32" s="177"/>
      <c r="AX32" s="177"/>
    </row>
    <row r="33" spans="1:50" s="178" customFormat="1" x14ac:dyDescent="0.2">
      <c r="A33" s="72" t="s">
        <v>227</v>
      </c>
      <c r="B33" s="73">
        <f>VLOOKUP(LEFT(A33,7),'Tariff Schedule Lookup Table'!A$8:D$143,3,FALSE)</f>
        <v>125</v>
      </c>
      <c r="C33" s="236" t="s">
        <v>890</v>
      </c>
      <c r="D33" s="74">
        <v>1</v>
      </c>
      <c r="E33" s="74">
        <v>646</v>
      </c>
      <c r="F33" s="74" t="s">
        <v>344</v>
      </c>
      <c r="G33" s="106">
        <f>VLOOKUP(F33,'Lamp Stock'!A$14:H$48,4,FALSE)</f>
        <v>4.036956</v>
      </c>
      <c r="H33" s="106">
        <f>VLOOKUP(F33,'Lamp Stock'!A$14:G$48,6,FALSE)</f>
        <v>28.819979999999997</v>
      </c>
      <c r="I33" s="106">
        <f>VLOOKUP(F33,'Lamp Stock'!A$14:H$48,8,FALSE)</f>
        <v>21.005123999999999</v>
      </c>
      <c r="J33" s="262">
        <v>0.22</v>
      </c>
      <c r="K33" s="262">
        <v>0.1</v>
      </c>
      <c r="L33" s="262">
        <v>0.2</v>
      </c>
      <c r="M33" s="74">
        <v>4</v>
      </c>
      <c r="N33" s="75">
        <f t="shared" si="0"/>
        <v>0.25</v>
      </c>
      <c r="O33" s="311">
        <v>0.04</v>
      </c>
      <c r="P33" s="265">
        <f>'Input data'!B$92*O33</f>
        <v>6.3531990542222223</v>
      </c>
      <c r="Q33" s="76">
        <f t="shared" si="1"/>
        <v>0.16147824</v>
      </c>
      <c r="R33" s="76">
        <f t="shared" si="2"/>
        <v>1.0707648000000001</v>
      </c>
      <c r="S33" s="76">
        <f>IF(C33="Yes",'Input data'!$E$47*'Input data'!$B$51*O33,'Input data'!$E$47*'Input data'!$B$49*O33)</f>
        <v>1.2810468266666666</v>
      </c>
      <c r="T33" s="76">
        <f>'Other Maintenance'!$B$94*'Maintenance Costs'!O150</f>
        <v>0.11897113551214863</v>
      </c>
      <c r="U33" s="264">
        <f>'Input data'!$B$112</f>
        <v>2.9565521226700353</v>
      </c>
      <c r="V33" s="240">
        <f t="shared" si="3"/>
        <v>11.942012179071074</v>
      </c>
      <c r="W33" s="76">
        <f>'Input data'!$C$15*'Maintenance Costs'!N150</f>
        <v>9.75</v>
      </c>
      <c r="X33" s="76">
        <f t="shared" si="4"/>
        <v>6.2605199999999996</v>
      </c>
      <c r="Y33" s="76">
        <f>'Input data'!$B$47*'Maintenance Costs'!N150</f>
        <v>0</v>
      </c>
      <c r="Z33" s="76">
        <f>'Other Maintenance'!$B$94*'Maintenance Costs'!N150</f>
        <v>0.74356959695092895</v>
      </c>
      <c r="AA33" s="76">
        <f>('Input data'!$B$96+'Input data'!$B$97)*'Input data'!$B$76</f>
        <v>0.87776744444444454</v>
      </c>
      <c r="AB33" s="240">
        <f t="shared" si="5"/>
        <v>17.631857041395374</v>
      </c>
      <c r="AC33" s="163" t="str">
        <f>LEFT(A33,3)</f>
        <v>MVA</v>
      </c>
      <c r="AD33" s="311">
        <v>4.4699999999999997E-2</v>
      </c>
      <c r="AE33" s="312">
        <f t="shared" si="6"/>
        <v>4.6999999999999958E-3</v>
      </c>
      <c r="AF33" s="177"/>
      <c r="AG33" s="177"/>
      <c r="AH33" s="177"/>
      <c r="AI33" s="177"/>
      <c r="AJ33" s="177"/>
      <c r="AK33" s="177"/>
      <c r="AL33" s="177"/>
      <c r="AM33" s="177"/>
      <c r="AN33" s="177"/>
      <c r="AO33" s="177"/>
      <c r="AP33" s="177"/>
      <c r="AQ33" s="177"/>
      <c r="AR33" s="177"/>
      <c r="AS33" s="177"/>
      <c r="AT33" s="177"/>
      <c r="AU33" s="177"/>
      <c r="AV33" s="177"/>
      <c r="AW33" s="177"/>
      <c r="AX33" s="177"/>
    </row>
    <row r="34" spans="1:50" s="178" customFormat="1" x14ac:dyDescent="0.2">
      <c r="A34" s="72" t="s">
        <v>185</v>
      </c>
      <c r="B34" s="73">
        <f>VLOOKUP(LEFT(A34,7),'Tariff Schedule Lookup Table'!A$8:D$143,3,FALSE)</f>
        <v>250</v>
      </c>
      <c r="C34" s="236" t="s">
        <v>891</v>
      </c>
      <c r="D34" s="74">
        <v>1</v>
      </c>
      <c r="E34" s="74">
        <v>642</v>
      </c>
      <c r="F34" s="74" t="s">
        <v>185</v>
      </c>
      <c r="G34" s="106">
        <f>VLOOKUP(F34,'Lamp Stock'!A$14:H$48,4,FALSE)</f>
        <v>47.256132000000001</v>
      </c>
      <c r="H34" s="106">
        <f>VLOOKUP(F34,'Lamp Stock'!A$14:G$48,6,FALSE)</f>
        <v>43.823639999999997</v>
      </c>
      <c r="I34" s="106">
        <f>VLOOKUP(F34,'Lamp Stock'!A$14:H$48,8,FALSE)</f>
        <v>17.011343999999998</v>
      </c>
      <c r="J34" s="262">
        <v>0.12</v>
      </c>
      <c r="K34" s="262">
        <v>0.1</v>
      </c>
      <c r="L34" s="262">
        <v>0.2</v>
      </c>
      <c r="M34" s="74">
        <v>4</v>
      </c>
      <c r="N34" s="75">
        <f t="shared" si="0"/>
        <v>0.25</v>
      </c>
      <c r="O34" s="311">
        <v>0.05</v>
      </c>
      <c r="P34" s="265">
        <f>'Input data'!B$92*O34</f>
        <v>7.9414988177777772</v>
      </c>
      <c r="Q34" s="76">
        <f t="shared" si="1"/>
        <v>2.3628066000000003</v>
      </c>
      <c r="R34" s="76">
        <f t="shared" si="2"/>
        <v>1.2888036</v>
      </c>
      <c r="S34" s="76">
        <f>IF(C34="Yes",'Input data'!$E$47*'Input data'!$B$51*O34,'Input data'!$E$47*'Input data'!$B$49*O34)</f>
        <v>12.810468266666668</v>
      </c>
      <c r="T34" s="76">
        <f>'Other Maintenance'!$B$94*'Maintenance Costs'!O93</f>
        <v>0.11897113551214863</v>
      </c>
      <c r="U34" s="264">
        <f>'Input data'!$B$112</f>
        <v>2.9565521226700353</v>
      </c>
      <c r="V34" s="240">
        <f t="shared" si="3"/>
        <v>27.479100542626629</v>
      </c>
      <c r="W34" s="76">
        <f>'Input data'!$C$15*'Maintenance Costs'!N93</f>
        <v>9.75</v>
      </c>
      <c r="X34" s="76">
        <f t="shared" si="4"/>
        <v>16.066869000000001</v>
      </c>
      <c r="Y34" s="76">
        <f>'Input data'!$B$47*'Maintenance Costs'!N93</f>
        <v>0</v>
      </c>
      <c r="Z34" s="76">
        <f>'Other Maintenance'!$B$94*'Maintenance Costs'!N93</f>
        <v>0.74356959695092895</v>
      </c>
      <c r="AA34" s="76">
        <f>('Input data'!$B$96+'Input data'!$B$97)*'Input data'!$B$76</f>
        <v>0.87776744444444454</v>
      </c>
      <c r="AB34" s="240">
        <f t="shared" si="5"/>
        <v>27.438206041395375</v>
      </c>
      <c r="AC34" s="163" t="s">
        <v>906</v>
      </c>
      <c r="AD34" s="311">
        <v>7.2499999999999995E-2</v>
      </c>
      <c r="AE34" s="312">
        <f t="shared" si="6"/>
        <v>2.2499999999999992E-2</v>
      </c>
      <c r="AF34" s="177"/>
      <c r="AG34" s="177"/>
      <c r="AH34" s="177"/>
      <c r="AI34" s="177"/>
      <c r="AJ34" s="177"/>
      <c r="AK34" s="177"/>
      <c r="AL34" s="177"/>
      <c r="AM34" s="177"/>
      <c r="AN34" s="177"/>
      <c r="AO34" s="177"/>
      <c r="AP34" s="177"/>
      <c r="AQ34" s="177"/>
      <c r="AR34" s="177"/>
      <c r="AS34" s="177"/>
      <c r="AT34" s="177"/>
      <c r="AU34" s="177"/>
      <c r="AV34" s="177"/>
      <c r="AW34" s="177"/>
      <c r="AX34" s="177"/>
    </row>
    <row r="35" spans="1:50" s="178" customFormat="1" x14ac:dyDescent="0.2">
      <c r="A35" s="72" t="s">
        <v>212</v>
      </c>
      <c r="B35" s="73">
        <f>VLOOKUP(LEFT(A35,7),'Tariff Schedule Lookup Table'!A$8:D$143,3,FALSE)</f>
        <v>55</v>
      </c>
      <c r="C35" s="236" t="s">
        <v>890</v>
      </c>
      <c r="D35" s="74">
        <v>1</v>
      </c>
      <c r="E35" s="74">
        <v>413</v>
      </c>
      <c r="F35" s="74" t="s">
        <v>314</v>
      </c>
      <c r="G35" s="106">
        <f>VLOOKUP(F35,'Lamp Stock'!A$14:H$48,4,FALSE)</f>
        <v>30.00732</v>
      </c>
      <c r="H35" s="106">
        <f>VLOOKUP(F35,'Lamp Stock'!A$14:G$48,6,FALSE)</f>
        <v>72.319800000000001</v>
      </c>
      <c r="I35" s="106">
        <f>VLOOKUP(F35,'Lamp Stock'!A$14:H$48,8,FALSE)</f>
        <v>21.005123999999999</v>
      </c>
      <c r="J35" s="262">
        <v>0.25</v>
      </c>
      <c r="K35" s="262">
        <v>0.1</v>
      </c>
      <c r="L35" s="262">
        <v>0.2</v>
      </c>
      <c r="M35" s="74">
        <v>4</v>
      </c>
      <c r="N35" s="75">
        <f t="shared" si="0"/>
        <v>0.25</v>
      </c>
      <c r="O35" s="311">
        <v>0.06</v>
      </c>
      <c r="P35" s="265">
        <f>'Input data'!B$92*O35</f>
        <v>9.529798581333333</v>
      </c>
      <c r="Q35" s="76">
        <f t="shared" si="1"/>
        <v>1.8004392</v>
      </c>
      <c r="R35" s="76">
        <f t="shared" si="2"/>
        <v>2.1281450399999997</v>
      </c>
      <c r="S35" s="76">
        <f>IF(C35="Yes",'Input data'!$E$47*'Input data'!$B$51*O35,'Input data'!$E$47*'Input data'!$B$49*O35)</f>
        <v>1.9215702399999999</v>
      </c>
      <c r="T35" s="76">
        <f>'Other Maintenance'!$B$94*'Maintenance Costs'!O120</f>
        <v>0.11897113551214863</v>
      </c>
      <c r="U35" s="264">
        <f>'Input data'!$B$112</f>
        <v>2.9565521226700353</v>
      </c>
      <c r="V35" s="240">
        <f t="shared" si="3"/>
        <v>18.455476319515515</v>
      </c>
      <c r="W35" s="76">
        <f>'Input data'!$C$15*'Maintenance Costs'!N120</f>
        <v>9.75</v>
      </c>
      <c r="X35" s="76">
        <f t="shared" si="4"/>
        <v>12.753111000000001</v>
      </c>
      <c r="Y35" s="76">
        <f>'Input data'!$B$47*'Maintenance Costs'!N120</f>
        <v>0</v>
      </c>
      <c r="Z35" s="76">
        <f>'Other Maintenance'!$B$94*'Maintenance Costs'!N120</f>
        <v>0.74356959695092895</v>
      </c>
      <c r="AA35" s="76">
        <f>('Input data'!$B$96+'Input data'!$B$97)*'Input data'!$B$76</f>
        <v>0.87776744444444454</v>
      </c>
      <c r="AB35" s="240">
        <f t="shared" si="5"/>
        <v>24.124448041395375</v>
      </c>
      <c r="AC35" s="163" t="str">
        <f>LEFT(A35,3)</f>
        <v>LPS</v>
      </c>
      <c r="AD35" s="311">
        <v>0.1076</v>
      </c>
      <c r="AE35" s="312">
        <f t="shared" si="6"/>
        <v>4.7600000000000003E-2</v>
      </c>
      <c r="AF35" s="177"/>
      <c r="AG35" s="177"/>
      <c r="AH35" s="177"/>
      <c r="AI35" s="177"/>
      <c r="AJ35" s="177"/>
      <c r="AK35" s="177"/>
      <c r="AL35" s="177"/>
      <c r="AM35" s="177"/>
      <c r="AN35" s="177"/>
      <c r="AO35" s="177"/>
      <c r="AP35" s="177"/>
      <c r="AQ35" s="177"/>
      <c r="AR35" s="177"/>
      <c r="AS35" s="177"/>
      <c r="AT35" s="177"/>
      <c r="AU35" s="177"/>
      <c r="AV35" s="177"/>
      <c r="AW35" s="177"/>
      <c r="AX35" s="177"/>
    </row>
    <row r="36" spans="1:50" s="178" customFormat="1" x14ac:dyDescent="0.2">
      <c r="A36" s="72" t="s">
        <v>156</v>
      </c>
      <c r="B36" s="73">
        <f>VLOOKUP(LEFT(A36,7),'Tariff Schedule Lookup Table'!A$8:D$143,3,FALSE)</f>
        <v>20</v>
      </c>
      <c r="C36" s="236" t="s">
        <v>890</v>
      </c>
      <c r="D36" s="74">
        <v>1</v>
      </c>
      <c r="E36" s="74">
        <v>373</v>
      </c>
      <c r="F36" s="74" t="s">
        <v>240</v>
      </c>
      <c r="G36" s="106">
        <f>VLOOKUP(F36,'Lamp Stock'!A$14:H$48,4,FALSE)</f>
        <v>4.1017199999999994</v>
      </c>
      <c r="H36" s="106">
        <f>VLOOKUP(F36,'Lamp Stock'!A$14:G$48,6,FALSE)</f>
        <v>25.319593739999998</v>
      </c>
      <c r="I36" s="106">
        <f>VLOOKUP(F36,'Lamp Stock'!A$14:H$48,8,FALSE)</f>
        <v>0.47493599999999997</v>
      </c>
      <c r="J36" s="262">
        <v>0.35</v>
      </c>
      <c r="K36" s="262">
        <v>0.1</v>
      </c>
      <c r="L36" s="262">
        <v>0.2</v>
      </c>
      <c r="M36" s="74">
        <v>4</v>
      </c>
      <c r="N36" s="75">
        <f t="shared" si="0"/>
        <v>0.25</v>
      </c>
      <c r="O36" s="311">
        <v>0.06</v>
      </c>
      <c r="P36" s="265">
        <f>'Input data'!B$92*O36</f>
        <v>9.529798581333333</v>
      </c>
      <c r="Q36" s="76">
        <f t="shared" si="1"/>
        <v>0.24610319999999997</v>
      </c>
      <c r="R36" s="76">
        <f t="shared" si="2"/>
        <v>0.33233128487999997</v>
      </c>
      <c r="S36" s="76">
        <f>IF(C36="Yes",'Input data'!$E$47*'Input data'!$B$51*O36,'Input data'!$E$47*'Input data'!$B$49*O36)</f>
        <v>1.9215702399999999</v>
      </c>
      <c r="T36" s="76">
        <f>'Other Maintenance'!$B$94*'Maintenance Costs'!O24</f>
        <v>0.1487139193901858</v>
      </c>
      <c r="U36" s="264">
        <f>'Input data'!$B$112</f>
        <v>2.9565521226700353</v>
      </c>
      <c r="V36" s="240">
        <f t="shared" si="3"/>
        <v>15.135069348273554</v>
      </c>
      <c r="W36" s="76">
        <f>'Input data'!$C$15*'Maintenance Costs'!N24</f>
        <v>9.75</v>
      </c>
      <c r="X36" s="76">
        <f t="shared" si="4"/>
        <v>1.1441639999999997</v>
      </c>
      <c r="Y36" s="76">
        <f>'Input data'!$B$47*'Maintenance Costs'!N24</f>
        <v>0</v>
      </c>
      <c r="Z36" s="76">
        <f>'Other Maintenance'!$B$94*'Maintenance Costs'!N24</f>
        <v>0.74356959695092895</v>
      </c>
      <c r="AA36" s="76">
        <f>('Input data'!$B$96+'Input data'!$B$97)*'Input data'!$B$76</f>
        <v>0.87776744444444454</v>
      </c>
      <c r="AB36" s="240">
        <f t="shared" si="5"/>
        <v>12.515501041395373</v>
      </c>
      <c r="AC36" s="163" t="str">
        <f>LEFT(A36,3)</f>
        <v>FLU</v>
      </c>
      <c r="AD36" s="311">
        <v>7.6960402044883455E-2</v>
      </c>
      <c r="AE36" s="312">
        <f t="shared" si="6"/>
        <v>1.6960402044883457E-2</v>
      </c>
      <c r="AF36" s="177"/>
      <c r="AG36" s="177"/>
      <c r="AH36" s="177"/>
      <c r="AI36" s="177"/>
      <c r="AJ36" s="177"/>
      <c r="AK36" s="177"/>
      <c r="AL36" s="177"/>
      <c r="AM36" s="177"/>
      <c r="AN36" s="177"/>
      <c r="AO36" s="177"/>
      <c r="AP36" s="177"/>
      <c r="AQ36" s="177"/>
      <c r="AR36" s="177"/>
      <c r="AS36" s="177"/>
      <c r="AT36" s="177"/>
      <c r="AU36" s="177"/>
      <c r="AV36" s="177"/>
      <c r="AW36" s="177"/>
      <c r="AX36" s="177"/>
    </row>
    <row r="37" spans="1:50" s="178" customFormat="1" x14ac:dyDescent="0.2">
      <c r="A37" s="72" t="s">
        <v>157</v>
      </c>
      <c r="B37" s="73" t="str">
        <f>VLOOKUP(LEFT(A37,7),'Tariff Schedule Lookup Table'!A$8:D$143,3,FALSE)</f>
        <v>Twin 20</v>
      </c>
      <c r="C37" s="236" t="s">
        <v>890</v>
      </c>
      <c r="D37" s="74">
        <v>2</v>
      </c>
      <c r="E37" s="74">
        <v>342</v>
      </c>
      <c r="F37" s="74" t="s">
        <v>240</v>
      </c>
      <c r="G37" s="106">
        <f>VLOOKUP(F37,'Lamp Stock'!A$14:H$48,4,FALSE)</f>
        <v>4.1017199999999994</v>
      </c>
      <c r="H37" s="106">
        <f>VLOOKUP(F37,'Lamp Stock'!A$14:G$48,6,FALSE)</f>
        <v>25.319593739999998</v>
      </c>
      <c r="I37" s="106">
        <f>VLOOKUP(F37,'Lamp Stock'!A$14:H$48,8,FALSE)</f>
        <v>0.47493599999999997</v>
      </c>
      <c r="J37" s="262">
        <v>0.35</v>
      </c>
      <c r="K37" s="262">
        <v>0.1</v>
      </c>
      <c r="L37" s="262">
        <v>0.2</v>
      </c>
      <c r="M37" s="74">
        <v>4</v>
      </c>
      <c r="N37" s="75">
        <f t="shared" si="0"/>
        <v>0.25</v>
      </c>
      <c r="O37" s="311">
        <v>0.06</v>
      </c>
      <c r="P37" s="265">
        <f>'Input data'!B$92*O37</f>
        <v>9.529798581333333</v>
      </c>
      <c r="Q37" s="76">
        <f t="shared" si="1"/>
        <v>0.49220639999999993</v>
      </c>
      <c r="R37" s="76">
        <f t="shared" si="2"/>
        <v>0.33233128487999997</v>
      </c>
      <c r="S37" s="76">
        <f>IF(C37="Yes",'Input data'!$E$47*'Input data'!$B$51*O37,'Input data'!$E$47*'Input data'!$B$49*O37)</f>
        <v>1.9215702399999999</v>
      </c>
      <c r="T37" s="76">
        <f>'Other Maintenance'!$B$94*'Maintenance Costs'!O25</f>
        <v>0.11897113551214863</v>
      </c>
      <c r="U37" s="264">
        <f>'Input data'!$B$112</f>
        <v>2.9565521226700353</v>
      </c>
      <c r="V37" s="240">
        <f t="shared" si="3"/>
        <v>15.351429764395519</v>
      </c>
      <c r="W37" s="76">
        <f>'Input data'!$C$15*'Maintenance Costs'!N25</f>
        <v>9.75</v>
      </c>
      <c r="X37" s="76">
        <f t="shared" si="4"/>
        <v>2.2883279999999995</v>
      </c>
      <c r="Y37" s="76">
        <f>'Input data'!$B$47*'Maintenance Costs'!N25</f>
        <v>0</v>
      </c>
      <c r="Z37" s="76">
        <f>'Other Maintenance'!$B$94*'Maintenance Costs'!N25</f>
        <v>0.74356959695092895</v>
      </c>
      <c r="AA37" s="76">
        <f>('Input data'!$B$96+'Input data'!$B$97)*'Input data'!$B$76</f>
        <v>0.87776744444444454</v>
      </c>
      <c r="AB37" s="240">
        <f t="shared" si="5"/>
        <v>13.659665041395373</v>
      </c>
      <c r="AC37" s="163" t="str">
        <f>LEFT(A37,3)</f>
        <v>FLU</v>
      </c>
      <c r="AD37" s="311">
        <v>7.6960402044883455E-2</v>
      </c>
      <c r="AE37" s="312">
        <f t="shared" si="6"/>
        <v>1.6960402044883457E-2</v>
      </c>
      <c r="AF37" s="177"/>
      <c r="AG37" s="177"/>
      <c r="AH37" s="177"/>
      <c r="AI37" s="177"/>
      <c r="AJ37" s="177"/>
      <c r="AK37" s="177"/>
      <c r="AL37" s="177"/>
      <c r="AM37" s="177"/>
      <c r="AN37" s="177"/>
      <c r="AO37" s="177"/>
      <c r="AP37" s="177"/>
      <c r="AQ37" s="177"/>
      <c r="AR37" s="177"/>
      <c r="AS37" s="177"/>
      <c r="AT37" s="177"/>
      <c r="AU37" s="177"/>
      <c r="AV37" s="177"/>
      <c r="AW37" s="177"/>
      <c r="AX37" s="177"/>
    </row>
    <row r="38" spans="1:50" s="178" customFormat="1" x14ac:dyDescent="0.2">
      <c r="A38" s="72" t="s">
        <v>213</v>
      </c>
      <c r="B38" s="73" t="str">
        <f>VLOOKUP(LEFT(A38,7),'Tariff Schedule Lookup Table'!A$8:D$143,3,FALSE)</f>
        <v>90/100</v>
      </c>
      <c r="C38" s="236" t="s">
        <v>890</v>
      </c>
      <c r="D38" s="74">
        <v>1</v>
      </c>
      <c r="E38" s="74">
        <v>275</v>
      </c>
      <c r="F38" s="74" t="s">
        <v>315</v>
      </c>
      <c r="G38" s="106">
        <f>VLOOKUP(F38,'Lamp Stock'!A$14:H$48,4,FALSE)</f>
        <v>34.055070000000001</v>
      </c>
      <c r="H38" s="106">
        <f>VLOOKUP(F38,'Lamp Stock'!A$14:G$48,6,FALSE)</f>
        <v>74.4786</v>
      </c>
      <c r="I38" s="106">
        <f>VLOOKUP(F38,'Lamp Stock'!A$14:H$48,8,FALSE)</f>
        <v>21.005123999999999</v>
      </c>
      <c r="J38" s="262">
        <v>0.25</v>
      </c>
      <c r="K38" s="262">
        <v>0.1</v>
      </c>
      <c r="L38" s="262">
        <v>0.2</v>
      </c>
      <c r="M38" s="74">
        <v>4</v>
      </c>
      <c r="N38" s="75">
        <f t="shared" si="0"/>
        <v>0.25</v>
      </c>
      <c r="O38" s="311">
        <v>0.06</v>
      </c>
      <c r="P38" s="265">
        <f>'Input data'!B$92*O38</f>
        <v>9.529798581333333</v>
      </c>
      <c r="Q38" s="76">
        <f t="shared" si="1"/>
        <v>2.0433042000000001</v>
      </c>
      <c r="R38" s="76">
        <f t="shared" si="2"/>
        <v>2.1540506399999999</v>
      </c>
      <c r="S38" s="76">
        <f>IF(C38="Yes",'Input data'!$E$47*'Input data'!$B$51*O38,'Input data'!$E$47*'Input data'!$B$49*O38)</f>
        <v>1.9215702399999999</v>
      </c>
      <c r="T38" s="76">
        <f>'Other Maintenance'!$B$94*'Maintenance Costs'!O121</f>
        <v>0.11897113551214863</v>
      </c>
      <c r="U38" s="264">
        <f>'Input data'!$B$112</f>
        <v>2.9565521226700353</v>
      </c>
      <c r="V38" s="240">
        <f t="shared" si="3"/>
        <v>18.724246919515515</v>
      </c>
      <c r="W38" s="76">
        <f>'Input data'!$C$15*'Maintenance Costs'!N121</f>
        <v>9.75</v>
      </c>
      <c r="X38" s="76">
        <f t="shared" si="4"/>
        <v>13.765048499999999</v>
      </c>
      <c r="Y38" s="76">
        <f>'Input data'!$B$47*'Maintenance Costs'!N121</f>
        <v>0</v>
      </c>
      <c r="Z38" s="76">
        <f>'Other Maintenance'!$B$94*'Maintenance Costs'!N121</f>
        <v>0.74356959695092895</v>
      </c>
      <c r="AA38" s="76">
        <f>('Input data'!$B$96+'Input data'!$B$97)*'Input data'!$B$76</f>
        <v>0.87776744444444454</v>
      </c>
      <c r="AB38" s="240">
        <f t="shared" si="5"/>
        <v>25.136385541395374</v>
      </c>
      <c r="AC38" s="163" t="str">
        <f>LEFT(A38,3)</f>
        <v>LPS</v>
      </c>
      <c r="AD38" s="311">
        <v>0.1076</v>
      </c>
      <c r="AE38" s="312">
        <f t="shared" si="6"/>
        <v>4.7600000000000003E-2</v>
      </c>
      <c r="AF38" s="177"/>
      <c r="AG38" s="177"/>
      <c r="AH38" s="177"/>
      <c r="AI38" s="177"/>
      <c r="AJ38" s="177"/>
      <c r="AK38" s="177"/>
      <c r="AL38" s="177"/>
      <c r="AM38" s="177"/>
      <c r="AN38" s="177"/>
      <c r="AO38" s="177"/>
      <c r="AP38" s="177"/>
      <c r="AQ38" s="177"/>
      <c r="AR38" s="177"/>
      <c r="AS38" s="177"/>
      <c r="AT38" s="177"/>
      <c r="AU38" s="177"/>
      <c r="AV38" s="177"/>
      <c r="AW38" s="177"/>
      <c r="AX38" s="177"/>
    </row>
    <row r="39" spans="1:50" s="178" customFormat="1" x14ac:dyDescent="0.2">
      <c r="A39" s="72" t="s">
        <v>182</v>
      </c>
      <c r="B39" s="73">
        <f>VLOOKUP(LEFT(A39,7),'Tariff Schedule Lookup Table'!A$8:D$143,3,FALSE)</f>
        <v>150</v>
      </c>
      <c r="C39" s="236" t="s">
        <v>891</v>
      </c>
      <c r="D39" s="74">
        <v>1</v>
      </c>
      <c r="E39" s="74">
        <v>222</v>
      </c>
      <c r="F39" s="74" t="s">
        <v>182</v>
      </c>
      <c r="G39" s="106">
        <f>VLOOKUP(F39,'Lamp Stock'!A$14:H$48,4,FALSE)</f>
        <v>45.270035999999998</v>
      </c>
      <c r="H39" s="106">
        <f>VLOOKUP(F39,'Lamp Stock'!A$14:G$48,6,FALSE)</f>
        <v>68.649839999999998</v>
      </c>
      <c r="I39" s="106">
        <f>VLOOKUP(F39,'Lamp Stock'!A$14:H$48,8,FALSE)</f>
        <v>17.011343999999998</v>
      </c>
      <c r="J39" s="262">
        <v>0.12</v>
      </c>
      <c r="K39" s="262">
        <v>0.1</v>
      </c>
      <c r="L39" s="262">
        <v>0.2</v>
      </c>
      <c r="M39" s="74">
        <v>4</v>
      </c>
      <c r="N39" s="75">
        <f t="shared" si="0"/>
        <v>0.25</v>
      </c>
      <c r="O39" s="311">
        <v>0.05</v>
      </c>
      <c r="P39" s="265">
        <f>'Input data'!B$92*O39</f>
        <v>7.9414988177777772</v>
      </c>
      <c r="Q39" s="76">
        <f t="shared" si="1"/>
        <v>2.2635017999999998</v>
      </c>
      <c r="R39" s="76">
        <f t="shared" si="2"/>
        <v>1.5370656</v>
      </c>
      <c r="S39" s="76">
        <f>IF(C39="Yes",'Input data'!$E$47*'Input data'!$B$51*O39,'Input data'!$E$47*'Input data'!$B$49*O39)</f>
        <v>12.810468266666668</v>
      </c>
      <c r="T39" s="76">
        <f>'Other Maintenance'!$B$94*'Maintenance Costs'!O91</f>
        <v>0.11897113551214863</v>
      </c>
      <c r="U39" s="264">
        <f>'Input data'!$B$112</f>
        <v>2.9565521226700353</v>
      </c>
      <c r="V39" s="240">
        <f t="shared" si="3"/>
        <v>27.628057742626627</v>
      </c>
      <c r="W39" s="76">
        <f>'Input data'!$C$15*'Maintenance Costs'!N91</f>
        <v>9.75</v>
      </c>
      <c r="X39" s="76">
        <f t="shared" si="4"/>
        <v>15.570345</v>
      </c>
      <c r="Y39" s="76">
        <f>'Input data'!$B$47*'Maintenance Costs'!N91</f>
        <v>0</v>
      </c>
      <c r="Z39" s="76">
        <f>'Other Maintenance'!$B$94*'Maintenance Costs'!N91</f>
        <v>0.74356959695092895</v>
      </c>
      <c r="AA39" s="76">
        <f>('Input data'!$B$96+'Input data'!$B$97)*'Input data'!$B$76</f>
        <v>0.87776744444444454</v>
      </c>
      <c r="AB39" s="240">
        <f t="shared" si="5"/>
        <v>26.941682041395374</v>
      </c>
      <c r="AC39" s="163" t="s">
        <v>906</v>
      </c>
      <c r="AD39" s="311">
        <v>7.2499999999999995E-2</v>
      </c>
      <c r="AE39" s="312">
        <f t="shared" si="6"/>
        <v>2.2499999999999992E-2</v>
      </c>
      <c r="AF39" s="177"/>
      <c r="AG39" s="177"/>
      <c r="AH39" s="177"/>
      <c r="AI39" s="177"/>
      <c r="AJ39" s="177"/>
      <c r="AK39" s="177"/>
      <c r="AL39" s="177"/>
      <c r="AM39" s="177"/>
      <c r="AN39" s="177"/>
      <c r="AO39" s="177"/>
      <c r="AP39" s="177"/>
      <c r="AQ39" s="177"/>
      <c r="AR39" s="177"/>
      <c r="AS39" s="177"/>
      <c r="AT39" s="177"/>
      <c r="AU39" s="177"/>
      <c r="AV39" s="177"/>
      <c r="AW39" s="177"/>
      <c r="AX39" s="177"/>
    </row>
    <row r="40" spans="1:50" s="178" customFormat="1" x14ac:dyDescent="0.2">
      <c r="A40" s="72" t="s">
        <v>189</v>
      </c>
      <c r="B40" s="73">
        <f>VLOOKUP(LEFT(A40,7),'Tariff Schedule Lookup Table'!A$8:D$143,3,FALSE)</f>
        <v>360</v>
      </c>
      <c r="C40" s="236" t="s">
        <v>891</v>
      </c>
      <c r="D40" s="74">
        <v>1</v>
      </c>
      <c r="E40" s="74">
        <v>189</v>
      </c>
      <c r="F40" s="74" t="s">
        <v>285</v>
      </c>
      <c r="G40" s="106">
        <f>VLOOKUP(F40,'Lamp Stock'!A$14:H$48,4,FALSE)</f>
        <v>28.701245999999998</v>
      </c>
      <c r="H40" s="106">
        <f>VLOOKUP(F40,'Lamp Stock'!A$14:G$48,6,FALSE)</f>
        <v>65.541167999999999</v>
      </c>
      <c r="I40" s="106">
        <f>VLOOKUP(F40,'Lamp Stock'!A$14:H$48,8,FALSE)</f>
        <v>17.011343999999998</v>
      </c>
      <c r="J40" s="262">
        <v>0.2</v>
      </c>
      <c r="K40" s="262">
        <v>0.1</v>
      </c>
      <c r="L40" s="262">
        <v>0.2</v>
      </c>
      <c r="M40" s="74">
        <v>4</v>
      </c>
      <c r="N40" s="75">
        <f t="shared" si="0"/>
        <v>0.25</v>
      </c>
      <c r="O40" s="311">
        <v>0.05</v>
      </c>
      <c r="P40" s="265">
        <f>'Input data'!B$92*O40</f>
        <v>7.9414988177777772</v>
      </c>
      <c r="Q40" s="76">
        <f t="shared" si="1"/>
        <v>1.4350623</v>
      </c>
      <c r="R40" s="76">
        <f t="shared" si="2"/>
        <v>1.50597888</v>
      </c>
      <c r="S40" s="76">
        <f>IF(C40="Yes",'Input data'!$E$47*'Input data'!$B$51*O40,'Input data'!$E$47*'Input data'!$B$49*O40)</f>
        <v>12.810468266666668</v>
      </c>
      <c r="T40" s="76">
        <f>'Other Maintenance'!$B$94*'Maintenance Costs'!O72</f>
        <v>1.6655958971700809E-2</v>
      </c>
      <c r="U40" s="264">
        <f>'Input data'!$B$112</f>
        <v>2.9565521226700353</v>
      </c>
      <c r="V40" s="240">
        <f t="shared" si="3"/>
        <v>26.666216346086181</v>
      </c>
      <c r="W40" s="76">
        <f>'Input data'!$C$15*'Maintenance Costs'!N72</f>
        <v>9.75</v>
      </c>
      <c r="X40" s="76">
        <f t="shared" si="4"/>
        <v>11.428147499999998</v>
      </c>
      <c r="Y40" s="76">
        <f>'Input data'!$B$47*'Maintenance Costs'!N72</f>
        <v>0</v>
      </c>
      <c r="Z40" s="76">
        <f>'Other Maintenance'!$B$94*'Maintenance Costs'!N72</f>
        <v>0.74356959695092895</v>
      </c>
      <c r="AA40" s="76">
        <f>('Input data'!$B$96+'Input data'!$B$97)*'Input data'!$B$76</f>
        <v>0.87776744444444454</v>
      </c>
      <c r="AB40" s="240">
        <f t="shared" si="5"/>
        <v>22.799484541395373</v>
      </c>
      <c r="AC40" s="163" t="s">
        <v>905</v>
      </c>
      <c r="AD40" s="311">
        <v>9.5500000000000002E-2</v>
      </c>
      <c r="AE40" s="312">
        <f t="shared" si="6"/>
        <v>4.5499999999999999E-2</v>
      </c>
      <c r="AF40" s="177"/>
      <c r="AG40" s="177"/>
      <c r="AH40" s="177"/>
      <c r="AI40" s="177"/>
      <c r="AJ40" s="177"/>
      <c r="AK40" s="177"/>
      <c r="AL40" s="177"/>
      <c r="AM40" s="177"/>
      <c r="AN40" s="177"/>
      <c r="AO40" s="177"/>
      <c r="AP40" s="177"/>
      <c r="AQ40" s="177"/>
      <c r="AR40" s="177"/>
      <c r="AS40" s="177"/>
      <c r="AT40" s="177"/>
      <c r="AU40" s="177"/>
      <c r="AV40" s="177"/>
      <c r="AW40" s="177"/>
      <c r="AX40" s="177"/>
    </row>
    <row r="41" spans="1:50" s="178" customFormat="1" x14ac:dyDescent="0.2">
      <c r="A41" s="72" t="s">
        <v>221</v>
      </c>
      <c r="B41" s="73">
        <f>VLOOKUP(LEFT(A41,7),'Tariff Schedule Lookup Table'!A$8:D$143,3,FALSE)</f>
        <v>250</v>
      </c>
      <c r="C41" s="236" t="s">
        <v>891</v>
      </c>
      <c r="D41" s="74">
        <v>1</v>
      </c>
      <c r="E41" s="74">
        <v>180</v>
      </c>
      <c r="F41" s="74" t="s">
        <v>329</v>
      </c>
      <c r="G41" s="106">
        <f>VLOOKUP(F41,'Lamp Stock'!A$14:H$48,4,FALSE)</f>
        <v>40.952435999999992</v>
      </c>
      <c r="H41" s="106">
        <f>VLOOKUP(F41,'Lamp Stock'!A$14:G$48,6,FALSE)</f>
        <v>54.833519999999993</v>
      </c>
      <c r="I41" s="106">
        <f>VLOOKUP(F41,'Lamp Stock'!A$14:H$48,8,FALSE)</f>
        <v>17.011343999999998</v>
      </c>
      <c r="J41" s="262">
        <v>0.28000000000000003</v>
      </c>
      <c r="K41" s="262">
        <v>0.1</v>
      </c>
      <c r="L41" s="262">
        <v>0.2</v>
      </c>
      <c r="M41" s="74">
        <v>4</v>
      </c>
      <c r="N41" s="75">
        <f t="shared" si="0"/>
        <v>0.25</v>
      </c>
      <c r="O41" s="311">
        <v>0.04</v>
      </c>
      <c r="P41" s="265">
        <f>'Input data'!B$92*O41</f>
        <v>6.3531990542222223</v>
      </c>
      <c r="Q41" s="76">
        <f t="shared" si="1"/>
        <v>1.6380974399999997</v>
      </c>
      <c r="R41" s="76">
        <f t="shared" si="2"/>
        <v>1.11912192</v>
      </c>
      <c r="S41" s="76">
        <f>IF(C41="Yes",'Input data'!$E$47*'Input data'!$B$51*O41,'Input data'!$E$47*'Input data'!$B$49*O41)</f>
        <v>10.248374613333333</v>
      </c>
      <c r="T41" s="76">
        <f>'Other Maintenance'!$B$94*'Maintenance Costs'!O135</f>
        <v>1.6655958971700809E-2</v>
      </c>
      <c r="U41" s="264">
        <f>'Input data'!$B$112</f>
        <v>2.9565521226700353</v>
      </c>
      <c r="V41" s="240">
        <f t="shared" si="3"/>
        <v>22.332001109197293</v>
      </c>
      <c r="W41" s="76">
        <f>'Input data'!$C$15*'Maintenance Costs'!N135</f>
        <v>9.75</v>
      </c>
      <c r="X41" s="76">
        <f t="shared" si="4"/>
        <v>14.490944999999996</v>
      </c>
      <c r="Y41" s="76">
        <f>'Input data'!$B$47*'Maintenance Costs'!N135</f>
        <v>0</v>
      </c>
      <c r="Z41" s="76">
        <f>'Other Maintenance'!$B$94*'Maintenance Costs'!N135</f>
        <v>0.74356959695092895</v>
      </c>
      <c r="AA41" s="76">
        <f>('Input data'!$B$96+'Input data'!$B$97)*'Input data'!$B$76</f>
        <v>0.87776744444444454</v>
      </c>
      <c r="AB41" s="240">
        <f t="shared" si="5"/>
        <v>25.862282041395371</v>
      </c>
      <c r="AC41" s="163" t="str">
        <f t="shared" ref="AC41:AC46" si="7">LEFT(A41,3)</f>
        <v>MHR</v>
      </c>
      <c r="AD41" s="311">
        <v>5.6500000000000002E-2</v>
      </c>
      <c r="AE41" s="312">
        <f t="shared" si="6"/>
        <v>1.6500000000000001E-2</v>
      </c>
      <c r="AF41" s="177"/>
      <c r="AG41" s="177"/>
      <c r="AH41" s="177"/>
      <c r="AI41" s="177"/>
      <c r="AJ41" s="177"/>
      <c r="AK41" s="177"/>
      <c r="AL41" s="177"/>
      <c r="AM41" s="177"/>
      <c r="AN41" s="177"/>
      <c r="AO41" s="177"/>
      <c r="AP41" s="177"/>
      <c r="AQ41" s="177"/>
      <c r="AR41" s="177"/>
      <c r="AS41" s="177"/>
      <c r="AT41" s="177"/>
      <c r="AU41" s="177"/>
      <c r="AV41" s="177"/>
      <c r="AW41" s="177"/>
      <c r="AX41" s="177"/>
    </row>
    <row r="42" spans="1:50" s="178" customFormat="1" x14ac:dyDescent="0.2">
      <c r="A42" s="72" t="s">
        <v>215</v>
      </c>
      <c r="B42" s="73">
        <f>VLOOKUP(LEFT(A42,7),'Tariff Schedule Lookup Table'!A$8:D$143,3,FALSE)</f>
        <v>150</v>
      </c>
      <c r="C42" s="236" t="s">
        <v>891</v>
      </c>
      <c r="D42" s="74">
        <v>1</v>
      </c>
      <c r="E42" s="74">
        <v>177</v>
      </c>
      <c r="F42" s="74" t="s">
        <v>316</v>
      </c>
      <c r="G42" s="106">
        <f>VLOOKUP(F42,'Lamp Stock'!A$14:H$48,4,FALSE)</f>
        <v>38.3187</v>
      </c>
      <c r="H42" s="106">
        <f>VLOOKUP(F42,'Lamp Stock'!A$14:G$48,6,FALSE)</f>
        <v>79.551779999999994</v>
      </c>
      <c r="I42" s="106">
        <f>VLOOKUP(F42,'Lamp Stock'!A$14:H$48,8,FALSE)</f>
        <v>21.005123999999999</v>
      </c>
      <c r="J42" s="262">
        <v>0.25</v>
      </c>
      <c r="K42" s="262">
        <v>0.1</v>
      </c>
      <c r="L42" s="262">
        <v>0.2</v>
      </c>
      <c r="M42" s="74">
        <v>4</v>
      </c>
      <c r="N42" s="75">
        <f t="shared" si="0"/>
        <v>0.25</v>
      </c>
      <c r="O42" s="311">
        <v>0.06</v>
      </c>
      <c r="P42" s="265">
        <f>'Input data'!B$92*O42</f>
        <v>9.529798581333333</v>
      </c>
      <c r="Q42" s="76">
        <f t="shared" si="1"/>
        <v>2.2991220000000001</v>
      </c>
      <c r="R42" s="76">
        <f t="shared" si="2"/>
        <v>2.2149288</v>
      </c>
      <c r="S42" s="76">
        <f>IF(C42="Yes",'Input data'!$E$47*'Input data'!$B$51*O42,'Input data'!$E$47*'Input data'!$B$49*O42)</f>
        <v>15.372561919999999</v>
      </c>
      <c r="T42" s="76">
        <f>'Other Maintenance'!$B$94*'Maintenance Costs'!O123</f>
        <v>0.11897113551214863</v>
      </c>
      <c r="U42" s="264">
        <f>'Input data'!$B$112</f>
        <v>2.9565521226700353</v>
      </c>
      <c r="V42" s="240">
        <f t="shared" si="3"/>
        <v>32.491934559515514</v>
      </c>
      <c r="W42" s="76">
        <f>'Input data'!$C$15*'Maintenance Costs'!N123</f>
        <v>9.75</v>
      </c>
      <c r="X42" s="76">
        <f t="shared" si="4"/>
        <v>14.830956</v>
      </c>
      <c r="Y42" s="76">
        <f>'Input data'!$B$47*'Maintenance Costs'!N123</f>
        <v>0</v>
      </c>
      <c r="Z42" s="76">
        <f>'Other Maintenance'!$B$94*'Maintenance Costs'!N123</f>
        <v>0.74356959695092895</v>
      </c>
      <c r="AA42" s="76">
        <f>('Input data'!$B$96+'Input data'!$B$97)*'Input data'!$B$76</f>
        <v>0.87776744444444454</v>
      </c>
      <c r="AB42" s="240">
        <f t="shared" si="5"/>
        <v>26.202293041395375</v>
      </c>
      <c r="AC42" s="163" t="str">
        <f t="shared" si="7"/>
        <v>LPS</v>
      </c>
      <c r="AD42" s="311">
        <v>0.1076</v>
      </c>
      <c r="AE42" s="312">
        <f t="shared" si="6"/>
        <v>4.7600000000000003E-2</v>
      </c>
      <c r="AF42" s="177"/>
      <c r="AG42" s="177"/>
      <c r="AH42" s="177"/>
      <c r="AI42" s="177"/>
      <c r="AJ42" s="177"/>
      <c r="AK42" s="177"/>
      <c r="AL42" s="177"/>
      <c r="AM42" s="177"/>
      <c r="AN42" s="177"/>
      <c r="AO42" s="177"/>
      <c r="AP42" s="177"/>
      <c r="AQ42" s="177"/>
      <c r="AR42" s="177"/>
      <c r="AS42" s="177"/>
      <c r="AT42" s="177"/>
      <c r="AU42" s="177"/>
      <c r="AV42" s="177"/>
      <c r="AW42" s="177"/>
      <c r="AX42" s="177"/>
    </row>
    <row r="43" spans="1:50" s="178" customFormat="1" x14ac:dyDescent="0.2">
      <c r="A43" s="72" t="s">
        <v>220</v>
      </c>
      <c r="B43" s="73">
        <f>VLOOKUP(LEFT(A43,7),'Tariff Schedule Lookup Table'!A$8:D$143,3,FALSE)</f>
        <v>150</v>
      </c>
      <c r="C43" s="236" t="s">
        <v>891</v>
      </c>
      <c r="D43" s="74">
        <v>1</v>
      </c>
      <c r="E43" s="74">
        <v>135</v>
      </c>
      <c r="F43" s="74" t="s">
        <v>329</v>
      </c>
      <c r="G43" s="106">
        <f>VLOOKUP(F43,'Lamp Stock'!A$14:H$48,4,FALSE)</f>
        <v>40.952435999999992</v>
      </c>
      <c r="H43" s="106">
        <f>VLOOKUP(F43,'Lamp Stock'!A$14:G$48,6,FALSE)</f>
        <v>54.833519999999993</v>
      </c>
      <c r="I43" s="106">
        <f>VLOOKUP(F43,'Lamp Stock'!A$14:H$48,8,FALSE)</f>
        <v>17.011343999999998</v>
      </c>
      <c r="J43" s="262">
        <v>0.28000000000000003</v>
      </c>
      <c r="K43" s="262">
        <v>0.1</v>
      </c>
      <c r="L43" s="262">
        <v>0.2</v>
      </c>
      <c r="M43" s="74">
        <v>4</v>
      </c>
      <c r="N43" s="75">
        <f t="shared" si="0"/>
        <v>0.25</v>
      </c>
      <c r="O43" s="311">
        <v>0.04</v>
      </c>
      <c r="P43" s="265">
        <f>'Input data'!B$92*O43</f>
        <v>6.3531990542222223</v>
      </c>
      <c r="Q43" s="76">
        <f t="shared" si="1"/>
        <v>1.6380974399999997</v>
      </c>
      <c r="R43" s="76">
        <f t="shared" si="2"/>
        <v>1.11912192</v>
      </c>
      <c r="S43" s="76">
        <f>IF(C43="Yes",'Input data'!$E$47*'Input data'!$B$51*O43,'Input data'!$E$47*'Input data'!$B$49*O43)</f>
        <v>10.248374613333333</v>
      </c>
      <c r="T43" s="76">
        <f>'Other Maintenance'!$B$94*'Maintenance Costs'!O132</f>
        <v>0.11897113551214863</v>
      </c>
      <c r="U43" s="264">
        <f>'Input data'!$B$112</f>
        <v>2.9565521226700353</v>
      </c>
      <c r="V43" s="240">
        <f t="shared" si="3"/>
        <v>22.43431628573774</v>
      </c>
      <c r="W43" s="76">
        <f>'Input data'!$C$15*'Maintenance Costs'!N132</f>
        <v>9.75</v>
      </c>
      <c r="X43" s="76">
        <f t="shared" si="4"/>
        <v>14.490944999999996</v>
      </c>
      <c r="Y43" s="76">
        <f>'Input data'!$B$47*'Maintenance Costs'!N132</f>
        <v>0</v>
      </c>
      <c r="Z43" s="76">
        <f>'Other Maintenance'!$B$94*'Maintenance Costs'!N132</f>
        <v>0.74356959695092895</v>
      </c>
      <c r="AA43" s="76">
        <f>('Input data'!$B$96+'Input data'!$B$97)*'Input data'!$B$76</f>
        <v>0.87776744444444454</v>
      </c>
      <c r="AB43" s="240">
        <f t="shared" si="5"/>
        <v>25.862282041395371</v>
      </c>
      <c r="AC43" s="163" t="str">
        <f t="shared" si="7"/>
        <v>MHR</v>
      </c>
      <c r="AD43" s="311">
        <v>5.6500000000000002E-2</v>
      </c>
      <c r="AE43" s="312">
        <f t="shared" si="6"/>
        <v>1.6500000000000001E-2</v>
      </c>
      <c r="AF43" s="177"/>
      <c r="AG43" s="177"/>
      <c r="AH43" s="177"/>
      <c r="AI43" s="177"/>
      <c r="AJ43" s="177"/>
      <c r="AK43" s="177"/>
      <c r="AL43" s="177"/>
      <c r="AM43" s="177"/>
      <c r="AN43" s="177"/>
      <c r="AO43" s="177"/>
      <c r="AP43" s="177"/>
      <c r="AQ43" s="177"/>
      <c r="AR43" s="177"/>
      <c r="AS43" s="177"/>
      <c r="AT43" s="177"/>
      <c r="AU43" s="177"/>
      <c r="AV43" s="177"/>
      <c r="AW43" s="177"/>
      <c r="AX43" s="177"/>
    </row>
    <row r="44" spans="1:50" s="178" customFormat="1" x14ac:dyDescent="0.2">
      <c r="A44" s="72" t="s">
        <v>160</v>
      </c>
      <c r="B44" s="73">
        <f>VLOOKUP(LEFT(A44,7),'Tariff Schedule Lookup Table'!A$8:D$143,3,FALSE)</f>
        <v>26</v>
      </c>
      <c r="C44" s="236" t="s">
        <v>890</v>
      </c>
      <c r="D44" s="74">
        <v>1</v>
      </c>
      <c r="E44" s="74">
        <v>130</v>
      </c>
      <c r="F44" s="74" t="s">
        <v>240</v>
      </c>
      <c r="G44" s="106">
        <f>VLOOKUP(F44,'Lamp Stock'!A$14:H$48,4,FALSE)</f>
        <v>4.1017199999999994</v>
      </c>
      <c r="H44" s="106">
        <f>VLOOKUP(F44,'Lamp Stock'!A$14:G$48,6,FALSE)</f>
        <v>25.319593739999998</v>
      </c>
      <c r="I44" s="106">
        <f>VLOOKUP(F44,'Lamp Stock'!A$14:H$48,8,FALSE)</f>
        <v>0.47493599999999997</v>
      </c>
      <c r="J44" s="262">
        <v>0.35</v>
      </c>
      <c r="K44" s="262">
        <v>0.1</v>
      </c>
      <c r="L44" s="262">
        <v>0.2</v>
      </c>
      <c r="M44" s="74">
        <v>4</v>
      </c>
      <c r="N44" s="75">
        <f t="shared" si="0"/>
        <v>0.25</v>
      </c>
      <c r="O44" s="311">
        <v>0.06</v>
      </c>
      <c r="P44" s="265">
        <f>'Input data'!B$92*O44</f>
        <v>9.529798581333333</v>
      </c>
      <c r="Q44" s="76">
        <f t="shared" si="1"/>
        <v>0.24610319999999997</v>
      </c>
      <c r="R44" s="76">
        <f t="shared" si="2"/>
        <v>0.33233128487999997</v>
      </c>
      <c r="S44" s="76">
        <f>IF(C44="Yes",'Input data'!$E$47*'Input data'!$B$51*O44,'Input data'!$E$47*'Input data'!$B$49*O44)</f>
        <v>1.9215702399999999</v>
      </c>
      <c r="T44" s="76">
        <f>'Other Maintenance'!$B$94*'Maintenance Costs'!O29</f>
        <v>0.1487139193901858</v>
      </c>
      <c r="U44" s="264">
        <f>'Input data'!$B$112</f>
        <v>2.9565521226700353</v>
      </c>
      <c r="V44" s="240">
        <f t="shared" si="3"/>
        <v>15.135069348273554</v>
      </c>
      <c r="W44" s="76">
        <f>'Input data'!$C$15*'Maintenance Costs'!N29</f>
        <v>9.75</v>
      </c>
      <c r="X44" s="76">
        <f t="shared" si="4"/>
        <v>1.1441639999999997</v>
      </c>
      <c r="Y44" s="76">
        <f>'Input data'!$B$47*'Maintenance Costs'!N29</f>
        <v>0</v>
      </c>
      <c r="Z44" s="76">
        <f>'Other Maintenance'!$B$94*'Maintenance Costs'!N29</f>
        <v>0.74356959695092895</v>
      </c>
      <c r="AA44" s="76">
        <f>('Input data'!$B$96+'Input data'!$B$97)*'Input data'!$B$76</f>
        <v>0.87776744444444454</v>
      </c>
      <c r="AB44" s="240">
        <f t="shared" si="5"/>
        <v>12.515501041395373</v>
      </c>
      <c r="AC44" s="163" t="str">
        <f t="shared" si="7"/>
        <v>FLU</v>
      </c>
      <c r="AD44" s="311">
        <v>7.6960402044883455E-2</v>
      </c>
      <c r="AE44" s="312">
        <f t="shared" si="6"/>
        <v>1.6960402044883457E-2</v>
      </c>
      <c r="AF44" s="177"/>
      <c r="AG44" s="177"/>
      <c r="AH44" s="177"/>
      <c r="AI44" s="177"/>
      <c r="AJ44" s="177"/>
      <c r="AK44" s="177"/>
      <c r="AL44" s="177"/>
      <c r="AM44" s="177"/>
      <c r="AN44" s="177"/>
      <c r="AO44" s="177"/>
      <c r="AP44" s="177"/>
      <c r="AQ44" s="177"/>
      <c r="AR44" s="177"/>
      <c r="AS44" s="177"/>
      <c r="AT44" s="177"/>
      <c r="AU44" s="177"/>
      <c r="AV44" s="177"/>
      <c r="AW44" s="177"/>
      <c r="AX44" s="177"/>
    </row>
    <row r="45" spans="1:50" s="178" customFormat="1" x14ac:dyDescent="0.2">
      <c r="A45" s="72" t="s">
        <v>222</v>
      </c>
      <c r="B45" s="73">
        <f>VLOOKUP(LEFT(A45,7),'Tariff Schedule Lookup Table'!A$8:D$143,3,FALSE)</f>
        <v>400</v>
      </c>
      <c r="C45" s="236" t="s">
        <v>891</v>
      </c>
      <c r="D45" s="74">
        <v>1</v>
      </c>
      <c r="E45" s="74">
        <v>129</v>
      </c>
      <c r="F45" s="74" t="s">
        <v>330</v>
      </c>
      <c r="G45" s="106">
        <f>VLOOKUP(F45,'Lamp Stock'!A$14:H$48,4,FALSE)</f>
        <v>41.265461999999992</v>
      </c>
      <c r="H45" s="106">
        <f>VLOOKUP(F45,'Lamp Stock'!A$14:G$48,6,FALSE)</f>
        <v>65.541167999999999</v>
      </c>
      <c r="I45" s="106">
        <f>VLOOKUP(F45,'Lamp Stock'!A$14:H$48,8,FALSE)</f>
        <v>17.011343999999998</v>
      </c>
      <c r="J45" s="262">
        <v>0.28000000000000003</v>
      </c>
      <c r="K45" s="262">
        <v>0.1</v>
      </c>
      <c r="L45" s="262">
        <v>0.2</v>
      </c>
      <c r="M45" s="74">
        <v>4</v>
      </c>
      <c r="N45" s="75">
        <f t="shared" si="0"/>
        <v>0.25</v>
      </c>
      <c r="O45" s="311">
        <v>0.04</v>
      </c>
      <c r="P45" s="265">
        <f>'Input data'!B$92*O45</f>
        <v>6.3531990542222223</v>
      </c>
      <c r="Q45" s="76">
        <f t="shared" si="1"/>
        <v>1.6506184799999997</v>
      </c>
      <c r="R45" s="76">
        <f t="shared" si="2"/>
        <v>1.2047831040000001</v>
      </c>
      <c r="S45" s="76">
        <f>IF(C45="Yes",'Input data'!$E$47*'Input data'!$B$51*O45,'Input data'!$E$47*'Input data'!$B$49*O45)</f>
        <v>10.248374613333333</v>
      </c>
      <c r="T45" s="76">
        <f>'Other Maintenance'!$B$94*'Maintenance Costs'!O136</f>
        <v>1.6655958971700809E-2</v>
      </c>
      <c r="U45" s="264">
        <f>'Input data'!$B$112</f>
        <v>2.9565521226700353</v>
      </c>
      <c r="V45" s="240">
        <f t="shared" si="3"/>
        <v>22.430183333197292</v>
      </c>
      <c r="W45" s="76">
        <f>'Input data'!$C$15*'Maintenance Costs'!N136</f>
        <v>9.75</v>
      </c>
      <c r="X45" s="76">
        <f t="shared" si="4"/>
        <v>14.569201499999998</v>
      </c>
      <c r="Y45" s="76">
        <f>'Input data'!$B$47*'Maintenance Costs'!N136</f>
        <v>0</v>
      </c>
      <c r="Z45" s="76">
        <f>'Other Maintenance'!$B$94*'Maintenance Costs'!N136</f>
        <v>0.74356959695092895</v>
      </c>
      <c r="AA45" s="76">
        <f>('Input data'!$B$96+'Input data'!$B$97)*'Input data'!$B$76</f>
        <v>0.87776744444444454</v>
      </c>
      <c r="AB45" s="240">
        <f t="shared" si="5"/>
        <v>25.940538541395373</v>
      </c>
      <c r="AC45" s="163" t="str">
        <f t="shared" si="7"/>
        <v>MHR</v>
      </c>
      <c r="AD45" s="311">
        <v>5.6500000000000002E-2</v>
      </c>
      <c r="AE45" s="312">
        <f t="shared" si="6"/>
        <v>1.6500000000000001E-2</v>
      </c>
      <c r="AF45" s="177"/>
      <c r="AG45" s="177"/>
      <c r="AH45" s="177"/>
      <c r="AI45" s="177"/>
      <c r="AJ45" s="177"/>
      <c r="AK45" s="177"/>
      <c r="AL45" s="177"/>
      <c r="AM45" s="177"/>
      <c r="AN45" s="177"/>
      <c r="AO45" s="177"/>
      <c r="AP45" s="177"/>
      <c r="AQ45" s="177"/>
      <c r="AR45" s="177"/>
      <c r="AS45" s="177"/>
      <c r="AT45" s="177"/>
      <c r="AU45" s="177"/>
      <c r="AV45" s="177"/>
      <c r="AW45" s="177"/>
      <c r="AX45" s="177"/>
    </row>
    <row r="46" spans="1:50" s="178" customFormat="1" x14ac:dyDescent="0.2">
      <c r="A46" s="72" t="s">
        <v>218</v>
      </c>
      <c r="B46" s="73">
        <f>VLOOKUP(LEFT(A46,7),'Tariff Schedule Lookup Table'!A$8:D$143,3,FALSE)</f>
        <v>70</v>
      </c>
      <c r="C46" s="236" t="s">
        <v>890</v>
      </c>
      <c r="D46" s="74">
        <v>1</v>
      </c>
      <c r="E46" s="74">
        <v>113</v>
      </c>
      <c r="F46" s="74" t="s">
        <v>329</v>
      </c>
      <c r="G46" s="106">
        <f>VLOOKUP(F46,'Lamp Stock'!A$14:H$48,4,FALSE)</f>
        <v>40.952435999999992</v>
      </c>
      <c r="H46" s="106">
        <f>VLOOKUP(F46,'Lamp Stock'!A$14:G$48,6,FALSE)</f>
        <v>54.833519999999993</v>
      </c>
      <c r="I46" s="106">
        <f>VLOOKUP(F46,'Lamp Stock'!A$14:H$48,8,FALSE)</f>
        <v>17.011343999999998</v>
      </c>
      <c r="J46" s="262">
        <v>0.28000000000000003</v>
      </c>
      <c r="K46" s="262">
        <v>0.1</v>
      </c>
      <c r="L46" s="262">
        <v>0.2</v>
      </c>
      <c r="M46" s="74">
        <v>4</v>
      </c>
      <c r="N46" s="75">
        <f t="shared" si="0"/>
        <v>0.25</v>
      </c>
      <c r="O46" s="311">
        <v>0.04</v>
      </c>
      <c r="P46" s="265">
        <f>'Input data'!B$92*O46</f>
        <v>6.3531990542222223</v>
      </c>
      <c r="Q46" s="76">
        <f t="shared" si="1"/>
        <v>1.6380974399999997</v>
      </c>
      <c r="R46" s="76">
        <f t="shared" si="2"/>
        <v>1.11912192</v>
      </c>
      <c r="S46" s="76">
        <f>IF(C46="Yes",'Input data'!$E$47*'Input data'!$B$51*O46,'Input data'!$E$47*'Input data'!$B$49*O46)</f>
        <v>1.2810468266666666</v>
      </c>
      <c r="T46" s="76">
        <f>'Other Maintenance'!$B$94*'Maintenance Costs'!O130</f>
        <v>0.11897113551214863</v>
      </c>
      <c r="U46" s="264">
        <f>'Input data'!$B$112</f>
        <v>2.9565521226700353</v>
      </c>
      <c r="V46" s="240">
        <f t="shared" si="3"/>
        <v>13.466988499071071</v>
      </c>
      <c r="W46" s="76">
        <f>'Input data'!$C$15*'Maintenance Costs'!N130</f>
        <v>9.75</v>
      </c>
      <c r="X46" s="76">
        <f t="shared" si="4"/>
        <v>14.490944999999996</v>
      </c>
      <c r="Y46" s="76">
        <f>'Input data'!$B$47*'Maintenance Costs'!N130</f>
        <v>0</v>
      </c>
      <c r="Z46" s="76">
        <f>'Other Maintenance'!$B$94*'Maintenance Costs'!N130</f>
        <v>0.74356959695092895</v>
      </c>
      <c r="AA46" s="76">
        <f>('Input data'!$B$96+'Input data'!$B$97)*'Input data'!$B$76</f>
        <v>0.87776744444444454</v>
      </c>
      <c r="AB46" s="240">
        <f t="shared" si="5"/>
        <v>25.862282041395371</v>
      </c>
      <c r="AC46" s="163" t="str">
        <f t="shared" si="7"/>
        <v>MHR</v>
      </c>
      <c r="AD46" s="311">
        <v>5.6500000000000002E-2</v>
      </c>
      <c r="AE46" s="312">
        <f t="shared" si="6"/>
        <v>1.6500000000000001E-2</v>
      </c>
      <c r="AF46" s="177"/>
      <c r="AG46" s="177"/>
      <c r="AH46" s="177"/>
      <c r="AI46" s="177"/>
      <c r="AJ46" s="177"/>
      <c r="AK46" s="177"/>
      <c r="AL46" s="177"/>
      <c r="AM46" s="177"/>
      <c r="AN46" s="177"/>
      <c r="AO46" s="177"/>
      <c r="AP46" s="177"/>
      <c r="AQ46" s="177"/>
      <c r="AR46" s="177"/>
      <c r="AS46" s="177"/>
      <c r="AT46" s="177"/>
      <c r="AU46" s="177"/>
      <c r="AV46" s="177"/>
      <c r="AW46" s="177"/>
      <c r="AX46" s="177"/>
    </row>
    <row r="47" spans="1:50" s="178" customFormat="1" x14ac:dyDescent="0.2">
      <c r="A47" s="72" t="s">
        <v>178</v>
      </c>
      <c r="B47" s="73">
        <f>VLOOKUP(LEFT(A47,7),'Tariff Schedule Lookup Table'!A$8:D$143,3,FALSE)</f>
        <v>100</v>
      </c>
      <c r="C47" s="236" t="s">
        <v>890</v>
      </c>
      <c r="D47" s="74">
        <v>1</v>
      </c>
      <c r="E47" s="74">
        <v>110</v>
      </c>
      <c r="F47" s="74" t="s">
        <v>268</v>
      </c>
      <c r="G47" s="106">
        <f>VLOOKUP(F47,'Lamp Stock'!A$14:H$48,4,FALSE)</f>
        <v>15.651299999999999</v>
      </c>
      <c r="H47" s="106">
        <f>VLOOKUP(F47,'Lamp Stock'!A$14:G$48,6,FALSE)</f>
        <v>27.200879999999998</v>
      </c>
      <c r="I47" s="106">
        <f>VLOOKUP(F47,'Lamp Stock'!A$14:H$48,8,FALSE)</f>
        <v>20.767655999999995</v>
      </c>
      <c r="J47" s="262">
        <v>0.2</v>
      </c>
      <c r="K47" s="262">
        <v>0.1</v>
      </c>
      <c r="L47" s="262">
        <v>0.2</v>
      </c>
      <c r="M47" s="74">
        <v>4</v>
      </c>
      <c r="N47" s="75">
        <f t="shared" si="0"/>
        <v>0.25</v>
      </c>
      <c r="O47" s="311">
        <v>0.05</v>
      </c>
      <c r="P47" s="265">
        <f>'Input data'!B$92*O47</f>
        <v>7.9414988177777772</v>
      </c>
      <c r="Q47" s="76">
        <f t="shared" si="1"/>
        <v>0.78256499999999996</v>
      </c>
      <c r="R47" s="76">
        <f t="shared" si="2"/>
        <v>1.3103915999999998</v>
      </c>
      <c r="S47" s="76">
        <f>IF(C47="Yes",'Input data'!$E$47*'Input data'!$B$51*O47,'Input data'!$E$47*'Input data'!$B$49*O47)</f>
        <v>1.6013085333333335</v>
      </c>
      <c r="T47" s="76">
        <f>'Other Maintenance'!$B$94*'Maintenance Costs'!O63</f>
        <v>1.6655958971700809E-2</v>
      </c>
      <c r="U47" s="264">
        <f>'Input data'!$B$112</f>
        <v>2.9565521226700353</v>
      </c>
      <c r="V47" s="240">
        <f t="shared" si="3"/>
        <v>14.608972032752845</v>
      </c>
      <c r="W47" s="76">
        <f>'Input data'!$C$15*'Maintenance Costs'!N63</f>
        <v>9.75</v>
      </c>
      <c r="X47" s="76">
        <f t="shared" si="4"/>
        <v>9.1047389999999986</v>
      </c>
      <c r="Y47" s="76">
        <f>'Input data'!$B$47*'Maintenance Costs'!N63</f>
        <v>0</v>
      </c>
      <c r="Z47" s="76">
        <f>'Other Maintenance'!$B$94*'Maintenance Costs'!N63</f>
        <v>0.74356959695092895</v>
      </c>
      <c r="AA47" s="76">
        <f>('Input data'!$B$96+'Input data'!$B$97)*'Input data'!$B$76</f>
        <v>0.87776744444444454</v>
      </c>
      <c r="AB47" s="240">
        <f t="shared" si="5"/>
        <v>20.476076041395373</v>
      </c>
      <c r="AC47" s="163" t="s">
        <v>905</v>
      </c>
      <c r="AD47" s="311">
        <v>9.5500000000000002E-2</v>
      </c>
      <c r="AE47" s="312">
        <f t="shared" si="6"/>
        <v>4.5499999999999999E-2</v>
      </c>
      <c r="AF47" s="177"/>
      <c r="AG47" s="177"/>
      <c r="AH47" s="177"/>
      <c r="AI47" s="177"/>
      <c r="AJ47" s="177"/>
      <c r="AK47" s="177"/>
      <c r="AL47" s="177"/>
      <c r="AM47" s="177"/>
      <c r="AN47" s="177"/>
      <c r="AO47" s="177"/>
      <c r="AP47" s="177"/>
      <c r="AQ47" s="177"/>
      <c r="AR47" s="177"/>
      <c r="AS47" s="177"/>
      <c r="AT47" s="177"/>
      <c r="AU47" s="177"/>
      <c r="AV47" s="177"/>
      <c r="AW47" s="177"/>
      <c r="AX47" s="177"/>
    </row>
    <row r="48" spans="1:50" s="178" customFormat="1" x14ac:dyDescent="0.2">
      <c r="A48" s="72" t="s">
        <v>199</v>
      </c>
      <c r="B48" s="73">
        <f>VLOOKUP(LEFT(A48,7),'Tariff Schedule Lookup Table'!A$8:D$143,3,FALSE)</f>
        <v>60</v>
      </c>
      <c r="C48" s="236" t="s">
        <v>890</v>
      </c>
      <c r="D48" s="74">
        <v>1</v>
      </c>
      <c r="E48" s="74">
        <v>108</v>
      </c>
      <c r="F48" s="74" t="s">
        <v>297</v>
      </c>
      <c r="G48" s="106">
        <f>VLOOKUP(F48,'Lamp Stock'!A$14:H$48,4,FALSE)</f>
        <v>1.1873400000000001</v>
      </c>
      <c r="H48" s="106">
        <f>VLOOKUP(F48,'Lamp Stock'!A$14:G$48,6,FALSE)</f>
        <v>0</v>
      </c>
      <c r="I48" s="106">
        <f>VLOOKUP(F48,'Lamp Stock'!A$14:H$48,8,FALSE)</f>
        <v>0</v>
      </c>
      <c r="J48" s="262">
        <v>0.5</v>
      </c>
      <c r="K48" s="262">
        <v>0.1</v>
      </c>
      <c r="L48" s="262">
        <v>0.2</v>
      </c>
      <c r="M48" s="74">
        <v>4</v>
      </c>
      <c r="N48" s="75">
        <f t="shared" si="0"/>
        <v>0.25</v>
      </c>
      <c r="O48" s="311">
        <v>5.5999999999999999E-3</v>
      </c>
      <c r="P48" s="265">
        <f>'Input data'!B$92*O48</f>
        <v>0.88944786759111105</v>
      </c>
      <c r="Q48" s="76">
        <f t="shared" si="1"/>
        <v>6.6491040000000003E-3</v>
      </c>
      <c r="R48" s="76">
        <f t="shared" si="2"/>
        <v>0</v>
      </c>
      <c r="S48" s="76">
        <f>IF(C48="Yes",'Input data'!$E$47*'Input data'!$B$51*O48,'Input data'!$E$47*'Input data'!$B$49*O48)</f>
        <v>0.17934655573333333</v>
      </c>
      <c r="T48" s="76">
        <f>'Other Maintenance'!$B$94*'Maintenance Costs'!O103</f>
        <v>0.11897113551214863</v>
      </c>
      <c r="U48" s="264">
        <f>'Input data'!$B$112</f>
        <v>2.9565521226700353</v>
      </c>
      <c r="V48" s="240">
        <f t="shared" si="3"/>
        <v>4.1509667855066281</v>
      </c>
      <c r="W48" s="76">
        <f>'Input data'!$C$15*'Maintenance Costs'!N103</f>
        <v>9.75</v>
      </c>
      <c r="X48" s="76">
        <f t="shared" si="4"/>
        <v>0.29683500000000002</v>
      </c>
      <c r="Y48" s="76">
        <f>'Input data'!$B$47*'Maintenance Costs'!N103</f>
        <v>0</v>
      </c>
      <c r="Z48" s="76">
        <f>'Other Maintenance'!$B$94*'Maintenance Costs'!N103</f>
        <v>0.74356959695092895</v>
      </c>
      <c r="AA48" s="76">
        <f>('Input data'!$B$96+'Input data'!$B$97)*'Input data'!$B$76</f>
        <v>0.87776744444444454</v>
      </c>
      <c r="AB48" s="240">
        <f t="shared" si="5"/>
        <v>11.668172041395373</v>
      </c>
      <c r="AC48" s="163" t="str">
        <f>LEFT(A48,3)</f>
        <v>INC</v>
      </c>
      <c r="AD48" s="311">
        <v>5.5999999999999999E-3</v>
      </c>
      <c r="AE48" s="312">
        <f t="shared" si="6"/>
        <v>0</v>
      </c>
      <c r="AF48" s="177"/>
      <c r="AG48" s="177"/>
      <c r="AH48" s="177"/>
      <c r="AI48" s="177"/>
      <c r="AJ48" s="177"/>
      <c r="AK48" s="177"/>
      <c r="AL48" s="177"/>
      <c r="AM48" s="177"/>
      <c r="AN48" s="177"/>
      <c r="AO48" s="177"/>
      <c r="AP48" s="177"/>
      <c r="AQ48" s="177"/>
      <c r="AR48" s="177"/>
      <c r="AS48" s="177"/>
      <c r="AT48" s="177"/>
      <c r="AU48" s="177"/>
      <c r="AV48" s="177"/>
      <c r="AW48" s="177"/>
      <c r="AX48" s="177"/>
    </row>
    <row r="49" spans="1:50" s="178" customFormat="1" ht="13.5" customHeight="1" x14ac:dyDescent="0.2">
      <c r="A49" s="72" t="s">
        <v>188</v>
      </c>
      <c r="B49" s="73" t="str">
        <f>VLOOKUP(LEFT(A49,7),'Tariff Schedule Lookup Table'!A$8:D$143,3,FALSE)</f>
        <v>310 (Retrofit)</v>
      </c>
      <c r="C49" s="236" t="s">
        <v>891</v>
      </c>
      <c r="D49" s="74">
        <v>1</v>
      </c>
      <c r="E49" s="74">
        <v>102</v>
      </c>
      <c r="F49" s="74" t="s">
        <v>277</v>
      </c>
      <c r="G49" s="106">
        <f>VLOOKUP(F49,'Lamp Stock'!A$14:H$48,4,FALSE)</f>
        <v>20.756861999999998</v>
      </c>
      <c r="H49" s="106">
        <f>VLOOKUP(F49,'Lamp Stock'!A$14:G$48,6,FALSE)</f>
        <v>54.833519999999993</v>
      </c>
      <c r="I49" s="106">
        <f>VLOOKUP(F49,'Lamp Stock'!A$14:H$48,8,FALSE)</f>
        <v>17.011343999999998</v>
      </c>
      <c r="J49" s="262">
        <v>0.2</v>
      </c>
      <c r="K49" s="262">
        <v>0.1</v>
      </c>
      <c r="L49" s="262">
        <v>0.2</v>
      </c>
      <c r="M49" s="74">
        <v>4</v>
      </c>
      <c r="N49" s="75">
        <f t="shared" si="0"/>
        <v>0.25</v>
      </c>
      <c r="O49" s="311">
        <v>0.05</v>
      </c>
      <c r="P49" s="265">
        <f>'Input data'!B$92*O49</f>
        <v>7.9414988177777772</v>
      </c>
      <c r="Q49" s="76">
        <f t="shared" si="1"/>
        <v>1.0378430999999999</v>
      </c>
      <c r="R49" s="76">
        <f t="shared" si="2"/>
        <v>1.3989023999999999</v>
      </c>
      <c r="S49" s="76">
        <f>IF(C49="Yes",'Input data'!$E$47*'Input data'!$B$51*O49,'Input data'!$E$47*'Input data'!$B$49*O49)</f>
        <v>12.810468266666668</v>
      </c>
      <c r="T49" s="76">
        <f>'Other Maintenance'!$B$94*'Maintenance Costs'!O70</f>
        <v>0.11897113551214863</v>
      </c>
      <c r="U49" s="264">
        <f>'Input data'!$B$112</f>
        <v>2.9565521226700353</v>
      </c>
      <c r="V49" s="240">
        <f t="shared" si="3"/>
        <v>26.264235842626629</v>
      </c>
      <c r="W49" s="76">
        <f>'Input data'!$C$15*'Maintenance Costs'!N70</f>
        <v>9.75</v>
      </c>
      <c r="X49" s="76">
        <f t="shared" si="4"/>
        <v>9.442051499999998</v>
      </c>
      <c r="Y49" s="76">
        <f>'Input data'!$B$47*'Maintenance Costs'!N70</f>
        <v>0</v>
      </c>
      <c r="Z49" s="76">
        <f>'Other Maintenance'!$B$94*'Maintenance Costs'!N70</f>
        <v>0.74356959695092895</v>
      </c>
      <c r="AA49" s="76">
        <f>('Input data'!$B$96+'Input data'!$B$97)*'Input data'!$B$76</f>
        <v>0.87776744444444454</v>
      </c>
      <c r="AB49" s="240">
        <f t="shared" si="5"/>
        <v>20.813388541395373</v>
      </c>
      <c r="AC49" s="163" t="s">
        <v>905</v>
      </c>
      <c r="AD49" s="311">
        <v>9.5500000000000002E-2</v>
      </c>
      <c r="AE49" s="312">
        <f t="shared" si="6"/>
        <v>4.5499999999999999E-2</v>
      </c>
      <c r="AF49" s="177"/>
      <c r="AG49" s="177"/>
      <c r="AH49" s="177"/>
      <c r="AI49" s="177"/>
      <c r="AJ49" s="177"/>
      <c r="AK49" s="177"/>
      <c r="AL49" s="177"/>
      <c r="AM49" s="177"/>
      <c r="AN49" s="177"/>
      <c r="AO49" s="177"/>
      <c r="AP49" s="177"/>
      <c r="AQ49" s="177"/>
      <c r="AR49" s="177"/>
      <c r="AS49" s="177"/>
      <c r="AT49" s="177"/>
      <c r="AU49" s="177"/>
      <c r="AV49" s="177"/>
      <c r="AW49" s="177"/>
      <c r="AX49" s="177"/>
    </row>
    <row r="50" spans="1:50" s="178" customFormat="1" ht="13.5" customHeight="1" x14ac:dyDescent="0.2">
      <c r="A50" s="72" t="s">
        <v>183</v>
      </c>
      <c r="B50" s="73">
        <f>VLOOKUP(LEFT(A50,7),'Tariff Schedule Lookup Table'!A$8:D$143,3,FALSE)</f>
        <v>220</v>
      </c>
      <c r="C50" s="236" t="s">
        <v>891</v>
      </c>
      <c r="D50" s="74">
        <v>1</v>
      </c>
      <c r="E50" s="74">
        <v>93</v>
      </c>
      <c r="F50" s="74" t="s">
        <v>277</v>
      </c>
      <c r="G50" s="106">
        <f>VLOOKUP(F50,'Lamp Stock'!A$14:H$48,4,FALSE)</f>
        <v>20.756861999999998</v>
      </c>
      <c r="H50" s="106">
        <f>VLOOKUP(F50,'Lamp Stock'!A$14:G$48,6,FALSE)</f>
        <v>54.833519999999993</v>
      </c>
      <c r="I50" s="106">
        <f>VLOOKUP(F50,'Lamp Stock'!A$14:H$48,8,FALSE)</f>
        <v>17.011343999999998</v>
      </c>
      <c r="J50" s="262">
        <v>0.2</v>
      </c>
      <c r="K50" s="262">
        <v>0.1</v>
      </c>
      <c r="L50" s="262">
        <v>0.2</v>
      </c>
      <c r="M50" s="74">
        <v>4</v>
      </c>
      <c r="N50" s="75">
        <f t="shared" si="0"/>
        <v>0.25</v>
      </c>
      <c r="O50" s="311">
        <v>0.05</v>
      </c>
      <c r="P50" s="265">
        <f>'Input data'!B$92*O50</f>
        <v>7.9414988177777772</v>
      </c>
      <c r="Q50" s="76">
        <f t="shared" si="1"/>
        <v>1.0378430999999999</v>
      </c>
      <c r="R50" s="76">
        <f t="shared" si="2"/>
        <v>1.3989023999999999</v>
      </c>
      <c r="S50" s="76">
        <f>IF(C50="Yes",'Input data'!$E$47*'Input data'!$B$51*O50,'Input data'!$E$47*'Input data'!$B$49*O50)</f>
        <v>12.810468266666668</v>
      </c>
      <c r="T50" s="76">
        <f>'Other Maintenance'!$B$94*'Maintenance Costs'!O66</f>
        <v>0.1487139193901858</v>
      </c>
      <c r="U50" s="264">
        <f>'Input data'!$B$112</f>
        <v>2.9565521226700353</v>
      </c>
      <c r="V50" s="240">
        <f t="shared" si="3"/>
        <v>26.293978626504668</v>
      </c>
      <c r="W50" s="76">
        <f>'Input data'!$C$15*'Maintenance Costs'!N66</f>
        <v>9.75</v>
      </c>
      <c r="X50" s="76">
        <f t="shared" si="4"/>
        <v>9.442051499999998</v>
      </c>
      <c r="Y50" s="76">
        <f>'Input data'!$B$47*'Maintenance Costs'!N66</f>
        <v>0</v>
      </c>
      <c r="Z50" s="76">
        <f>'Other Maintenance'!$B$94*'Maintenance Costs'!N66</f>
        <v>0.74356959695092895</v>
      </c>
      <c r="AA50" s="76">
        <f>('Input data'!$B$96+'Input data'!$B$97)*'Input data'!$B$76</f>
        <v>0.87776744444444454</v>
      </c>
      <c r="AB50" s="240">
        <f t="shared" si="5"/>
        <v>20.813388541395373</v>
      </c>
      <c r="AC50" s="163" t="s">
        <v>905</v>
      </c>
      <c r="AD50" s="311">
        <v>9.5500000000000002E-2</v>
      </c>
      <c r="AE50" s="312">
        <f t="shared" si="6"/>
        <v>4.5499999999999999E-2</v>
      </c>
      <c r="AF50" s="177"/>
      <c r="AG50" s="177"/>
      <c r="AH50" s="177"/>
      <c r="AI50" s="177"/>
      <c r="AJ50" s="177"/>
      <c r="AK50" s="177"/>
      <c r="AL50" s="177"/>
      <c r="AM50" s="177"/>
      <c r="AN50" s="177"/>
      <c r="AO50" s="177"/>
      <c r="AP50" s="177"/>
      <c r="AQ50" s="177"/>
      <c r="AR50" s="177"/>
      <c r="AS50" s="177"/>
      <c r="AT50" s="177"/>
      <c r="AU50" s="177"/>
      <c r="AV50" s="177"/>
      <c r="AW50" s="177"/>
      <c r="AX50" s="177"/>
    </row>
    <row r="51" spans="1:50" s="178" customFormat="1" ht="13.5" customHeight="1" x14ac:dyDescent="0.2">
      <c r="A51" s="77" t="s">
        <v>163</v>
      </c>
      <c r="B51" s="78" t="str">
        <f>VLOOKUP(LEFT(A51,7),'Tariff Schedule Lookup Table'!A$8:D$143,3,FALSE)</f>
        <v>2x40</v>
      </c>
      <c r="C51" s="236" t="s">
        <v>890</v>
      </c>
      <c r="D51" s="79">
        <v>2</v>
      </c>
      <c r="E51" s="79">
        <v>72</v>
      </c>
      <c r="F51" s="79" t="s">
        <v>247</v>
      </c>
      <c r="G51" s="106">
        <f>VLOOKUP(F51,'Lamp Stock'!A$14:H$48,4,FALSE)</f>
        <v>1.9968899999999998</v>
      </c>
      <c r="H51" s="106">
        <f>VLOOKUP(F51,'Lamp Stock'!A$14:G$48,6,FALSE)</f>
        <v>25.319593739999998</v>
      </c>
      <c r="I51" s="106">
        <f>VLOOKUP(F51,'Lamp Stock'!A$14:H$48,8,FALSE)</f>
        <v>0.38858399999999993</v>
      </c>
      <c r="J51" s="267">
        <v>0.35</v>
      </c>
      <c r="K51" s="267">
        <v>0.1</v>
      </c>
      <c r="L51" s="267">
        <v>0.2</v>
      </c>
      <c r="M51" s="74">
        <v>4</v>
      </c>
      <c r="N51" s="80">
        <f t="shared" si="0"/>
        <v>0.25</v>
      </c>
      <c r="O51" s="311">
        <v>0.06</v>
      </c>
      <c r="P51" s="265">
        <f>'Input data'!B$92*O51</f>
        <v>9.529798581333333</v>
      </c>
      <c r="Q51" s="76">
        <f t="shared" si="1"/>
        <v>0.23962679999999997</v>
      </c>
      <c r="R51" s="76">
        <f t="shared" si="2"/>
        <v>0.32715016487999998</v>
      </c>
      <c r="S51" s="76">
        <f>IF(C51="Yes",'Input data'!$E$47*'Input data'!$B$51*O51,'Input data'!$E$47*'Input data'!$B$49*O51)</f>
        <v>1.9215702399999999</v>
      </c>
      <c r="T51" s="76">
        <f>'Other Maintenance'!$B$94*'Maintenance Costs'!O33</f>
        <v>0.11897113551214863</v>
      </c>
      <c r="U51" s="264">
        <f>'Input data'!$B$112</f>
        <v>2.9565521226700353</v>
      </c>
      <c r="V51" s="240">
        <f t="shared" si="3"/>
        <v>15.093669044395519</v>
      </c>
      <c r="W51" s="76">
        <f>'Input data'!$C$15*'Maintenance Costs'!N33</f>
        <v>9.75</v>
      </c>
      <c r="X51" s="76">
        <f t="shared" si="4"/>
        <v>1.1927369999999999</v>
      </c>
      <c r="Y51" s="76">
        <f>'Input data'!$B$47*'Maintenance Costs'!N33</f>
        <v>0</v>
      </c>
      <c r="Z51" s="76">
        <f>'Other Maintenance'!$B$94*'Maintenance Costs'!N33</f>
        <v>0.74356959695092895</v>
      </c>
      <c r="AA51" s="76">
        <f>('Input data'!$B$96+'Input data'!$B$97)*'Input data'!$B$76</f>
        <v>0.87776744444444454</v>
      </c>
      <c r="AB51" s="240">
        <f t="shared" si="5"/>
        <v>12.564074041395372</v>
      </c>
      <c r="AC51" s="163" t="str">
        <f>LEFT(A51,3)</f>
        <v>FLU</v>
      </c>
      <c r="AD51" s="311">
        <v>7.6960402044883455E-2</v>
      </c>
      <c r="AE51" s="312">
        <f t="shared" si="6"/>
        <v>1.6960402044883457E-2</v>
      </c>
      <c r="AF51" s="177"/>
      <c r="AG51" s="177"/>
      <c r="AH51" s="177"/>
      <c r="AI51" s="177"/>
      <c r="AJ51" s="177"/>
      <c r="AK51" s="177"/>
      <c r="AL51" s="177"/>
      <c r="AM51" s="177"/>
      <c r="AN51" s="177"/>
      <c r="AO51" s="177"/>
      <c r="AP51" s="177"/>
      <c r="AQ51" s="177"/>
      <c r="AR51" s="177"/>
      <c r="AS51" s="177"/>
      <c r="AT51" s="177"/>
      <c r="AU51" s="177"/>
      <c r="AV51" s="177"/>
      <c r="AW51" s="177"/>
      <c r="AX51" s="177"/>
    </row>
    <row r="52" spans="1:50" s="178" customFormat="1" ht="13.5" customHeight="1" x14ac:dyDescent="0.2">
      <c r="A52" s="72" t="s">
        <v>180</v>
      </c>
      <c r="B52" s="73">
        <f>VLOOKUP(LEFT(A52,7),'Tariff Schedule Lookup Table'!A$8:D$143,3,FALSE)</f>
        <v>120</v>
      </c>
      <c r="C52" s="236" t="s">
        <v>890</v>
      </c>
      <c r="D52" s="74">
        <v>1</v>
      </c>
      <c r="E52" s="74">
        <v>65</v>
      </c>
      <c r="F52" s="74" t="s">
        <v>275</v>
      </c>
      <c r="G52" s="106">
        <f>VLOOKUP(F52,'Lamp Stock'!A$14:H$48,4,FALSE)</f>
        <v>17.918040000000001</v>
      </c>
      <c r="H52" s="106">
        <f>VLOOKUP(F52,'Lamp Stock'!A$14:G$48,6,FALSE)</f>
        <v>47.655509999999992</v>
      </c>
      <c r="I52" s="106">
        <f>VLOOKUP(F52,'Lamp Stock'!A$14:H$48,8,FALSE)</f>
        <v>17.011343999999998</v>
      </c>
      <c r="J52" s="262">
        <v>0.2</v>
      </c>
      <c r="K52" s="262">
        <v>0.1</v>
      </c>
      <c r="L52" s="262">
        <v>0.2</v>
      </c>
      <c r="M52" s="74">
        <v>4</v>
      </c>
      <c r="N52" s="75">
        <f t="shared" ref="N52:N83" si="8">1/M52</f>
        <v>0.25</v>
      </c>
      <c r="O52" s="311">
        <v>0.05</v>
      </c>
      <c r="P52" s="265">
        <f>'Input data'!B$92*O52</f>
        <v>7.9414988177777772</v>
      </c>
      <c r="Q52" s="76">
        <f t="shared" ref="Q52:Q83" si="9">D52*(G52*O52)</f>
        <v>0.89590200000000009</v>
      </c>
      <c r="R52" s="76">
        <f t="shared" ref="R52:R83" si="10">I52*O52+H52*O52*0.2</f>
        <v>1.3271222999999999</v>
      </c>
      <c r="S52" s="76">
        <f>IF(C52="Yes",'Input data'!$E$47*'Input data'!$B$51*O52,'Input data'!$E$47*'Input data'!$B$49*O52)</f>
        <v>1.6013085333333335</v>
      </c>
      <c r="T52" s="76">
        <f>'Other Maintenance'!$B$94*'Maintenance Costs'!O64</f>
        <v>0.17845670326822294</v>
      </c>
      <c r="U52" s="264">
        <f>'Input data'!$B$112</f>
        <v>2.9565521226700353</v>
      </c>
      <c r="V52" s="240">
        <f t="shared" ref="V52:V83" si="11">SUM(P52:U52)</f>
        <v>14.900840477049368</v>
      </c>
      <c r="W52" s="76">
        <f>'Input data'!$C$15*'Maintenance Costs'!N64</f>
        <v>9.75</v>
      </c>
      <c r="X52" s="76">
        <f t="shared" ref="X52:X83" si="12">D52*(G52+I52)*N52</f>
        <v>8.7323459999999997</v>
      </c>
      <c r="Y52" s="76">
        <f>'Input data'!$B$47*'Maintenance Costs'!N64</f>
        <v>0</v>
      </c>
      <c r="Z52" s="76">
        <f>'Other Maintenance'!$B$94*'Maintenance Costs'!N64</f>
        <v>0.74356959695092895</v>
      </c>
      <c r="AA52" s="76">
        <f>('Input data'!$B$96+'Input data'!$B$97)*'Input data'!$B$76</f>
        <v>0.87776744444444454</v>
      </c>
      <c r="AB52" s="240">
        <f t="shared" ref="AB52:AB83" si="13">SUM(W52:AA52)</f>
        <v>20.103683041395374</v>
      </c>
      <c r="AC52" s="163" t="s">
        <v>905</v>
      </c>
      <c r="AD52" s="311">
        <v>9.5500000000000002E-2</v>
      </c>
      <c r="AE52" s="312">
        <f t="shared" ref="AE52:AE83" si="14">AD52-O52</f>
        <v>4.5499999999999999E-2</v>
      </c>
      <c r="AF52" s="177"/>
      <c r="AG52" s="177"/>
      <c r="AH52" s="177"/>
      <c r="AI52" s="177"/>
      <c r="AJ52" s="177"/>
      <c r="AK52" s="177"/>
      <c r="AL52" s="177"/>
      <c r="AM52" s="177"/>
      <c r="AN52" s="177"/>
      <c r="AO52" s="177"/>
      <c r="AP52" s="177"/>
      <c r="AQ52" s="177"/>
      <c r="AR52" s="177"/>
      <c r="AS52" s="177"/>
      <c r="AT52" s="177"/>
      <c r="AU52" s="177"/>
      <c r="AV52" s="177"/>
      <c r="AW52" s="177"/>
      <c r="AX52" s="177"/>
    </row>
    <row r="53" spans="1:50" s="178" customFormat="1" x14ac:dyDescent="0.2">
      <c r="A53" s="72" t="s">
        <v>152</v>
      </c>
      <c r="B53" s="73">
        <f>VLOOKUP(LEFT(A53,7),'Tariff Schedule Lookup Table'!A$8:D$143,3,FALSE)</f>
        <v>9</v>
      </c>
      <c r="C53" s="236" t="s">
        <v>890</v>
      </c>
      <c r="D53" s="74">
        <v>1</v>
      </c>
      <c r="E53" s="74">
        <v>48</v>
      </c>
      <c r="F53" s="74" t="s">
        <v>240</v>
      </c>
      <c r="G53" s="106">
        <f>VLOOKUP(F53,'Lamp Stock'!A$14:H$48,4,FALSE)</f>
        <v>4.1017199999999994</v>
      </c>
      <c r="H53" s="106">
        <f>VLOOKUP(F53,'Lamp Stock'!A$14:G$48,6,FALSE)</f>
        <v>25.319593739999998</v>
      </c>
      <c r="I53" s="106">
        <f>VLOOKUP(F53,'Lamp Stock'!A$14:H$48,8,FALSE)</f>
        <v>0.47493599999999997</v>
      </c>
      <c r="J53" s="262">
        <v>0.35</v>
      </c>
      <c r="K53" s="262">
        <v>0.1</v>
      </c>
      <c r="L53" s="262">
        <v>0.2</v>
      </c>
      <c r="M53" s="74">
        <v>4</v>
      </c>
      <c r="N53" s="75">
        <f t="shared" si="8"/>
        <v>0.25</v>
      </c>
      <c r="O53" s="311">
        <v>0.06</v>
      </c>
      <c r="P53" s="265">
        <f>'Input data'!B$92*O53</f>
        <v>9.529798581333333</v>
      </c>
      <c r="Q53" s="76">
        <f t="shared" si="9"/>
        <v>0.24610319999999997</v>
      </c>
      <c r="R53" s="76">
        <f t="shared" si="10"/>
        <v>0.33233128487999997</v>
      </c>
      <c r="S53" s="76">
        <f>IF(C53="Yes",'Input data'!$E$47*'Input data'!$B$51*O53,'Input data'!$E$47*'Input data'!$B$49*O53)</f>
        <v>1.9215702399999999</v>
      </c>
      <c r="T53" s="76">
        <f>'Other Maintenance'!$B$94*'Maintenance Costs'!O20</f>
        <v>0.17845670326822294</v>
      </c>
      <c r="U53" s="76">
        <f>'Input data'!$B$112</f>
        <v>2.9565521226700353</v>
      </c>
      <c r="V53" s="240">
        <f t="shared" si="11"/>
        <v>15.164812132151592</v>
      </c>
      <c r="W53" s="76">
        <f>'Input data'!$C$15*'Maintenance Costs'!N20</f>
        <v>9.75</v>
      </c>
      <c r="X53" s="76">
        <f t="shared" si="12"/>
        <v>1.1441639999999997</v>
      </c>
      <c r="Y53" s="76">
        <f>'Input data'!$B$47*'Maintenance Costs'!N20</f>
        <v>0</v>
      </c>
      <c r="Z53" s="76">
        <f>'Other Maintenance'!$B$94*'Maintenance Costs'!N20</f>
        <v>0.74356959695092895</v>
      </c>
      <c r="AA53" s="76">
        <f>('Input data'!$B$96+'Input data'!$B$97)*'Input data'!$B$76</f>
        <v>0.87776744444444454</v>
      </c>
      <c r="AB53" s="240">
        <f t="shared" si="13"/>
        <v>12.515501041395373</v>
      </c>
      <c r="AC53" s="163" t="str">
        <f>LEFT(A53,3)</f>
        <v>FLU</v>
      </c>
      <c r="AD53" s="311">
        <v>7.6960402044883455E-2</v>
      </c>
      <c r="AE53" s="312">
        <f t="shared" si="14"/>
        <v>1.6960402044883457E-2</v>
      </c>
      <c r="AF53" s="177"/>
      <c r="AG53" s="177"/>
      <c r="AH53" s="177"/>
      <c r="AI53" s="177"/>
      <c r="AJ53" s="177"/>
      <c r="AK53" s="177"/>
      <c r="AL53" s="177"/>
      <c r="AM53" s="177"/>
      <c r="AN53" s="177"/>
      <c r="AO53" s="177"/>
      <c r="AP53" s="177"/>
      <c r="AQ53" s="177"/>
      <c r="AR53" s="177"/>
      <c r="AS53" s="177"/>
      <c r="AT53" s="177"/>
      <c r="AU53" s="177"/>
      <c r="AV53" s="177"/>
      <c r="AW53" s="177"/>
      <c r="AX53" s="177"/>
    </row>
    <row r="54" spans="1:50" s="178" customFormat="1" ht="13.5" customHeight="1" x14ac:dyDescent="0.2">
      <c r="A54" s="72" t="s">
        <v>192</v>
      </c>
      <c r="B54" s="73" t="str">
        <f>VLOOKUP(LEFT(A54,7),'Tariff Schedule Lookup Table'!A$8:D$143,3,FALSE)</f>
        <v>2x400</v>
      </c>
      <c r="C54" s="236" t="s">
        <v>891</v>
      </c>
      <c r="D54" s="74">
        <v>2</v>
      </c>
      <c r="E54" s="74">
        <v>45</v>
      </c>
      <c r="F54" s="74" t="s">
        <v>285</v>
      </c>
      <c r="G54" s="106">
        <f>VLOOKUP(F54,'Lamp Stock'!A$14:H$48,4,FALSE)</f>
        <v>28.701245999999998</v>
      </c>
      <c r="H54" s="106">
        <f>VLOOKUP(F54,'Lamp Stock'!A$14:G$48,6,FALSE)</f>
        <v>65.541167999999999</v>
      </c>
      <c r="I54" s="106">
        <f>VLOOKUP(F54,'Lamp Stock'!A$14:H$48,8,FALSE)</f>
        <v>17.011343999999998</v>
      </c>
      <c r="J54" s="262">
        <v>0.2</v>
      </c>
      <c r="K54" s="262">
        <v>0.1</v>
      </c>
      <c r="L54" s="262">
        <v>0.2</v>
      </c>
      <c r="M54" s="74">
        <v>4</v>
      </c>
      <c r="N54" s="75">
        <f t="shared" si="8"/>
        <v>0.25</v>
      </c>
      <c r="O54" s="311">
        <v>0.05</v>
      </c>
      <c r="P54" s="265">
        <f>'Input data'!B$92*O54</f>
        <v>7.9414988177777772</v>
      </c>
      <c r="Q54" s="76">
        <f t="shared" si="9"/>
        <v>2.8701246</v>
      </c>
      <c r="R54" s="76">
        <f t="shared" si="10"/>
        <v>1.50597888</v>
      </c>
      <c r="S54" s="76">
        <f>IF(C54="Yes",'Input data'!$E$47*'Input data'!$B$51*O54,'Input data'!$E$47*'Input data'!$B$49*O54)</f>
        <v>12.810468266666668</v>
      </c>
      <c r="T54" s="76">
        <f>'Other Maintenance'!$B$94*'Maintenance Costs'!O74</f>
        <v>1.6655958971700809E-2</v>
      </c>
      <c r="U54" s="264">
        <f>'Input data'!$B$112</f>
        <v>2.9565521226700353</v>
      </c>
      <c r="V54" s="240">
        <f t="shared" si="11"/>
        <v>28.101278646086183</v>
      </c>
      <c r="W54" s="76">
        <f>'Input data'!$C$15*'Maintenance Costs'!N74</f>
        <v>9.75</v>
      </c>
      <c r="X54" s="76">
        <f t="shared" si="12"/>
        <v>22.856294999999996</v>
      </c>
      <c r="Y54" s="76">
        <f>'Input data'!$B$47*'Maintenance Costs'!N74</f>
        <v>0</v>
      </c>
      <c r="Z54" s="76">
        <f>'Other Maintenance'!$B$94*'Maintenance Costs'!N74</f>
        <v>0.74356959695092895</v>
      </c>
      <c r="AA54" s="76">
        <f>('Input data'!$B$96+'Input data'!$B$97)*'Input data'!$B$76</f>
        <v>0.87776744444444454</v>
      </c>
      <c r="AB54" s="240">
        <f t="shared" si="13"/>
        <v>34.227632041395367</v>
      </c>
      <c r="AC54" s="163" t="s">
        <v>905</v>
      </c>
      <c r="AD54" s="311">
        <v>9.5500000000000002E-2</v>
      </c>
      <c r="AE54" s="312">
        <f t="shared" si="14"/>
        <v>4.5499999999999999E-2</v>
      </c>
      <c r="AF54" s="177"/>
      <c r="AG54" s="177"/>
      <c r="AH54" s="177"/>
      <c r="AI54" s="177"/>
      <c r="AJ54" s="177"/>
      <c r="AK54" s="177"/>
      <c r="AL54" s="177"/>
      <c r="AM54" s="177"/>
      <c r="AN54" s="177"/>
      <c r="AO54" s="177"/>
      <c r="AP54" s="177"/>
      <c r="AQ54" s="177"/>
      <c r="AR54" s="177"/>
      <c r="AS54" s="177"/>
      <c r="AT54" s="177"/>
      <c r="AU54" s="177"/>
      <c r="AV54" s="177"/>
      <c r="AW54" s="177"/>
      <c r="AX54" s="177"/>
    </row>
    <row r="55" spans="1:50" s="178" customFormat="1" ht="13.5" customHeight="1" x14ac:dyDescent="0.2">
      <c r="A55" s="72" t="s">
        <v>214</v>
      </c>
      <c r="B55" s="73">
        <f>VLOOKUP(LEFT(A55,7),'Tariff Schedule Lookup Table'!A$8:D$143,3,FALSE)</f>
        <v>135</v>
      </c>
      <c r="C55" s="236" t="s">
        <v>890</v>
      </c>
      <c r="D55" s="74">
        <v>1</v>
      </c>
      <c r="E55" s="74">
        <v>45</v>
      </c>
      <c r="F55" s="74" t="s">
        <v>316</v>
      </c>
      <c r="G55" s="106">
        <f>VLOOKUP(F55,'Lamp Stock'!A$14:H$48,4,FALSE)</f>
        <v>38.3187</v>
      </c>
      <c r="H55" s="106">
        <f>VLOOKUP(F55,'Lamp Stock'!A$14:G$48,6,FALSE)</f>
        <v>79.551779999999994</v>
      </c>
      <c r="I55" s="106">
        <f>VLOOKUP(F55,'Lamp Stock'!A$14:H$48,8,FALSE)</f>
        <v>21.005123999999999</v>
      </c>
      <c r="J55" s="262">
        <v>0.25</v>
      </c>
      <c r="K55" s="262">
        <v>0.1</v>
      </c>
      <c r="L55" s="262">
        <v>0.2</v>
      </c>
      <c r="M55" s="74">
        <v>4</v>
      </c>
      <c r="N55" s="75">
        <f t="shared" si="8"/>
        <v>0.25</v>
      </c>
      <c r="O55" s="311">
        <v>0.06</v>
      </c>
      <c r="P55" s="265">
        <f>'Input data'!B$92*O55</f>
        <v>9.529798581333333</v>
      </c>
      <c r="Q55" s="76">
        <f t="shared" si="9"/>
        <v>2.2991220000000001</v>
      </c>
      <c r="R55" s="76">
        <f t="shared" si="10"/>
        <v>2.2149288</v>
      </c>
      <c r="S55" s="76">
        <f>IF(C55="Yes",'Input data'!$E$47*'Input data'!$B$51*O55,'Input data'!$E$47*'Input data'!$B$49*O55)</f>
        <v>1.9215702399999999</v>
      </c>
      <c r="T55" s="76">
        <f>'Other Maintenance'!$B$94*'Maintenance Costs'!O122</f>
        <v>0.11897113551214863</v>
      </c>
      <c r="U55" s="264">
        <f>'Input data'!$B$112</f>
        <v>2.9565521226700353</v>
      </c>
      <c r="V55" s="240">
        <f t="shared" si="11"/>
        <v>19.040942879515519</v>
      </c>
      <c r="W55" s="76">
        <f>'Input data'!$C$15*'Maintenance Costs'!N122</f>
        <v>9.75</v>
      </c>
      <c r="X55" s="76">
        <f t="shared" si="12"/>
        <v>14.830956</v>
      </c>
      <c r="Y55" s="76">
        <f>'Input data'!$B$47*'Maintenance Costs'!N122</f>
        <v>0</v>
      </c>
      <c r="Z55" s="76">
        <f>'Other Maintenance'!$B$94*'Maintenance Costs'!N122</f>
        <v>0.74356959695092895</v>
      </c>
      <c r="AA55" s="76">
        <f>('Input data'!$B$96+'Input data'!$B$97)*'Input data'!$B$76</f>
        <v>0.87776744444444454</v>
      </c>
      <c r="AB55" s="240">
        <f t="shared" si="13"/>
        <v>26.202293041395375</v>
      </c>
      <c r="AC55" s="163" t="str">
        <f>LEFT(A55,3)</f>
        <v>LPS</v>
      </c>
      <c r="AD55" s="311">
        <v>0.1076</v>
      </c>
      <c r="AE55" s="312">
        <f t="shared" si="14"/>
        <v>4.7600000000000003E-2</v>
      </c>
      <c r="AF55" s="177"/>
      <c r="AG55" s="177"/>
      <c r="AH55" s="177"/>
      <c r="AI55" s="177"/>
      <c r="AJ55" s="177"/>
      <c r="AK55" s="177"/>
      <c r="AL55" s="177"/>
      <c r="AM55" s="177"/>
      <c r="AN55" s="177"/>
      <c r="AO55" s="177"/>
      <c r="AP55" s="177"/>
      <c r="AQ55" s="177"/>
      <c r="AR55" s="177"/>
      <c r="AS55" s="177"/>
      <c r="AT55" s="177"/>
      <c r="AU55" s="177"/>
      <c r="AV55" s="177"/>
      <c r="AW55" s="177"/>
      <c r="AX55" s="177"/>
    </row>
    <row r="56" spans="1:50" s="178" customFormat="1" ht="12.75" customHeight="1" x14ac:dyDescent="0.2">
      <c r="A56" s="72" t="s">
        <v>155</v>
      </c>
      <c r="B56" s="73">
        <f>VLOOKUP(LEFT(A56,7),'Tariff Schedule Lookup Table'!A$8:D$143,3,FALSE)</f>
        <v>15</v>
      </c>
      <c r="C56" s="236" t="s">
        <v>890</v>
      </c>
      <c r="D56" s="74">
        <v>1</v>
      </c>
      <c r="E56" s="74">
        <v>43</v>
      </c>
      <c r="F56" s="74" t="s">
        <v>240</v>
      </c>
      <c r="G56" s="106">
        <f>VLOOKUP(F56,'Lamp Stock'!A$14:H$48,4,FALSE)</f>
        <v>4.1017199999999994</v>
      </c>
      <c r="H56" s="106">
        <f>VLOOKUP(F56,'Lamp Stock'!A$14:G$48,6,FALSE)</f>
        <v>25.319593739999998</v>
      </c>
      <c r="I56" s="106">
        <f>VLOOKUP(F56,'Lamp Stock'!A$14:H$48,8,FALSE)</f>
        <v>0.47493599999999997</v>
      </c>
      <c r="J56" s="262">
        <v>0.35</v>
      </c>
      <c r="K56" s="262">
        <v>0.1</v>
      </c>
      <c r="L56" s="262">
        <v>0.2</v>
      </c>
      <c r="M56" s="74">
        <v>4</v>
      </c>
      <c r="N56" s="75">
        <f t="shared" si="8"/>
        <v>0.25</v>
      </c>
      <c r="O56" s="311">
        <v>0.06</v>
      </c>
      <c r="P56" s="265">
        <f>'Input data'!B$92*O56</f>
        <v>9.529798581333333</v>
      </c>
      <c r="Q56" s="76">
        <f t="shared" si="9"/>
        <v>0.24610319999999997</v>
      </c>
      <c r="R56" s="76">
        <f t="shared" si="10"/>
        <v>0.33233128487999997</v>
      </c>
      <c r="S56" s="76">
        <f>IF(C56="Yes",'Input data'!$E$47*'Input data'!$B$51*O56,'Input data'!$E$47*'Input data'!$B$49*O56)</f>
        <v>1.9215702399999999</v>
      </c>
      <c r="T56" s="76">
        <f>'Other Maintenance'!$B$94*'Maintenance Costs'!O23</f>
        <v>0.11897113551214863</v>
      </c>
      <c r="U56" s="264">
        <f>'Input data'!$B$112</f>
        <v>2.9565521226700353</v>
      </c>
      <c r="V56" s="240">
        <f t="shared" si="11"/>
        <v>15.105326564395519</v>
      </c>
      <c r="W56" s="76">
        <f>'Input data'!$C$15*'Maintenance Costs'!N23</f>
        <v>9.75</v>
      </c>
      <c r="X56" s="76">
        <f t="shared" si="12"/>
        <v>1.1441639999999997</v>
      </c>
      <c r="Y56" s="76">
        <f>'Input data'!$B$47*'Maintenance Costs'!N23</f>
        <v>0</v>
      </c>
      <c r="Z56" s="76">
        <f>'Other Maintenance'!$B$94*'Maintenance Costs'!N23</f>
        <v>0.74356959695092895</v>
      </c>
      <c r="AA56" s="76">
        <f>('Input data'!$B$96+'Input data'!$B$97)*'Input data'!$B$76</f>
        <v>0.87776744444444454</v>
      </c>
      <c r="AB56" s="240">
        <f t="shared" si="13"/>
        <v>12.515501041395373</v>
      </c>
      <c r="AC56" s="163" t="str">
        <f>LEFT(A56,3)</f>
        <v>FLU</v>
      </c>
      <c r="AD56" s="311">
        <v>7.6960402044883455E-2</v>
      </c>
      <c r="AE56" s="312">
        <f t="shared" si="14"/>
        <v>1.6960402044883457E-2</v>
      </c>
      <c r="AF56" s="177"/>
      <c r="AG56" s="177"/>
      <c r="AH56" s="177"/>
      <c r="AI56" s="177"/>
      <c r="AJ56" s="177"/>
      <c r="AK56" s="177"/>
      <c r="AL56" s="177"/>
      <c r="AM56" s="177"/>
      <c r="AN56" s="177"/>
      <c r="AO56" s="177"/>
      <c r="AP56" s="177"/>
      <c r="AQ56" s="177"/>
      <c r="AR56" s="177"/>
      <c r="AS56" s="177"/>
      <c r="AT56" s="177"/>
      <c r="AU56" s="177"/>
      <c r="AV56" s="177"/>
      <c r="AW56" s="177"/>
      <c r="AX56" s="177"/>
    </row>
    <row r="57" spans="1:50" s="178" customFormat="1" x14ac:dyDescent="0.2">
      <c r="A57" s="72" t="s">
        <v>191</v>
      </c>
      <c r="B57" s="73">
        <f>VLOOKUP(LEFT(A57,7),'Tariff Schedule Lookup Table'!A$8:D$143,3,FALSE)</f>
        <v>400</v>
      </c>
      <c r="C57" s="236" t="s">
        <v>891</v>
      </c>
      <c r="D57" s="74">
        <v>1</v>
      </c>
      <c r="E57" s="74">
        <v>33</v>
      </c>
      <c r="F57" s="74" t="s">
        <v>191</v>
      </c>
      <c r="G57" s="106">
        <f>VLOOKUP(F57,'Lamp Stock'!A$14:H$48,4,FALSE)</f>
        <v>65.735459999999989</v>
      </c>
      <c r="H57" s="106">
        <f>VLOOKUP(F57,'Lamp Stock'!A$14:G$48,6,FALSE)</f>
        <v>65.541167999999999</v>
      </c>
      <c r="I57" s="106">
        <f>VLOOKUP(F57,'Lamp Stock'!A$14:H$48,8,FALSE)</f>
        <v>17.011343999999998</v>
      </c>
      <c r="J57" s="262">
        <v>0.12</v>
      </c>
      <c r="K57" s="262">
        <v>0.1</v>
      </c>
      <c r="L57" s="262">
        <v>0.2</v>
      </c>
      <c r="M57" s="74">
        <v>4</v>
      </c>
      <c r="N57" s="75">
        <f t="shared" si="8"/>
        <v>0.25</v>
      </c>
      <c r="O57" s="311">
        <v>0.05</v>
      </c>
      <c r="P57" s="265">
        <f>'Input data'!B$92*O57</f>
        <v>7.9414988177777772</v>
      </c>
      <c r="Q57" s="76">
        <f t="shared" si="9"/>
        <v>3.2867729999999997</v>
      </c>
      <c r="R57" s="76">
        <f t="shared" si="10"/>
        <v>1.50597888</v>
      </c>
      <c r="S57" s="76">
        <f>IF(C57="Yes",'Input data'!$E$47*'Input data'!$B$51*O57,'Input data'!$E$47*'Input data'!$B$49*O57)</f>
        <v>12.810468266666668</v>
      </c>
      <c r="T57" s="76">
        <f>'Other Maintenance'!$B$94*'Maintenance Costs'!O98</f>
        <v>0.11897113551214863</v>
      </c>
      <c r="U57" s="264">
        <f>'Input data'!$B$112</f>
        <v>2.9565521226700353</v>
      </c>
      <c r="V57" s="240">
        <f t="shared" si="11"/>
        <v>28.620242222626629</v>
      </c>
      <c r="W57" s="76">
        <f>'Input data'!$C$15*'Maintenance Costs'!N98</f>
        <v>9.75</v>
      </c>
      <c r="X57" s="76">
        <f t="shared" si="12"/>
        <v>20.686700999999996</v>
      </c>
      <c r="Y57" s="76">
        <f>'Input data'!$B$47*'Maintenance Costs'!N98</f>
        <v>0</v>
      </c>
      <c r="Z57" s="76">
        <f>'Other Maintenance'!$B$94*'Maintenance Costs'!N98</f>
        <v>0.74356959695092895</v>
      </c>
      <c r="AA57" s="76">
        <f>('Input data'!$B$96+'Input data'!$B$97)*'Input data'!$B$76</f>
        <v>0.87776744444444454</v>
      </c>
      <c r="AB57" s="240">
        <f t="shared" si="13"/>
        <v>32.05803804139537</v>
      </c>
      <c r="AC57" s="163" t="s">
        <v>906</v>
      </c>
      <c r="AD57" s="311">
        <v>7.2499999999999995E-2</v>
      </c>
      <c r="AE57" s="312">
        <f t="shared" si="14"/>
        <v>2.2499999999999992E-2</v>
      </c>
      <c r="AF57" s="177"/>
      <c r="AG57" s="177"/>
      <c r="AH57" s="177"/>
      <c r="AI57" s="177"/>
      <c r="AJ57" s="177"/>
      <c r="AK57" s="177"/>
      <c r="AL57" s="177"/>
      <c r="AM57" s="177"/>
      <c r="AN57" s="177"/>
      <c r="AO57" s="177"/>
      <c r="AP57" s="177"/>
      <c r="AQ57" s="177"/>
      <c r="AR57" s="177"/>
      <c r="AS57" s="177"/>
      <c r="AT57" s="177"/>
      <c r="AU57" s="177"/>
      <c r="AV57" s="177"/>
      <c r="AW57" s="177"/>
      <c r="AX57" s="177"/>
    </row>
    <row r="58" spans="1:50" s="178" customFormat="1" x14ac:dyDescent="0.2">
      <c r="A58" s="72" t="s">
        <v>200</v>
      </c>
      <c r="B58" s="73">
        <f>VLOOKUP(LEFT(A58,7),'Tariff Schedule Lookup Table'!A$8:D$143,3,FALSE)</f>
        <v>75</v>
      </c>
      <c r="C58" s="236" t="s">
        <v>890</v>
      </c>
      <c r="D58" s="74">
        <v>1</v>
      </c>
      <c r="E58" s="74">
        <v>32</v>
      </c>
      <c r="F58" s="74" t="s">
        <v>297</v>
      </c>
      <c r="G58" s="106">
        <f>VLOOKUP(F58,'Lamp Stock'!A$14:H$48,4,FALSE)</f>
        <v>1.1873400000000001</v>
      </c>
      <c r="H58" s="106">
        <f>VLOOKUP(F58,'Lamp Stock'!A$14:G$48,6,FALSE)</f>
        <v>0</v>
      </c>
      <c r="I58" s="106">
        <f>VLOOKUP(F58,'Lamp Stock'!A$14:H$48,8,FALSE)</f>
        <v>0</v>
      </c>
      <c r="J58" s="262">
        <v>0.5</v>
      </c>
      <c r="K58" s="262">
        <v>0.1</v>
      </c>
      <c r="L58" s="262">
        <v>0.2</v>
      </c>
      <c r="M58" s="74">
        <v>4</v>
      </c>
      <c r="N58" s="75">
        <f t="shared" si="8"/>
        <v>0.25</v>
      </c>
      <c r="O58" s="311">
        <v>5.5999999999999999E-3</v>
      </c>
      <c r="P58" s="265">
        <f>'Input data'!B$92*O58</f>
        <v>0.88944786759111105</v>
      </c>
      <c r="Q58" s="76">
        <f t="shared" si="9"/>
        <v>6.6491040000000003E-3</v>
      </c>
      <c r="R58" s="76">
        <f t="shared" si="10"/>
        <v>0</v>
      </c>
      <c r="S58" s="76">
        <f>IF(C58="Yes",'Input data'!$E$47*'Input data'!$B$51*O58,'Input data'!$E$47*'Input data'!$B$49*O58)</f>
        <v>0.17934655573333333</v>
      </c>
      <c r="T58" s="76">
        <f>'Other Maintenance'!$B$94*'Maintenance Costs'!O104</f>
        <v>0.11897113551214863</v>
      </c>
      <c r="U58" s="264">
        <f>'Input data'!$B$112</f>
        <v>2.9565521226700353</v>
      </c>
      <c r="V58" s="240">
        <f t="shared" si="11"/>
        <v>4.1509667855066281</v>
      </c>
      <c r="W58" s="76">
        <f>'Input data'!$C$15*'Maintenance Costs'!N104</f>
        <v>9.75</v>
      </c>
      <c r="X58" s="76">
        <f t="shared" si="12"/>
        <v>0.29683500000000002</v>
      </c>
      <c r="Y58" s="76">
        <f>'Input data'!$B$47*'Maintenance Costs'!N104</f>
        <v>0</v>
      </c>
      <c r="Z58" s="76">
        <f>'Other Maintenance'!$B$94*'Maintenance Costs'!N104</f>
        <v>0.74356959695092895</v>
      </c>
      <c r="AA58" s="76">
        <f>('Input data'!$B$96+'Input data'!$B$97)*'Input data'!$B$76</f>
        <v>0.87776744444444454</v>
      </c>
      <c r="AB58" s="240">
        <f t="shared" si="13"/>
        <v>11.668172041395373</v>
      </c>
      <c r="AC58" s="163" t="str">
        <f>LEFT(A58,3)</f>
        <v>INC</v>
      </c>
      <c r="AD58" s="311">
        <v>5.5999999999999999E-3</v>
      </c>
      <c r="AE58" s="312">
        <f t="shared" si="14"/>
        <v>0</v>
      </c>
      <c r="AF58" s="177"/>
      <c r="AG58" s="177"/>
      <c r="AH58" s="177"/>
      <c r="AI58" s="177"/>
      <c r="AJ58" s="177"/>
      <c r="AK58" s="177"/>
      <c r="AL58" s="177"/>
      <c r="AM58" s="177"/>
      <c r="AN58" s="177"/>
      <c r="AO58" s="177"/>
      <c r="AP58" s="177"/>
      <c r="AQ58" s="177"/>
      <c r="AR58" s="177"/>
      <c r="AS58" s="177"/>
      <c r="AT58" s="177"/>
      <c r="AU58" s="177"/>
      <c r="AV58" s="177"/>
      <c r="AW58" s="177"/>
      <c r="AX58" s="177"/>
    </row>
    <row r="59" spans="1:50" s="178" customFormat="1" x14ac:dyDescent="0.2">
      <c r="A59" s="72" t="s">
        <v>201</v>
      </c>
      <c r="B59" s="73">
        <f>VLOOKUP(LEFT(A59,7),'Tariff Schedule Lookup Table'!A$8:D$143,3,FALSE)</f>
        <v>100</v>
      </c>
      <c r="C59" s="236" t="s">
        <v>890</v>
      </c>
      <c r="D59" s="74">
        <v>1</v>
      </c>
      <c r="E59" s="74">
        <v>30</v>
      </c>
      <c r="F59" s="74" t="s">
        <v>297</v>
      </c>
      <c r="G59" s="106">
        <f>VLOOKUP(F59,'Lamp Stock'!A$14:H$48,4,FALSE)</f>
        <v>1.1873400000000001</v>
      </c>
      <c r="H59" s="106">
        <f>VLOOKUP(F59,'Lamp Stock'!A$14:G$48,6,FALSE)</f>
        <v>0</v>
      </c>
      <c r="I59" s="106">
        <f>VLOOKUP(F59,'Lamp Stock'!A$14:H$48,8,FALSE)</f>
        <v>0</v>
      </c>
      <c r="J59" s="262">
        <v>0.5</v>
      </c>
      <c r="K59" s="262">
        <v>0.1</v>
      </c>
      <c r="L59" s="262">
        <v>0.2</v>
      </c>
      <c r="M59" s="74">
        <v>4</v>
      </c>
      <c r="N59" s="75">
        <f t="shared" si="8"/>
        <v>0.25</v>
      </c>
      <c r="O59" s="311">
        <v>5.5999999999999999E-3</v>
      </c>
      <c r="P59" s="265">
        <f>'Input data'!B$92*O59</f>
        <v>0.88944786759111105</v>
      </c>
      <c r="Q59" s="76">
        <f t="shared" si="9"/>
        <v>6.6491040000000003E-3</v>
      </c>
      <c r="R59" s="76">
        <f t="shared" si="10"/>
        <v>0</v>
      </c>
      <c r="S59" s="76">
        <f>IF(C59="Yes",'Input data'!$E$47*'Input data'!$B$51*O59,'Input data'!$E$47*'Input data'!$B$49*O59)</f>
        <v>0.17934655573333333</v>
      </c>
      <c r="T59" s="76">
        <f>'Other Maintenance'!$B$94*'Maintenance Costs'!O105</f>
        <v>0.11897113551214863</v>
      </c>
      <c r="U59" s="264">
        <f>'Input data'!$B$112</f>
        <v>2.9565521226700353</v>
      </c>
      <c r="V59" s="240">
        <f t="shared" si="11"/>
        <v>4.1509667855066281</v>
      </c>
      <c r="W59" s="76">
        <f>'Input data'!$C$15*'Maintenance Costs'!N105</f>
        <v>9.75</v>
      </c>
      <c r="X59" s="76">
        <f t="shared" si="12"/>
        <v>0.29683500000000002</v>
      </c>
      <c r="Y59" s="76">
        <f>'Input data'!$B$47*'Maintenance Costs'!N105</f>
        <v>0</v>
      </c>
      <c r="Z59" s="76">
        <f>'Other Maintenance'!$B$94*'Maintenance Costs'!N105</f>
        <v>0.74356959695092895</v>
      </c>
      <c r="AA59" s="76">
        <f>('Input data'!$B$96+'Input data'!$B$97)*'Input data'!$B$76</f>
        <v>0.87776744444444454</v>
      </c>
      <c r="AB59" s="240">
        <f t="shared" si="13"/>
        <v>11.668172041395373</v>
      </c>
      <c r="AC59" s="163" t="str">
        <f>LEFT(A59,3)</f>
        <v>INC</v>
      </c>
      <c r="AD59" s="311">
        <v>5.5999999999999999E-3</v>
      </c>
      <c r="AE59" s="312">
        <f t="shared" si="14"/>
        <v>0</v>
      </c>
      <c r="AF59" s="177"/>
      <c r="AG59" s="177"/>
      <c r="AH59" s="177"/>
      <c r="AI59" s="177"/>
      <c r="AJ59" s="177"/>
      <c r="AK59" s="177"/>
      <c r="AL59" s="177"/>
      <c r="AM59" s="177"/>
      <c r="AN59" s="177"/>
      <c r="AO59" s="177"/>
      <c r="AP59" s="177"/>
      <c r="AQ59" s="177"/>
      <c r="AR59" s="177"/>
      <c r="AS59" s="177"/>
      <c r="AT59" s="177"/>
      <c r="AU59" s="177"/>
      <c r="AV59" s="177"/>
      <c r="AW59" s="177"/>
      <c r="AX59" s="177"/>
    </row>
    <row r="60" spans="1:50" s="178" customFormat="1" x14ac:dyDescent="0.2">
      <c r="A60" s="72" t="s">
        <v>445</v>
      </c>
      <c r="B60" s="73">
        <f>VLOOKUP(LEFT(A60,7),'Tariff Schedule Lookup Table'!A$8:D$143,3,FALSE)</f>
        <v>175</v>
      </c>
      <c r="C60" s="236" t="s">
        <v>891</v>
      </c>
      <c r="D60" s="74">
        <v>1</v>
      </c>
      <c r="E60" s="74">
        <v>29</v>
      </c>
      <c r="F60" s="74" t="s">
        <v>329</v>
      </c>
      <c r="G60" s="106">
        <f>VLOOKUP(F60,'Lamp Stock'!A$14:H$48,4,FALSE)</f>
        <v>40.952435999999992</v>
      </c>
      <c r="H60" s="106">
        <f>VLOOKUP(F60,'Lamp Stock'!A$14:G$48,6,FALSE)</f>
        <v>54.833519999999993</v>
      </c>
      <c r="I60" s="106">
        <f>VLOOKUP(F60,'Lamp Stock'!A$14:H$48,8,FALSE)</f>
        <v>17.011343999999998</v>
      </c>
      <c r="J60" s="262">
        <v>0.28000000000000003</v>
      </c>
      <c r="K60" s="262">
        <v>0.1</v>
      </c>
      <c r="L60" s="262">
        <v>0.2</v>
      </c>
      <c r="M60" s="74">
        <v>4</v>
      </c>
      <c r="N60" s="75">
        <f t="shared" si="8"/>
        <v>0.25</v>
      </c>
      <c r="O60" s="311">
        <v>0.04</v>
      </c>
      <c r="P60" s="265">
        <f>'Input data'!B$92*O60</f>
        <v>6.3531990542222223</v>
      </c>
      <c r="Q60" s="76">
        <f t="shared" si="9"/>
        <v>1.6380974399999997</v>
      </c>
      <c r="R60" s="76">
        <f t="shared" si="10"/>
        <v>1.11912192</v>
      </c>
      <c r="S60" s="76">
        <f>IF(C60="Yes",'Input data'!$E$47*'Input data'!$B$51*O60,'Input data'!$E$47*'Input data'!$B$49*O60)</f>
        <v>10.248374613333333</v>
      </c>
      <c r="T60" s="76">
        <f>'Other Maintenance'!$B$94*'Maintenance Costs'!O134</f>
        <v>1.6655958971700809E-2</v>
      </c>
      <c r="U60" s="264">
        <f>'Input data'!$B$112</f>
        <v>2.9565521226700353</v>
      </c>
      <c r="V60" s="240">
        <f t="shared" si="11"/>
        <v>22.332001109197293</v>
      </c>
      <c r="W60" s="76">
        <f>'Input data'!$C$15*'Maintenance Costs'!N134</f>
        <v>9.75</v>
      </c>
      <c r="X60" s="76">
        <f t="shared" si="12"/>
        <v>14.490944999999996</v>
      </c>
      <c r="Y60" s="76">
        <f>'Input data'!$B$47*'Maintenance Costs'!N134</f>
        <v>0</v>
      </c>
      <c r="Z60" s="76">
        <f>'Other Maintenance'!$B$94*'Maintenance Costs'!N134</f>
        <v>0.74356959695092895</v>
      </c>
      <c r="AA60" s="76">
        <f>('Input data'!$B$96+'Input data'!$B$97)*'Input data'!$B$76</f>
        <v>0.87776744444444454</v>
      </c>
      <c r="AB60" s="240">
        <f t="shared" si="13"/>
        <v>25.862282041395371</v>
      </c>
      <c r="AC60" s="163" t="str">
        <f>LEFT(A60,3)</f>
        <v>MHR</v>
      </c>
      <c r="AD60" s="311">
        <v>5.6500000000000002E-2</v>
      </c>
      <c r="AE60" s="312">
        <f t="shared" si="14"/>
        <v>1.6500000000000001E-2</v>
      </c>
      <c r="AF60" s="177"/>
      <c r="AG60" s="177"/>
      <c r="AH60" s="177"/>
      <c r="AI60" s="177"/>
      <c r="AJ60" s="177"/>
      <c r="AK60" s="177"/>
      <c r="AL60" s="177"/>
      <c r="AM60" s="177"/>
      <c r="AN60" s="177"/>
      <c r="AO60" s="177"/>
      <c r="AP60" s="177"/>
      <c r="AQ60" s="177"/>
      <c r="AR60" s="177"/>
      <c r="AS60" s="177"/>
      <c r="AT60" s="177"/>
      <c r="AU60" s="177"/>
      <c r="AV60" s="177"/>
      <c r="AW60" s="177"/>
      <c r="AX60" s="177"/>
    </row>
    <row r="61" spans="1:50" s="178" customFormat="1" x14ac:dyDescent="0.2">
      <c r="A61" s="72" t="s">
        <v>196</v>
      </c>
      <c r="B61" s="73">
        <f>VLOOKUP(LEFT(A61,7),'Tariff Schedule Lookup Table'!A$8:D$143,3,FALSE)</f>
        <v>1000</v>
      </c>
      <c r="C61" s="236" t="s">
        <v>891</v>
      </c>
      <c r="D61" s="74">
        <v>1</v>
      </c>
      <c r="E61" s="74">
        <v>28</v>
      </c>
      <c r="F61" s="74" t="s">
        <v>333</v>
      </c>
      <c r="G61" s="106">
        <f>VLOOKUP(F61,'Lamp Stock'!A$14:H$48,4,FALSE)</f>
        <v>50.310833999999993</v>
      </c>
      <c r="H61" s="106">
        <f>VLOOKUP(F61,'Lamp Stock'!A$14:G$48,6,FALSE)</f>
        <v>140.322</v>
      </c>
      <c r="I61" s="106">
        <f>VLOOKUP(F61,'Lamp Stock'!A$14:H$48,8,FALSE)</f>
        <v>17.011343999999998</v>
      </c>
      <c r="J61" s="262">
        <v>0.2</v>
      </c>
      <c r="K61" s="262">
        <v>0.1</v>
      </c>
      <c r="L61" s="262">
        <v>0.2</v>
      </c>
      <c r="M61" s="74">
        <v>4</v>
      </c>
      <c r="N61" s="75">
        <f t="shared" si="8"/>
        <v>0.25</v>
      </c>
      <c r="O61" s="311">
        <v>0.05</v>
      </c>
      <c r="P61" s="265">
        <f>'Input data'!B$92*O61</f>
        <v>7.9414988177777772</v>
      </c>
      <c r="Q61" s="76">
        <f t="shared" si="9"/>
        <v>2.5155417</v>
      </c>
      <c r="R61" s="76">
        <f t="shared" si="10"/>
        <v>2.2537872000000001</v>
      </c>
      <c r="S61" s="76">
        <f>IF(C61="Yes",'Input data'!$E$47*'Input data'!$B$51*O61,'Input data'!$E$47*'Input data'!$B$49*O61)</f>
        <v>12.810468266666668</v>
      </c>
      <c r="T61" s="76">
        <f>'Other Maintenance'!$B$94*'Maintenance Costs'!O81</f>
        <v>0.11897113551214863</v>
      </c>
      <c r="U61" s="264">
        <f>'Input data'!$B$112</f>
        <v>2.9565521226700353</v>
      </c>
      <c r="V61" s="240">
        <f t="shared" si="11"/>
        <v>28.596819242626626</v>
      </c>
      <c r="W61" s="76">
        <f>'Input data'!$C$15*'Maintenance Costs'!N81</f>
        <v>9.75</v>
      </c>
      <c r="X61" s="76">
        <f t="shared" si="12"/>
        <v>16.830544499999998</v>
      </c>
      <c r="Y61" s="76">
        <f>'Input data'!$B$47*'Maintenance Costs'!N81</f>
        <v>0</v>
      </c>
      <c r="Z61" s="76">
        <f>'Other Maintenance'!$B$94*'Maintenance Costs'!N81</f>
        <v>0.74356959695092895</v>
      </c>
      <c r="AA61" s="76">
        <f>('Input data'!$B$96+'Input data'!$B$97)*'Input data'!$B$76</f>
        <v>0.87776744444444454</v>
      </c>
      <c r="AB61" s="240">
        <f t="shared" si="13"/>
        <v>28.201881541395373</v>
      </c>
      <c r="AC61" s="163" t="s">
        <v>905</v>
      </c>
      <c r="AD61" s="311">
        <v>9.5500000000000002E-2</v>
      </c>
      <c r="AE61" s="312">
        <f t="shared" si="14"/>
        <v>4.5499999999999999E-2</v>
      </c>
      <c r="AF61" s="177"/>
      <c r="AG61" s="177"/>
      <c r="AH61" s="177"/>
      <c r="AI61" s="177"/>
      <c r="AJ61" s="177"/>
      <c r="AK61" s="177"/>
      <c r="AL61" s="177"/>
      <c r="AM61" s="177"/>
      <c r="AN61" s="177"/>
      <c r="AO61" s="177"/>
      <c r="AP61" s="177"/>
      <c r="AQ61" s="177"/>
      <c r="AR61" s="177"/>
      <c r="AS61" s="177"/>
      <c r="AT61" s="177"/>
      <c r="AU61" s="177"/>
      <c r="AV61" s="177"/>
      <c r="AW61" s="177"/>
      <c r="AX61" s="177"/>
    </row>
    <row r="62" spans="1:50" s="178" customFormat="1" x14ac:dyDescent="0.2">
      <c r="A62" s="72" t="s">
        <v>159</v>
      </c>
      <c r="B62" s="73" t="str">
        <f>VLOOKUP(LEFT(A62,7),'Tariff Schedule Lookup Table'!A$8:D$143,3,FALSE)</f>
        <v>4x20</v>
      </c>
      <c r="C62" s="236" t="s">
        <v>890</v>
      </c>
      <c r="D62" s="74">
        <v>4</v>
      </c>
      <c r="E62" s="74">
        <v>26</v>
      </c>
      <c r="F62" s="74" t="s">
        <v>240</v>
      </c>
      <c r="G62" s="106">
        <f>VLOOKUP(F62,'Lamp Stock'!A$14:H$48,4,FALSE)</f>
        <v>4.1017199999999994</v>
      </c>
      <c r="H62" s="106">
        <f>VLOOKUP(F62,'Lamp Stock'!A$14:G$48,6,FALSE)</f>
        <v>25.319593739999998</v>
      </c>
      <c r="I62" s="106">
        <f>VLOOKUP(F62,'Lamp Stock'!A$14:H$48,8,FALSE)</f>
        <v>0.47493599999999997</v>
      </c>
      <c r="J62" s="262">
        <v>0.35</v>
      </c>
      <c r="K62" s="262">
        <v>0.1</v>
      </c>
      <c r="L62" s="262">
        <v>0.2</v>
      </c>
      <c r="M62" s="74">
        <v>4</v>
      </c>
      <c r="N62" s="75">
        <f t="shared" si="8"/>
        <v>0.25</v>
      </c>
      <c r="O62" s="311">
        <v>0.06</v>
      </c>
      <c r="P62" s="265">
        <f>'Input data'!B$92*O62</f>
        <v>9.529798581333333</v>
      </c>
      <c r="Q62" s="76">
        <f t="shared" si="9"/>
        <v>0.98441279999999987</v>
      </c>
      <c r="R62" s="76">
        <f t="shared" si="10"/>
        <v>0.33233128487999997</v>
      </c>
      <c r="S62" s="76">
        <f>IF(C62="Yes",'Input data'!$E$47*'Input data'!$B$51*O62,'Input data'!$E$47*'Input data'!$B$49*O62)</f>
        <v>1.9215702399999999</v>
      </c>
      <c r="T62" s="76">
        <f>'Other Maintenance'!$B$94*'Maintenance Costs'!O27</f>
        <v>0.1487139193901858</v>
      </c>
      <c r="U62" s="264">
        <f>'Input data'!$B$112</f>
        <v>2.9565521226700353</v>
      </c>
      <c r="V62" s="240">
        <f t="shared" si="11"/>
        <v>15.873378948273555</v>
      </c>
      <c r="W62" s="76">
        <f>'Input data'!$C$15*'Maintenance Costs'!N27</f>
        <v>9.75</v>
      </c>
      <c r="X62" s="76">
        <f t="shared" si="12"/>
        <v>4.5766559999999989</v>
      </c>
      <c r="Y62" s="76">
        <f>'Input data'!$B$47*'Maintenance Costs'!N27</f>
        <v>0</v>
      </c>
      <c r="Z62" s="76">
        <f>'Other Maintenance'!$B$94*'Maintenance Costs'!N27</f>
        <v>0.74356959695092895</v>
      </c>
      <c r="AA62" s="76">
        <f>('Input data'!$B$96+'Input data'!$B$97)*'Input data'!$B$76</f>
        <v>0.87776744444444454</v>
      </c>
      <c r="AB62" s="240">
        <f t="shared" si="13"/>
        <v>15.947993041395373</v>
      </c>
      <c r="AC62" s="163" t="str">
        <f>LEFT(A62,3)</f>
        <v>FLU</v>
      </c>
      <c r="AD62" s="311">
        <v>7.6960402044883455E-2</v>
      </c>
      <c r="AE62" s="312">
        <f t="shared" si="14"/>
        <v>1.6960402044883457E-2</v>
      </c>
      <c r="AF62" s="177"/>
      <c r="AG62" s="177"/>
      <c r="AH62" s="177"/>
      <c r="AI62" s="177"/>
      <c r="AJ62" s="177"/>
      <c r="AK62" s="177"/>
      <c r="AL62" s="177"/>
      <c r="AM62" s="177"/>
      <c r="AN62" s="177"/>
      <c r="AO62" s="177"/>
      <c r="AP62" s="177"/>
      <c r="AQ62" s="177"/>
      <c r="AR62" s="177"/>
      <c r="AS62" s="177"/>
      <c r="AT62" s="177"/>
      <c r="AU62" s="177"/>
      <c r="AV62" s="177"/>
      <c r="AW62" s="177"/>
      <c r="AX62" s="177"/>
    </row>
    <row r="63" spans="1:50" s="178" customFormat="1" x14ac:dyDescent="0.2">
      <c r="A63" s="72" t="s">
        <v>203</v>
      </c>
      <c r="B63" s="73">
        <f>VLOOKUP(LEFT(A63,7),'Tariff Schedule Lookup Table'!A$8:D$143,3,FALSE)</f>
        <v>150</v>
      </c>
      <c r="C63" s="236" t="s">
        <v>891</v>
      </c>
      <c r="D63" s="74">
        <v>1</v>
      </c>
      <c r="E63" s="74">
        <v>24</v>
      </c>
      <c r="F63" s="74" t="s">
        <v>297</v>
      </c>
      <c r="G63" s="106">
        <f>VLOOKUP(F63,'Lamp Stock'!A$14:H$48,4,FALSE)</f>
        <v>1.1873400000000001</v>
      </c>
      <c r="H63" s="106">
        <f>VLOOKUP(F63,'Lamp Stock'!A$14:G$48,6,FALSE)</f>
        <v>0</v>
      </c>
      <c r="I63" s="106">
        <f>VLOOKUP(F63,'Lamp Stock'!A$14:H$48,8,FALSE)</f>
        <v>0</v>
      </c>
      <c r="J63" s="262">
        <v>0.5</v>
      </c>
      <c r="K63" s="262">
        <v>0.1</v>
      </c>
      <c r="L63" s="262">
        <v>0.2</v>
      </c>
      <c r="M63" s="74">
        <v>4</v>
      </c>
      <c r="N63" s="75">
        <f t="shared" si="8"/>
        <v>0.25</v>
      </c>
      <c r="O63" s="311">
        <v>5.5999999999999999E-3</v>
      </c>
      <c r="P63" s="265">
        <f>'Input data'!B$92*O63</f>
        <v>0.88944786759111105</v>
      </c>
      <c r="Q63" s="76">
        <f t="shared" si="9"/>
        <v>6.6491040000000003E-3</v>
      </c>
      <c r="R63" s="76">
        <f t="shared" si="10"/>
        <v>0</v>
      </c>
      <c r="S63" s="76">
        <f>IF(C63="Yes",'Input data'!$E$47*'Input data'!$B$51*O63,'Input data'!$E$47*'Input data'!$B$49*O63)</f>
        <v>1.4347724458666666</v>
      </c>
      <c r="T63" s="76">
        <f>'Other Maintenance'!$B$94*'Maintenance Costs'!O108</f>
        <v>0.17845670326822294</v>
      </c>
      <c r="U63" s="264">
        <f>'Input data'!$B$112</f>
        <v>2.9565521226700353</v>
      </c>
      <c r="V63" s="240">
        <f t="shared" si="11"/>
        <v>5.4658782433960358</v>
      </c>
      <c r="W63" s="76">
        <f>'Input data'!$C$15*'Maintenance Costs'!N108</f>
        <v>9.75</v>
      </c>
      <c r="X63" s="76">
        <f t="shared" si="12"/>
        <v>0.29683500000000002</v>
      </c>
      <c r="Y63" s="76">
        <f>'Input data'!$B$47*'Maintenance Costs'!N108</f>
        <v>0</v>
      </c>
      <c r="Z63" s="76">
        <f>'Other Maintenance'!$B$94*'Maintenance Costs'!N108</f>
        <v>0.74356959695092895</v>
      </c>
      <c r="AA63" s="76">
        <f>('Input data'!$B$96+'Input data'!$B$97)*'Input data'!$B$76</f>
        <v>0.87776744444444454</v>
      </c>
      <c r="AB63" s="240">
        <f t="shared" si="13"/>
        <v>11.668172041395373</v>
      </c>
      <c r="AC63" s="163" t="str">
        <f>LEFT(A63,3)</f>
        <v>INC</v>
      </c>
      <c r="AD63" s="311">
        <v>5.5999999999999999E-3</v>
      </c>
      <c r="AE63" s="312">
        <f t="shared" si="14"/>
        <v>0</v>
      </c>
      <c r="AF63" s="177"/>
      <c r="AG63" s="177"/>
      <c r="AH63" s="177"/>
      <c r="AI63" s="177"/>
      <c r="AJ63" s="177"/>
      <c r="AK63" s="177"/>
      <c r="AL63" s="177"/>
      <c r="AM63" s="177"/>
      <c r="AN63" s="177"/>
      <c r="AO63" s="177"/>
      <c r="AP63" s="177"/>
      <c r="AQ63" s="177"/>
      <c r="AR63" s="177"/>
      <c r="AS63" s="177"/>
      <c r="AT63" s="177"/>
      <c r="AU63" s="177"/>
      <c r="AV63" s="177"/>
      <c r="AW63" s="177"/>
      <c r="AX63" s="177"/>
    </row>
    <row r="64" spans="1:50" s="178" customFormat="1" x14ac:dyDescent="0.2">
      <c r="A64" s="72" t="s">
        <v>170</v>
      </c>
      <c r="B64" s="73">
        <f>VLOOKUP(LEFT(A64,7),'Tariff Schedule Lookup Table'!A$8:D$143,3,FALSE)</f>
        <v>80</v>
      </c>
      <c r="C64" s="236" t="s">
        <v>890</v>
      </c>
      <c r="D64" s="74">
        <v>1</v>
      </c>
      <c r="E64" s="74">
        <v>21</v>
      </c>
      <c r="F64" s="74" t="s">
        <v>247</v>
      </c>
      <c r="G64" s="106">
        <f>VLOOKUP(F64,'Lamp Stock'!A$14:H$48,4,FALSE)</f>
        <v>1.9968899999999998</v>
      </c>
      <c r="H64" s="106">
        <f>VLOOKUP(F64,'Lamp Stock'!A$14:G$48,6,FALSE)</f>
        <v>25.319593739999998</v>
      </c>
      <c r="I64" s="106">
        <f>VLOOKUP(F64,'Lamp Stock'!A$14:H$48,8,FALSE)</f>
        <v>0.38858399999999993</v>
      </c>
      <c r="J64" s="262">
        <v>0.35</v>
      </c>
      <c r="K64" s="262">
        <v>0.1</v>
      </c>
      <c r="L64" s="262">
        <v>0.2</v>
      </c>
      <c r="M64" s="74">
        <v>4</v>
      </c>
      <c r="N64" s="75">
        <f t="shared" si="8"/>
        <v>0.25</v>
      </c>
      <c r="O64" s="311">
        <v>0.06</v>
      </c>
      <c r="P64" s="265">
        <f>'Input data'!B$92*O64</f>
        <v>9.529798581333333</v>
      </c>
      <c r="Q64" s="76">
        <f t="shared" si="9"/>
        <v>0.11981339999999999</v>
      </c>
      <c r="R64" s="76">
        <f t="shared" si="10"/>
        <v>0.32715016487999998</v>
      </c>
      <c r="S64" s="76">
        <f>IF(C64="Yes",'Input data'!$E$47*'Input data'!$B$51*O64,'Input data'!$E$47*'Input data'!$B$49*O64)</f>
        <v>1.9215702399999999</v>
      </c>
      <c r="T64" s="76">
        <f>'Other Maintenance'!$B$94*'Maintenance Costs'!O43</f>
        <v>0.11897113551214863</v>
      </c>
      <c r="U64" s="264">
        <f>'Input data'!$B$112</f>
        <v>2.9565521226700353</v>
      </c>
      <c r="V64" s="240">
        <f t="shared" si="11"/>
        <v>14.973855644395517</v>
      </c>
      <c r="W64" s="76">
        <f>'Input data'!$C$15*'Maintenance Costs'!N43</f>
        <v>9.75</v>
      </c>
      <c r="X64" s="76">
        <f t="shared" si="12"/>
        <v>0.59636849999999997</v>
      </c>
      <c r="Y64" s="76">
        <f>'Input data'!$B$47*'Maintenance Costs'!N43</f>
        <v>0</v>
      </c>
      <c r="Z64" s="76">
        <f>'Other Maintenance'!$B$94*'Maintenance Costs'!N43</f>
        <v>0.74356959695092895</v>
      </c>
      <c r="AA64" s="76">
        <f>('Input data'!$B$96+'Input data'!$B$97)*'Input data'!$B$76</f>
        <v>0.87776744444444454</v>
      </c>
      <c r="AB64" s="240">
        <f t="shared" si="13"/>
        <v>11.967705541395373</v>
      </c>
      <c r="AC64" s="163" t="str">
        <f>LEFT(A64,3)</f>
        <v>FLU</v>
      </c>
      <c r="AD64" s="311">
        <v>7.6960402044883455E-2</v>
      </c>
      <c r="AE64" s="312">
        <f t="shared" si="14"/>
        <v>1.6960402044883457E-2</v>
      </c>
      <c r="AF64" s="177"/>
      <c r="AG64" s="177"/>
      <c r="AH64" s="177"/>
      <c r="AI64" s="177"/>
      <c r="AJ64" s="177"/>
      <c r="AK64" s="177"/>
      <c r="AL64" s="177"/>
      <c r="AM64" s="177"/>
      <c r="AN64" s="177"/>
      <c r="AO64" s="177"/>
      <c r="AP64" s="177"/>
      <c r="AQ64" s="177"/>
      <c r="AR64" s="177"/>
      <c r="AS64" s="177"/>
      <c r="AT64" s="177"/>
      <c r="AU64" s="177"/>
      <c r="AV64" s="177"/>
      <c r="AW64" s="177"/>
      <c r="AX64" s="177"/>
    </row>
    <row r="65" spans="1:50" s="178" customFormat="1" x14ac:dyDescent="0.2">
      <c r="A65" s="72" t="s">
        <v>165</v>
      </c>
      <c r="B65" s="73" t="str">
        <f>VLOOKUP(LEFT(A65,7),'Tariff Schedule Lookup Table'!A$8:D$143,3,FALSE)</f>
        <v>4x40</v>
      </c>
      <c r="C65" s="236" t="s">
        <v>890</v>
      </c>
      <c r="D65" s="74">
        <v>4</v>
      </c>
      <c r="E65" s="74">
        <v>13</v>
      </c>
      <c r="F65" s="74" t="s">
        <v>247</v>
      </c>
      <c r="G65" s="106">
        <f>VLOOKUP(F65,'Lamp Stock'!A$14:H$48,4,FALSE)</f>
        <v>1.9968899999999998</v>
      </c>
      <c r="H65" s="106">
        <f>VLOOKUP(F65,'Lamp Stock'!A$14:G$48,6,FALSE)</f>
        <v>25.319593739999998</v>
      </c>
      <c r="I65" s="106">
        <f>VLOOKUP(F65,'Lamp Stock'!A$14:H$48,8,FALSE)</f>
        <v>0.38858399999999993</v>
      </c>
      <c r="J65" s="262">
        <v>0.35</v>
      </c>
      <c r="K65" s="262">
        <v>0.1</v>
      </c>
      <c r="L65" s="262">
        <v>0.2</v>
      </c>
      <c r="M65" s="74">
        <v>4</v>
      </c>
      <c r="N65" s="75">
        <f t="shared" si="8"/>
        <v>0.25</v>
      </c>
      <c r="O65" s="311">
        <v>0.06</v>
      </c>
      <c r="P65" s="265">
        <f>'Input data'!B$92*O65</f>
        <v>9.529798581333333</v>
      </c>
      <c r="Q65" s="76">
        <f t="shared" si="9"/>
        <v>0.47925359999999995</v>
      </c>
      <c r="R65" s="76">
        <f t="shared" si="10"/>
        <v>0.32715016487999998</v>
      </c>
      <c r="S65" s="76">
        <f>IF(C65="Yes",'Input data'!$E$47*'Input data'!$B$51*O65,'Input data'!$E$47*'Input data'!$B$49*O65)</f>
        <v>1.9215702399999999</v>
      </c>
      <c r="T65" s="76">
        <f>'Other Maintenance'!$B$94*'Maintenance Costs'!O35</f>
        <v>0.17845670326822294</v>
      </c>
      <c r="U65" s="264">
        <f>'Input data'!$B$112</f>
        <v>2.9565521226700353</v>
      </c>
      <c r="V65" s="240">
        <f t="shared" si="11"/>
        <v>15.392781412151592</v>
      </c>
      <c r="W65" s="76">
        <f>'Input data'!$C$15*'Maintenance Costs'!N35</f>
        <v>9.75</v>
      </c>
      <c r="X65" s="76">
        <f t="shared" si="12"/>
        <v>2.3854739999999999</v>
      </c>
      <c r="Y65" s="76">
        <f>'Input data'!$B$47*'Maintenance Costs'!N35</f>
        <v>0</v>
      </c>
      <c r="Z65" s="76">
        <f>'Other Maintenance'!$B$94*'Maintenance Costs'!N35</f>
        <v>0.74356959695092895</v>
      </c>
      <c r="AA65" s="76">
        <f>('Input data'!$B$96+'Input data'!$B$97)*'Input data'!$B$76</f>
        <v>0.87776744444444454</v>
      </c>
      <c r="AB65" s="240">
        <f t="shared" si="13"/>
        <v>13.756811041395373</v>
      </c>
      <c r="AC65" s="163" t="str">
        <f>LEFT(A65,3)</f>
        <v>FLU</v>
      </c>
      <c r="AD65" s="311">
        <v>7.6960402044883455E-2</v>
      </c>
      <c r="AE65" s="312">
        <f t="shared" si="14"/>
        <v>1.6960402044883457E-2</v>
      </c>
      <c r="AF65" s="177"/>
      <c r="AG65" s="177"/>
      <c r="AH65" s="177"/>
      <c r="AI65" s="177"/>
      <c r="AJ65" s="177"/>
      <c r="AK65" s="177"/>
      <c r="AL65" s="177"/>
      <c r="AM65" s="177"/>
      <c r="AN65" s="177"/>
      <c r="AO65" s="177"/>
      <c r="AP65" s="177"/>
      <c r="AQ65" s="177"/>
      <c r="AR65" s="177"/>
      <c r="AS65" s="177"/>
      <c r="AT65" s="177"/>
      <c r="AU65" s="177"/>
      <c r="AV65" s="177"/>
      <c r="AW65" s="177"/>
      <c r="AX65" s="177"/>
    </row>
    <row r="66" spans="1:50" s="178" customFormat="1" ht="14.25" customHeight="1" x14ac:dyDescent="0.2">
      <c r="A66" s="72" t="s">
        <v>186</v>
      </c>
      <c r="B66" s="73" t="str">
        <f>VLOOKUP(LEFT(A66,7),'Tariff Schedule Lookup Table'!A$8:D$143,3,FALSE)</f>
        <v>2x250</v>
      </c>
      <c r="C66" s="236" t="s">
        <v>891</v>
      </c>
      <c r="D66" s="74">
        <v>2</v>
      </c>
      <c r="E66" s="74">
        <v>11</v>
      </c>
      <c r="F66" s="74" t="s">
        <v>277</v>
      </c>
      <c r="G66" s="106">
        <f>VLOOKUP(F66,'Lamp Stock'!A$14:H$48,4,FALSE)</f>
        <v>20.756861999999998</v>
      </c>
      <c r="H66" s="106">
        <f>VLOOKUP(F66,'Lamp Stock'!A$14:G$48,6,FALSE)</f>
        <v>54.833519999999993</v>
      </c>
      <c r="I66" s="106">
        <f>VLOOKUP(F66,'Lamp Stock'!A$14:H$48,8,FALSE)</f>
        <v>17.011343999999998</v>
      </c>
      <c r="J66" s="262">
        <v>0.2</v>
      </c>
      <c r="K66" s="262">
        <v>0.1</v>
      </c>
      <c r="L66" s="262">
        <v>0.2</v>
      </c>
      <c r="M66" s="74">
        <v>4</v>
      </c>
      <c r="N66" s="75">
        <f t="shared" si="8"/>
        <v>0.25</v>
      </c>
      <c r="O66" s="311">
        <v>0.05</v>
      </c>
      <c r="P66" s="265">
        <f>'Input data'!B$92*O66</f>
        <v>7.9414988177777772</v>
      </c>
      <c r="Q66" s="76">
        <f t="shared" si="9"/>
        <v>2.0756861999999998</v>
      </c>
      <c r="R66" s="76">
        <f t="shared" si="10"/>
        <v>1.3989023999999999</v>
      </c>
      <c r="S66" s="76">
        <f>IF(C66="Yes",'Input data'!$E$47*'Input data'!$B$51*O66,'Input data'!$E$47*'Input data'!$B$49*O66)</f>
        <v>12.810468266666668</v>
      </c>
      <c r="T66" s="76">
        <f>'Other Maintenance'!$B$94*'Maintenance Costs'!O68</f>
        <v>1.6655958971700809E-2</v>
      </c>
      <c r="U66" s="264">
        <f>'Input data'!$B$112</f>
        <v>2.9565521226700353</v>
      </c>
      <c r="V66" s="240">
        <f t="shared" si="11"/>
        <v>27.199763766086182</v>
      </c>
      <c r="W66" s="76">
        <f>'Input data'!$C$15*'Maintenance Costs'!N68</f>
        <v>9.75</v>
      </c>
      <c r="X66" s="76">
        <f t="shared" si="12"/>
        <v>18.884102999999996</v>
      </c>
      <c r="Y66" s="76">
        <f>'Input data'!$B$47*'Maintenance Costs'!N68</f>
        <v>0</v>
      </c>
      <c r="Z66" s="76">
        <f>'Other Maintenance'!$B$94*'Maintenance Costs'!N68</f>
        <v>0.74356959695092895</v>
      </c>
      <c r="AA66" s="76">
        <f>('Input data'!$B$96+'Input data'!$B$97)*'Input data'!$B$76</f>
        <v>0.87776744444444454</v>
      </c>
      <c r="AB66" s="240">
        <f t="shared" si="13"/>
        <v>30.255440041395371</v>
      </c>
      <c r="AC66" s="163" t="s">
        <v>905</v>
      </c>
      <c r="AD66" s="311">
        <v>9.5500000000000002E-2</v>
      </c>
      <c r="AE66" s="312">
        <f t="shared" si="14"/>
        <v>4.5499999999999999E-2</v>
      </c>
      <c r="AF66" s="177"/>
      <c r="AG66" s="177"/>
      <c r="AH66" s="177"/>
      <c r="AI66" s="177"/>
      <c r="AJ66" s="177"/>
      <c r="AK66" s="177"/>
      <c r="AL66" s="177"/>
      <c r="AM66" s="177"/>
      <c r="AN66" s="177"/>
      <c r="AO66" s="177"/>
      <c r="AP66" s="177"/>
      <c r="AQ66" s="177"/>
      <c r="AR66" s="177"/>
      <c r="AS66" s="177"/>
      <c r="AT66" s="177"/>
      <c r="AU66" s="177"/>
      <c r="AV66" s="177"/>
      <c r="AW66" s="177"/>
      <c r="AX66" s="177"/>
    </row>
    <row r="67" spans="1:50" s="178" customFormat="1" ht="15.75" customHeight="1" x14ac:dyDescent="0.2">
      <c r="A67" s="72" t="s">
        <v>224</v>
      </c>
      <c r="B67" s="73">
        <f>VLOOKUP(LEFT(A67,7),'Tariff Schedule Lookup Table'!A$8:D$143,3,FALSE)</f>
        <v>1000</v>
      </c>
      <c r="C67" s="236" t="s">
        <v>891</v>
      </c>
      <c r="D67" s="74">
        <v>1</v>
      </c>
      <c r="E67" s="74">
        <v>9</v>
      </c>
      <c r="F67" s="74" t="s">
        <v>333</v>
      </c>
      <c r="G67" s="106">
        <f>VLOOKUP(F67,'Lamp Stock'!A$14:H$48,4,FALSE)</f>
        <v>50.310833999999993</v>
      </c>
      <c r="H67" s="106">
        <f>VLOOKUP(F67,'Lamp Stock'!A$14:G$48,6,FALSE)</f>
        <v>140.322</v>
      </c>
      <c r="I67" s="106">
        <f>VLOOKUP(F67,'Lamp Stock'!A$14:H$48,8,FALSE)</f>
        <v>17.011343999999998</v>
      </c>
      <c r="J67" s="262">
        <v>0.28000000000000003</v>
      </c>
      <c r="K67" s="262">
        <v>0.1</v>
      </c>
      <c r="L67" s="262">
        <v>0.2</v>
      </c>
      <c r="M67" s="74">
        <v>4</v>
      </c>
      <c r="N67" s="75">
        <f t="shared" si="8"/>
        <v>0.25</v>
      </c>
      <c r="O67" s="311">
        <v>0.04</v>
      </c>
      <c r="P67" s="265">
        <f>'Input data'!B$92*O67</f>
        <v>6.3531990542222223</v>
      </c>
      <c r="Q67" s="76">
        <f t="shared" si="9"/>
        <v>2.0124333599999997</v>
      </c>
      <c r="R67" s="76">
        <f t="shared" si="10"/>
        <v>1.8030297600000003</v>
      </c>
      <c r="S67" s="76">
        <f>IF(C67="Yes",'Input data'!$E$47*'Input data'!$B$51*O67,'Input data'!$E$47*'Input data'!$B$49*O67)</f>
        <v>10.248374613333333</v>
      </c>
      <c r="T67" s="76">
        <f>'Other Maintenance'!$B$94*'Maintenance Costs'!O139</f>
        <v>1.6655958971700809E-2</v>
      </c>
      <c r="U67" s="264">
        <f>'Input data'!$B$112</f>
        <v>2.9565521226700353</v>
      </c>
      <c r="V67" s="240">
        <f t="shared" si="11"/>
        <v>23.390244869197293</v>
      </c>
      <c r="W67" s="76">
        <f>'Input data'!$C$15*'Maintenance Costs'!N139</f>
        <v>9.75</v>
      </c>
      <c r="X67" s="76">
        <f t="shared" si="12"/>
        <v>16.830544499999998</v>
      </c>
      <c r="Y67" s="76">
        <f>'Input data'!$B$47*'Maintenance Costs'!N139</f>
        <v>0</v>
      </c>
      <c r="Z67" s="76">
        <f>'Other Maintenance'!$B$94*'Maintenance Costs'!N139</f>
        <v>0.74356959695092895</v>
      </c>
      <c r="AA67" s="76">
        <f>('Input data'!$B$96+'Input data'!$B$97)*'Input data'!$B$76</f>
        <v>0.87776744444444454</v>
      </c>
      <c r="AB67" s="240">
        <f t="shared" si="13"/>
        <v>28.201881541395373</v>
      </c>
      <c r="AC67" s="163" t="str">
        <f t="shared" ref="AC67:AC74" si="15">LEFT(A67,3)</f>
        <v>MHR</v>
      </c>
      <c r="AD67" s="311">
        <v>5.6500000000000002E-2</v>
      </c>
      <c r="AE67" s="312">
        <f t="shared" si="14"/>
        <v>1.6500000000000001E-2</v>
      </c>
      <c r="AF67" s="177"/>
      <c r="AG67" s="177"/>
      <c r="AH67" s="177"/>
      <c r="AI67" s="177"/>
      <c r="AJ67" s="177"/>
      <c r="AK67" s="177"/>
      <c r="AL67" s="177"/>
      <c r="AM67" s="177"/>
      <c r="AN67" s="177"/>
      <c r="AO67" s="177"/>
      <c r="AP67" s="177"/>
      <c r="AQ67" s="177"/>
      <c r="AR67" s="177"/>
      <c r="AS67" s="177"/>
      <c r="AT67" s="177"/>
      <c r="AU67" s="177"/>
      <c r="AV67" s="177"/>
      <c r="AW67" s="177"/>
      <c r="AX67" s="177"/>
    </row>
    <row r="68" spans="1:50" s="178" customFormat="1" x14ac:dyDescent="0.2">
      <c r="A68" s="72" t="s">
        <v>197</v>
      </c>
      <c r="B68" s="73">
        <f>VLOOKUP(LEFT(A68,7),'Tariff Schedule Lookup Table'!A$8:D$143,3,FALSE)</f>
        <v>30</v>
      </c>
      <c r="C68" s="236" t="s">
        <v>890</v>
      </c>
      <c r="D68" s="74">
        <v>1</v>
      </c>
      <c r="E68" s="74">
        <v>8</v>
      </c>
      <c r="F68" s="74" t="s">
        <v>297</v>
      </c>
      <c r="G68" s="106">
        <f>VLOOKUP(F68,'Lamp Stock'!A$14:H$48,4,FALSE)</f>
        <v>1.1873400000000001</v>
      </c>
      <c r="H68" s="106">
        <f>VLOOKUP(F68,'Lamp Stock'!A$14:G$48,6,FALSE)</f>
        <v>0</v>
      </c>
      <c r="I68" s="106">
        <f>VLOOKUP(F68,'Lamp Stock'!A$14:H$48,8,FALSE)</f>
        <v>0</v>
      </c>
      <c r="J68" s="262">
        <v>0.5</v>
      </c>
      <c r="K68" s="262">
        <v>0.1</v>
      </c>
      <c r="L68" s="262">
        <v>0.2</v>
      </c>
      <c r="M68" s="74">
        <v>4</v>
      </c>
      <c r="N68" s="75">
        <f t="shared" si="8"/>
        <v>0.25</v>
      </c>
      <c r="O68" s="311">
        <f>AD68</f>
        <v>5.5999999999999999E-3</v>
      </c>
      <c r="P68" s="265">
        <f>'Input data'!B$92*O68</f>
        <v>0.88944786759111105</v>
      </c>
      <c r="Q68" s="76">
        <f t="shared" si="9"/>
        <v>6.6491040000000003E-3</v>
      </c>
      <c r="R68" s="76">
        <f t="shared" si="10"/>
        <v>0</v>
      </c>
      <c r="S68" s="76">
        <f>IF(C68="Yes",'Input data'!$E$47*'Input data'!$B$51*O68,'Input data'!$E$47*'Input data'!$B$49*O68)</f>
        <v>0.17934655573333333</v>
      </c>
      <c r="T68" s="76">
        <f>'Other Maintenance'!$B$94*'Maintenance Costs'!O101</f>
        <v>0.11897113551214863</v>
      </c>
      <c r="U68" s="264">
        <f>'Input data'!$B$112</f>
        <v>2.9565521226700353</v>
      </c>
      <c r="V68" s="240">
        <f t="shared" si="11"/>
        <v>4.1509667855066281</v>
      </c>
      <c r="W68" s="76">
        <f>'Input data'!$C$15*'Maintenance Costs'!N101</f>
        <v>9.75</v>
      </c>
      <c r="X68" s="76">
        <f t="shared" si="12"/>
        <v>0.29683500000000002</v>
      </c>
      <c r="Y68" s="76">
        <f>'Input data'!$B$47*'Maintenance Costs'!N101</f>
        <v>0</v>
      </c>
      <c r="Z68" s="76">
        <f>'Other Maintenance'!$B$94*'Maintenance Costs'!N101</f>
        <v>0.74356959695092895</v>
      </c>
      <c r="AA68" s="76">
        <f>('Input data'!$B$96+'Input data'!$B$97)*'Input data'!$B$76</f>
        <v>0.87776744444444454</v>
      </c>
      <c r="AB68" s="240">
        <f t="shared" si="13"/>
        <v>11.668172041395373</v>
      </c>
      <c r="AC68" s="163" t="str">
        <f t="shared" si="15"/>
        <v>INC</v>
      </c>
      <c r="AD68" s="311">
        <v>5.5999999999999999E-3</v>
      </c>
      <c r="AE68" s="312">
        <f t="shared" si="14"/>
        <v>0</v>
      </c>
      <c r="AF68" s="177"/>
      <c r="AG68" s="177"/>
      <c r="AH68" s="177"/>
      <c r="AI68" s="177"/>
      <c r="AJ68" s="177"/>
      <c r="AK68" s="177"/>
      <c r="AL68" s="177"/>
      <c r="AM68" s="177"/>
      <c r="AN68" s="177"/>
      <c r="AO68" s="177"/>
      <c r="AP68" s="177"/>
      <c r="AQ68" s="177"/>
      <c r="AR68" s="177"/>
      <c r="AS68" s="177"/>
      <c r="AT68" s="177"/>
      <c r="AU68" s="177"/>
      <c r="AV68" s="177"/>
      <c r="AW68" s="177"/>
      <c r="AX68" s="177"/>
    </row>
    <row r="69" spans="1:50" s="178" customFormat="1" ht="12.75" customHeight="1" x14ac:dyDescent="0.2">
      <c r="A69" s="72" t="s">
        <v>219</v>
      </c>
      <c r="B69" s="73">
        <f>VLOOKUP(LEFT(A69,7),'Tariff Schedule Lookup Table'!A$8:D$143,3,FALSE)</f>
        <v>100</v>
      </c>
      <c r="C69" s="236" t="s">
        <v>890</v>
      </c>
      <c r="D69" s="74">
        <v>1</v>
      </c>
      <c r="E69" s="74">
        <v>8</v>
      </c>
      <c r="F69" s="74" t="s">
        <v>329</v>
      </c>
      <c r="G69" s="106">
        <f>VLOOKUP(F69,'Lamp Stock'!A$14:H$48,4,FALSE)</f>
        <v>40.952435999999992</v>
      </c>
      <c r="H69" s="106">
        <f>VLOOKUP(F69,'Lamp Stock'!A$14:G$48,6,FALSE)</f>
        <v>54.833519999999993</v>
      </c>
      <c r="I69" s="106">
        <f>VLOOKUP(F69,'Lamp Stock'!A$14:H$48,8,FALSE)</f>
        <v>17.011343999999998</v>
      </c>
      <c r="J69" s="262">
        <v>0.28000000000000003</v>
      </c>
      <c r="K69" s="262">
        <v>0.1</v>
      </c>
      <c r="L69" s="262">
        <v>0.2</v>
      </c>
      <c r="M69" s="74">
        <v>4</v>
      </c>
      <c r="N69" s="75">
        <f t="shared" si="8"/>
        <v>0.25</v>
      </c>
      <c r="O69" s="311">
        <v>0.04</v>
      </c>
      <c r="P69" s="265">
        <f>'Input data'!B$92*O69</f>
        <v>6.3531990542222223</v>
      </c>
      <c r="Q69" s="76">
        <f t="shared" si="9"/>
        <v>1.6380974399999997</v>
      </c>
      <c r="R69" s="76">
        <f t="shared" si="10"/>
        <v>1.11912192</v>
      </c>
      <c r="S69" s="76">
        <f>IF(C69="Yes",'Input data'!$E$47*'Input data'!$B$51*O69,'Input data'!$E$47*'Input data'!$B$49*O69)</f>
        <v>1.2810468266666666</v>
      </c>
      <c r="T69" s="76">
        <f>'Other Maintenance'!$B$94*'Maintenance Costs'!O131</f>
        <v>0.11897113551214863</v>
      </c>
      <c r="U69" s="264">
        <f>'Input data'!$B$112</f>
        <v>2.9565521226700353</v>
      </c>
      <c r="V69" s="240">
        <f t="shared" si="11"/>
        <v>13.466988499071071</v>
      </c>
      <c r="W69" s="76">
        <f>'Input data'!$C$15*'Maintenance Costs'!N131</f>
        <v>9.75</v>
      </c>
      <c r="X69" s="76">
        <f t="shared" si="12"/>
        <v>14.490944999999996</v>
      </c>
      <c r="Y69" s="76">
        <f>'Input data'!$B$47*'Maintenance Costs'!N131</f>
        <v>0</v>
      </c>
      <c r="Z69" s="76">
        <f>'Other Maintenance'!$B$94*'Maintenance Costs'!N131</f>
        <v>0.74356959695092895</v>
      </c>
      <c r="AA69" s="76">
        <f>('Input data'!$B$96+'Input data'!$B$97)*'Input data'!$B$76</f>
        <v>0.87776744444444454</v>
      </c>
      <c r="AB69" s="240">
        <f t="shared" si="13"/>
        <v>25.862282041395371</v>
      </c>
      <c r="AC69" s="163" t="str">
        <f t="shared" si="15"/>
        <v>MHR</v>
      </c>
      <c r="AD69" s="311">
        <v>5.6500000000000002E-2</v>
      </c>
      <c r="AE69" s="312">
        <f t="shared" si="14"/>
        <v>1.6500000000000001E-2</v>
      </c>
      <c r="AF69" s="177"/>
      <c r="AG69" s="177"/>
      <c r="AH69" s="177"/>
      <c r="AI69" s="177"/>
      <c r="AJ69" s="177"/>
      <c r="AK69" s="177"/>
      <c r="AL69" s="177"/>
      <c r="AM69" s="177"/>
      <c r="AN69" s="177"/>
      <c r="AO69" s="177"/>
      <c r="AP69" s="177"/>
      <c r="AQ69" s="177"/>
      <c r="AR69" s="177"/>
      <c r="AS69" s="177"/>
      <c r="AT69" s="177"/>
      <c r="AU69" s="177"/>
      <c r="AV69" s="177"/>
      <c r="AW69" s="177"/>
      <c r="AX69" s="177"/>
    </row>
    <row r="70" spans="1:50" s="178" customFormat="1" ht="15.75" customHeight="1" x14ac:dyDescent="0.2">
      <c r="A70" s="72" t="s">
        <v>234</v>
      </c>
      <c r="B70" s="73">
        <f>VLOOKUP(LEFT(A70,7),'Tariff Schedule Lookup Table'!A$8:D$143,3,FALSE)</f>
        <v>1000</v>
      </c>
      <c r="C70" s="236" t="s">
        <v>891</v>
      </c>
      <c r="D70" s="74">
        <v>1</v>
      </c>
      <c r="E70" s="74">
        <v>8</v>
      </c>
      <c r="F70" s="74" t="s">
        <v>289</v>
      </c>
      <c r="G70" s="106">
        <f>VLOOKUP(F70,'Lamp Stock'!A$14:H$48,4,FALSE)</f>
        <v>101.36645399999999</v>
      </c>
      <c r="H70" s="106">
        <f>VLOOKUP(F70,'Lamp Stock'!A$14:G$48,6,FALSE)</f>
        <v>79.141607999999991</v>
      </c>
      <c r="I70" s="106">
        <f>VLOOKUP(F70,'Lamp Stock'!A$14:H$48,8,FALSE)</f>
        <v>21.005123999999999</v>
      </c>
      <c r="J70" s="262">
        <v>0.22</v>
      </c>
      <c r="K70" s="262">
        <v>0.1</v>
      </c>
      <c r="L70" s="262">
        <v>0.2</v>
      </c>
      <c r="M70" s="74">
        <v>4</v>
      </c>
      <c r="N70" s="75">
        <f t="shared" si="8"/>
        <v>0.25</v>
      </c>
      <c r="O70" s="311">
        <v>0.04</v>
      </c>
      <c r="P70" s="265">
        <f>'Input data'!B$92*O70</f>
        <v>6.3531990542222223</v>
      </c>
      <c r="Q70" s="76">
        <f t="shared" si="9"/>
        <v>4.0546581599999998</v>
      </c>
      <c r="R70" s="76">
        <f t="shared" si="10"/>
        <v>1.4733378240000001</v>
      </c>
      <c r="S70" s="76">
        <f>IF(C70="Yes",'Input data'!$E$47*'Input data'!$B$51*O70,'Input data'!$E$47*'Input data'!$B$49*O70)</f>
        <v>10.248374613333333</v>
      </c>
      <c r="T70" s="76">
        <f>'Other Maintenance'!$B$94*'Maintenance Costs'!O171</f>
        <v>0.11897113551214863</v>
      </c>
      <c r="U70" s="264">
        <f>'Input data'!$B$112</f>
        <v>2.9565521226700353</v>
      </c>
      <c r="V70" s="240">
        <f t="shared" si="11"/>
        <v>25.20509290973774</v>
      </c>
      <c r="W70" s="76">
        <f>'Input data'!$C$15*'Maintenance Costs'!N171</f>
        <v>9.75</v>
      </c>
      <c r="X70" s="76">
        <f t="shared" si="12"/>
        <v>30.592894499999996</v>
      </c>
      <c r="Y70" s="76">
        <f>'Input data'!$B$47*'Maintenance Costs'!N171</f>
        <v>0</v>
      </c>
      <c r="Z70" s="76">
        <f>'Other Maintenance'!$B$94*'Maintenance Costs'!N171</f>
        <v>0.74356959695092895</v>
      </c>
      <c r="AA70" s="76">
        <f>('Input data'!$B$96+'Input data'!$B$97)*'Input data'!$B$76</f>
        <v>0.87776744444444454</v>
      </c>
      <c r="AB70" s="240">
        <f t="shared" si="13"/>
        <v>41.964231541395371</v>
      </c>
      <c r="AC70" s="163" t="str">
        <f t="shared" si="15"/>
        <v>MVA</v>
      </c>
      <c r="AD70" s="311">
        <v>4.4699999999999997E-2</v>
      </c>
      <c r="AE70" s="312">
        <f t="shared" si="14"/>
        <v>4.6999999999999958E-3</v>
      </c>
      <c r="AF70" s="177"/>
      <c r="AG70" s="177"/>
      <c r="AH70" s="177"/>
      <c r="AI70" s="177"/>
      <c r="AJ70" s="177"/>
      <c r="AK70" s="177"/>
      <c r="AL70" s="177"/>
      <c r="AM70" s="177"/>
      <c r="AN70" s="177"/>
      <c r="AO70" s="177"/>
      <c r="AP70" s="177"/>
      <c r="AQ70" s="177"/>
      <c r="AR70" s="177"/>
      <c r="AS70" s="177"/>
      <c r="AT70" s="177"/>
      <c r="AU70" s="177"/>
      <c r="AV70" s="177"/>
      <c r="AW70" s="177"/>
      <c r="AX70" s="177"/>
    </row>
    <row r="71" spans="1:50" s="178" customFormat="1" x14ac:dyDescent="0.2">
      <c r="A71" s="72" t="s">
        <v>228</v>
      </c>
      <c r="B71" s="73">
        <f>VLOOKUP(LEFT(A71,7),'Tariff Schedule Lookup Table'!A$8:D$143,3,FALSE)</f>
        <v>160</v>
      </c>
      <c r="C71" s="236" t="s">
        <v>891</v>
      </c>
      <c r="D71" s="74">
        <v>1</v>
      </c>
      <c r="E71" s="74">
        <v>6</v>
      </c>
      <c r="F71" s="74" t="s">
        <v>344</v>
      </c>
      <c r="G71" s="106">
        <f>VLOOKUP(F71,'Lamp Stock'!A$14:H$48,4,FALSE)</f>
        <v>4.036956</v>
      </c>
      <c r="H71" s="106">
        <f>VLOOKUP(F71,'Lamp Stock'!A$14:G$48,6,FALSE)</f>
        <v>28.819979999999997</v>
      </c>
      <c r="I71" s="106">
        <f>VLOOKUP(F71,'Lamp Stock'!A$14:H$48,8,FALSE)</f>
        <v>21.005123999999999</v>
      </c>
      <c r="J71" s="262">
        <v>0.22</v>
      </c>
      <c r="K71" s="262">
        <v>0.1</v>
      </c>
      <c r="L71" s="262">
        <v>0.2</v>
      </c>
      <c r="M71" s="74">
        <v>4</v>
      </c>
      <c r="N71" s="75">
        <f t="shared" si="8"/>
        <v>0.25</v>
      </c>
      <c r="O71" s="311">
        <v>0.04</v>
      </c>
      <c r="P71" s="265">
        <f>'Input data'!B$92*O71</f>
        <v>6.3531990542222223</v>
      </c>
      <c r="Q71" s="76">
        <f t="shared" si="9"/>
        <v>0.16147824</v>
      </c>
      <c r="R71" s="76">
        <f t="shared" si="10"/>
        <v>1.0707648000000001</v>
      </c>
      <c r="S71" s="76">
        <f>IF(C71="Yes",'Input data'!$E$47*'Input data'!$B$51*O71,'Input data'!$E$47*'Input data'!$B$49*O71)</f>
        <v>10.248374613333333</v>
      </c>
      <c r="T71" s="76">
        <f>'Other Maintenance'!$B$94*'Maintenance Costs'!O154</f>
        <v>0.11897113551214863</v>
      </c>
      <c r="U71" s="264">
        <f>'Input data'!$B$112</f>
        <v>2.9565521226700353</v>
      </c>
      <c r="V71" s="240">
        <f t="shared" si="11"/>
        <v>20.90933996573774</v>
      </c>
      <c r="W71" s="76">
        <f>'Input data'!$C$15*'Maintenance Costs'!N154</f>
        <v>9.75</v>
      </c>
      <c r="X71" s="76">
        <f t="shared" si="12"/>
        <v>6.2605199999999996</v>
      </c>
      <c r="Y71" s="76">
        <f>'Input data'!$B$47*'Maintenance Costs'!N154</f>
        <v>0</v>
      </c>
      <c r="Z71" s="76">
        <f>'Other Maintenance'!$B$94*'Maintenance Costs'!N154</f>
        <v>0.74356959695092895</v>
      </c>
      <c r="AA71" s="76">
        <f>('Input data'!$B$96+'Input data'!$B$97)*'Input data'!$B$76</f>
        <v>0.87776744444444454</v>
      </c>
      <c r="AB71" s="240">
        <f t="shared" si="13"/>
        <v>17.631857041395374</v>
      </c>
      <c r="AC71" s="163" t="str">
        <f t="shared" si="15"/>
        <v>MVA</v>
      </c>
      <c r="AD71" s="311">
        <v>4.4699999999999997E-2</v>
      </c>
      <c r="AE71" s="312">
        <f t="shared" si="14"/>
        <v>4.6999999999999958E-3</v>
      </c>
      <c r="AF71" s="177"/>
      <c r="AG71" s="177"/>
      <c r="AH71" s="177"/>
      <c r="AI71" s="177"/>
      <c r="AJ71" s="177"/>
      <c r="AK71" s="177"/>
      <c r="AL71" s="177"/>
      <c r="AM71" s="177"/>
      <c r="AN71" s="177"/>
      <c r="AO71" s="177"/>
      <c r="AP71" s="177"/>
      <c r="AQ71" s="177"/>
      <c r="AR71" s="177"/>
      <c r="AS71" s="177"/>
      <c r="AT71" s="177"/>
      <c r="AU71" s="177"/>
      <c r="AV71" s="177"/>
      <c r="AW71" s="177"/>
      <c r="AX71" s="177"/>
    </row>
    <row r="72" spans="1:50" s="178" customFormat="1" x14ac:dyDescent="0.2">
      <c r="A72" s="72" t="s">
        <v>206</v>
      </c>
      <c r="B72" s="73">
        <f>VLOOKUP(LEFT(A72,7),'Tariff Schedule Lookup Table'!A$8:D$143,3,FALSE)</f>
        <v>500</v>
      </c>
      <c r="C72" s="236" t="s">
        <v>891</v>
      </c>
      <c r="D72" s="74">
        <v>1</v>
      </c>
      <c r="E72" s="74">
        <v>5</v>
      </c>
      <c r="F72" s="74" t="s">
        <v>297</v>
      </c>
      <c r="G72" s="106">
        <f>VLOOKUP(F72,'Lamp Stock'!A$14:H$48,4,FALSE)</f>
        <v>1.1873400000000001</v>
      </c>
      <c r="H72" s="106">
        <f>VLOOKUP(F72,'Lamp Stock'!A$14:G$48,6,FALSE)</f>
        <v>0</v>
      </c>
      <c r="I72" s="106">
        <f>VLOOKUP(F72,'Lamp Stock'!A$14:H$48,8,FALSE)</f>
        <v>0</v>
      </c>
      <c r="J72" s="262">
        <v>0.5</v>
      </c>
      <c r="K72" s="262">
        <v>0.1</v>
      </c>
      <c r="L72" s="262">
        <v>0.2</v>
      </c>
      <c r="M72" s="74">
        <v>4</v>
      </c>
      <c r="N72" s="75">
        <f t="shared" si="8"/>
        <v>0.25</v>
      </c>
      <c r="O72" s="311">
        <f>AD72</f>
        <v>5.5999999999999999E-3</v>
      </c>
      <c r="P72" s="265">
        <f>'Input data'!B$92*O72</f>
        <v>0.88944786759111105</v>
      </c>
      <c r="Q72" s="76">
        <f t="shared" si="9"/>
        <v>6.6491040000000003E-3</v>
      </c>
      <c r="R72" s="76">
        <f t="shared" si="10"/>
        <v>0</v>
      </c>
      <c r="S72" s="76">
        <f>IF(C72="Yes",'Input data'!$E$47*'Input data'!$B$51*O72,'Input data'!$E$47*'Input data'!$B$49*O72)</f>
        <v>1.4347724458666666</v>
      </c>
      <c r="T72" s="76">
        <f>'Other Maintenance'!$B$94*'Maintenance Costs'!O111</f>
        <v>0.17845670326822294</v>
      </c>
      <c r="U72" s="264">
        <f>'Input data'!$B$112</f>
        <v>2.9565521226700353</v>
      </c>
      <c r="V72" s="240">
        <f t="shared" si="11"/>
        <v>5.4658782433960358</v>
      </c>
      <c r="W72" s="76">
        <f>'Input data'!$C$15*'Maintenance Costs'!N111</f>
        <v>9.75</v>
      </c>
      <c r="X72" s="76">
        <f t="shared" si="12"/>
        <v>0.29683500000000002</v>
      </c>
      <c r="Y72" s="76">
        <f>'Input data'!$B$47*'Maintenance Costs'!N111</f>
        <v>0</v>
      </c>
      <c r="Z72" s="76">
        <f>'Other Maintenance'!$B$94*'Maintenance Costs'!N111</f>
        <v>0.74356959695092895</v>
      </c>
      <c r="AA72" s="76">
        <f>('Input data'!$B$96+'Input data'!$B$97)*'Input data'!$B$76</f>
        <v>0.87776744444444454</v>
      </c>
      <c r="AB72" s="240">
        <f t="shared" si="13"/>
        <v>11.668172041395373</v>
      </c>
      <c r="AC72" s="163" t="str">
        <f t="shared" si="15"/>
        <v>INC</v>
      </c>
      <c r="AD72" s="311">
        <v>5.5999999999999999E-3</v>
      </c>
      <c r="AE72" s="312">
        <f t="shared" si="14"/>
        <v>0</v>
      </c>
      <c r="AF72" s="177"/>
      <c r="AG72" s="177"/>
      <c r="AH72" s="177"/>
      <c r="AI72" s="177"/>
      <c r="AJ72" s="177"/>
      <c r="AK72" s="177"/>
      <c r="AL72" s="177"/>
      <c r="AM72" s="177"/>
      <c r="AN72" s="177"/>
      <c r="AO72" s="177"/>
      <c r="AP72" s="177"/>
      <c r="AQ72" s="177"/>
      <c r="AR72" s="177"/>
      <c r="AS72" s="177"/>
      <c r="AT72" s="177"/>
      <c r="AU72" s="177"/>
      <c r="AV72" s="177"/>
      <c r="AW72" s="177"/>
      <c r="AX72" s="177"/>
    </row>
    <row r="73" spans="1:50" s="178" customFormat="1" x14ac:dyDescent="0.2">
      <c r="A73" s="72" t="s">
        <v>168</v>
      </c>
      <c r="B73" s="73" t="str">
        <f>VLOOKUP(LEFT(A73,7),'Tariff Schedule Lookup Table'!A$8:D$143,3,FALSE)</f>
        <v>2x58</v>
      </c>
      <c r="C73" s="236" t="s">
        <v>890</v>
      </c>
      <c r="D73" s="74">
        <v>2</v>
      </c>
      <c r="E73" s="74">
        <v>4</v>
      </c>
      <c r="F73" s="74" t="s">
        <v>247</v>
      </c>
      <c r="G73" s="106">
        <f>VLOOKUP(F73,'Lamp Stock'!A$14:H$48,4,FALSE)</f>
        <v>1.9968899999999998</v>
      </c>
      <c r="H73" s="106">
        <f>VLOOKUP(F73,'Lamp Stock'!A$14:G$48,6,FALSE)</f>
        <v>25.319593739999998</v>
      </c>
      <c r="I73" s="106">
        <f>VLOOKUP(F73,'Lamp Stock'!A$14:H$48,8,FALSE)</f>
        <v>0.38858399999999993</v>
      </c>
      <c r="J73" s="262">
        <v>0.35</v>
      </c>
      <c r="K73" s="262">
        <v>0.1</v>
      </c>
      <c r="L73" s="262">
        <v>0.2</v>
      </c>
      <c r="M73" s="74">
        <v>4</v>
      </c>
      <c r="N73" s="75">
        <f t="shared" si="8"/>
        <v>0.25</v>
      </c>
      <c r="O73" s="311">
        <v>0.06</v>
      </c>
      <c r="P73" s="265">
        <f>'Input data'!B$92*O73</f>
        <v>9.529798581333333</v>
      </c>
      <c r="Q73" s="76">
        <f t="shared" si="9"/>
        <v>0.23962679999999997</v>
      </c>
      <c r="R73" s="76">
        <f t="shared" si="10"/>
        <v>0.32715016487999998</v>
      </c>
      <c r="S73" s="76">
        <f>IF(C73="Yes",'Input data'!$E$47*'Input data'!$B$51*O73,'Input data'!$E$47*'Input data'!$B$49*O73)</f>
        <v>1.9215702399999999</v>
      </c>
      <c r="T73" s="76">
        <f>'Other Maintenance'!$B$94*'Maintenance Costs'!O38</f>
        <v>0.17845670326822294</v>
      </c>
      <c r="U73" s="264">
        <f>'Input data'!$B$112</f>
        <v>2.9565521226700353</v>
      </c>
      <c r="V73" s="240">
        <f t="shared" si="11"/>
        <v>15.153154612151592</v>
      </c>
      <c r="W73" s="76">
        <f>'Input data'!$C$15*'Maintenance Costs'!N38</f>
        <v>9.75</v>
      </c>
      <c r="X73" s="76">
        <f t="shared" si="12"/>
        <v>1.1927369999999999</v>
      </c>
      <c r="Y73" s="76">
        <f>'Input data'!$B$47*'Maintenance Costs'!N38</f>
        <v>0</v>
      </c>
      <c r="Z73" s="76">
        <f>'Other Maintenance'!$B$94*'Maintenance Costs'!N38</f>
        <v>0.74356959695092895</v>
      </c>
      <c r="AA73" s="76">
        <f>('Input data'!$B$96+'Input data'!$B$97)*'Input data'!$B$76</f>
        <v>0.87776744444444454</v>
      </c>
      <c r="AB73" s="240">
        <f t="shared" si="13"/>
        <v>12.564074041395372</v>
      </c>
      <c r="AC73" s="163" t="str">
        <f t="shared" si="15"/>
        <v>FLU</v>
      </c>
      <c r="AD73" s="311">
        <v>7.6960402044883455E-2</v>
      </c>
      <c r="AE73" s="312">
        <f t="shared" si="14"/>
        <v>1.6960402044883457E-2</v>
      </c>
      <c r="AF73" s="177"/>
      <c r="AG73" s="177"/>
      <c r="AH73" s="177"/>
      <c r="AI73" s="177"/>
      <c r="AJ73" s="177"/>
      <c r="AK73" s="177"/>
      <c r="AL73" s="177"/>
      <c r="AM73" s="177"/>
      <c r="AN73" s="177"/>
      <c r="AO73" s="177"/>
      <c r="AP73" s="177"/>
      <c r="AQ73" s="177"/>
      <c r="AR73" s="177"/>
      <c r="AS73" s="177"/>
      <c r="AT73" s="177"/>
      <c r="AU73" s="177"/>
      <c r="AV73" s="177"/>
      <c r="AW73" s="177"/>
      <c r="AX73" s="177"/>
    </row>
    <row r="74" spans="1:50" s="178" customFormat="1" x14ac:dyDescent="0.2">
      <c r="A74" s="72" t="s">
        <v>205</v>
      </c>
      <c r="B74" s="73">
        <f>VLOOKUP(LEFT(A74,7),'Tariff Schedule Lookup Table'!A$8:D$143,3,FALSE)</f>
        <v>300</v>
      </c>
      <c r="C74" s="236" t="s">
        <v>891</v>
      </c>
      <c r="D74" s="74">
        <v>1</v>
      </c>
      <c r="E74" s="74">
        <v>4</v>
      </c>
      <c r="F74" s="74" t="s">
        <v>297</v>
      </c>
      <c r="G74" s="106">
        <f>VLOOKUP(F74,'Lamp Stock'!A$14:H$48,4,FALSE)</f>
        <v>1.1873400000000001</v>
      </c>
      <c r="H74" s="106">
        <f>VLOOKUP(F74,'Lamp Stock'!A$14:G$48,6,FALSE)</f>
        <v>0</v>
      </c>
      <c r="I74" s="106">
        <f>VLOOKUP(F74,'Lamp Stock'!A$14:H$48,8,FALSE)</f>
        <v>0</v>
      </c>
      <c r="J74" s="262">
        <v>0.5</v>
      </c>
      <c r="K74" s="262">
        <v>0.1</v>
      </c>
      <c r="L74" s="262">
        <v>0.2</v>
      </c>
      <c r="M74" s="74">
        <v>4</v>
      </c>
      <c r="N74" s="75">
        <f t="shared" si="8"/>
        <v>0.25</v>
      </c>
      <c r="O74" s="311">
        <f>AD74</f>
        <v>5.5999999999999999E-3</v>
      </c>
      <c r="P74" s="265">
        <f>'Input data'!B$92*O74</f>
        <v>0.88944786759111105</v>
      </c>
      <c r="Q74" s="76">
        <f t="shared" si="9"/>
        <v>6.6491040000000003E-3</v>
      </c>
      <c r="R74" s="76">
        <f t="shared" si="10"/>
        <v>0</v>
      </c>
      <c r="S74" s="76">
        <f>IF(C74="Yes",'Input data'!$E$47*'Input data'!$B$51*O74,'Input data'!$E$47*'Input data'!$B$49*O74)</f>
        <v>1.4347724458666666</v>
      </c>
      <c r="T74" s="76">
        <f>'Other Maintenance'!$B$94*'Maintenance Costs'!O110</f>
        <v>0.17845670326822294</v>
      </c>
      <c r="U74" s="264">
        <f>'Input data'!$B$112</f>
        <v>2.9565521226700353</v>
      </c>
      <c r="V74" s="240">
        <f t="shared" si="11"/>
        <v>5.4658782433960358</v>
      </c>
      <c r="W74" s="76">
        <f>'Input data'!$C$15*'Maintenance Costs'!N110</f>
        <v>9.75</v>
      </c>
      <c r="X74" s="76">
        <f t="shared" si="12"/>
        <v>0.29683500000000002</v>
      </c>
      <c r="Y74" s="76">
        <f>'Input data'!$B$47*'Maintenance Costs'!N110</f>
        <v>0</v>
      </c>
      <c r="Z74" s="76">
        <f>'Other Maintenance'!$B$94*'Maintenance Costs'!N110</f>
        <v>0.74356959695092895</v>
      </c>
      <c r="AA74" s="76">
        <f>('Input data'!$B$96+'Input data'!$B$97)*'Input data'!$B$76</f>
        <v>0.87776744444444454</v>
      </c>
      <c r="AB74" s="240">
        <f t="shared" si="13"/>
        <v>11.668172041395373</v>
      </c>
      <c r="AC74" s="163" t="str">
        <f t="shared" si="15"/>
        <v>INC</v>
      </c>
      <c r="AD74" s="311">
        <v>5.5999999999999999E-3</v>
      </c>
      <c r="AE74" s="312">
        <f t="shared" si="14"/>
        <v>0</v>
      </c>
      <c r="AF74" s="177"/>
      <c r="AG74" s="177"/>
      <c r="AH74" s="177"/>
      <c r="AI74" s="177"/>
      <c r="AJ74" s="177"/>
      <c r="AK74" s="177"/>
      <c r="AL74" s="177"/>
      <c r="AM74" s="177"/>
      <c r="AN74" s="177"/>
      <c r="AO74" s="177"/>
      <c r="AP74" s="177"/>
      <c r="AQ74" s="177"/>
      <c r="AR74" s="177"/>
      <c r="AS74" s="177"/>
      <c r="AT74" s="177"/>
      <c r="AU74" s="177"/>
      <c r="AV74" s="177"/>
      <c r="AW74" s="177"/>
      <c r="AX74" s="177"/>
    </row>
    <row r="75" spans="1:50" s="178" customFormat="1" x14ac:dyDescent="0.2">
      <c r="A75" s="72" t="s">
        <v>194</v>
      </c>
      <c r="B75" s="73" t="str">
        <f>VLOOKUP(LEFT(A75,7),'Tariff Schedule Lookup Table'!A$8:D$143,3,FALSE)</f>
        <v>3x400</v>
      </c>
      <c r="C75" s="236" t="s">
        <v>891</v>
      </c>
      <c r="D75" s="74">
        <v>3</v>
      </c>
      <c r="E75" s="74">
        <v>3</v>
      </c>
      <c r="F75" s="74" t="s">
        <v>285</v>
      </c>
      <c r="G75" s="106">
        <f>VLOOKUP(F75,'Lamp Stock'!A$14:H$48,4,FALSE)</f>
        <v>28.701245999999998</v>
      </c>
      <c r="H75" s="106">
        <f>VLOOKUP(F75,'Lamp Stock'!A$14:G$48,6,FALSE)</f>
        <v>65.541167999999999</v>
      </c>
      <c r="I75" s="106">
        <f>VLOOKUP(F75,'Lamp Stock'!A$14:H$48,8,FALSE)</f>
        <v>17.011343999999998</v>
      </c>
      <c r="J75" s="262">
        <v>0.2</v>
      </c>
      <c r="K75" s="262">
        <v>0.1</v>
      </c>
      <c r="L75" s="262">
        <v>0.2</v>
      </c>
      <c r="M75" s="74">
        <v>4</v>
      </c>
      <c r="N75" s="75">
        <f t="shared" si="8"/>
        <v>0.25</v>
      </c>
      <c r="O75" s="311">
        <v>0.05</v>
      </c>
      <c r="P75" s="265">
        <f>'Input data'!B$92*O75</f>
        <v>7.9414988177777772</v>
      </c>
      <c r="Q75" s="76">
        <f t="shared" si="9"/>
        <v>4.3051868999999998</v>
      </c>
      <c r="R75" s="76">
        <f t="shared" si="10"/>
        <v>1.50597888</v>
      </c>
      <c r="S75" s="76">
        <f>IF(C75="Yes",'Input data'!$E$47*'Input data'!$B$51*O75,'Input data'!$E$47*'Input data'!$B$49*O75)</f>
        <v>12.810468266666668</v>
      </c>
      <c r="T75" s="76">
        <f>'Other Maintenance'!$B$94*'Maintenance Costs'!O75</f>
        <v>0.1487139193901858</v>
      </c>
      <c r="U75" s="264">
        <f>'Input data'!$B$112</f>
        <v>2.9565521226700353</v>
      </c>
      <c r="V75" s="240">
        <f t="shared" si="11"/>
        <v>29.668398906504667</v>
      </c>
      <c r="W75" s="76">
        <f>'Input data'!$C$15*'Maintenance Costs'!N75</f>
        <v>9.75</v>
      </c>
      <c r="X75" s="76">
        <f t="shared" si="12"/>
        <v>34.284442499999997</v>
      </c>
      <c r="Y75" s="76">
        <f>'Input data'!$B$47*'Maintenance Costs'!N75</f>
        <v>0</v>
      </c>
      <c r="Z75" s="76">
        <f>'Other Maintenance'!$B$94*'Maintenance Costs'!N75</f>
        <v>0.74356959695092895</v>
      </c>
      <c r="AA75" s="76">
        <f>('Input data'!$B$96+'Input data'!$B$97)*'Input data'!$B$76</f>
        <v>0.87776744444444454</v>
      </c>
      <c r="AB75" s="240">
        <f t="shared" si="13"/>
        <v>45.655779541395368</v>
      </c>
      <c r="AC75" s="163" t="s">
        <v>905</v>
      </c>
      <c r="AD75" s="311">
        <v>9.5500000000000002E-2</v>
      </c>
      <c r="AE75" s="312">
        <f t="shared" si="14"/>
        <v>4.5499999999999999E-2</v>
      </c>
      <c r="AF75" s="177"/>
      <c r="AG75" s="177"/>
      <c r="AH75" s="177"/>
      <c r="AI75" s="177"/>
      <c r="AJ75" s="177"/>
      <c r="AK75" s="177"/>
      <c r="AL75" s="177"/>
      <c r="AM75" s="177"/>
      <c r="AN75" s="177"/>
      <c r="AO75" s="177"/>
      <c r="AP75" s="177"/>
      <c r="AQ75" s="177"/>
      <c r="AR75" s="177"/>
      <c r="AS75" s="177"/>
      <c r="AT75" s="177"/>
      <c r="AU75" s="177"/>
      <c r="AV75" s="177"/>
      <c r="AW75" s="177"/>
      <c r="AX75" s="177"/>
    </row>
    <row r="76" spans="1:50" s="178" customFormat="1" x14ac:dyDescent="0.2">
      <c r="A76" s="72" t="s">
        <v>209</v>
      </c>
      <c r="B76" s="73">
        <f>VLOOKUP(LEFT(A76,7),'Tariff Schedule Lookup Table'!A$8:D$143,3,FALSE)</f>
        <v>1500</v>
      </c>
      <c r="C76" s="236" t="s">
        <v>890</v>
      </c>
      <c r="D76" s="74">
        <v>1</v>
      </c>
      <c r="E76" s="74">
        <v>3</v>
      </c>
      <c r="F76" s="74" t="s">
        <v>297</v>
      </c>
      <c r="G76" s="106">
        <f>VLOOKUP(F76,'Lamp Stock'!A$14:H$48,4,FALSE)</f>
        <v>1.1873400000000001</v>
      </c>
      <c r="H76" s="106">
        <f>VLOOKUP(F76,'Lamp Stock'!A$14:G$48,6,FALSE)</f>
        <v>0</v>
      </c>
      <c r="I76" s="106">
        <f>VLOOKUP(F76,'Lamp Stock'!A$14:H$48,8,FALSE)</f>
        <v>0</v>
      </c>
      <c r="J76" s="262">
        <v>0.5</v>
      </c>
      <c r="K76" s="262">
        <v>0.1</v>
      </c>
      <c r="L76" s="262">
        <v>0.2</v>
      </c>
      <c r="M76" s="74">
        <v>4</v>
      </c>
      <c r="N76" s="75">
        <f t="shared" si="8"/>
        <v>0.25</v>
      </c>
      <c r="O76" s="311">
        <f>AD76</f>
        <v>5.5999999999999999E-3</v>
      </c>
      <c r="P76" s="265">
        <f>'Input data'!B$92*O76</f>
        <v>0.88944786759111105</v>
      </c>
      <c r="Q76" s="76">
        <f t="shared" si="9"/>
        <v>6.6491040000000003E-3</v>
      </c>
      <c r="R76" s="76">
        <f t="shared" si="10"/>
        <v>0</v>
      </c>
      <c r="S76" s="76">
        <f>IF(C76="Yes",'Input data'!$E$47*'Input data'!$B$51*O76,'Input data'!$E$47*'Input data'!$B$49*O76)</f>
        <v>0.17934655573333333</v>
      </c>
      <c r="T76" s="76">
        <f>'Other Maintenance'!$B$94*'Maintenance Costs'!O116</f>
        <v>0.17845670326822294</v>
      </c>
      <c r="U76" s="264">
        <f>'Input data'!$B$112</f>
        <v>2.9565521226700353</v>
      </c>
      <c r="V76" s="240">
        <f t="shared" si="11"/>
        <v>4.2104523532627027</v>
      </c>
      <c r="W76" s="76">
        <f>'Input data'!$C$15*'Maintenance Costs'!N116</f>
        <v>9.75</v>
      </c>
      <c r="X76" s="76">
        <f t="shared" si="12"/>
        <v>0.29683500000000002</v>
      </c>
      <c r="Y76" s="76">
        <f>'Input data'!$B$47*'Maintenance Costs'!N116</f>
        <v>0</v>
      </c>
      <c r="Z76" s="76">
        <f>'Other Maintenance'!$B$94*'Maintenance Costs'!N116</f>
        <v>0.74356959695092895</v>
      </c>
      <c r="AA76" s="76">
        <f>('Input data'!$B$96+'Input data'!$B$97)*'Input data'!$B$76</f>
        <v>0.87776744444444454</v>
      </c>
      <c r="AB76" s="240">
        <f t="shared" si="13"/>
        <v>11.668172041395373</v>
      </c>
      <c r="AC76" s="163" t="str">
        <f t="shared" ref="AC76:AC106" si="16">LEFT(A76,3)</f>
        <v>INC</v>
      </c>
      <c r="AD76" s="311">
        <v>5.5999999999999999E-3</v>
      </c>
      <c r="AE76" s="312">
        <f t="shared" si="14"/>
        <v>0</v>
      </c>
      <c r="AF76" s="177"/>
      <c r="AG76" s="177"/>
      <c r="AH76" s="177"/>
      <c r="AI76" s="177"/>
      <c r="AJ76" s="177"/>
      <c r="AK76" s="177"/>
      <c r="AL76" s="177"/>
      <c r="AM76" s="177"/>
      <c r="AN76" s="177"/>
      <c r="AO76" s="177"/>
      <c r="AP76" s="177"/>
      <c r="AQ76" s="177"/>
      <c r="AR76" s="177"/>
      <c r="AS76" s="177"/>
      <c r="AT76" s="177"/>
      <c r="AU76" s="177"/>
      <c r="AV76" s="177"/>
      <c r="AW76" s="177"/>
      <c r="AX76" s="177"/>
    </row>
    <row r="77" spans="1:50" s="178" customFormat="1" x14ac:dyDescent="0.2">
      <c r="A77" s="72" t="s">
        <v>232</v>
      </c>
      <c r="B77" s="73">
        <f>VLOOKUP(LEFT(A77,7),'Tariff Schedule Lookup Table'!A$8:D$143,3,FALSE)</f>
        <v>500</v>
      </c>
      <c r="C77" s="236" t="s">
        <v>891</v>
      </c>
      <c r="D77" s="74">
        <v>1</v>
      </c>
      <c r="E77" s="74">
        <v>3</v>
      </c>
      <c r="F77" s="74" t="s">
        <v>358</v>
      </c>
      <c r="G77" s="106">
        <f>VLOOKUP(F77,'Lamp Stock'!A$14:H$48,4,FALSE)</f>
        <v>10.642883999999999</v>
      </c>
      <c r="H77" s="106">
        <f>VLOOKUP(F77,'Lamp Stock'!A$14:G$48,6,FALSE)</f>
        <v>51.703259999999993</v>
      </c>
      <c r="I77" s="106">
        <f>VLOOKUP(F77,'Lamp Stock'!A$14:H$48,8,FALSE)</f>
        <v>21.005123999999999</v>
      </c>
      <c r="J77" s="262">
        <v>0.22</v>
      </c>
      <c r="K77" s="262">
        <v>0.1</v>
      </c>
      <c r="L77" s="262">
        <v>0.2</v>
      </c>
      <c r="M77" s="74">
        <v>4</v>
      </c>
      <c r="N77" s="75">
        <f t="shared" si="8"/>
        <v>0.25</v>
      </c>
      <c r="O77" s="311">
        <v>0.04</v>
      </c>
      <c r="P77" s="265">
        <f>'Input data'!B$92*O77</f>
        <v>6.3531990542222223</v>
      </c>
      <c r="Q77" s="76">
        <f t="shared" si="9"/>
        <v>0.42571535999999993</v>
      </c>
      <c r="R77" s="76">
        <f t="shared" si="10"/>
        <v>1.2538310400000001</v>
      </c>
      <c r="S77" s="76">
        <f>IF(C77="Yes",'Input data'!$E$47*'Input data'!$B$51*O77,'Input data'!$E$47*'Input data'!$B$49*O77)</f>
        <v>10.248374613333333</v>
      </c>
      <c r="T77" s="76">
        <f>'Other Maintenance'!$B$94*'Maintenance Costs'!O167</f>
        <v>0.11897113551214863</v>
      </c>
      <c r="U77" s="264">
        <f>'Input data'!$B$112</f>
        <v>2.9565521226700353</v>
      </c>
      <c r="V77" s="240">
        <f t="shared" si="11"/>
        <v>21.356643325737739</v>
      </c>
      <c r="W77" s="76">
        <f>'Input data'!$C$15*'Maintenance Costs'!N167</f>
        <v>9.75</v>
      </c>
      <c r="X77" s="76">
        <f t="shared" si="12"/>
        <v>7.9120019999999993</v>
      </c>
      <c r="Y77" s="76">
        <f>'Input data'!$B$47*'Maintenance Costs'!N167</f>
        <v>0</v>
      </c>
      <c r="Z77" s="76">
        <f>'Other Maintenance'!$B$94*'Maintenance Costs'!N167</f>
        <v>0.74356959695092895</v>
      </c>
      <c r="AA77" s="76">
        <f>('Input data'!$B$96+'Input data'!$B$97)*'Input data'!$B$76</f>
        <v>0.87776744444444454</v>
      </c>
      <c r="AB77" s="240">
        <f t="shared" si="13"/>
        <v>19.283339041395376</v>
      </c>
      <c r="AC77" s="163" t="str">
        <f t="shared" si="16"/>
        <v>MVA</v>
      </c>
      <c r="AD77" s="311">
        <v>4.4699999999999997E-2</v>
      </c>
      <c r="AE77" s="312">
        <f t="shared" si="14"/>
        <v>4.6999999999999958E-3</v>
      </c>
      <c r="AF77" s="177"/>
      <c r="AG77" s="177"/>
      <c r="AH77" s="177"/>
      <c r="AI77" s="177"/>
      <c r="AJ77" s="177"/>
      <c r="AK77" s="177"/>
      <c r="AL77" s="177"/>
      <c r="AM77" s="177"/>
      <c r="AN77" s="177"/>
      <c r="AO77" s="177"/>
      <c r="AP77" s="177"/>
      <c r="AQ77" s="177"/>
      <c r="AR77" s="177"/>
      <c r="AS77" s="177"/>
      <c r="AT77" s="177"/>
      <c r="AU77" s="177"/>
      <c r="AV77" s="177"/>
      <c r="AW77" s="177"/>
      <c r="AX77" s="177"/>
    </row>
    <row r="78" spans="1:50" s="178" customFormat="1" x14ac:dyDescent="0.2">
      <c r="A78" s="72" t="s">
        <v>425</v>
      </c>
      <c r="B78" s="73">
        <f>VLOOKUP(LEFT(A78,7),'Tariff Schedule Lookup Table'!A$8:D$143,3,FALSE)</f>
        <v>65</v>
      </c>
      <c r="C78" s="236" t="s">
        <v>890</v>
      </c>
      <c r="D78" s="74">
        <v>1</v>
      </c>
      <c r="E78" s="74">
        <v>2</v>
      </c>
      <c r="F78" s="74" t="s">
        <v>247</v>
      </c>
      <c r="G78" s="106">
        <f>VLOOKUP(F78,'Lamp Stock'!A$14:H$48,4,FALSE)</f>
        <v>1.9968899999999998</v>
      </c>
      <c r="H78" s="106">
        <f>VLOOKUP(F78,'Lamp Stock'!A$14:G$48,6,FALSE)</f>
        <v>25.319593739999998</v>
      </c>
      <c r="I78" s="106">
        <f>VLOOKUP(F78,'Lamp Stock'!A$14:H$48,8,FALSE)</f>
        <v>0.38858399999999993</v>
      </c>
      <c r="J78" s="262">
        <v>0.35</v>
      </c>
      <c r="K78" s="262">
        <v>0.1</v>
      </c>
      <c r="L78" s="262">
        <v>0.2</v>
      </c>
      <c r="M78" s="74">
        <v>4</v>
      </c>
      <c r="N78" s="75">
        <f t="shared" si="8"/>
        <v>0.25</v>
      </c>
      <c r="O78" s="311">
        <v>0.06</v>
      </c>
      <c r="P78" s="265">
        <f>'Input data'!B$92*O78</f>
        <v>9.529798581333333</v>
      </c>
      <c r="Q78" s="76">
        <f t="shared" si="9"/>
        <v>0.11981339999999999</v>
      </c>
      <c r="R78" s="76">
        <f t="shared" si="10"/>
        <v>0.32715016487999998</v>
      </c>
      <c r="S78" s="76">
        <f>IF(C78="Yes",'Input data'!$E$47*'Input data'!$B$51*O78,'Input data'!$E$47*'Input data'!$B$49*O78)</f>
        <v>1.9215702399999999</v>
      </c>
      <c r="T78" s="76">
        <f>'Other Maintenance'!$B$94*'Maintenance Costs'!O41</f>
        <v>0.11897113551214863</v>
      </c>
      <c r="U78" s="264">
        <f>'Input data'!$B$112</f>
        <v>2.9565521226700353</v>
      </c>
      <c r="V78" s="240">
        <f t="shared" si="11"/>
        <v>14.973855644395517</v>
      </c>
      <c r="W78" s="76">
        <f>'Input data'!$C$15*'Maintenance Costs'!N41</f>
        <v>9.75</v>
      </c>
      <c r="X78" s="76">
        <f t="shared" si="12"/>
        <v>0.59636849999999997</v>
      </c>
      <c r="Y78" s="76">
        <f>'Input data'!$B$47*'Maintenance Costs'!N41</f>
        <v>0</v>
      </c>
      <c r="Z78" s="76">
        <f>'Other Maintenance'!$B$94*'Maintenance Costs'!N41</f>
        <v>0.74356959695092895</v>
      </c>
      <c r="AA78" s="76">
        <f>('Input data'!$B$96+'Input data'!$B$97)*'Input data'!$B$76</f>
        <v>0.87776744444444454</v>
      </c>
      <c r="AB78" s="240">
        <f t="shared" si="13"/>
        <v>11.967705541395373</v>
      </c>
      <c r="AC78" s="163" t="str">
        <f t="shared" si="16"/>
        <v>FLU</v>
      </c>
      <c r="AD78" s="311">
        <v>7.6960402044883455E-2</v>
      </c>
      <c r="AE78" s="312">
        <f t="shared" si="14"/>
        <v>1.6960402044883457E-2</v>
      </c>
      <c r="AF78" s="177"/>
      <c r="AG78" s="177"/>
      <c r="AH78" s="177"/>
      <c r="AI78" s="177"/>
      <c r="AJ78" s="177"/>
      <c r="AK78" s="177"/>
      <c r="AL78" s="177"/>
      <c r="AM78" s="177"/>
      <c r="AN78" s="177"/>
      <c r="AO78" s="177"/>
      <c r="AP78" s="177"/>
      <c r="AQ78" s="177"/>
      <c r="AR78" s="177"/>
      <c r="AS78" s="177"/>
      <c r="AT78" s="177"/>
      <c r="AU78" s="177"/>
      <c r="AV78" s="177"/>
      <c r="AW78" s="177"/>
      <c r="AX78" s="177"/>
    </row>
    <row r="79" spans="1:50" s="178" customFormat="1" x14ac:dyDescent="0.2">
      <c r="A79" s="72" t="s">
        <v>204</v>
      </c>
      <c r="B79" s="73">
        <f>VLOOKUP(LEFT(A79,7),'Tariff Schedule Lookup Table'!A$8:D$143,3,FALSE)</f>
        <v>200</v>
      </c>
      <c r="C79" s="236" t="s">
        <v>891</v>
      </c>
      <c r="D79" s="74">
        <v>1</v>
      </c>
      <c r="E79" s="74">
        <v>2</v>
      </c>
      <c r="F79" s="74" t="s">
        <v>297</v>
      </c>
      <c r="G79" s="106">
        <f>VLOOKUP(F79,'Lamp Stock'!A$14:H$48,4,FALSE)</f>
        <v>1.1873400000000001</v>
      </c>
      <c r="H79" s="106">
        <f>VLOOKUP(F79,'Lamp Stock'!A$14:G$48,6,FALSE)</f>
        <v>0</v>
      </c>
      <c r="I79" s="106">
        <f>VLOOKUP(F79,'Lamp Stock'!A$14:H$48,8,FALSE)</f>
        <v>0</v>
      </c>
      <c r="J79" s="262">
        <v>0.5</v>
      </c>
      <c r="K79" s="262">
        <v>0.1</v>
      </c>
      <c r="L79" s="262">
        <v>0.2</v>
      </c>
      <c r="M79" s="74">
        <v>4</v>
      </c>
      <c r="N79" s="75">
        <f t="shared" si="8"/>
        <v>0.25</v>
      </c>
      <c r="O79" s="311">
        <v>5.5999999999999999E-3</v>
      </c>
      <c r="P79" s="265">
        <f>'Input data'!B$92*O79</f>
        <v>0.88944786759111105</v>
      </c>
      <c r="Q79" s="76">
        <f t="shared" si="9"/>
        <v>6.6491040000000003E-3</v>
      </c>
      <c r="R79" s="76">
        <f t="shared" si="10"/>
        <v>0</v>
      </c>
      <c r="S79" s="76">
        <f>IF(C79="Yes",'Input data'!$E$47*'Input data'!$B$51*O79,'Input data'!$E$47*'Input data'!$B$49*O79)</f>
        <v>1.4347724458666666</v>
      </c>
      <c r="T79" s="76">
        <f>'Other Maintenance'!$B$94*'Maintenance Costs'!O109</f>
        <v>0.17845670326822294</v>
      </c>
      <c r="U79" s="264">
        <f>'Input data'!$B$112</f>
        <v>2.9565521226700353</v>
      </c>
      <c r="V79" s="240">
        <f t="shared" si="11"/>
        <v>5.4658782433960358</v>
      </c>
      <c r="W79" s="76">
        <f>'Input data'!$C$15*'Maintenance Costs'!N109</f>
        <v>9.75</v>
      </c>
      <c r="X79" s="76">
        <f t="shared" si="12"/>
        <v>0.29683500000000002</v>
      </c>
      <c r="Y79" s="76">
        <f>'Input data'!$B$47*'Maintenance Costs'!N109</f>
        <v>0</v>
      </c>
      <c r="Z79" s="76">
        <f>'Other Maintenance'!$B$94*'Maintenance Costs'!N109</f>
        <v>0.74356959695092895</v>
      </c>
      <c r="AA79" s="76">
        <f>('Input data'!$B$96+'Input data'!$B$97)*'Input data'!$B$76</f>
        <v>0.87776744444444454</v>
      </c>
      <c r="AB79" s="240">
        <f t="shared" si="13"/>
        <v>11.668172041395373</v>
      </c>
      <c r="AC79" s="163" t="str">
        <f t="shared" si="16"/>
        <v>INC</v>
      </c>
      <c r="AD79" s="311">
        <v>5.5999999999999999E-3</v>
      </c>
      <c r="AE79" s="312">
        <f t="shared" si="14"/>
        <v>0</v>
      </c>
      <c r="AF79" s="177"/>
      <c r="AG79" s="177"/>
      <c r="AH79" s="177"/>
      <c r="AI79" s="177"/>
      <c r="AJ79" s="177"/>
      <c r="AK79" s="177"/>
      <c r="AL79" s="177"/>
      <c r="AM79" s="177"/>
      <c r="AN79" s="177"/>
      <c r="AO79" s="177"/>
      <c r="AP79" s="177"/>
      <c r="AQ79" s="177"/>
      <c r="AR79" s="177"/>
      <c r="AS79" s="177"/>
      <c r="AT79" s="177"/>
      <c r="AU79" s="177"/>
      <c r="AV79" s="177"/>
      <c r="AW79" s="177"/>
      <c r="AX79" s="177"/>
    </row>
    <row r="80" spans="1:50" s="178" customFormat="1" x14ac:dyDescent="0.2">
      <c r="A80" s="72" t="s">
        <v>217</v>
      </c>
      <c r="B80" s="73">
        <f>VLOOKUP(LEFT(A80,7),'Tariff Schedule Lookup Table'!A$8:D$143,3,FALSE)</f>
        <v>310</v>
      </c>
      <c r="C80" s="236" t="s">
        <v>891</v>
      </c>
      <c r="D80" s="74">
        <v>1</v>
      </c>
      <c r="E80" s="74">
        <v>2</v>
      </c>
      <c r="F80" s="74" t="s">
        <v>316</v>
      </c>
      <c r="G80" s="106">
        <f>VLOOKUP(F80,'Lamp Stock'!A$14:H$48,4,FALSE)</f>
        <v>38.3187</v>
      </c>
      <c r="H80" s="106">
        <f>VLOOKUP(F80,'Lamp Stock'!A$14:G$48,6,FALSE)</f>
        <v>79.551779999999994</v>
      </c>
      <c r="I80" s="106">
        <f>VLOOKUP(F80,'Lamp Stock'!A$14:H$48,8,FALSE)</f>
        <v>21.005123999999999</v>
      </c>
      <c r="J80" s="262">
        <v>0.25</v>
      </c>
      <c r="K80" s="262">
        <v>0.1</v>
      </c>
      <c r="L80" s="262">
        <v>0.2</v>
      </c>
      <c r="M80" s="74">
        <v>4</v>
      </c>
      <c r="N80" s="75">
        <f t="shared" si="8"/>
        <v>0.25</v>
      </c>
      <c r="O80" s="311">
        <v>0.06</v>
      </c>
      <c r="P80" s="265">
        <f>'Input data'!B$92*O80</f>
        <v>9.529798581333333</v>
      </c>
      <c r="Q80" s="76">
        <f t="shared" si="9"/>
        <v>2.2991220000000001</v>
      </c>
      <c r="R80" s="76">
        <f t="shared" si="10"/>
        <v>2.2149288</v>
      </c>
      <c r="S80" s="76">
        <f>IF(C80="Yes",'Input data'!$E$47*'Input data'!$B$51*O80,'Input data'!$E$47*'Input data'!$B$49*O80)</f>
        <v>15.372561919999999</v>
      </c>
      <c r="T80" s="76">
        <f>'Other Maintenance'!$B$94*'Maintenance Costs'!O126</f>
        <v>0.11897113551214863</v>
      </c>
      <c r="U80" s="264">
        <f>'Input data'!$B$112</f>
        <v>2.9565521226700353</v>
      </c>
      <c r="V80" s="240">
        <f t="shared" si="11"/>
        <v>32.491934559515514</v>
      </c>
      <c r="W80" s="76">
        <f>'Input data'!$C$15*'Maintenance Costs'!N126</f>
        <v>9.75</v>
      </c>
      <c r="X80" s="76">
        <f t="shared" si="12"/>
        <v>14.830956</v>
      </c>
      <c r="Y80" s="76">
        <f>'Input data'!$B$47*'Maintenance Costs'!N126</f>
        <v>0</v>
      </c>
      <c r="Z80" s="76">
        <f>'Other Maintenance'!$B$94*'Maintenance Costs'!N126</f>
        <v>0.74356959695092895</v>
      </c>
      <c r="AA80" s="76">
        <f>('Input data'!$B$96+'Input data'!$B$97)*'Input data'!$B$76</f>
        <v>0.87776744444444454</v>
      </c>
      <c r="AB80" s="240">
        <f t="shared" si="13"/>
        <v>26.202293041395375</v>
      </c>
      <c r="AC80" s="163" t="str">
        <f t="shared" si="16"/>
        <v>LPS</v>
      </c>
      <c r="AD80" s="311">
        <v>0.1076</v>
      </c>
      <c r="AE80" s="312">
        <f t="shared" si="14"/>
        <v>4.7600000000000003E-2</v>
      </c>
      <c r="AF80" s="177"/>
      <c r="AG80" s="177"/>
      <c r="AH80" s="177"/>
      <c r="AI80" s="177"/>
      <c r="AJ80" s="177"/>
      <c r="AK80" s="177"/>
      <c r="AL80" s="177"/>
      <c r="AM80" s="177"/>
      <c r="AN80" s="177"/>
      <c r="AO80" s="177"/>
      <c r="AP80" s="177"/>
      <c r="AQ80" s="177"/>
      <c r="AR80" s="177"/>
      <c r="AS80" s="177"/>
      <c r="AT80" s="177"/>
      <c r="AU80" s="177"/>
      <c r="AV80" s="177"/>
      <c r="AW80" s="177"/>
      <c r="AX80" s="177"/>
    </row>
    <row r="81" spans="1:50" s="178" customFormat="1" x14ac:dyDescent="0.2">
      <c r="A81" s="72" t="s">
        <v>442</v>
      </c>
      <c r="B81" s="73">
        <f>VLOOKUP(LEFT(A81,7),'Tariff Schedule Lookup Table'!A$8:D$143,3,FALSE)</f>
        <v>250</v>
      </c>
      <c r="C81" s="236" t="s">
        <v>891</v>
      </c>
      <c r="D81" s="74">
        <v>1</v>
      </c>
      <c r="E81" s="74">
        <v>2</v>
      </c>
      <c r="F81" s="74" t="s">
        <v>329</v>
      </c>
      <c r="G81" s="106">
        <f>VLOOKUP(F81,'Lamp Stock'!A$14:H$48,4,FALSE)</f>
        <v>40.952435999999992</v>
      </c>
      <c r="H81" s="106">
        <f>VLOOKUP(F81,'Lamp Stock'!A$14:G$48,6,FALSE)</f>
        <v>54.833519999999993</v>
      </c>
      <c r="I81" s="106">
        <f>VLOOKUP(F81,'Lamp Stock'!A$14:H$48,8,FALSE)</f>
        <v>17.011343999999998</v>
      </c>
      <c r="J81" s="262">
        <v>0.28000000000000003</v>
      </c>
      <c r="K81" s="262">
        <v>0.1</v>
      </c>
      <c r="L81" s="262">
        <v>0.2</v>
      </c>
      <c r="M81" s="74">
        <v>4</v>
      </c>
      <c r="N81" s="75">
        <f t="shared" si="8"/>
        <v>0.25</v>
      </c>
      <c r="O81" s="311">
        <v>0.04</v>
      </c>
      <c r="P81" s="265">
        <f>'Input data'!B$92*O81</f>
        <v>6.3531990542222223</v>
      </c>
      <c r="Q81" s="76">
        <f t="shared" si="9"/>
        <v>1.6380974399999997</v>
      </c>
      <c r="R81" s="76">
        <f t="shared" si="10"/>
        <v>1.11912192</v>
      </c>
      <c r="S81" s="76">
        <f>IF(C81="Yes",'Input data'!$E$47*'Input data'!$B$51*O81,'Input data'!$E$47*'Input data'!$B$49*O81)</f>
        <v>10.248374613333333</v>
      </c>
      <c r="T81" s="76">
        <f>'Other Maintenance'!$B$94*'Maintenance Costs'!O128</f>
        <v>0.11897113551214863</v>
      </c>
      <c r="U81" s="264">
        <f>'Input data'!$B$112</f>
        <v>2.9565521226700353</v>
      </c>
      <c r="V81" s="240">
        <f t="shared" si="11"/>
        <v>22.43431628573774</v>
      </c>
      <c r="W81" s="76">
        <f>'Input data'!$C$15*'Maintenance Costs'!N128</f>
        <v>9.75</v>
      </c>
      <c r="X81" s="76">
        <f t="shared" si="12"/>
        <v>14.490944999999996</v>
      </c>
      <c r="Y81" s="76">
        <f>'Input data'!$B$47*'Maintenance Costs'!N128</f>
        <v>0</v>
      </c>
      <c r="Z81" s="76">
        <f>'Other Maintenance'!$B$94*'Maintenance Costs'!N128</f>
        <v>0.74356959695092895</v>
      </c>
      <c r="AA81" s="76">
        <f>('Input data'!$B$96+'Input data'!$B$97)*'Input data'!$B$76</f>
        <v>0.87776744444444454</v>
      </c>
      <c r="AB81" s="240">
        <f t="shared" si="13"/>
        <v>25.862282041395371</v>
      </c>
      <c r="AC81" s="163" t="str">
        <f t="shared" si="16"/>
        <v>MHC</v>
      </c>
      <c r="AD81" s="311">
        <v>5.6500000000000002E-2</v>
      </c>
      <c r="AE81" s="312">
        <f t="shared" si="14"/>
        <v>1.6500000000000001E-2</v>
      </c>
      <c r="AF81" s="177"/>
      <c r="AG81" s="177"/>
      <c r="AH81" s="177"/>
      <c r="AI81" s="177"/>
      <c r="AJ81" s="177"/>
      <c r="AK81" s="177"/>
      <c r="AL81" s="177"/>
      <c r="AM81" s="177"/>
      <c r="AN81" s="177"/>
      <c r="AO81" s="177"/>
      <c r="AP81" s="177"/>
      <c r="AQ81" s="177"/>
      <c r="AR81" s="177"/>
      <c r="AS81" s="177"/>
      <c r="AT81" s="177"/>
      <c r="AU81" s="177"/>
      <c r="AV81" s="177"/>
      <c r="AW81" s="177"/>
      <c r="AX81" s="177"/>
    </row>
    <row r="82" spans="1:50" s="178" customFormat="1" x14ac:dyDescent="0.2">
      <c r="A82" s="72" t="s">
        <v>229</v>
      </c>
      <c r="B82" s="73">
        <f>VLOOKUP(LEFT(A82,7),'Tariff Schedule Lookup Table'!A$8:D$143,3,FALSE)</f>
        <v>175</v>
      </c>
      <c r="C82" s="236" t="s">
        <v>891</v>
      </c>
      <c r="D82" s="74">
        <v>1</v>
      </c>
      <c r="E82" s="74">
        <v>2</v>
      </c>
      <c r="F82" s="74" t="s">
        <v>344</v>
      </c>
      <c r="G82" s="106">
        <f>VLOOKUP(F82,'Lamp Stock'!A$14:H$48,4,FALSE)</f>
        <v>4.036956</v>
      </c>
      <c r="H82" s="106">
        <f>VLOOKUP(F82,'Lamp Stock'!A$14:G$48,6,FALSE)</f>
        <v>28.819979999999997</v>
      </c>
      <c r="I82" s="106">
        <f>VLOOKUP(F82,'Lamp Stock'!A$14:H$48,8,FALSE)</f>
        <v>21.005123999999999</v>
      </c>
      <c r="J82" s="262">
        <v>0.22</v>
      </c>
      <c r="K82" s="262">
        <v>0.1</v>
      </c>
      <c r="L82" s="262">
        <v>0.2</v>
      </c>
      <c r="M82" s="74">
        <v>4</v>
      </c>
      <c r="N82" s="75">
        <f t="shared" si="8"/>
        <v>0.25</v>
      </c>
      <c r="O82" s="311">
        <v>0.04</v>
      </c>
      <c r="P82" s="265">
        <f>'Input data'!B$92*O82</f>
        <v>6.3531990542222223</v>
      </c>
      <c r="Q82" s="76">
        <f t="shared" si="9"/>
        <v>0.16147824</v>
      </c>
      <c r="R82" s="76">
        <f t="shared" si="10"/>
        <v>1.0707648000000001</v>
      </c>
      <c r="S82" s="76">
        <f>IF(C82="Yes",'Input data'!$E$47*'Input data'!$B$51*O82,'Input data'!$E$47*'Input data'!$B$49*O82)</f>
        <v>10.248374613333333</v>
      </c>
      <c r="T82" s="76">
        <f>'Other Maintenance'!$B$94*'Maintenance Costs'!O159</f>
        <v>0.11897113551214863</v>
      </c>
      <c r="U82" s="264">
        <f>'Input data'!$B$112</f>
        <v>2.9565521226700353</v>
      </c>
      <c r="V82" s="240">
        <f t="shared" si="11"/>
        <v>20.90933996573774</v>
      </c>
      <c r="W82" s="76">
        <f>'Input data'!$C$15*'Maintenance Costs'!N159</f>
        <v>9.75</v>
      </c>
      <c r="X82" s="76">
        <f t="shared" si="12"/>
        <v>6.2605199999999996</v>
      </c>
      <c r="Y82" s="76">
        <f>'Input data'!$B$47*'Maintenance Costs'!N159</f>
        <v>0</v>
      </c>
      <c r="Z82" s="76">
        <f>'Other Maintenance'!$B$94*'Maintenance Costs'!N159</f>
        <v>0.74356959695092895</v>
      </c>
      <c r="AA82" s="76">
        <f>('Input data'!$B$96+'Input data'!$B$97)*'Input data'!$B$76</f>
        <v>0.87776744444444454</v>
      </c>
      <c r="AB82" s="240">
        <f t="shared" si="13"/>
        <v>17.631857041395374</v>
      </c>
      <c r="AC82" s="163" t="str">
        <f t="shared" si="16"/>
        <v>MVA</v>
      </c>
      <c r="AD82" s="311">
        <v>4.4699999999999997E-2</v>
      </c>
      <c r="AE82" s="312">
        <f t="shared" si="14"/>
        <v>4.6999999999999958E-3</v>
      </c>
      <c r="AF82" s="177"/>
      <c r="AG82" s="177"/>
      <c r="AH82" s="177"/>
      <c r="AI82" s="177"/>
      <c r="AJ82" s="177"/>
      <c r="AK82" s="177"/>
      <c r="AL82" s="177"/>
      <c r="AM82" s="177"/>
      <c r="AN82" s="177"/>
      <c r="AO82" s="177"/>
      <c r="AP82" s="177"/>
      <c r="AQ82" s="177"/>
      <c r="AR82" s="177"/>
      <c r="AS82" s="177"/>
      <c r="AT82" s="177"/>
      <c r="AU82" s="177"/>
      <c r="AV82" s="177"/>
      <c r="AW82" s="177"/>
      <c r="AX82" s="177"/>
    </row>
    <row r="83" spans="1:50" s="178" customFormat="1" x14ac:dyDescent="0.2">
      <c r="A83" s="72" t="s">
        <v>158</v>
      </c>
      <c r="B83" s="73" t="str">
        <f>VLOOKUP(LEFT(A83,7),'Tariff Schedule Lookup Table'!A$8:D$143,3,FALSE)</f>
        <v>3x20</v>
      </c>
      <c r="C83" s="236" t="s">
        <v>890</v>
      </c>
      <c r="D83" s="74">
        <v>3</v>
      </c>
      <c r="E83" s="74">
        <v>1</v>
      </c>
      <c r="F83" s="74" t="s">
        <v>240</v>
      </c>
      <c r="G83" s="106">
        <f>VLOOKUP(F83,'Lamp Stock'!A$14:H$48,4,FALSE)</f>
        <v>4.1017199999999994</v>
      </c>
      <c r="H83" s="106">
        <f>VLOOKUP(F83,'Lamp Stock'!A$14:G$48,6,FALSE)</f>
        <v>25.319593739999998</v>
      </c>
      <c r="I83" s="106">
        <f>VLOOKUP(F83,'Lamp Stock'!A$14:H$48,8,FALSE)</f>
        <v>0.47493599999999997</v>
      </c>
      <c r="J83" s="262">
        <v>0.35</v>
      </c>
      <c r="K83" s="262">
        <v>0.1</v>
      </c>
      <c r="L83" s="262">
        <v>0.2</v>
      </c>
      <c r="M83" s="74">
        <v>4</v>
      </c>
      <c r="N83" s="75">
        <f t="shared" si="8"/>
        <v>0.25</v>
      </c>
      <c r="O83" s="311">
        <v>0.06</v>
      </c>
      <c r="P83" s="265">
        <f>'Input data'!B$92*O83</f>
        <v>9.529798581333333</v>
      </c>
      <c r="Q83" s="76">
        <f t="shared" si="9"/>
        <v>0.7383095999999999</v>
      </c>
      <c r="R83" s="76">
        <f t="shared" si="10"/>
        <v>0.33233128487999997</v>
      </c>
      <c r="S83" s="76">
        <f>IF(C83="Yes",'Input data'!$E$47*'Input data'!$B$51*O83,'Input data'!$E$47*'Input data'!$B$49*O83)</f>
        <v>1.9215702399999999</v>
      </c>
      <c r="T83" s="76">
        <f>'Other Maintenance'!$B$94*'Maintenance Costs'!O26</f>
        <v>0.1487139193901858</v>
      </c>
      <c r="U83" s="264">
        <f>'Input data'!$B$112</f>
        <v>2.9565521226700353</v>
      </c>
      <c r="V83" s="240">
        <f t="shared" si="11"/>
        <v>15.627275748273554</v>
      </c>
      <c r="W83" s="76">
        <f>'Input data'!$C$15*'Maintenance Costs'!N26</f>
        <v>9.75</v>
      </c>
      <c r="X83" s="76">
        <f t="shared" si="12"/>
        <v>3.432491999999999</v>
      </c>
      <c r="Y83" s="76">
        <f>'Input data'!$B$47*'Maintenance Costs'!N26</f>
        <v>0</v>
      </c>
      <c r="Z83" s="76">
        <f>'Other Maintenance'!$B$94*'Maintenance Costs'!N26</f>
        <v>0.74356959695092895</v>
      </c>
      <c r="AA83" s="76">
        <f>('Input data'!$B$96+'Input data'!$B$97)*'Input data'!$B$76</f>
        <v>0.87776744444444454</v>
      </c>
      <c r="AB83" s="240">
        <f t="shared" si="13"/>
        <v>14.803829041395373</v>
      </c>
      <c r="AC83" s="163" t="str">
        <f t="shared" si="16"/>
        <v>FLU</v>
      </c>
      <c r="AD83" s="311">
        <v>7.6960402044883455E-2</v>
      </c>
      <c r="AE83" s="312">
        <f t="shared" si="14"/>
        <v>1.6960402044883457E-2</v>
      </c>
      <c r="AF83" s="177"/>
      <c r="AG83" s="177"/>
      <c r="AH83" s="177"/>
      <c r="AI83" s="177"/>
      <c r="AJ83" s="177"/>
      <c r="AK83" s="177"/>
      <c r="AL83" s="177"/>
      <c r="AM83" s="177"/>
      <c r="AN83" s="177"/>
      <c r="AO83" s="177"/>
      <c r="AP83" s="177"/>
      <c r="AQ83" s="177"/>
      <c r="AR83" s="177"/>
      <c r="AS83" s="177"/>
      <c r="AT83" s="177"/>
      <c r="AU83" s="177"/>
      <c r="AV83" s="177"/>
      <c r="AW83" s="177"/>
      <c r="AX83" s="177"/>
    </row>
    <row r="84" spans="1:50" s="178" customFormat="1" x14ac:dyDescent="0.2">
      <c r="A84" s="72" t="s">
        <v>164</v>
      </c>
      <c r="B84" s="73" t="str">
        <f>VLOOKUP(LEFT(A84,7),'Tariff Schedule Lookup Table'!A$8:D$143,3,FALSE)</f>
        <v>3x40</v>
      </c>
      <c r="C84" s="236" t="s">
        <v>890</v>
      </c>
      <c r="D84" s="74">
        <v>3</v>
      </c>
      <c r="E84" s="74">
        <v>1</v>
      </c>
      <c r="F84" s="74" t="s">
        <v>247</v>
      </c>
      <c r="G84" s="106">
        <f>VLOOKUP(F84,'Lamp Stock'!A$14:H$48,4,FALSE)</f>
        <v>1.9968899999999998</v>
      </c>
      <c r="H84" s="106">
        <f>VLOOKUP(F84,'Lamp Stock'!A$14:G$48,6,FALSE)</f>
        <v>25.319593739999998</v>
      </c>
      <c r="I84" s="106">
        <f>VLOOKUP(F84,'Lamp Stock'!A$14:H$48,8,FALSE)</f>
        <v>0.38858399999999993</v>
      </c>
      <c r="J84" s="262">
        <v>0.35</v>
      </c>
      <c r="K84" s="262">
        <v>0.1</v>
      </c>
      <c r="L84" s="262">
        <v>0.2</v>
      </c>
      <c r="M84" s="74">
        <v>4</v>
      </c>
      <c r="N84" s="75">
        <f t="shared" ref="N84:N115" si="17">1/M84</f>
        <v>0.25</v>
      </c>
      <c r="O84" s="311">
        <v>0.06</v>
      </c>
      <c r="P84" s="265">
        <f>'Input data'!B$92*O84</f>
        <v>9.529798581333333</v>
      </c>
      <c r="Q84" s="76">
        <f t="shared" ref="Q84:Q115" si="18">D84*(G84*O84)</f>
        <v>0.35944019999999999</v>
      </c>
      <c r="R84" s="76">
        <f t="shared" ref="R84:R115" si="19">I84*O84+H84*O84*0.2</f>
        <v>0.32715016487999998</v>
      </c>
      <c r="S84" s="76">
        <f>IF(C84="Yes",'Input data'!$E$47*'Input data'!$B$51*O84,'Input data'!$E$47*'Input data'!$B$49*O84)</f>
        <v>1.9215702399999999</v>
      </c>
      <c r="T84" s="76">
        <f>'Other Maintenance'!$B$94*'Maintenance Costs'!O34</f>
        <v>0.1487139193901858</v>
      </c>
      <c r="U84" s="264">
        <f>'Input data'!$B$112</f>
        <v>2.9565521226700353</v>
      </c>
      <c r="V84" s="240">
        <f t="shared" ref="V84:V115" si="20">SUM(P84:U84)</f>
        <v>15.243225228273555</v>
      </c>
      <c r="W84" s="76">
        <f>'Input data'!$C$15*'Maintenance Costs'!N34</f>
        <v>9.75</v>
      </c>
      <c r="X84" s="76">
        <f t="shared" ref="X84:X115" si="21">D84*(G84+I84)*N84</f>
        <v>1.7891054999999998</v>
      </c>
      <c r="Y84" s="76">
        <f>'Input data'!$B$47*'Maintenance Costs'!N34</f>
        <v>0</v>
      </c>
      <c r="Z84" s="76">
        <f>'Other Maintenance'!$B$94*'Maintenance Costs'!N34</f>
        <v>0.74356959695092895</v>
      </c>
      <c r="AA84" s="76">
        <f>('Input data'!$B$96+'Input data'!$B$97)*'Input data'!$B$76</f>
        <v>0.87776744444444454</v>
      </c>
      <c r="AB84" s="240">
        <f t="shared" ref="AB84:AB115" si="22">SUM(W84:AA84)</f>
        <v>13.160442541395373</v>
      </c>
      <c r="AC84" s="163" t="str">
        <f t="shared" si="16"/>
        <v>FLU</v>
      </c>
      <c r="AD84" s="311">
        <v>7.6960402044883455E-2</v>
      </c>
      <c r="AE84" s="312">
        <f t="shared" ref="AE84:AE115" si="23">AD84-O84</f>
        <v>1.6960402044883457E-2</v>
      </c>
      <c r="AF84" s="177"/>
      <c r="AG84" s="177"/>
      <c r="AH84" s="177"/>
      <c r="AI84" s="177"/>
      <c r="AJ84" s="177"/>
      <c r="AK84" s="177"/>
      <c r="AL84" s="177"/>
      <c r="AM84" s="177"/>
      <c r="AN84" s="177"/>
      <c r="AO84" s="177"/>
      <c r="AP84" s="177"/>
      <c r="AQ84" s="177"/>
      <c r="AR84" s="177"/>
      <c r="AS84" s="177"/>
      <c r="AT84" s="177"/>
      <c r="AU84" s="177"/>
      <c r="AV84" s="177"/>
      <c r="AW84" s="177"/>
      <c r="AX84" s="177"/>
    </row>
    <row r="85" spans="1:50" s="178" customFormat="1" x14ac:dyDescent="0.2">
      <c r="A85" s="72" t="s">
        <v>171</v>
      </c>
      <c r="B85" s="73" t="str">
        <f>VLOOKUP(LEFT(A85,7),'Tariff Schedule Lookup Table'!A$8:D$143,3,FALSE)</f>
        <v>2x80</v>
      </c>
      <c r="C85" s="236" t="s">
        <v>890</v>
      </c>
      <c r="D85" s="74">
        <v>2</v>
      </c>
      <c r="E85" s="74">
        <v>1</v>
      </c>
      <c r="F85" s="74" t="s">
        <v>247</v>
      </c>
      <c r="G85" s="106">
        <f>VLOOKUP(F85,'Lamp Stock'!A$14:H$48,4,FALSE)</f>
        <v>1.9968899999999998</v>
      </c>
      <c r="H85" s="106">
        <f>VLOOKUP(F85,'Lamp Stock'!A$14:G$48,6,FALSE)</f>
        <v>25.319593739999998</v>
      </c>
      <c r="I85" s="106">
        <f>VLOOKUP(F85,'Lamp Stock'!A$14:H$48,8,FALSE)</f>
        <v>0.38858399999999993</v>
      </c>
      <c r="J85" s="262">
        <v>0.35</v>
      </c>
      <c r="K85" s="262">
        <v>0.1</v>
      </c>
      <c r="L85" s="262">
        <v>0.2</v>
      </c>
      <c r="M85" s="74">
        <v>4</v>
      </c>
      <c r="N85" s="75">
        <f t="shared" si="17"/>
        <v>0.25</v>
      </c>
      <c r="O85" s="311">
        <v>0.06</v>
      </c>
      <c r="P85" s="265">
        <f>'Input data'!B$92*O85</f>
        <v>9.529798581333333</v>
      </c>
      <c r="Q85" s="76">
        <f t="shared" si="18"/>
        <v>0.23962679999999997</v>
      </c>
      <c r="R85" s="76">
        <f t="shared" si="19"/>
        <v>0.32715016487999998</v>
      </c>
      <c r="S85" s="76">
        <f>IF(C85="Yes",'Input data'!$E$47*'Input data'!$B$51*O85,'Input data'!$E$47*'Input data'!$B$49*O85)</f>
        <v>1.9215702399999999</v>
      </c>
      <c r="T85" s="76">
        <f>'Other Maintenance'!$B$94*'Maintenance Costs'!O44</f>
        <v>0.17845670326822294</v>
      </c>
      <c r="U85" s="264">
        <f>'Input data'!$B$112</f>
        <v>2.9565521226700353</v>
      </c>
      <c r="V85" s="240">
        <f t="shared" si="20"/>
        <v>15.153154612151592</v>
      </c>
      <c r="W85" s="76">
        <f>'Input data'!$C$15*'Maintenance Costs'!N44</f>
        <v>9.75</v>
      </c>
      <c r="X85" s="76">
        <f t="shared" si="21"/>
        <v>1.1927369999999999</v>
      </c>
      <c r="Y85" s="76">
        <f>'Input data'!$B$47*'Maintenance Costs'!N44</f>
        <v>0</v>
      </c>
      <c r="Z85" s="76">
        <f>'Other Maintenance'!$B$94*'Maintenance Costs'!N44</f>
        <v>0.74356959695092895</v>
      </c>
      <c r="AA85" s="76">
        <f>('Input data'!$B$96+'Input data'!$B$97)*'Input data'!$B$76</f>
        <v>0.87776744444444454</v>
      </c>
      <c r="AB85" s="240">
        <f t="shared" si="22"/>
        <v>12.564074041395372</v>
      </c>
      <c r="AC85" s="163" t="str">
        <f t="shared" si="16"/>
        <v>FLU</v>
      </c>
      <c r="AD85" s="311">
        <v>7.6960402044883455E-2</v>
      </c>
      <c r="AE85" s="312">
        <f t="shared" si="23"/>
        <v>1.6960402044883457E-2</v>
      </c>
      <c r="AF85" s="177"/>
      <c r="AG85" s="177"/>
      <c r="AH85" s="177"/>
      <c r="AI85" s="177"/>
      <c r="AJ85" s="177"/>
      <c r="AK85" s="177"/>
      <c r="AL85" s="177"/>
      <c r="AM85" s="177"/>
      <c r="AN85" s="177"/>
      <c r="AO85" s="177"/>
      <c r="AP85" s="177"/>
      <c r="AQ85" s="177"/>
      <c r="AR85" s="177"/>
      <c r="AS85" s="177"/>
      <c r="AT85" s="177"/>
      <c r="AU85" s="177"/>
      <c r="AV85" s="177"/>
      <c r="AW85" s="177"/>
      <c r="AX85" s="177"/>
    </row>
    <row r="86" spans="1:50" s="178" customFormat="1" x14ac:dyDescent="0.2">
      <c r="A86" s="72" t="s">
        <v>233</v>
      </c>
      <c r="B86" s="73">
        <f>VLOOKUP(LEFT(A86,7),'Tariff Schedule Lookup Table'!A$8:D$143,3,FALSE)</f>
        <v>700</v>
      </c>
      <c r="C86" s="236" t="s">
        <v>891</v>
      </c>
      <c r="D86" s="74">
        <v>1</v>
      </c>
      <c r="E86" s="74">
        <v>1</v>
      </c>
      <c r="F86" s="74" t="s">
        <v>285</v>
      </c>
      <c r="G86" s="106">
        <f>VLOOKUP(F86,'Lamp Stock'!A$14:H$48,4,FALSE)</f>
        <v>28.701245999999998</v>
      </c>
      <c r="H86" s="106">
        <f>VLOOKUP(F86,'Lamp Stock'!A$14:G$48,6,FALSE)</f>
        <v>65.541167999999999</v>
      </c>
      <c r="I86" s="106">
        <f>VLOOKUP(F86,'Lamp Stock'!A$14:H$48,8,FALSE)</f>
        <v>17.011343999999998</v>
      </c>
      <c r="J86" s="262">
        <v>0.22</v>
      </c>
      <c r="K86" s="262">
        <v>0.1</v>
      </c>
      <c r="L86" s="262">
        <v>0.2</v>
      </c>
      <c r="M86" s="74">
        <v>4</v>
      </c>
      <c r="N86" s="75">
        <f t="shared" si="17"/>
        <v>0.25</v>
      </c>
      <c r="O86" s="311">
        <v>0.04</v>
      </c>
      <c r="P86" s="265">
        <f>'Input data'!B$92*O86</f>
        <v>6.3531990542222223</v>
      </c>
      <c r="Q86" s="76">
        <f t="shared" si="18"/>
        <v>1.1480498399999999</v>
      </c>
      <c r="R86" s="76">
        <f t="shared" si="19"/>
        <v>1.2047831040000001</v>
      </c>
      <c r="S86" s="76">
        <f>IF(C86="Yes",'Input data'!$E$47*'Input data'!$B$51*O86,'Input data'!$E$47*'Input data'!$B$49*O86)</f>
        <v>10.248374613333333</v>
      </c>
      <c r="T86" s="76">
        <f>'Other Maintenance'!$B$94*'Maintenance Costs'!O168</f>
        <v>0.11897113551214863</v>
      </c>
      <c r="U86" s="264">
        <f>'Input data'!$B$112</f>
        <v>2.9565521226700353</v>
      </c>
      <c r="V86" s="240">
        <f t="shared" si="20"/>
        <v>22.029929869737739</v>
      </c>
      <c r="W86" s="76">
        <f>'Input data'!$C$15*'Maintenance Costs'!N168</f>
        <v>9.75</v>
      </c>
      <c r="X86" s="76">
        <f t="shared" si="21"/>
        <v>11.428147499999998</v>
      </c>
      <c r="Y86" s="76">
        <f>'Input data'!$B$47*'Maintenance Costs'!N168</f>
        <v>0</v>
      </c>
      <c r="Z86" s="76">
        <f>'Other Maintenance'!$B$94*'Maintenance Costs'!N168</f>
        <v>0.74356959695092895</v>
      </c>
      <c r="AA86" s="76">
        <f>('Input data'!$B$96+'Input data'!$B$97)*'Input data'!$B$76</f>
        <v>0.87776744444444454</v>
      </c>
      <c r="AB86" s="240">
        <f t="shared" si="22"/>
        <v>22.799484541395373</v>
      </c>
      <c r="AC86" s="163" t="str">
        <f t="shared" si="16"/>
        <v>MVA</v>
      </c>
      <c r="AD86" s="311">
        <v>4.4699999999999997E-2</v>
      </c>
      <c r="AE86" s="312">
        <f t="shared" si="23"/>
        <v>4.6999999999999958E-3</v>
      </c>
      <c r="AF86" s="177"/>
      <c r="AG86" s="177"/>
      <c r="AH86" s="177"/>
      <c r="AI86" s="177"/>
      <c r="AJ86" s="177"/>
      <c r="AK86" s="177"/>
      <c r="AL86" s="177"/>
      <c r="AM86" s="177"/>
      <c r="AN86" s="177"/>
      <c r="AO86" s="177"/>
      <c r="AP86" s="177"/>
      <c r="AQ86" s="177"/>
      <c r="AR86" s="177"/>
      <c r="AS86" s="177"/>
      <c r="AT86" s="177"/>
      <c r="AU86" s="177"/>
      <c r="AV86" s="177"/>
      <c r="AW86" s="177"/>
      <c r="AX86" s="177"/>
    </row>
    <row r="87" spans="1:50" s="178" customFormat="1" hidden="1" x14ac:dyDescent="0.2">
      <c r="A87" s="72" t="s">
        <v>153</v>
      </c>
      <c r="B87" s="73">
        <f>VLOOKUP(LEFT(A87,7),'Tariff Schedule Lookup Table'!A$8:D$143,3,FALSE)</f>
        <v>11</v>
      </c>
      <c r="C87" s="236" t="s">
        <v>890</v>
      </c>
      <c r="D87" s="74">
        <v>1</v>
      </c>
      <c r="E87" s="74">
        <v>0</v>
      </c>
      <c r="F87" s="74" t="s">
        <v>240</v>
      </c>
      <c r="G87" s="106">
        <f>VLOOKUP(F87,'Lamp Stock'!A$14:H$48,4,FALSE)</f>
        <v>4.1017199999999994</v>
      </c>
      <c r="H87" s="106">
        <f>VLOOKUP(F87,'Lamp Stock'!A$14:G$48,6,FALSE)</f>
        <v>25.319593739999998</v>
      </c>
      <c r="I87" s="106">
        <f>VLOOKUP(F87,'Lamp Stock'!A$14:H$48,8,FALSE)</f>
        <v>0.47493599999999997</v>
      </c>
      <c r="J87" s="262">
        <v>0.35</v>
      </c>
      <c r="K87" s="262">
        <v>0.1</v>
      </c>
      <c r="L87" s="262">
        <v>0.2</v>
      </c>
      <c r="M87" s="74">
        <v>4</v>
      </c>
      <c r="N87" s="75">
        <f t="shared" si="17"/>
        <v>0.25</v>
      </c>
      <c r="O87" s="311">
        <v>0.04</v>
      </c>
      <c r="P87" s="265">
        <f>'Input data'!B$92*O87</f>
        <v>6.3531990542222223</v>
      </c>
      <c r="Q87" s="76">
        <f t="shared" si="18"/>
        <v>0.16406879999999999</v>
      </c>
      <c r="R87" s="76">
        <f t="shared" si="19"/>
        <v>0.22155418992000003</v>
      </c>
      <c r="S87" s="76">
        <f>IF(C87="Yes",'Input data'!$E$47*'Input data'!$B$51*O87,'Input data'!$E$47*'Input data'!$B$49*O87)</f>
        <v>1.2810468266666666</v>
      </c>
      <c r="T87" s="76">
        <f>'Other Maintenance'!$B$94*'Maintenance Costs'!O21</f>
        <v>0.1487139193901858</v>
      </c>
      <c r="U87" s="264">
        <f>'Input data'!$B$112</f>
        <v>2.9565521226700353</v>
      </c>
      <c r="V87" s="240">
        <f t="shared" si="20"/>
        <v>11.125134912869111</v>
      </c>
      <c r="W87" s="76">
        <f>'Input data'!$C$15*'Maintenance Costs'!N21</f>
        <v>9.75</v>
      </c>
      <c r="X87" s="76">
        <f t="shared" si="21"/>
        <v>1.1441639999999997</v>
      </c>
      <c r="Y87" s="76">
        <f>'Input data'!$B$47*'Maintenance Costs'!N21</f>
        <v>0</v>
      </c>
      <c r="Z87" s="76">
        <f>'Other Maintenance'!$B$94*'Maintenance Costs'!N21</f>
        <v>0.74356959695092895</v>
      </c>
      <c r="AA87" s="76">
        <f>('Input data'!$B$96+'Input data'!$B$97)*'Input data'!$B$76</f>
        <v>0.87776744444444454</v>
      </c>
      <c r="AB87" s="240">
        <f t="shared" si="22"/>
        <v>12.515501041395373</v>
      </c>
      <c r="AC87" s="163" t="str">
        <f t="shared" si="16"/>
        <v>FLU</v>
      </c>
      <c r="AD87" s="311">
        <v>7.6960402044883455E-2</v>
      </c>
      <c r="AE87" s="312">
        <f t="shared" si="23"/>
        <v>3.6960402044883454E-2</v>
      </c>
      <c r="AF87" s="177"/>
      <c r="AG87" s="177"/>
      <c r="AH87" s="177"/>
      <c r="AI87" s="177"/>
      <c r="AJ87" s="177"/>
      <c r="AK87" s="177"/>
      <c r="AL87" s="177"/>
      <c r="AM87" s="177"/>
      <c r="AN87" s="177"/>
      <c r="AO87" s="177"/>
      <c r="AP87" s="177"/>
      <c r="AQ87" s="177"/>
      <c r="AR87" s="177"/>
      <c r="AS87" s="177"/>
      <c r="AT87" s="177"/>
      <c r="AU87" s="177"/>
      <c r="AV87" s="177"/>
      <c r="AW87" s="177"/>
      <c r="AX87" s="177"/>
    </row>
    <row r="88" spans="1:50" s="178" customFormat="1" hidden="1" x14ac:dyDescent="0.2">
      <c r="A88" s="72" t="s">
        <v>154</v>
      </c>
      <c r="B88" s="73">
        <f>VLOOKUP(LEFT(A88,7),'Tariff Schedule Lookup Table'!A$8:D$143,3,FALSE)</f>
        <v>13</v>
      </c>
      <c r="C88" s="236" t="s">
        <v>890</v>
      </c>
      <c r="D88" s="74">
        <v>1</v>
      </c>
      <c r="E88" s="74">
        <v>0</v>
      </c>
      <c r="F88" s="74" t="s">
        <v>240</v>
      </c>
      <c r="G88" s="106">
        <f>VLOOKUP(F88,'Lamp Stock'!A$14:H$48,4,FALSE)</f>
        <v>4.1017199999999994</v>
      </c>
      <c r="H88" s="106">
        <f>VLOOKUP(F88,'Lamp Stock'!A$14:G$48,6,FALSE)</f>
        <v>25.319593739999998</v>
      </c>
      <c r="I88" s="106">
        <f>VLOOKUP(F88,'Lamp Stock'!A$14:H$48,8,FALSE)</f>
        <v>0.47493599999999997</v>
      </c>
      <c r="J88" s="262">
        <v>0.35</v>
      </c>
      <c r="K88" s="262">
        <v>0.1</v>
      </c>
      <c r="L88" s="262">
        <v>0.2</v>
      </c>
      <c r="M88" s="74">
        <v>4</v>
      </c>
      <c r="N88" s="75">
        <f t="shared" si="17"/>
        <v>0.25</v>
      </c>
      <c r="O88" s="311">
        <v>0.04</v>
      </c>
      <c r="P88" s="265">
        <f>'Input data'!B$92*O88</f>
        <v>6.3531990542222223</v>
      </c>
      <c r="Q88" s="76">
        <f t="shared" si="18"/>
        <v>0.16406879999999999</v>
      </c>
      <c r="R88" s="76">
        <f t="shared" si="19"/>
        <v>0.22155418992000003</v>
      </c>
      <c r="S88" s="76">
        <f>IF(C88="Yes",'Input data'!$E$47*'Input data'!$B$51*O88,'Input data'!$E$47*'Input data'!$B$49*O88)</f>
        <v>1.2810468266666666</v>
      </c>
      <c r="T88" s="76">
        <f>'Other Maintenance'!$B$94*'Maintenance Costs'!O22</f>
        <v>0.1487139193901858</v>
      </c>
      <c r="U88" s="264">
        <f>'Input data'!$B$112</f>
        <v>2.9565521226700353</v>
      </c>
      <c r="V88" s="240">
        <f t="shared" si="20"/>
        <v>11.125134912869111</v>
      </c>
      <c r="W88" s="76">
        <f>'Input data'!$C$15*'Maintenance Costs'!N22</f>
        <v>9.75</v>
      </c>
      <c r="X88" s="76">
        <f t="shared" si="21"/>
        <v>1.1441639999999997</v>
      </c>
      <c r="Y88" s="76">
        <f>'Input data'!$B$47*'Maintenance Costs'!N22</f>
        <v>0</v>
      </c>
      <c r="Z88" s="76">
        <f>'Other Maintenance'!$B$94*'Maintenance Costs'!N22</f>
        <v>0.74356959695092895</v>
      </c>
      <c r="AA88" s="76">
        <f>('Input data'!$B$96+'Input data'!$B$97)*'Input data'!$B$76</f>
        <v>0.87776744444444454</v>
      </c>
      <c r="AB88" s="240">
        <f t="shared" si="22"/>
        <v>12.515501041395373</v>
      </c>
      <c r="AC88" s="163" t="str">
        <f t="shared" si="16"/>
        <v>FLU</v>
      </c>
      <c r="AD88" s="311">
        <v>7.6960402044883455E-2</v>
      </c>
      <c r="AE88" s="312">
        <f t="shared" si="23"/>
        <v>3.6960402044883454E-2</v>
      </c>
      <c r="AF88" s="177"/>
      <c r="AG88" s="177"/>
      <c r="AH88" s="177"/>
      <c r="AI88" s="177"/>
      <c r="AJ88" s="177"/>
      <c r="AK88" s="177"/>
      <c r="AL88" s="177"/>
      <c r="AM88" s="177"/>
      <c r="AN88" s="177"/>
      <c r="AO88" s="177"/>
      <c r="AP88" s="177"/>
      <c r="AQ88" s="177"/>
      <c r="AR88" s="177"/>
      <c r="AS88" s="177"/>
      <c r="AT88" s="177"/>
      <c r="AU88" s="177"/>
      <c r="AV88" s="177"/>
      <c r="AW88" s="177"/>
      <c r="AX88" s="177"/>
    </row>
    <row r="89" spans="1:50" s="178" customFormat="1" hidden="1" x14ac:dyDescent="0.2">
      <c r="A89" s="72" t="s">
        <v>371</v>
      </c>
      <c r="B89" s="73" t="str">
        <f>VLOOKUP(LEFT(A89,7),'Tariff Schedule Lookup Table'!A$8:D$143,3,FALSE)</f>
        <v>6x20</v>
      </c>
      <c r="C89" s="236" t="s">
        <v>890</v>
      </c>
      <c r="D89" s="74">
        <v>6</v>
      </c>
      <c r="E89" s="74">
        <v>0</v>
      </c>
      <c r="F89" s="74" t="s">
        <v>240</v>
      </c>
      <c r="G89" s="106">
        <f>VLOOKUP(F89,'Lamp Stock'!A$14:H$48,4,FALSE)</f>
        <v>4.1017199999999994</v>
      </c>
      <c r="H89" s="106">
        <f>VLOOKUP(F89,'Lamp Stock'!A$14:G$48,6,FALSE)</f>
        <v>25.319593739999998</v>
      </c>
      <c r="I89" s="106">
        <f>VLOOKUP(F89,'Lamp Stock'!A$14:H$48,8,FALSE)</f>
        <v>0.47493599999999997</v>
      </c>
      <c r="J89" s="262">
        <v>0.35</v>
      </c>
      <c r="K89" s="262">
        <v>0.1</v>
      </c>
      <c r="L89" s="262">
        <v>0.2</v>
      </c>
      <c r="M89" s="74">
        <v>4</v>
      </c>
      <c r="N89" s="75">
        <f t="shared" si="17"/>
        <v>0.25</v>
      </c>
      <c r="O89" s="311">
        <v>0.04</v>
      </c>
      <c r="P89" s="265">
        <f>'Input data'!B$92*O89</f>
        <v>6.3531990542222223</v>
      </c>
      <c r="Q89" s="76">
        <f t="shared" si="18"/>
        <v>0.98441279999999987</v>
      </c>
      <c r="R89" s="76">
        <f t="shared" si="19"/>
        <v>0.22155418992000003</v>
      </c>
      <c r="S89" s="76">
        <f>IF(C89="Yes",'Input data'!$E$47*'Input data'!$B$51*O89,'Input data'!$E$47*'Input data'!$B$49*O89)</f>
        <v>1.2810468266666666</v>
      </c>
      <c r="T89" s="76">
        <f>'Other Maintenance'!$B$94*'Maintenance Costs'!O28</f>
        <v>0.17845670326822294</v>
      </c>
      <c r="U89" s="264">
        <f>'Input data'!$B$112</f>
        <v>2.9565521226700353</v>
      </c>
      <c r="V89" s="240">
        <f t="shared" si="20"/>
        <v>11.975221696747148</v>
      </c>
      <c r="W89" s="76">
        <f>'Input data'!$C$15*'Maintenance Costs'!N28</f>
        <v>9.75</v>
      </c>
      <c r="X89" s="76">
        <f t="shared" si="21"/>
        <v>6.864983999999998</v>
      </c>
      <c r="Y89" s="76">
        <f>'Input data'!$B$47*'Maintenance Costs'!N28</f>
        <v>0</v>
      </c>
      <c r="Z89" s="76">
        <f>'Other Maintenance'!$B$94*'Maintenance Costs'!N28</f>
        <v>0.74356959695092895</v>
      </c>
      <c r="AA89" s="76">
        <f>('Input data'!$B$96+'Input data'!$B$97)*'Input data'!$B$76</f>
        <v>0.87776744444444454</v>
      </c>
      <c r="AB89" s="240">
        <f t="shared" si="22"/>
        <v>18.236321041395374</v>
      </c>
      <c r="AC89" s="163" t="str">
        <f t="shared" si="16"/>
        <v>FLU</v>
      </c>
      <c r="AD89" s="311">
        <v>7.6960402044883455E-2</v>
      </c>
      <c r="AE89" s="312">
        <f t="shared" si="23"/>
        <v>3.6960402044883454E-2</v>
      </c>
      <c r="AF89" s="177"/>
      <c r="AG89" s="177"/>
      <c r="AH89" s="177"/>
      <c r="AI89" s="177"/>
      <c r="AJ89" s="177"/>
      <c r="AK89" s="177"/>
      <c r="AL89" s="177"/>
      <c r="AM89" s="177"/>
      <c r="AN89" s="177"/>
      <c r="AO89" s="177"/>
      <c r="AP89" s="177"/>
      <c r="AQ89" s="177"/>
      <c r="AR89" s="177"/>
      <c r="AS89" s="177"/>
      <c r="AT89" s="177"/>
      <c r="AU89" s="177"/>
      <c r="AV89" s="177"/>
      <c r="AW89" s="177"/>
      <c r="AX89" s="177"/>
    </row>
    <row r="90" spans="1:50" s="178" customFormat="1" hidden="1" x14ac:dyDescent="0.2">
      <c r="A90" s="72" t="s">
        <v>161</v>
      </c>
      <c r="B90" s="73" t="str">
        <f>VLOOKUP(LEFT(A90,7),'Tariff Schedule Lookup Table'!A$8:D$143,3,FALSE)</f>
        <v>2x26</v>
      </c>
      <c r="C90" s="236" t="s">
        <v>890</v>
      </c>
      <c r="D90" s="74">
        <v>2</v>
      </c>
      <c r="E90" s="74">
        <v>0</v>
      </c>
      <c r="F90" s="74" t="s">
        <v>240</v>
      </c>
      <c r="G90" s="106">
        <f>VLOOKUP(F90,'Lamp Stock'!A$14:H$48,4,FALSE)</f>
        <v>4.1017199999999994</v>
      </c>
      <c r="H90" s="106">
        <f>VLOOKUP(F90,'Lamp Stock'!A$14:G$48,6,FALSE)</f>
        <v>25.319593739999998</v>
      </c>
      <c r="I90" s="106">
        <f>VLOOKUP(F90,'Lamp Stock'!A$14:H$48,8,FALSE)</f>
        <v>0.47493599999999997</v>
      </c>
      <c r="J90" s="262">
        <v>0.35</v>
      </c>
      <c r="K90" s="262">
        <v>0.1</v>
      </c>
      <c r="L90" s="262">
        <v>0.2</v>
      </c>
      <c r="M90" s="74">
        <v>4</v>
      </c>
      <c r="N90" s="75">
        <f t="shared" si="17"/>
        <v>0.25</v>
      </c>
      <c r="O90" s="311">
        <v>0.04</v>
      </c>
      <c r="P90" s="265">
        <f>'Input data'!B$92*O90</f>
        <v>6.3531990542222223</v>
      </c>
      <c r="Q90" s="76">
        <f t="shared" si="18"/>
        <v>0.32813759999999997</v>
      </c>
      <c r="R90" s="76">
        <f t="shared" si="19"/>
        <v>0.22155418992000003</v>
      </c>
      <c r="S90" s="76">
        <f>IF(C90="Yes",'Input data'!$E$47*'Input data'!$B$51*O90,'Input data'!$E$47*'Input data'!$B$49*O90)</f>
        <v>1.2810468266666666</v>
      </c>
      <c r="T90" s="76">
        <f>'Other Maintenance'!$B$94*'Maintenance Costs'!O30</f>
        <v>0.11897113551214863</v>
      </c>
      <c r="U90" s="264">
        <f>'Input data'!$B$112</f>
        <v>2.9565521226700353</v>
      </c>
      <c r="V90" s="240">
        <f t="shared" si="20"/>
        <v>11.259460928991071</v>
      </c>
      <c r="W90" s="76">
        <f>'Input data'!$C$15*'Maintenance Costs'!N30</f>
        <v>9.75</v>
      </c>
      <c r="X90" s="76">
        <f t="shared" si="21"/>
        <v>2.2883279999999995</v>
      </c>
      <c r="Y90" s="76">
        <f>'Input data'!$B$47*'Maintenance Costs'!N30</f>
        <v>0</v>
      </c>
      <c r="Z90" s="76">
        <f>'Other Maintenance'!$B$94*'Maintenance Costs'!N30</f>
        <v>0.74356959695092895</v>
      </c>
      <c r="AA90" s="76">
        <f>('Input data'!$B$96+'Input data'!$B$97)*'Input data'!$B$76</f>
        <v>0.87776744444444454</v>
      </c>
      <c r="AB90" s="240">
        <f t="shared" si="22"/>
        <v>13.659665041395373</v>
      </c>
      <c r="AC90" s="163" t="str">
        <f t="shared" si="16"/>
        <v>FLU</v>
      </c>
      <c r="AD90" s="311">
        <v>7.6960402044883455E-2</v>
      </c>
      <c r="AE90" s="312">
        <f t="shared" si="23"/>
        <v>3.6960402044883454E-2</v>
      </c>
      <c r="AF90" s="177"/>
      <c r="AG90" s="177"/>
      <c r="AH90" s="177"/>
      <c r="AI90" s="177"/>
      <c r="AJ90" s="177"/>
      <c r="AK90" s="177"/>
      <c r="AL90" s="177"/>
      <c r="AM90" s="177"/>
      <c r="AN90" s="177"/>
      <c r="AO90" s="177"/>
      <c r="AP90" s="177"/>
      <c r="AQ90" s="177"/>
      <c r="AR90" s="177"/>
      <c r="AS90" s="177"/>
      <c r="AT90" s="177"/>
      <c r="AU90" s="177"/>
      <c r="AV90" s="177"/>
      <c r="AW90" s="177"/>
      <c r="AX90" s="177"/>
    </row>
    <row r="91" spans="1:50" s="178" customFormat="1" ht="21.75" hidden="1" customHeight="1" x14ac:dyDescent="0.2">
      <c r="A91" s="72" t="s">
        <v>423</v>
      </c>
      <c r="B91" s="73" t="str">
        <f>VLOOKUP(LEFT(A91,7),'Tariff Schedule Lookup Table'!A$8:D$143,3,FALSE)</f>
        <v>6x36</v>
      </c>
      <c r="C91" s="236" t="s">
        <v>890</v>
      </c>
      <c r="D91" s="74">
        <v>2</v>
      </c>
      <c r="E91" s="74">
        <v>0</v>
      </c>
      <c r="F91" s="74" t="s">
        <v>240</v>
      </c>
      <c r="G91" s="106">
        <f>VLOOKUP(F91,'Lamp Stock'!A$14:H$48,4,FALSE)</f>
        <v>4.1017199999999994</v>
      </c>
      <c r="H91" s="106">
        <f>VLOOKUP(F91,'Lamp Stock'!A$14:G$48,6,FALSE)</f>
        <v>25.319593739999998</v>
      </c>
      <c r="I91" s="106">
        <f>VLOOKUP(F91,'Lamp Stock'!A$14:H$48,8,FALSE)</f>
        <v>0.47493599999999997</v>
      </c>
      <c r="J91" s="262">
        <v>0.35</v>
      </c>
      <c r="K91" s="262">
        <v>0.1</v>
      </c>
      <c r="L91" s="262">
        <v>0.2</v>
      </c>
      <c r="M91" s="74">
        <v>4</v>
      </c>
      <c r="N91" s="75">
        <f t="shared" si="17"/>
        <v>0.25</v>
      </c>
      <c r="O91" s="311">
        <v>0.04</v>
      </c>
      <c r="P91" s="265">
        <f>'Input data'!B$92*O91</f>
        <v>6.3531990542222223</v>
      </c>
      <c r="Q91" s="76">
        <f t="shared" si="18"/>
        <v>0.32813759999999997</v>
      </c>
      <c r="R91" s="76">
        <f t="shared" si="19"/>
        <v>0.22155418992000003</v>
      </c>
      <c r="S91" s="76">
        <f>IF(C91="Yes",'Input data'!$E$47*'Input data'!$B$51*O91,'Input data'!$E$47*'Input data'!$B$49*O91)</f>
        <v>1.2810468266666666</v>
      </c>
      <c r="T91" s="76">
        <f>'Other Maintenance'!$B$94*'Maintenance Costs'!O31</f>
        <v>0.1487139193901858</v>
      </c>
      <c r="U91" s="264">
        <f>'Input data'!$B$112</f>
        <v>2.9565521226700353</v>
      </c>
      <c r="V91" s="240">
        <f t="shared" si="20"/>
        <v>11.28920371286911</v>
      </c>
      <c r="W91" s="76">
        <f>'Input data'!$C$15*'Maintenance Costs'!N31</f>
        <v>9.75</v>
      </c>
      <c r="X91" s="76">
        <f t="shared" si="21"/>
        <v>2.2883279999999995</v>
      </c>
      <c r="Y91" s="76">
        <f>'Input data'!$B$47*'Maintenance Costs'!N31</f>
        <v>0</v>
      </c>
      <c r="Z91" s="76">
        <f>'Other Maintenance'!$B$94*'Maintenance Costs'!N31</f>
        <v>0.74356959695092895</v>
      </c>
      <c r="AA91" s="76">
        <f>('Input data'!$B$96+'Input data'!$B$97)*'Input data'!$B$76</f>
        <v>0.87776744444444454</v>
      </c>
      <c r="AB91" s="240">
        <f t="shared" si="22"/>
        <v>13.659665041395373</v>
      </c>
      <c r="AC91" s="163" t="str">
        <f t="shared" si="16"/>
        <v>FLU</v>
      </c>
      <c r="AD91" s="311">
        <v>7.6960402044883455E-2</v>
      </c>
      <c r="AE91" s="312">
        <f t="shared" si="23"/>
        <v>3.6960402044883454E-2</v>
      </c>
      <c r="AF91" s="177"/>
      <c r="AG91" s="177"/>
      <c r="AH91" s="177"/>
      <c r="AI91" s="177"/>
      <c r="AJ91" s="177"/>
      <c r="AK91" s="177"/>
      <c r="AL91" s="177"/>
      <c r="AM91" s="177"/>
      <c r="AN91" s="177"/>
      <c r="AO91" s="177"/>
      <c r="AP91" s="177"/>
      <c r="AQ91" s="177"/>
      <c r="AR91" s="177"/>
      <c r="AS91" s="177"/>
      <c r="AT91" s="177"/>
      <c r="AU91" s="177"/>
      <c r="AV91" s="177"/>
      <c r="AW91" s="177"/>
      <c r="AX91" s="177"/>
    </row>
    <row r="92" spans="1:50" s="178" customFormat="1" ht="21.75" hidden="1" customHeight="1" x14ac:dyDescent="0.2">
      <c r="A92" s="72" t="s">
        <v>166</v>
      </c>
      <c r="B92" s="73" t="str">
        <f>VLOOKUP(LEFT(A92,7),'Tariff Schedule Lookup Table'!A$8:D$143,3,FALSE)</f>
        <v>6x40</v>
      </c>
      <c r="C92" s="236" t="s">
        <v>890</v>
      </c>
      <c r="D92" s="74">
        <v>6</v>
      </c>
      <c r="E92" s="74">
        <v>0</v>
      </c>
      <c r="F92" s="74" t="s">
        <v>247</v>
      </c>
      <c r="G92" s="106">
        <f>VLOOKUP(F92,'Lamp Stock'!A$14:H$48,4,FALSE)</f>
        <v>1.9968899999999998</v>
      </c>
      <c r="H92" s="106">
        <f>VLOOKUP(F92,'Lamp Stock'!A$14:G$48,6,FALSE)</f>
        <v>25.319593739999998</v>
      </c>
      <c r="I92" s="106">
        <f>VLOOKUP(F92,'Lamp Stock'!A$14:H$48,8,FALSE)</f>
        <v>0.38858399999999993</v>
      </c>
      <c r="J92" s="262">
        <v>0.35</v>
      </c>
      <c r="K92" s="262">
        <v>0.1</v>
      </c>
      <c r="L92" s="262">
        <v>0.2</v>
      </c>
      <c r="M92" s="74">
        <v>4</v>
      </c>
      <c r="N92" s="75">
        <f t="shared" si="17"/>
        <v>0.25</v>
      </c>
      <c r="O92" s="311">
        <v>0.04</v>
      </c>
      <c r="P92" s="265">
        <f>'Input data'!B$92*O92</f>
        <v>6.3531990542222223</v>
      </c>
      <c r="Q92" s="76">
        <f t="shared" si="18"/>
        <v>0.47925359999999995</v>
      </c>
      <c r="R92" s="76">
        <f t="shared" si="19"/>
        <v>0.21810010992000003</v>
      </c>
      <c r="S92" s="76">
        <f>IF(C92="Yes",'Input data'!$E$47*'Input data'!$B$51*O92,'Input data'!$E$47*'Input data'!$B$49*O92)</f>
        <v>1.2810468266666666</v>
      </c>
      <c r="T92" s="76">
        <f>'Other Maintenance'!$B$94*'Maintenance Costs'!O36</f>
        <v>0.17845670326822294</v>
      </c>
      <c r="U92" s="264">
        <f>'Input data'!$B$112</f>
        <v>2.9565521226700353</v>
      </c>
      <c r="V92" s="240">
        <f t="shared" si="20"/>
        <v>11.466608416747146</v>
      </c>
      <c r="W92" s="76">
        <f>'Input data'!$C$15*'Maintenance Costs'!N36</f>
        <v>9.75</v>
      </c>
      <c r="X92" s="76">
        <f t="shared" si="21"/>
        <v>3.5782109999999996</v>
      </c>
      <c r="Y92" s="76">
        <f>'Input data'!$B$47*'Maintenance Costs'!N36</f>
        <v>0</v>
      </c>
      <c r="Z92" s="76">
        <f>'Other Maintenance'!$B$94*'Maintenance Costs'!N36</f>
        <v>0.74356959695092895</v>
      </c>
      <c r="AA92" s="76">
        <f>('Input data'!$B$96+'Input data'!$B$97)*'Input data'!$B$76</f>
        <v>0.87776744444444454</v>
      </c>
      <c r="AB92" s="240">
        <f t="shared" si="22"/>
        <v>14.949548041395373</v>
      </c>
      <c r="AC92" s="163" t="str">
        <f t="shared" si="16"/>
        <v>FLU</v>
      </c>
      <c r="AD92" s="311">
        <v>7.6960402044883455E-2</v>
      </c>
      <c r="AE92" s="312">
        <f t="shared" si="23"/>
        <v>3.6960402044883454E-2</v>
      </c>
      <c r="AF92" s="177"/>
      <c r="AG92" s="177"/>
      <c r="AH92" s="177"/>
      <c r="AI92" s="177"/>
      <c r="AJ92" s="177"/>
      <c r="AK92" s="177"/>
      <c r="AL92" s="177"/>
      <c r="AM92" s="177"/>
      <c r="AN92" s="177"/>
      <c r="AO92" s="177"/>
      <c r="AP92" s="177"/>
      <c r="AQ92" s="177"/>
      <c r="AR92" s="177"/>
      <c r="AS92" s="177"/>
      <c r="AT92" s="177"/>
      <c r="AU92" s="177"/>
      <c r="AV92" s="177"/>
      <c r="AW92" s="177"/>
      <c r="AX92" s="177"/>
    </row>
    <row r="93" spans="1:50" s="178" customFormat="1" ht="21.75" hidden="1" customHeight="1" x14ac:dyDescent="0.2">
      <c r="A93" s="72" t="s">
        <v>167</v>
      </c>
      <c r="B93" s="73">
        <f>VLOOKUP(LEFT(A93,7),'Tariff Schedule Lookup Table'!A$8:D$143,3,FALSE)</f>
        <v>58</v>
      </c>
      <c r="C93" s="236" t="s">
        <v>890</v>
      </c>
      <c r="D93" s="74">
        <v>1</v>
      </c>
      <c r="E93" s="74">
        <v>0</v>
      </c>
      <c r="F93" s="74" t="s">
        <v>247</v>
      </c>
      <c r="G93" s="106">
        <f>VLOOKUP(F93,'Lamp Stock'!A$14:H$48,4,FALSE)</f>
        <v>1.9968899999999998</v>
      </c>
      <c r="H93" s="106">
        <f>VLOOKUP(F93,'Lamp Stock'!A$14:G$48,6,FALSE)</f>
        <v>25.319593739999998</v>
      </c>
      <c r="I93" s="106">
        <f>VLOOKUP(F93,'Lamp Stock'!A$14:H$48,8,FALSE)</f>
        <v>0.38858399999999993</v>
      </c>
      <c r="J93" s="262">
        <v>0.35</v>
      </c>
      <c r="K93" s="262">
        <v>0.1</v>
      </c>
      <c r="L93" s="262">
        <v>0.2</v>
      </c>
      <c r="M93" s="74">
        <v>4</v>
      </c>
      <c r="N93" s="75">
        <f t="shared" si="17"/>
        <v>0.25</v>
      </c>
      <c r="O93" s="311">
        <v>0.04</v>
      </c>
      <c r="P93" s="265">
        <f>'Input data'!B$92*O93</f>
        <v>6.3531990542222223</v>
      </c>
      <c r="Q93" s="76">
        <f t="shared" si="18"/>
        <v>7.9875599999999991E-2</v>
      </c>
      <c r="R93" s="76">
        <f t="shared" si="19"/>
        <v>0.21810010992000003</v>
      </c>
      <c r="S93" s="76">
        <f>IF(C93="Yes",'Input data'!$E$47*'Input data'!$B$51*O93,'Input data'!$E$47*'Input data'!$B$49*O93)</f>
        <v>1.2810468266666666</v>
      </c>
      <c r="T93" s="76">
        <f>'Other Maintenance'!$B$94*'Maintenance Costs'!O37</f>
        <v>0.17845670326822294</v>
      </c>
      <c r="U93" s="264">
        <f>'Input data'!$B$112</f>
        <v>2.9565521226700353</v>
      </c>
      <c r="V93" s="240">
        <f t="shared" si="20"/>
        <v>11.067230416747147</v>
      </c>
      <c r="W93" s="76">
        <f>'Input data'!$C$15*'Maintenance Costs'!N37</f>
        <v>9.75</v>
      </c>
      <c r="X93" s="76">
        <f t="shared" si="21"/>
        <v>0.59636849999999997</v>
      </c>
      <c r="Y93" s="76">
        <f>'Input data'!$B$47*'Maintenance Costs'!N37</f>
        <v>0</v>
      </c>
      <c r="Z93" s="76">
        <f>'Other Maintenance'!$B$94*'Maintenance Costs'!N37</f>
        <v>0.74356959695092895</v>
      </c>
      <c r="AA93" s="76">
        <f>('Input data'!$B$96+'Input data'!$B$97)*'Input data'!$B$76</f>
        <v>0.87776744444444454</v>
      </c>
      <c r="AB93" s="240">
        <f t="shared" si="22"/>
        <v>11.967705541395373</v>
      </c>
      <c r="AC93" s="163" t="str">
        <f t="shared" si="16"/>
        <v>FLU</v>
      </c>
      <c r="AD93" s="311">
        <v>7.6960402044883455E-2</v>
      </c>
      <c r="AE93" s="312">
        <f t="shared" si="23"/>
        <v>3.6960402044883454E-2</v>
      </c>
      <c r="AF93" s="177"/>
      <c r="AG93" s="177"/>
      <c r="AH93" s="177"/>
      <c r="AI93" s="177"/>
      <c r="AJ93" s="177"/>
      <c r="AK93" s="177"/>
      <c r="AL93" s="177"/>
      <c r="AM93" s="177"/>
      <c r="AN93" s="177"/>
      <c r="AO93" s="177"/>
      <c r="AP93" s="177"/>
      <c r="AQ93" s="177"/>
      <c r="AR93" s="177"/>
      <c r="AS93" s="177"/>
      <c r="AT93" s="177"/>
      <c r="AU93" s="177"/>
      <c r="AV93" s="177"/>
      <c r="AW93" s="177"/>
      <c r="AX93" s="177"/>
    </row>
    <row r="94" spans="1:50" s="178" customFormat="1" hidden="1" x14ac:dyDescent="0.2">
      <c r="A94" s="72" t="s">
        <v>169</v>
      </c>
      <c r="B94" s="73" t="str">
        <f>VLOOKUP(LEFT(A94,7),'Tariff Schedule Lookup Table'!A$8:D$143,3,FALSE)</f>
        <v>4x58</v>
      </c>
      <c r="C94" s="236" t="s">
        <v>890</v>
      </c>
      <c r="D94" s="74">
        <v>4</v>
      </c>
      <c r="E94" s="74">
        <v>0</v>
      </c>
      <c r="F94" s="74" t="s">
        <v>247</v>
      </c>
      <c r="G94" s="106">
        <f>VLOOKUP(F94,'Lamp Stock'!A$14:H$48,4,FALSE)</f>
        <v>1.9968899999999998</v>
      </c>
      <c r="H94" s="106">
        <f>VLOOKUP(F94,'Lamp Stock'!A$14:G$48,6,FALSE)</f>
        <v>25.319593739999998</v>
      </c>
      <c r="I94" s="106">
        <f>VLOOKUP(F94,'Lamp Stock'!A$14:H$48,8,FALSE)</f>
        <v>0.38858399999999993</v>
      </c>
      <c r="J94" s="262">
        <v>0.35</v>
      </c>
      <c r="K94" s="262">
        <v>0.1</v>
      </c>
      <c r="L94" s="262">
        <v>0.2</v>
      </c>
      <c r="M94" s="74">
        <v>4</v>
      </c>
      <c r="N94" s="75">
        <f t="shared" si="17"/>
        <v>0.25</v>
      </c>
      <c r="O94" s="311">
        <v>0.04</v>
      </c>
      <c r="P94" s="265">
        <f>'Input data'!B$92*O94</f>
        <v>6.3531990542222223</v>
      </c>
      <c r="Q94" s="76">
        <f t="shared" si="18"/>
        <v>0.31950239999999996</v>
      </c>
      <c r="R94" s="76">
        <f t="shared" si="19"/>
        <v>0.21810010992000003</v>
      </c>
      <c r="S94" s="76">
        <f>IF(C94="Yes",'Input data'!$E$47*'Input data'!$B$51*O94,'Input data'!$E$47*'Input data'!$B$49*O94)</f>
        <v>1.2810468266666666</v>
      </c>
      <c r="T94" s="76">
        <f>'Other Maintenance'!$B$94*'Maintenance Costs'!O39</f>
        <v>0.1487139193901858</v>
      </c>
      <c r="U94" s="264">
        <f>'Input data'!$B$112</f>
        <v>2.9565521226700353</v>
      </c>
      <c r="V94" s="240">
        <f t="shared" si="20"/>
        <v>11.277114432869112</v>
      </c>
      <c r="W94" s="76">
        <f>'Input data'!$C$15*'Maintenance Costs'!N39</f>
        <v>9.75</v>
      </c>
      <c r="X94" s="76">
        <f t="shared" si="21"/>
        <v>2.3854739999999999</v>
      </c>
      <c r="Y94" s="76">
        <f>'Input data'!$B$47*'Maintenance Costs'!N39</f>
        <v>0</v>
      </c>
      <c r="Z94" s="76">
        <f>'Other Maintenance'!$B$94*'Maintenance Costs'!N39</f>
        <v>0.74356959695092895</v>
      </c>
      <c r="AA94" s="76">
        <f>('Input data'!$B$96+'Input data'!$B$97)*'Input data'!$B$76</f>
        <v>0.87776744444444454</v>
      </c>
      <c r="AB94" s="240">
        <f t="shared" si="22"/>
        <v>13.756811041395373</v>
      </c>
      <c r="AC94" s="163" t="str">
        <f t="shared" si="16"/>
        <v>FLU</v>
      </c>
      <c r="AD94" s="311">
        <v>7.6960402044883455E-2</v>
      </c>
      <c r="AE94" s="312">
        <f t="shared" si="23"/>
        <v>3.6960402044883454E-2</v>
      </c>
      <c r="AF94" s="177"/>
      <c r="AG94" s="177"/>
      <c r="AH94" s="177"/>
      <c r="AI94" s="177"/>
      <c r="AJ94" s="177"/>
      <c r="AK94" s="177"/>
      <c r="AL94" s="177"/>
      <c r="AM94" s="177"/>
      <c r="AN94" s="177"/>
      <c r="AO94" s="177"/>
      <c r="AP94" s="177"/>
      <c r="AQ94" s="177"/>
      <c r="AR94" s="177"/>
      <c r="AS94" s="177"/>
      <c r="AT94" s="177"/>
      <c r="AU94" s="177"/>
      <c r="AV94" s="177"/>
      <c r="AW94" s="177"/>
      <c r="AX94" s="177"/>
    </row>
    <row r="95" spans="1:50" s="178" customFormat="1" hidden="1" x14ac:dyDescent="0.2">
      <c r="A95" s="72" t="s">
        <v>424</v>
      </c>
      <c r="B95" s="73" t="str">
        <f>VLOOKUP(LEFT(A95,7),'Tariff Schedule Lookup Table'!A$8:D$143,3,FALSE)</f>
        <v>5x58</v>
      </c>
      <c r="C95" s="236" t="s">
        <v>890</v>
      </c>
      <c r="D95" s="74">
        <v>4</v>
      </c>
      <c r="E95" s="74">
        <v>0</v>
      </c>
      <c r="F95" s="74" t="s">
        <v>247</v>
      </c>
      <c r="G95" s="106">
        <f>VLOOKUP(F95,'Lamp Stock'!A$14:H$48,4,FALSE)</f>
        <v>1.9968899999999998</v>
      </c>
      <c r="H95" s="106">
        <f>VLOOKUP(F95,'Lamp Stock'!A$14:G$48,6,FALSE)</f>
        <v>25.319593739999998</v>
      </c>
      <c r="I95" s="106">
        <f>VLOOKUP(F95,'Lamp Stock'!A$14:H$48,8,FALSE)</f>
        <v>0.38858399999999993</v>
      </c>
      <c r="J95" s="262">
        <v>0.35</v>
      </c>
      <c r="K95" s="262">
        <v>0.1</v>
      </c>
      <c r="L95" s="262">
        <v>0.2</v>
      </c>
      <c r="M95" s="74">
        <v>4</v>
      </c>
      <c r="N95" s="75">
        <f t="shared" si="17"/>
        <v>0.25</v>
      </c>
      <c r="O95" s="311">
        <v>0.04</v>
      </c>
      <c r="P95" s="265">
        <f>'Input data'!B$92*O95</f>
        <v>6.3531990542222223</v>
      </c>
      <c r="Q95" s="76">
        <f t="shared" si="18"/>
        <v>0.31950239999999996</v>
      </c>
      <c r="R95" s="76">
        <f t="shared" si="19"/>
        <v>0.21810010992000003</v>
      </c>
      <c r="S95" s="76">
        <f>IF(C95="Yes",'Input data'!$E$47*'Input data'!$B$51*O95,'Input data'!$E$47*'Input data'!$B$49*O95)</f>
        <v>1.2810468266666666</v>
      </c>
      <c r="T95" s="76">
        <f>'Other Maintenance'!$B$94*'Maintenance Costs'!O40</f>
        <v>0.1487139193901858</v>
      </c>
      <c r="U95" s="264">
        <f>'Input data'!$B$112</f>
        <v>2.9565521226700353</v>
      </c>
      <c r="V95" s="240">
        <f t="shared" si="20"/>
        <v>11.277114432869112</v>
      </c>
      <c r="W95" s="76">
        <f>'Input data'!$C$15*'Maintenance Costs'!N40</f>
        <v>9.75</v>
      </c>
      <c r="X95" s="76">
        <f t="shared" si="21"/>
        <v>2.3854739999999999</v>
      </c>
      <c r="Y95" s="76">
        <f>'Input data'!$B$47*'Maintenance Costs'!N40</f>
        <v>0</v>
      </c>
      <c r="Z95" s="76">
        <f>'Other Maintenance'!$B$94*'Maintenance Costs'!N40</f>
        <v>0.74356959695092895</v>
      </c>
      <c r="AA95" s="76">
        <f>('Input data'!$B$96+'Input data'!$B$97)*'Input data'!$B$76</f>
        <v>0.87776744444444454</v>
      </c>
      <c r="AB95" s="240">
        <f t="shared" si="22"/>
        <v>13.756811041395373</v>
      </c>
      <c r="AC95" s="163" t="str">
        <f t="shared" si="16"/>
        <v>FLU</v>
      </c>
      <c r="AD95" s="311">
        <v>7.6960402044883455E-2</v>
      </c>
      <c r="AE95" s="312">
        <f t="shared" si="23"/>
        <v>3.6960402044883454E-2</v>
      </c>
      <c r="AF95" s="177"/>
      <c r="AG95" s="177"/>
      <c r="AH95" s="177"/>
      <c r="AI95" s="177"/>
      <c r="AJ95" s="177"/>
      <c r="AK95" s="177"/>
      <c r="AL95" s="177"/>
      <c r="AM95" s="177"/>
      <c r="AN95" s="177"/>
      <c r="AO95" s="177"/>
      <c r="AP95" s="177"/>
      <c r="AQ95" s="177"/>
      <c r="AR95" s="177"/>
      <c r="AS95" s="177"/>
      <c r="AT95" s="177"/>
      <c r="AU95" s="177"/>
      <c r="AV95" s="177"/>
      <c r="AW95" s="177"/>
      <c r="AX95" s="177"/>
    </row>
    <row r="96" spans="1:50" s="178" customFormat="1" hidden="1" x14ac:dyDescent="0.2">
      <c r="A96" s="77" t="s">
        <v>426</v>
      </c>
      <c r="B96" s="78" t="str">
        <f>VLOOKUP(LEFT(A96,7),'Tariff Schedule Lookup Table'!A$8:D$143,3,FALSE)</f>
        <v>5x65</v>
      </c>
      <c r="C96" s="236" t="s">
        <v>890</v>
      </c>
      <c r="D96" s="79">
        <v>5</v>
      </c>
      <c r="E96" s="79">
        <v>0</v>
      </c>
      <c r="F96" s="79" t="s">
        <v>247</v>
      </c>
      <c r="G96" s="106">
        <f>VLOOKUP(F96,'Lamp Stock'!A$14:H$48,4,FALSE)</f>
        <v>1.9968899999999998</v>
      </c>
      <c r="H96" s="106">
        <f>VLOOKUP(F96,'Lamp Stock'!A$14:G$48,6,FALSE)</f>
        <v>25.319593739999998</v>
      </c>
      <c r="I96" s="106">
        <f>VLOOKUP(F96,'Lamp Stock'!A$14:H$48,8,FALSE)</f>
        <v>0.38858399999999993</v>
      </c>
      <c r="J96" s="267">
        <v>0.35</v>
      </c>
      <c r="K96" s="267">
        <v>0.1</v>
      </c>
      <c r="L96" s="267">
        <v>0.2</v>
      </c>
      <c r="M96" s="74">
        <v>4</v>
      </c>
      <c r="N96" s="80">
        <f t="shared" si="17"/>
        <v>0.25</v>
      </c>
      <c r="O96" s="311">
        <v>0.04</v>
      </c>
      <c r="P96" s="265">
        <f>'Input data'!B$92*O96</f>
        <v>6.3531990542222223</v>
      </c>
      <c r="Q96" s="76">
        <f t="shared" si="18"/>
        <v>0.39937799999999996</v>
      </c>
      <c r="R96" s="76">
        <f t="shared" si="19"/>
        <v>0.21810010992000003</v>
      </c>
      <c r="S96" s="76">
        <f>IF(C96="Yes",'Input data'!$E$47*'Input data'!$B$51*O96,'Input data'!$E$47*'Input data'!$B$49*O96)</f>
        <v>1.2810468266666666</v>
      </c>
      <c r="T96" s="76">
        <f>'Other Maintenance'!$B$94*'Maintenance Costs'!O42</f>
        <v>0.17845670326822294</v>
      </c>
      <c r="U96" s="264">
        <f>'Input data'!$B$112</f>
        <v>2.9565521226700353</v>
      </c>
      <c r="V96" s="240">
        <f t="shared" si="20"/>
        <v>11.386732816747145</v>
      </c>
      <c r="W96" s="76">
        <f>'Input data'!$C$15*'Maintenance Costs'!N42</f>
        <v>9.75</v>
      </c>
      <c r="X96" s="76">
        <f t="shared" si="21"/>
        <v>2.9818425</v>
      </c>
      <c r="Y96" s="76">
        <f>'Input data'!$B$47*'Maintenance Costs'!N42</f>
        <v>0</v>
      </c>
      <c r="Z96" s="76">
        <f>'Other Maintenance'!$B$94*'Maintenance Costs'!N42</f>
        <v>0.74356959695092895</v>
      </c>
      <c r="AA96" s="76">
        <f>('Input data'!$B$96+'Input data'!$B$97)*'Input data'!$B$76</f>
        <v>0.87776744444444454</v>
      </c>
      <c r="AB96" s="240">
        <f t="shared" si="22"/>
        <v>14.353179541395372</v>
      </c>
      <c r="AC96" s="163" t="str">
        <f t="shared" si="16"/>
        <v>FLU</v>
      </c>
      <c r="AD96" s="311">
        <v>7.6960402044883455E-2</v>
      </c>
      <c r="AE96" s="312">
        <f t="shared" si="23"/>
        <v>3.6960402044883454E-2</v>
      </c>
      <c r="AF96" s="177"/>
      <c r="AG96" s="177"/>
      <c r="AH96" s="177"/>
      <c r="AI96" s="177"/>
      <c r="AJ96" s="177"/>
      <c r="AK96" s="177"/>
      <c r="AL96" s="177"/>
      <c r="AM96" s="177"/>
      <c r="AN96" s="177"/>
      <c r="AO96" s="177"/>
      <c r="AP96" s="177"/>
      <c r="AQ96" s="177"/>
      <c r="AR96" s="177"/>
      <c r="AS96" s="177"/>
      <c r="AT96" s="177"/>
      <c r="AU96" s="177"/>
      <c r="AV96" s="177"/>
      <c r="AW96" s="177"/>
      <c r="AX96" s="177"/>
    </row>
    <row r="97" spans="1:50" s="178" customFormat="1" hidden="1" x14ac:dyDescent="0.2">
      <c r="A97" s="72" t="s">
        <v>172</v>
      </c>
      <c r="B97" s="73" t="str">
        <f>VLOOKUP(LEFT(A97,7),'Tariff Schedule Lookup Table'!A$8:D$143,3,FALSE)</f>
        <v>3x80</v>
      </c>
      <c r="C97" s="236" t="s">
        <v>890</v>
      </c>
      <c r="D97" s="74">
        <v>3</v>
      </c>
      <c r="E97" s="74">
        <v>0</v>
      </c>
      <c r="F97" s="74" t="s">
        <v>247</v>
      </c>
      <c r="G97" s="106">
        <f>VLOOKUP(F97,'Lamp Stock'!A$14:H$48,4,FALSE)</f>
        <v>1.9968899999999998</v>
      </c>
      <c r="H97" s="106">
        <f>VLOOKUP(F97,'Lamp Stock'!A$14:G$48,6,FALSE)</f>
        <v>25.319593739999998</v>
      </c>
      <c r="I97" s="106">
        <f>VLOOKUP(F97,'Lamp Stock'!A$14:H$48,8,FALSE)</f>
        <v>0.38858399999999993</v>
      </c>
      <c r="J97" s="262">
        <v>0.35</v>
      </c>
      <c r="K97" s="262">
        <v>0.1</v>
      </c>
      <c r="L97" s="262">
        <v>0.2</v>
      </c>
      <c r="M97" s="74">
        <v>4</v>
      </c>
      <c r="N97" s="75">
        <f t="shared" si="17"/>
        <v>0.25</v>
      </c>
      <c r="O97" s="311">
        <v>0.04</v>
      </c>
      <c r="P97" s="265">
        <f>'Input data'!B$92*O97</f>
        <v>6.3531990542222223</v>
      </c>
      <c r="Q97" s="76">
        <f t="shared" si="18"/>
        <v>0.23962679999999997</v>
      </c>
      <c r="R97" s="76">
        <f t="shared" si="19"/>
        <v>0.21810010992000003</v>
      </c>
      <c r="S97" s="76">
        <f>IF(C97="Yes",'Input data'!$E$47*'Input data'!$B$51*O97,'Input data'!$E$47*'Input data'!$B$49*O97)</f>
        <v>1.2810468266666666</v>
      </c>
      <c r="T97" s="76">
        <f>'Other Maintenance'!$B$94*'Maintenance Costs'!O45</f>
        <v>0.11897113551214863</v>
      </c>
      <c r="U97" s="264">
        <f>'Input data'!$B$112</f>
        <v>2.9565521226700353</v>
      </c>
      <c r="V97" s="240">
        <f t="shared" si="20"/>
        <v>11.167496048991072</v>
      </c>
      <c r="W97" s="76">
        <f>'Input data'!$C$15*'Maintenance Costs'!N45</f>
        <v>9.75</v>
      </c>
      <c r="X97" s="76">
        <f t="shared" si="21"/>
        <v>1.7891054999999998</v>
      </c>
      <c r="Y97" s="76">
        <f>'Input data'!$B$47*'Maintenance Costs'!N45</f>
        <v>0</v>
      </c>
      <c r="Z97" s="76">
        <f>'Other Maintenance'!$B$94*'Maintenance Costs'!N45</f>
        <v>0.74356959695092895</v>
      </c>
      <c r="AA97" s="76">
        <f>('Input data'!$B$96+'Input data'!$B$97)*'Input data'!$B$76</f>
        <v>0.87776744444444454</v>
      </c>
      <c r="AB97" s="240">
        <f t="shared" si="22"/>
        <v>13.160442541395373</v>
      </c>
      <c r="AC97" s="163" t="str">
        <f t="shared" si="16"/>
        <v>FLU</v>
      </c>
      <c r="AD97" s="311">
        <v>7.6960402044883455E-2</v>
      </c>
      <c r="AE97" s="312">
        <f t="shared" si="23"/>
        <v>3.6960402044883454E-2</v>
      </c>
      <c r="AF97" s="177"/>
      <c r="AG97" s="177"/>
      <c r="AH97" s="177"/>
      <c r="AI97" s="177"/>
      <c r="AJ97" s="177"/>
      <c r="AK97" s="177"/>
      <c r="AL97" s="177"/>
      <c r="AM97" s="177"/>
      <c r="AN97" s="177"/>
      <c r="AO97" s="177"/>
      <c r="AP97" s="177"/>
      <c r="AQ97" s="177"/>
      <c r="AR97" s="177"/>
      <c r="AS97" s="177"/>
      <c r="AT97" s="177"/>
      <c r="AU97" s="177"/>
      <c r="AV97" s="177"/>
      <c r="AW97" s="177"/>
      <c r="AX97" s="177"/>
    </row>
    <row r="98" spans="1:50" s="178" customFormat="1" hidden="1" x14ac:dyDescent="0.2">
      <c r="A98" s="72" t="s">
        <v>372</v>
      </c>
      <c r="B98" s="73" t="str">
        <f>VLOOKUP(LEFT(A98,7),'Tariff Schedule Lookup Table'!A$8:D$143,3,FALSE)</f>
        <v>4x80</v>
      </c>
      <c r="C98" s="236" t="s">
        <v>890</v>
      </c>
      <c r="D98" s="74">
        <v>4</v>
      </c>
      <c r="E98" s="74">
        <v>0</v>
      </c>
      <c r="F98" s="74" t="s">
        <v>247</v>
      </c>
      <c r="G98" s="106">
        <f>VLOOKUP(F98,'Lamp Stock'!A$14:H$48,4,FALSE)</f>
        <v>1.9968899999999998</v>
      </c>
      <c r="H98" s="106">
        <f>VLOOKUP(F98,'Lamp Stock'!A$14:G$48,6,FALSE)</f>
        <v>25.319593739999998</v>
      </c>
      <c r="I98" s="106">
        <f>VLOOKUP(F98,'Lamp Stock'!A$14:H$48,8,FALSE)</f>
        <v>0.38858399999999993</v>
      </c>
      <c r="J98" s="262">
        <v>0.35</v>
      </c>
      <c r="K98" s="262">
        <v>0.1</v>
      </c>
      <c r="L98" s="262">
        <v>0.2</v>
      </c>
      <c r="M98" s="74">
        <v>4</v>
      </c>
      <c r="N98" s="75">
        <f t="shared" si="17"/>
        <v>0.25</v>
      </c>
      <c r="O98" s="311">
        <v>0.04</v>
      </c>
      <c r="P98" s="265">
        <f>'Input data'!B$92*O98</f>
        <v>6.3531990542222223</v>
      </c>
      <c r="Q98" s="76">
        <f t="shared" si="18"/>
        <v>0.31950239999999996</v>
      </c>
      <c r="R98" s="76">
        <f t="shared" si="19"/>
        <v>0.21810010992000003</v>
      </c>
      <c r="S98" s="76">
        <f>IF(C98="Yes",'Input data'!$E$47*'Input data'!$B$51*O98,'Input data'!$E$47*'Input data'!$B$49*O98)</f>
        <v>1.2810468266666666</v>
      </c>
      <c r="T98" s="76">
        <f>'Other Maintenance'!$B$94*'Maintenance Costs'!O46</f>
        <v>0.11897113551214863</v>
      </c>
      <c r="U98" s="264">
        <f>'Input data'!$B$112</f>
        <v>2.9565521226700353</v>
      </c>
      <c r="V98" s="240">
        <f t="shared" si="20"/>
        <v>11.247371648991074</v>
      </c>
      <c r="W98" s="76">
        <f>'Input data'!$C$15*'Maintenance Costs'!N46</f>
        <v>9.75</v>
      </c>
      <c r="X98" s="76">
        <f t="shared" si="21"/>
        <v>2.3854739999999999</v>
      </c>
      <c r="Y98" s="76">
        <f>'Input data'!$B$47*'Maintenance Costs'!N46</f>
        <v>0</v>
      </c>
      <c r="Z98" s="76">
        <f>'Other Maintenance'!$B$94*'Maintenance Costs'!N46</f>
        <v>0.74356959695092895</v>
      </c>
      <c r="AA98" s="76">
        <f>('Input data'!$B$96+'Input data'!$B$97)*'Input data'!$B$76</f>
        <v>0.87776744444444454</v>
      </c>
      <c r="AB98" s="240">
        <f t="shared" si="22"/>
        <v>13.756811041395373</v>
      </c>
      <c r="AC98" s="163" t="str">
        <f t="shared" si="16"/>
        <v>FLU</v>
      </c>
      <c r="AD98" s="311">
        <v>7.6960402044883455E-2</v>
      </c>
      <c r="AE98" s="312">
        <f t="shared" si="23"/>
        <v>3.6960402044883454E-2</v>
      </c>
      <c r="AF98" s="177"/>
      <c r="AG98" s="177"/>
      <c r="AH98" s="177"/>
      <c r="AI98" s="177"/>
      <c r="AJ98" s="177"/>
      <c r="AK98" s="177"/>
      <c r="AL98" s="177"/>
      <c r="AM98" s="177"/>
      <c r="AN98" s="177"/>
      <c r="AO98" s="177"/>
      <c r="AP98" s="177"/>
      <c r="AQ98" s="177"/>
      <c r="AR98" s="177"/>
      <c r="AS98" s="177"/>
      <c r="AT98" s="177"/>
      <c r="AU98" s="177"/>
      <c r="AV98" s="177"/>
      <c r="AW98" s="177"/>
      <c r="AX98" s="177"/>
    </row>
    <row r="99" spans="1:50" s="178" customFormat="1" hidden="1" x14ac:dyDescent="0.2">
      <c r="A99" s="72" t="s">
        <v>427</v>
      </c>
      <c r="B99" s="73" t="str">
        <f>VLOOKUP(LEFT(A99,7),'Tariff Schedule Lookup Table'!A$8:D$143,3,FALSE)</f>
        <v>5x80</v>
      </c>
      <c r="C99" s="236" t="s">
        <v>890</v>
      </c>
      <c r="D99" s="74">
        <v>5</v>
      </c>
      <c r="E99" s="74">
        <v>0</v>
      </c>
      <c r="F99" s="74" t="s">
        <v>247</v>
      </c>
      <c r="G99" s="106">
        <f>VLOOKUP(F99,'Lamp Stock'!A$14:H$48,4,FALSE)</f>
        <v>1.9968899999999998</v>
      </c>
      <c r="H99" s="106">
        <f>VLOOKUP(F99,'Lamp Stock'!A$14:G$48,6,FALSE)</f>
        <v>25.319593739999998</v>
      </c>
      <c r="I99" s="106">
        <f>VLOOKUP(F99,'Lamp Stock'!A$14:H$48,8,FALSE)</f>
        <v>0.38858399999999993</v>
      </c>
      <c r="J99" s="262">
        <v>0.35</v>
      </c>
      <c r="K99" s="262">
        <v>0.1</v>
      </c>
      <c r="L99" s="262">
        <v>0.2</v>
      </c>
      <c r="M99" s="74">
        <v>4</v>
      </c>
      <c r="N99" s="75">
        <f t="shared" si="17"/>
        <v>0.25</v>
      </c>
      <c r="O99" s="311">
        <v>0.04</v>
      </c>
      <c r="P99" s="265">
        <f>'Input data'!B$92*O99</f>
        <v>6.3531990542222223</v>
      </c>
      <c r="Q99" s="76">
        <f t="shared" si="18"/>
        <v>0.39937799999999996</v>
      </c>
      <c r="R99" s="76">
        <f t="shared" si="19"/>
        <v>0.21810010992000003</v>
      </c>
      <c r="S99" s="76">
        <f>IF(C99="Yes",'Input data'!$E$47*'Input data'!$B$51*O99,'Input data'!$E$47*'Input data'!$B$49*O99)</f>
        <v>1.2810468266666666</v>
      </c>
      <c r="T99" s="76">
        <f>'Other Maintenance'!$B$94*'Maintenance Costs'!O47</f>
        <v>0.1487139193901858</v>
      </c>
      <c r="U99" s="264">
        <f>'Input data'!$B$112</f>
        <v>2.9565521226700353</v>
      </c>
      <c r="V99" s="240">
        <f t="shared" si="20"/>
        <v>11.35699003286911</v>
      </c>
      <c r="W99" s="76">
        <f>'Input data'!$C$15*'Maintenance Costs'!N47</f>
        <v>9.75</v>
      </c>
      <c r="X99" s="76">
        <f t="shared" si="21"/>
        <v>2.9818425</v>
      </c>
      <c r="Y99" s="76">
        <f>'Input data'!$B$47*'Maintenance Costs'!N47</f>
        <v>0</v>
      </c>
      <c r="Z99" s="76">
        <f>'Other Maintenance'!$B$94*'Maintenance Costs'!N47</f>
        <v>0.74356959695092895</v>
      </c>
      <c r="AA99" s="76">
        <f>('Input data'!$B$96+'Input data'!$B$97)*'Input data'!$B$76</f>
        <v>0.87776744444444454</v>
      </c>
      <c r="AB99" s="240">
        <f t="shared" si="22"/>
        <v>14.353179541395372</v>
      </c>
      <c r="AC99" s="163" t="str">
        <f t="shared" si="16"/>
        <v>FLU</v>
      </c>
      <c r="AD99" s="311">
        <v>7.6960402044883455E-2</v>
      </c>
      <c r="AE99" s="312">
        <f t="shared" si="23"/>
        <v>3.6960402044883454E-2</v>
      </c>
      <c r="AF99" s="177"/>
      <c r="AG99" s="177"/>
      <c r="AH99" s="177"/>
      <c r="AI99" s="177"/>
      <c r="AJ99" s="177"/>
      <c r="AK99" s="177"/>
      <c r="AL99" s="177"/>
      <c r="AM99" s="177"/>
      <c r="AN99" s="177"/>
      <c r="AO99" s="177"/>
      <c r="AP99" s="177"/>
      <c r="AQ99" s="177"/>
      <c r="AR99" s="177"/>
      <c r="AS99" s="177"/>
      <c r="AT99" s="177"/>
      <c r="AU99" s="177"/>
      <c r="AV99" s="177"/>
      <c r="AW99" s="177"/>
      <c r="AX99" s="177"/>
    </row>
    <row r="100" spans="1:50" s="178" customFormat="1" hidden="1" x14ac:dyDescent="0.2">
      <c r="A100" s="72" t="s">
        <v>428</v>
      </c>
      <c r="B100" s="73" t="str">
        <f>VLOOKUP(LEFT(A100,7),'Tariff Schedule Lookup Table'!A$8:D$143,3,FALSE)</f>
        <v>6x80</v>
      </c>
      <c r="C100" s="236" t="s">
        <v>890</v>
      </c>
      <c r="D100" s="74">
        <v>6</v>
      </c>
      <c r="E100" s="74">
        <v>0</v>
      </c>
      <c r="F100" s="74" t="s">
        <v>247</v>
      </c>
      <c r="G100" s="106">
        <f>VLOOKUP(F100,'Lamp Stock'!A$14:H$48,4,FALSE)</f>
        <v>1.9968899999999998</v>
      </c>
      <c r="H100" s="106">
        <f>VLOOKUP(F100,'Lamp Stock'!A$14:G$48,6,FALSE)</f>
        <v>25.319593739999998</v>
      </c>
      <c r="I100" s="106">
        <f>VLOOKUP(F100,'Lamp Stock'!A$14:H$48,8,FALSE)</f>
        <v>0.38858399999999993</v>
      </c>
      <c r="J100" s="262">
        <v>0.35</v>
      </c>
      <c r="K100" s="262">
        <v>0.1</v>
      </c>
      <c r="L100" s="262">
        <v>0.2</v>
      </c>
      <c r="M100" s="74">
        <v>4</v>
      </c>
      <c r="N100" s="75">
        <f t="shared" si="17"/>
        <v>0.25</v>
      </c>
      <c r="O100" s="311">
        <v>0.04</v>
      </c>
      <c r="P100" s="265">
        <f>'Input data'!B$92*O100</f>
        <v>6.3531990542222223</v>
      </c>
      <c r="Q100" s="76">
        <f t="shared" si="18"/>
        <v>0.47925359999999995</v>
      </c>
      <c r="R100" s="76">
        <f t="shared" si="19"/>
        <v>0.21810010992000003</v>
      </c>
      <c r="S100" s="76">
        <f>IF(C100="Yes",'Input data'!$E$47*'Input data'!$B$51*O100,'Input data'!$E$47*'Input data'!$B$49*O100)</f>
        <v>1.2810468266666666</v>
      </c>
      <c r="T100" s="76">
        <f>'Other Maintenance'!$B$94*'Maintenance Costs'!O48</f>
        <v>1.6655958971700809E-2</v>
      </c>
      <c r="U100" s="264">
        <f>'Input data'!$B$112</f>
        <v>2.9565521226700353</v>
      </c>
      <c r="V100" s="240">
        <f t="shared" si="20"/>
        <v>11.304807672450625</v>
      </c>
      <c r="W100" s="76">
        <f>'Input data'!$C$15*'Maintenance Costs'!N48</f>
        <v>9.75</v>
      </c>
      <c r="X100" s="76">
        <f t="shared" si="21"/>
        <v>3.5782109999999996</v>
      </c>
      <c r="Y100" s="76">
        <f>'Input data'!$B$47*'Maintenance Costs'!N48</f>
        <v>0</v>
      </c>
      <c r="Z100" s="76">
        <f>'Other Maintenance'!$B$94*'Maintenance Costs'!N48</f>
        <v>0.74356959695092895</v>
      </c>
      <c r="AA100" s="76">
        <f>('Input data'!$B$96+'Input data'!$B$97)*'Input data'!$B$76</f>
        <v>0.87776744444444454</v>
      </c>
      <c r="AB100" s="240">
        <f t="shared" si="22"/>
        <v>14.949548041395373</v>
      </c>
      <c r="AC100" s="163" t="str">
        <f t="shared" si="16"/>
        <v>FLU</v>
      </c>
      <c r="AD100" s="311">
        <v>7.6960402044883455E-2</v>
      </c>
      <c r="AE100" s="312">
        <f t="shared" si="23"/>
        <v>3.6960402044883454E-2</v>
      </c>
      <c r="AF100" s="177"/>
      <c r="AG100" s="177"/>
      <c r="AH100" s="177"/>
      <c r="AI100" s="177"/>
      <c r="AJ100" s="177"/>
      <c r="AK100" s="177"/>
      <c r="AL100" s="177"/>
      <c r="AM100" s="177"/>
      <c r="AN100" s="177"/>
      <c r="AO100" s="177"/>
      <c r="AP100" s="177"/>
      <c r="AQ100" s="177"/>
      <c r="AR100" s="177"/>
      <c r="AS100" s="177"/>
      <c r="AT100" s="177"/>
      <c r="AU100" s="177"/>
      <c r="AV100" s="177"/>
      <c r="AW100" s="177"/>
      <c r="AX100" s="177"/>
    </row>
    <row r="101" spans="1:50" s="178" customFormat="1" hidden="1" x14ac:dyDescent="0.2">
      <c r="A101" s="72" t="s">
        <v>173</v>
      </c>
      <c r="B101" s="73" t="str">
        <f>VLOOKUP(LEFT(A101,7),'Tariff Schedule Lookup Table'!A$8:D$143,3,FALSE)</f>
        <v>2x125</v>
      </c>
      <c r="C101" s="236" t="s">
        <v>890</v>
      </c>
      <c r="D101" s="74">
        <v>2</v>
      </c>
      <c r="E101" s="74">
        <v>0</v>
      </c>
      <c r="F101" s="74" t="s">
        <v>247</v>
      </c>
      <c r="G101" s="106">
        <f>VLOOKUP(F101,'Lamp Stock'!A$14:H$48,4,FALSE)</f>
        <v>1.9968899999999998</v>
      </c>
      <c r="H101" s="106">
        <f>VLOOKUP(F101,'Lamp Stock'!A$14:G$48,6,FALSE)</f>
        <v>25.319593739999998</v>
      </c>
      <c r="I101" s="106">
        <f>VLOOKUP(F101,'Lamp Stock'!A$14:H$48,8,FALSE)</f>
        <v>0.38858399999999993</v>
      </c>
      <c r="J101" s="262">
        <v>0.35</v>
      </c>
      <c r="K101" s="262">
        <v>0.1</v>
      </c>
      <c r="L101" s="262">
        <v>0.2</v>
      </c>
      <c r="M101" s="74">
        <v>4</v>
      </c>
      <c r="N101" s="75">
        <f t="shared" si="17"/>
        <v>0.25</v>
      </c>
      <c r="O101" s="311">
        <v>0.04</v>
      </c>
      <c r="P101" s="265">
        <f>'Input data'!B$92*O101</f>
        <v>6.3531990542222223</v>
      </c>
      <c r="Q101" s="76">
        <f t="shared" si="18"/>
        <v>0.15975119999999998</v>
      </c>
      <c r="R101" s="76">
        <f t="shared" si="19"/>
        <v>0.21810010992000003</v>
      </c>
      <c r="S101" s="76">
        <f>IF(C101="Yes",'Input data'!$E$47*'Input data'!$B$51*O101,'Input data'!$E$47*'Input data'!$B$49*O101)</f>
        <v>1.2810468266666666</v>
      </c>
      <c r="T101" s="76">
        <f>'Other Maintenance'!$B$94*'Maintenance Costs'!O49</f>
        <v>0.1487139193901858</v>
      </c>
      <c r="U101" s="264">
        <f>'Input data'!$B$112</f>
        <v>2.9565521226700353</v>
      </c>
      <c r="V101" s="240">
        <f t="shared" si="20"/>
        <v>11.11736323286911</v>
      </c>
      <c r="W101" s="76">
        <f>'Input data'!$C$15*'Maintenance Costs'!N49</f>
        <v>9.75</v>
      </c>
      <c r="X101" s="76">
        <f t="shared" si="21"/>
        <v>1.1927369999999999</v>
      </c>
      <c r="Y101" s="76">
        <f>'Input data'!$B$47*'Maintenance Costs'!N49</f>
        <v>0</v>
      </c>
      <c r="Z101" s="76">
        <f>'Other Maintenance'!$B$94*'Maintenance Costs'!N49</f>
        <v>0.74356959695092895</v>
      </c>
      <c r="AA101" s="76">
        <f>('Input data'!$B$96+'Input data'!$B$97)*'Input data'!$B$76</f>
        <v>0.87776744444444454</v>
      </c>
      <c r="AB101" s="240">
        <f t="shared" si="22"/>
        <v>12.564074041395372</v>
      </c>
      <c r="AC101" s="163" t="str">
        <f t="shared" si="16"/>
        <v>FLU</v>
      </c>
      <c r="AD101" s="311">
        <v>7.6960402044883455E-2</v>
      </c>
      <c r="AE101" s="312">
        <f t="shared" si="23"/>
        <v>3.6960402044883454E-2</v>
      </c>
      <c r="AF101" s="177"/>
      <c r="AG101" s="177"/>
      <c r="AH101" s="177"/>
      <c r="AI101" s="177"/>
      <c r="AJ101" s="177"/>
      <c r="AK101" s="177"/>
      <c r="AL101" s="177"/>
      <c r="AM101" s="177"/>
      <c r="AN101" s="177"/>
      <c r="AO101" s="177"/>
      <c r="AP101" s="177"/>
      <c r="AQ101" s="177"/>
      <c r="AR101" s="177"/>
      <c r="AS101" s="177"/>
      <c r="AT101" s="177"/>
      <c r="AU101" s="177"/>
      <c r="AV101" s="177"/>
      <c r="AW101" s="177"/>
      <c r="AX101" s="177"/>
    </row>
    <row r="102" spans="1:50" s="178" customFormat="1" hidden="1" x14ac:dyDescent="0.2">
      <c r="A102" s="72" t="s">
        <v>429</v>
      </c>
      <c r="B102" s="73">
        <f>VLOOKUP(LEFT(A102,7),'Tariff Schedule Lookup Table'!A$8:D$143,3,FALSE)</f>
        <v>176</v>
      </c>
      <c r="C102" s="236" t="s">
        <v>891</v>
      </c>
      <c r="D102" s="74">
        <v>1</v>
      </c>
      <c r="E102" s="74">
        <v>0</v>
      </c>
      <c r="F102" s="74" t="s">
        <v>247</v>
      </c>
      <c r="G102" s="106">
        <f>VLOOKUP(F102,'Lamp Stock'!A$14:H$48,4,FALSE)</f>
        <v>1.9968899999999998</v>
      </c>
      <c r="H102" s="106">
        <f>VLOOKUP(F102,'Lamp Stock'!A$14:G$48,6,FALSE)</f>
        <v>25.319593739999998</v>
      </c>
      <c r="I102" s="106">
        <f>VLOOKUP(F102,'Lamp Stock'!A$14:H$48,8,FALSE)</f>
        <v>0.38858399999999993</v>
      </c>
      <c r="J102" s="262">
        <v>0.35</v>
      </c>
      <c r="K102" s="262">
        <v>0.1</v>
      </c>
      <c r="L102" s="262">
        <v>0.2</v>
      </c>
      <c r="M102" s="74">
        <v>4</v>
      </c>
      <c r="N102" s="75">
        <f t="shared" si="17"/>
        <v>0.25</v>
      </c>
      <c r="O102" s="311">
        <v>0.04</v>
      </c>
      <c r="P102" s="265">
        <f>'Input data'!B$92*O102</f>
        <v>6.3531990542222223</v>
      </c>
      <c r="Q102" s="76">
        <f t="shared" si="18"/>
        <v>7.9875599999999991E-2</v>
      </c>
      <c r="R102" s="76">
        <f t="shared" si="19"/>
        <v>0.21810010992000003</v>
      </c>
      <c r="S102" s="76">
        <f>IF(C102="Yes",'Input data'!$E$47*'Input data'!$B$51*O102,'Input data'!$E$47*'Input data'!$B$49*O102)</f>
        <v>10.248374613333333</v>
      </c>
      <c r="T102" s="76">
        <f>'Other Maintenance'!$B$94*'Maintenance Costs'!O50</f>
        <v>0.1487139193901858</v>
      </c>
      <c r="U102" s="264">
        <f>'Input data'!$B$112</f>
        <v>2.9565521226700353</v>
      </c>
      <c r="V102" s="240">
        <f t="shared" si="20"/>
        <v>20.004815419535777</v>
      </c>
      <c r="W102" s="76">
        <f>'Input data'!$C$15*'Maintenance Costs'!N50</f>
        <v>9.75</v>
      </c>
      <c r="X102" s="76">
        <f t="shared" si="21"/>
        <v>0.59636849999999997</v>
      </c>
      <c r="Y102" s="76">
        <f>'Input data'!$B$47*'Maintenance Costs'!N50</f>
        <v>0</v>
      </c>
      <c r="Z102" s="76">
        <f>'Other Maintenance'!$B$94*'Maintenance Costs'!N50</f>
        <v>0.74356959695092895</v>
      </c>
      <c r="AA102" s="76">
        <f>('Input data'!$B$96+'Input data'!$B$97)*'Input data'!$B$76</f>
        <v>0.87776744444444454</v>
      </c>
      <c r="AB102" s="240">
        <f t="shared" si="22"/>
        <v>11.967705541395373</v>
      </c>
      <c r="AC102" s="163" t="str">
        <f t="shared" si="16"/>
        <v>FLU</v>
      </c>
      <c r="AD102" s="311">
        <v>7.6960402044883455E-2</v>
      </c>
      <c r="AE102" s="312">
        <f t="shared" si="23"/>
        <v>3.6960402044883454E-2</v>
      </c>
      <c r="AF102" s="177"/>
      <c r="AG102" s="177"/>
      <c r="AH102" s="177"/>
      <c r="AI102" s="177"/>
      <c r="AJ102" s="177"/>
      <c r="AK102" s="177"/>
      <c r="AL102" s="177"/>
      <c r="AM102" s="177"/>
      <c r="AN102" s="177"/>
      <c r="AO102" s="177"/>
      <c r="AP102" s="177"/>
      <c r="AQ102" s="177"/>
      <c r="AR102" s="177"/>
      <c r="AS102" s="177"/>
      <c r="AT102" s="177"/>
      <c r="AU102" s="177"/>
      <c r="AV102" s="177"/>
      <c r="AW102" s="177"/>
      <c r="AX102" s="177"/>
    </row>
    <row r="103" spans="1:50" s="178" customFormat="1" hidden="1" x14ac:dyDescent="0.2">
      <c r="A103" s="72" t="s">
        <v>430</v>
      </c>
      <c r="B103" s="73">
        <f>VLOOKUP(LEFT(A103,7),'Tariff Schedule Lookup Table'!A$8:D$143,3,FALSE)</f>
        <v>236</v>
      </c>
      <c r="C103" s="236" t="s">
        <v>891</v>
      </c>
      <c r="D103" s="74">
        <v>1</v>
      </c>
      <c r="E103" s="74">
        <v>0</v>
      </c>
      <c r="F103" s="74" t="s">
        <v>247</v>
      </c>
      <c r="G103" s="106">
        <f>VLOOKUP(F103,'Lamp Stock'!A$14:H$48,4,FALSE)</f>
        <v>1.9968899999999998</v>
      </c>
      <c r="H103" s="106">
        <f>VLOOKUP(F103,'Lamp Stock'!A$14:G$48,6,FALSE)</f>
        <v>25.319593739999998</v>
      </c>
      <c r="I103" s="106">
        <f>VLOOKUP(F103,'Lamp Stock'!A$14:H$48,8,FALSE)</f>
        <v>0.38858399999999993</v>
      </c>
      <c r="J103" s="262">
        <v>0.35</v>
      </c>
      <c r="K103" s="262">
        <v>0.1</v>
      </c>
      <c r="L103" s="262">
        <v>0.2</v>
      </c>
      <c r="M103" s="74">
        <v>4</v>
      </c>
      <c r="N103" s="75">
        <f t="shared" si="17"/>
        <v>0.25</v>
      </c>
      <c r="O103" s="311">
        <v>0.04</v>
      </c>
      <c r="P103" s="265">
        <f>'Input data'!B$92*O103</f>
        <v>6.3531990542222223</v>
      </c>
      <c r="Q103" s="76">
        <f t="shared" si="18"/>
        <v>7.9875599999999991E-2</v>
      </c>
      <c r="R103" s="76">
        <f t="shared" si="19"/>
        <v>0.21810010992000003</v>
      </c>
      <c r="S103" s="76">
        <f>IF(C103="Yes",'Input data'!$E$47*'Input data'!$B$51*O103,'Input data'!$E$47*'Input data'!$B$49*O103)</f>
        <v>10.248374613333333</v>
      </c>
      <c r="T103" s="76">
        <f>'Other Maintenance'!$B$94*'Maintenance Costs'!O51</f>
        <v>0.17845670326822294</v>
      </c>
      <c r="U103" s="264">
        <f>'Input data'!$B$112</f>
        <v>2.9565521226700353</v>
      </c>
      <c r="V103" s="240">
        <f t="shared" si="20"/>
        <v>20.034558203413813</v>
      </c>
      <c r="W103" s="76">
        <f>'Input data'!$C$15*'Maintenance Costs'!N51</f>
        <v>9.75</v>
      </c>
      <c r="X103" s="76">
        <f t="shared" si="21"/>
        <v>0.59636849999999997</v>
      </c>
      <c r="Y103" s="76">
        <f>'Input data'!$B$47*'Maintenance Costs'!N51</f>
        <v>0</v>
      </c>
      <c r="Z103" s="76">
        <f>'Other Maintenance'!$B$94*'Maintenance Costs'!N51</f>
        <v>0.74356959695092895</v>
      </c>
      <c r="AA103" s="76">
        <f>('Input data'!$B$96+'Input data'!$B$97)*'Input data'!$B$76</f>
        <v>0.87776744444444454</v>
      </c>
      <c r="AB103" s="240">
        <f t="shared" si="22"/>
        <v>11.967705541395373</v>
      </c>
      <c r="AC103" s="163" t="str">
        <f t="shared" si="16"/>
        <v>FLU</v>
      </c>
      <c r="AD103" s="311">
        <v>7.6960402044883455E-2</v>
      </c>
      <c r="AE103" s="312">
        <f t="shared" si="23"/>
        <v>3.6960402044883454E-2</v>
      </c>
      <c r="AF103" s="177"/>
      <c r="AG103" s="177"/>
      <c r="AH103" s="177"/>
      <c r="AI103" s="177"/>
      <c r="AJ103" s="177"/>
      <c r="AK103" s="177"/>
      <c r="AL103" s="177"/>
      <c r="AM103" s="177"/>
      <c r="AN103" s="177"/>
      <c r="AO103" s="177"/>
      <c r="AP103" s="177"/>
      <c r="AQ103" s="177"/>
      <c r="AR103" s="177"/>
      <c r="AS103" s="177"/>
      <c r="AT103" s="177"/>
      <c r="AU103" s="177"/>
      <c r="AV103" s="177"/>
      <c r="AW103" s="177"/>
      <c r="AX103" s="177"/>
    </row>
    <row r="104" spans="1:50" s="178" customFormat="1" hidden="1" x14ac:dyDescent="0.2">
      <c r="A104" s="72" t="s">
        <v>457</v>
      </c>
      <c r="B104" s="73">
        <v>32</v>
      </c>
      <c r="C104" s="236" t="s">
        <v>890</v>
      </c>
      <c r="D104" s="74">
        <v>1</v>
      </c>
      <c r="E104" s="74">
        <v>0</v>
      </c>
      <c r="F104" s="74" t="s">
        <v>458</v>
      </c>
      <c r="G104" s="106">
        <f>VLOOKUP(F104,'Lamp Stock'!A$14:H$48,4,FALSE)</f>
        <v>6.6814859999999996</v>
      </c>
      <c r="H104" s="106">
        <f>VLOOKUP(F104,'Lamp Stock'!A$14:G$48,6,FALSE)</f>
        <v>49.652399999999993</v>
      </c>
      <c r="I104" s="106">
        <f>VLOOKUP(F104,'Lamp Stock'!A$14:H$48,8,FALSE)</f>
        <v>25.797659999999997</v>
      </c>
      <c r="J104" s="262">
        <v>0.22</v>
      </c>
      <c r="K104" s="262">
        <v>0.1</v>
      </c>
      <c r="L104" s="262">
        <v>0.2</v>
      </c>
      <c r="M104" s="74">
        <v>4</v>
      </c>
      <c r="N104" s="75">
        <f t="shared" si="17"/>
        <v>0.25</v>
      </c>
      <c r="O104" s="311">
        <v>0.04</v>
      </c>
      <c r="P104" s="265">
        <f>'Input data'!B$92*O104</f>
        <v>6.3531990542222223</v>
      </c>
      <c r="Q104" s="76">
        <f t="shared" si="18"/>
        <v>0.26725944000000001</v>
      </c>
      <c r="R104" s="76">
        <f t="shared" si="19"/>
        <v>1.4291255999999999</v>
      </c>
      <c r="S104" s="76">
        <f>IF(C104="Yes",'Input data'!$E$47*'Input data'!$B$51*O104,'Input data'!$E$47*'Input data'!$B$49*O104)</f>
        <v>1.2810468266666666</v>
      </c>
      <c r="T104" s="76">
        <f>'Other Maintenance'!$B$94*'Maintenance Costs'!O53</f>
        <v>0.17845670326822294</v>
      </c>
      <c r="U104" s="264">
        <f>'Input data'!$B$112</f>
        <v>2.9565521226700353</v>
      </c>
      <c r="V104" s="240">
        <f t="shared" si="20"/>
        <v>12.465639746827147</v>
      </c>
      <c r="W104" s="76">
        <f>'Input data'!$C$15*'Maintenance Costs'!N53</f>
        <v>9.75</v>
      </c>
      <c r="X104" s="76">
        <f t="shared" si="21"/>
        <v>8.1197865</v>
      </c>
      <c r="Y104" s="76">
        <f>'Input data'!$B$47*'Maintenance Costs'!N53</f>
        <v>0</v>
      </c>
      <c r="Z104" s="76">
        <f>'Other Maintenance'!$B$94*'Maintenance Costs'!N53</f>
        <v>0.74356959695092895</v>
      </c>
      <c r="AA104" s="76">
        <f>('Input data'!$B$96+'Input data'!$B$97)*'Input data'!$B$76</f>
        <v>0.87776744444444454</v>
      </c>
      <c r="AB104" s="240">
        <f t="shared" si="22"/>
        <v>19.491123541395375</v>
      </c>
      <c r="AC104" s="163" t="str">
        <f t="shared" si="16"/>
        <v>FLU</v>
      </c>
      <c r="AD104" s="311">
        <v>7.6960402044883455E-2</v>
      </c>
      <c r="AE104" s="312">
        <f t="shared" si="23"/>
        <v>3.6960402044883454E-2</v>
      </c>
      <c r="AF104" s="177"/>
      <c r="AG104" s="177"/>
      <c r="AH104" s="177"/>
      <c r="AI104" s="177"/>
      <c r="AJ104" s="177"/>
      <c r="AK104" s="177"/>
      <c r="AL104" s="177"/>
      <c r="AM104" s="177"/>
      <c r="AN104" s="177"/>
      <c r="AO104" s="177"/>
      <c r="AP104" s="177"/>
      <c r="AQ104" s="177"/>
      <c r="AR104" s="177"/>
      <c r="AS104" s="177"/>
      <c r="AT104" s="177"/>
      <c r="AU104" s="177"/>
      <c r="AV104" s="177"/>
      <c r="AW104" s="177"/>
      <c r="AX104" s="177"/>
    </row>
    <row r="105" spans="1:50" s="178" customFormat="1" hidden="1" x14ac:dyDescent="0.2">
      <c r="A105" s="72" t="s">
        <v>87</v>
      </c>
      <c r="B105" s="73" t="str">
        <f>VLOOKUP(LEFT(A105,7),'Tariff Schedule Lookup Table'!A$8:D$143,3,FALSE)</f>
        <v>2x14</v>
      </c>
      <c r="C105" s="236" t="s">
        <v>890</v>
      </c>
      <c r="D105" s="74">
        <v>2</v>
      </c>
      <c r="E105" s="74">
        <v>0</v>
      </c>
      <c r="F105" s="74" t="s">
        <v>74</v>
      </c>
      <c r="G105" s="106">
        <f>VLOOKUP(F105,'Lamp Stock'!A$14:H$48,4,FALSE)</f>
        <v>6.2605199999999996</v>
      </c>
      <c r="H105" s="106">
        <f>VLOOKUP(F105,'Lamp Stock'!A$14:G$48,6,FALSE)</f>
        <v>23.552508</v>
      </c>
      <c r="I105" s="106">
        <f>VLOOKUP(F105,'Lamp Stock'!A$14:H$48,8,FALSE)</f>
        <v>25.797659999999997</v>
      </c>
      <c r="J105" s="262">
        <v>0.22</v>
      </c>
      <c r="K105" s="262">
        <v>0.1</v>
      </c>
      <c r="L105" s="262">
        <v>0.2</v>
      </c>
      <c r="M105" s="74">
        <v>4</v>
      </c>
      <c r="N105" s="75">
        <f t="shared" si="17"/>
        <v>0.25</v>
      </c>
      <c r="O105" s="311">
        <v>0.04</v>
      </c>
      <c r="P105" s="265">
        <f>'Input data'!B$92*O105</f>
        <v>6.3531990542222223</v>
      </c>
      <c r="Q105" s="76">
        <f t="shared" si="18"/>
        <v>0.5008416</v>
      </c>
      <c r="R105" s="76">
        <f t="shared" si="19"/>
        <v>1.220326464</v>
      </c>
      <c r="S105" s="76">
        <f>IF(C105="Yes",'Input data'!$E$47*'Input data'!$B$51*O105,'Input data'!$E$47*'Input data'!$B$49*O105)</f>
        <v>1.2810468266666666</v>
      </c>
      <c r="T105" s="76">
        <f>'Other Maintenance'!$B$94*'Maintenance Costs'!O54</f>
        <v>0.1487139193901858</v>
      </c>
      <c r="U105" s="264">
        <f>'Input data'!$B$112</f>
        <v>2.9565521226700353</v>
      </c>
      <c r="V105" s="240">
        <f t="shared" si="20"/>
        <v>12.46067998694911</v>
      </c>
      <c r="W105" s="76">
        <f>'Input data'!$C$15*'Maintenance Costs'!N54</f>
        <v>9.75</v>
      </c>
      <c r="X105" s="76">
        <f t="shared" si="21"/>
        <v>16.029089999999997</v>
      </c>
      <c r="Y105" s="76">
        <f>'Input data'!$B$47*'Maintenance Costs'!N54</f>
        <v>0</v>
      </c>
      <c r="Z105" s="76">
        <f>'Other Maintenance'!$B$94*'Maintenance Costs'!N54</f>
        <v>0.74356959695092895</v>
      </c>
      <c r="AA105" s="76">
        <f>('Input data'!$B$96+'Input data'!$B$97)*'Input data'!$B$76</f>
        <v>0.87776744444444454</v>
      </c>
      <c r="AB105" s="240">
        <f t="shared" si="22"/>
        <v>27.400427041395371</v>
      </c>
      <c r="AC105" s="163" t="str">
        <f t="shared" si="16"/>
        <v>FLU</v>
      </c>
      <c r="AD105" s="311">
        <v>7.6960402044883455E-2</v>
      </c>
      <c r="AE105" s="312">
        <f t="shared" si="23"/>
        <v>3.6960402044883454E-2</v>
      </c>
      <c r="AF105" s="177"/>
      <c r="AG105" s="177"/>
      <c r="AH105" s="177"/>
      <c r="AI105" s="177"/>
      <c r="AJ105" s="177"/>
      <c r="AK105" s="177"/>
      <c r="AL105" s="177"/>
      <c r="AM105" s="177"/>
      <c r="AN105" s="177"/>
      <c r="AO105" s="177"/>
      <c r="AP105" s="177"/>
      <c r="AQ105" s="177"/>
      <c r="AR105" s="177"/>
      <c r="AS105" s="177"/>
      <c r="AT105" s="177"/>
      <c r="AU105" s="177"/>
      <c r="AV105" s="177"/>
      <c r="AW105" s="177"/>
      <c r="AX105" s="177"/>
    </row>
    <row r="106" spans="1:50" s="178" customFormat="1" hidden="1" x14ac:dyDescent="0.2">
      <c r="A106" s="72" t="s">
        <v>88</v>
      </c>
      <c r="B106" s="73" t="str">
        <f>VLOOKUP(LEFT(A106,7),'Tariff Schedule Lookup Table'!A$8:D$143,3,FALSE)</f>
        <v>2x24</v>
      </c>
      <c r="C106" s="236" t="s">
        <v>890</v>
      </c>
      <c r="D106" s="74">
        <v>2</v>
      </c>
      <c r="E106" s="74">
        <v>0</v>
      </c>
      <c r="F106" s="74" t="s">
        <v>75</v>
      </c>
      <c r="G106" s="106">
        <f>VLOOKUP(F106,'Lamp Stock'!A$14:H$48,4,FALSE)</f>
        <v>13.006769999999999</v>
      </c>
      <c r="H106" s="106">
        <f>VLOOKUP(F106,'Lamp Stock'!A$14:G$48,6,FALSE)</f>
        <v>37.293269999999993</v>
      </c>
      <c r="I106" s="106">
        <f>VLOOKUP(F106,'Lamp Stock'!A$14:H$48,8,FALSE)</f>
        <v>25.797659999999997</v>
      </c>
      <c r="J106" s="262">
        <v>0.22</v>
      </c>
      <c r="K106" s="262">
        <v>0.1</v>
      </c>
      <c r="L106" s="262">
        <v>0.2</v>
      </c>
      <c r="M106" s="74">
        <v>4</v>
      </c>
      <c r="N106" s="75">
        <f t="shared" si="17"/>
        <v>0.25</v>
      </c>
      <c r="O106" s="311">
        <v>0.04</v>
      </c>
      <c r="P106" s="265">
        <f>'Input data'!B$92*O106</f>
        <v>6.3531990542222223</v>
      </c>
      <c r="Q106" s="76">
        <f t="shared" si="18"/>
        <v>1.0405416000000001</v>
      </c>
      <c r="R106" s="76">
        <f t="shared" si="19"/>
        <v>1.3302525599999999</v>
      </c>
      <c r="S106" s="76">
        <f>IF(C106="Yes",'Input data'!$E$47*'Input data'!$B$51*O106,'Input data'!$E$47*'Input data'!$B$49*O106)</f>
        <v>1.2810468266666666</v>
      </c>
      <c r="T106" s="76">
        <f>'Other Maintenance'!$B$94*'Maintenance Costs'!O55</f>
        <v>0.17845670326822294</v>
      </c>
      <c r="U106" s="264">
        <f>'Input data'!$B$112</f>
        <v>2.9565521226700353</v>
      </c>
      <c r="V106" s="240">
        <f t="shared" si="20"/>
        <v>13.140048866827147</v>
      </c>
      <c r="W106" s="76">
        <f>'Input data'!$C$15*'Maintenance Costs'!N55</f>
        <v>9.75</v>
      </c>
      <c r="X106" s="76">
        <f t="shared" si="21"/>
        <v>19.402214999999998</v>
      </c>
      <c r="Y106" s="76">
        <f>'Input data'!$B$47*'Maintenance Costs'!N55</f>
        <v>0</v>
      </c>
      <c r="Z106" s="76">
        <f>'Other Maintenance'!$B$94*'Maintenance Costs'!N55</f>
        <v>0.74356959695092895</v>
      </c>
      <c r="AA106" s="76">
        <f>('Input data'!$B$96+'Input data'!$B$97)*'Input data'!$B$76</f>
        <v>0.87776744444444454</v>
      </c>
      <c r="AB106" s="240">
        <f t="shared" si="22"/>
        <v>30.773552041395373</v>
      </c>
      <c r="AC106" s="163" t="str">
        <f t="shared" si="16"/>
        <v>FLU</v>
      </c>
      <c r="AD106" s="311">
        <v>7.6960402044883455E-2</v>
      </c>
      <c r="AE106" s="312">
        <f t="shared" si="23"/>
        <v>3.6960402044883454E-2</v>
      </c>
      <c r="AF106" s="177"/>
      <c r="AG106" s="177"/>
      <c r="AH106" s="177"/>
      <c r="AI106" s="177"/>
      <c r="AJ106" s="177"/>
      <c r="AK106" s="177"/>
      <c r="AL106" s="177"/>
      <c r="AM106" s="177"/>
      <c r="AN106" s="177"/>
      <c r="AO106" s="177"/>
      <c r="AP106" s="177"/>
      <c r="AQ106" s="177"/>
      <c r="AR106" s="177"/>
      <c r="AS106" s="177"/>
      <c r="AT106" s="177"/>
      <c r="AU106" s="177"/>
      <c r="AV106" s="177"/>
      <c r="AW106" s="177"/>
      <c r="AX106" s="177"/>
    </row>
    <row r="107" spans="1:50" s="178" customFormat="1" hidden="1" x14ac:dyDescent="0.2">
      <c r="A107" s="72" t="s">
        <v>373</v>
      </c>
      <c r="B107" s="73">
        <f>VLOOKUP(LEFT(A107,7),'Tariff Schedule Lookup Table'!A$8:D$143,3,FALSE)</f>
        <v>50</v>
      </c>
      <c r="C107" s="236" t="s">
        <v>890</v>
      </c>
      <c r="D107" s="74">
        <v>1</v>
      </c>
      <c r="E107" s="74">
        <v>0</v>
      </c>
      <c r="F107" s="74" t="s">
        <v>267</v>
      </c>
      <c r="G107" s="106">
        <f>VLOOKUP(F107,'Lamp Stock'!A$14:H$48,4,FALSE)</f>
        <v>13.913466</v>
      </c>
      <c r="H107" s="106">
        <f>VLOOKUP(F107,'Lamp Stock'!A$14:G$48,6,FALSE)</f>
        <v>19.278083999999996</v>
      </c>
      <c r="I107" s="106">
        <f>VLOOKUP(F107,'Lamp Stock'!A$14:H$48,8,FALSE)</f>
        <v>25.797659999999997</v>
      </c>
      <c r="J107" s="262">
        <v>0.25</v>
      </c>
      <c r="K107" s="262">
        <v>0.1</v>
      </c>
      <c r="L107" s="262">
        <v>0.2</v>
      </c>
      <c r="M107" s="74">
        <v>4</v>
      </c>
      <c r="N107" s="75">
        <f t="shared" si="17"/>
        <v>0.25</v>
      </c>
      <c r="O107" s="311">
        <v>0.06</v>
      </c>
      <c r="P107" s="265">
        <f>'Input data'!B$92*O107</f>
        <v>9.529798581333333</v>
      </c>
      <c r="Q107" s="76">
        <f t="shared" si="18"/>
        <v>0.8348079599999999</v>
      </c>
      <c r="R107" s="76">
        <f t="shared" si="19"/>
        <v>1.7791966079999997</v>
      </c>
      <c r="S107" s="76">
        <f>IF(C107="Yes",'Input data'!$E$47*'Input data'!$B$51*O107,'Input data'!$E$47*'Input data'!$B$49*O107)</f>
        <v>1.9215702399999999</v>
      </c>
      <c r="T107" s="76">
        <f>'Other Maintenance'!$B$94*'Maintenance Costs'!O56</f>
        <v>0.17845670326822294</v>
      </c>
      <c r="U107" s="264">
        <f>'Input data'!$B$112</f>
        <v>2.9565521226700353</v>
      </c>
      <c r="V107" s="240">
        <f t="shared" si="20"/>
        <v>17.200382215271588</v>
      </c>
      <c r="W107" s="76">
        <f>'Input data'!$C$15*'Maintenance Costs'!N56</f>
        <v>9.75</v>
      </c>
      <c r="X107" s="76">
        <f t="shared" si="21"/>
        <v>9.9277814999999983</v>
      </c>
      <c r="Y107" s="76">
        <f>'Input data'!$B$47*'Maintenance Costs'!N56</f>
        <v>0</v>
      </c>
      <c r="Z107" s="76">
        <f>'Other Maintenance'!$B$94*'Maintenance Costs'!N56</f>
        <v>0.74356959695092895</v>
      </c>
      <c r="AA107" s="76">
        <f>('Input data'!$B$96+'Input data'!$B$97)*'Input data'!$B$76</f>
        <v>0.87776744444444454</v>
      </c>
      <c r="AB107" s="240">
        <f t="shared" si="22"/>
        <v>21.299118541395373</v>
      </c>
      <c r="AC107" s="163" t="s">
        <v>905</v>
      </c>
      <c r="AD107" s="311">
        <v>9.5500000000000002E-2</v>
      </c>
      <c r="AE107" s="312">
        <f t="shared" si="23"/>
        <v>3.5500000000000004E-2</v>
      </c>
      <c r="AF107" s="177"/>
      <c r="AG107" s="177"/>
      <c r="AH107" s="177"/>
      <c r="AI107" s="177"/>
      <c r="AJ107" s="177"/>
      <c r="AK107" s="177"/>
      <c r="AL107" s="177"/>
      <c r="AM107" s="177"/>
      <c r="AN107" s="177"/>
      <c r="AO107" s="177"/>
      <c r="AP107" s="177"/>
      <c r="AQ107" s="177"/>
      <c r="AR107" s="177"/>
      <c r="AS107" s="177"/>
      <c r="AT107" s="177"/>
      <c r="AU107" s="177"/>
      <c r="AV107" s="177"/>
      <c r="AW107" s="177"/>
      <c r="AX107" s="177"/>
    </row>
    <row r="108" spans="1:50" s="178" customFormat="1" hidden="1" x14ac:dyDescent="0.2">
      <c r="A108" s="72" t="s">
        <v>374</v>
      </c>
      <c r="B108" s="73" t="str">
        <f>VLOOKUP(LEFT(A108,7),'Tariff Schedule Lookup Table'!A$8:D$143,3,FALSE)</f>
        <v>2x70</v>
      </c>
      <c r="C108" s="236" t="s">
        <v>890</v>
      </c>
      <c r="D108" s="74">
        <v>2</v>
      </c>
      <c r="E108" s="74">
        <v>0</v>
      </c>
      <c r="F108" s="74" t="s">
        <v>268</v>
      </c>
      <c r="G108" s="106">
        <f>VLOOKUP(F108,'Lamp Stock'!A$14:H$48,4,FALSE)</f>
        <v>15.651299999999999</v>
      </c>
      <c r="H108" s="106">
        <f>VLOOKUP(F108,'Lamp Stock'!A$14:G$48,6,FALSE)</f>
        <v>27.200879999999998</v>
      </c>
      <c r="I108" s="106">
        <f>VLOOKUP(F108,'Lamp Stock'!A$14:H$48,8,FALSE)</f>
        <v>20.767655999999995</v>
      </c>
      <c r="J108" s="262">
        <v>0.2</v>
      </c>
      <c r="K108" s="262">
        <v>0.1</v>
      </c>
      <c r="L108" s="262">
        <v>0.2</v>
      </c>
      <c r="M108" s="74">
        <v>4</v>
      </c>
      <c r="N108" s="75">
        <f t="shared" si="17"/>
        <v>0.25</v>
      </c>
      <c r="O108" s="311">
        <v>0.06</v>
      </c>
      <c r="P108" s="265">
        <f>'Input data'!B$92*O108</f>
        <v>9.529798581333333</v>
      </c>
      <c r="Q108" s="76">
        <f t="shared" si="18"/>
        <v>1.8781559999999997</v>
      </c>
      <c r="R108" s="76">
        <f t="shared" si="19"/>
        <v>1.5724699199999996</v>
      </c>
      <c r="S108" s="76">
        <f>IF(C108="Yes",'Input data'!$E$47*'Input data'!$B$51*O108,'Input data'!$E$47*'Input data'!$B$49*O108)</f>
        <v>1.9215702399999999</v>
      </c>
      <c r="T108" s="76">
        <f>'Other Maintenance'!$B$94*'Maintenance Costs'!O59</f>
        <v>1.6655958971700809E-2</v>
      </c>
      <c r="U108" s="264">
        <f>'Input data'!$B$112</f>
        <v>2.9565521226700353</v>
      </c>
      <c r="V108" s="240">
        <f t="shared" si="20"/>
        <v>17.875202822975066</v>
      </c>
      <c r="W108" s="76">
        <f>'Input data'!$C$15*'Maintenance Costs'!N59</f>
        <v>9.75</v>
      </c>
      <c r="X108" s="76">
        <f t="shared" si="21"/>
        <v>18.209477999999997</v>
      </c>
      <c r="Y108" s="76">
        <f>'Input data'!$B$47*'Maintenance Costs'!N59</f>
        <v>0</v>
      </c>
      <c r="Z108" s="76">
        <f>'Other Maintenance'!$B$94*'Maintenance Costs'!N59</f>
        <v>0.74356959695092895</v>
      </c>
      <c r="AA108" s="76">
        <f>('Input data'!$B$96+'Input data'!$B$97)*'Input data'!$B$76</f>
        <v>0.87776744444444454</v>
      </c>
      <c r="AB108" s="240">
        <f t="shared" si="22"/>
        <v>29.580815041395372</v>
      </c>
      <c r="AC108" s="163" t="s">
        <v>905</v>
      </c>
      <c r="AD108" s="311">
        <v>9.5500000000000002E-2</v>
      </c>
      <c r="AE108" s="312">
        <f t="shared" si="23"/>
        <v>3.5500000000000004E-2</v>
      </c>
      <c r="AF108" s="177"/>
      <c r="AG108" s="177"/>
      <c r="AH108" s="177"/>
      <c r="AI108" s="177"/>
      <c r="AJ108" s="177"/>
      <c r="AK108" s="177"/>
      <c r="AL108" s="177"/>
      <c r="AM108" s="177"/>
      <c r="AN108" s="177"/>
      <c r="AO108" s="177"/>
      <c r="AP108" s="177"/>
      <c r="AQ108" s="177"/>
      <c r="AR108" s="177"/>
      <c r="AS108" s="177"/>
      <c r="AT108" s="177"/>
      <c r="AU108" s="177"/>
      <c r="AV108" s="177"/>
      <c r="AW108" s="177"/>
      <c r="AX108" s="177"/>
    </row>
    <row r="109" spans="1:50" s="178" customFormat="1" hidden="1" x14ac:dyDescent="0.2">
      <c r="A109" s="72" t="s">
        <v>376</v>
      </c>
      <c r="B109" s="73" t="str">
        <f>VLOOKUP(LEFT(A109,7),'Tariff Schedule Lookup Table'!A$8:D$143,3,FALSE)</f>
        <v>3x70</v>
      </c>
      <c r="C109" s="236" t="s">
        <v>890</v>
      </c>
      <c r="D109" s="74">
        <v>3</v>
      </c>
      <c r="E109" s="74">
        <v>0</v>
      </c>
      <c r="F109" s="74" t="s">
        <v>268</v>
      </c>
      <c r="G109" s="106">
        <f>VLOOKUP(F109,'Lamp Stock'!A$14:H$48,4,FALSE)</f>
        <v>15.651299999999999</v>
      </c>
      <c r="H109" s="106">
        <f>VLOOKUP(F109,'Lamp Stock'!A$14:G$48,6,FALSE)</f>
        <v>27.200879999999998</v>
      </c>
      <c r="I109" s="106">
        <f>VLOOKUP(F109,'Lamp Stock'!A$14:H$48,8,FALSE)</f>
        <v>20.767655999999995</v>
      </c>
      <c r="J109" s="262">
        <v>0.2</v>
      </c>
      <c r="K109" s="262">
        <v>0.1</v>
      </c>
      <c r="L109" s="262">
        <v>0.2</v>
      </c>
      <c r="M109" s="74">
        <v>4</v>
      </c>
      <c r="N109" s="75">
        <f t="shared" si="17"/>
        <v>0.25</v>
      </c>
      <c r="O109" s="311">
        <v>0.06</v>
      </c>
      <c r="P109" s="265">
        <f>'Input data'!B$92*O109</f>
        <v>9.529798581333333</v>
      </c>
      <c r="Q109" s="76">
        <f t="shared" si="18"/>
        <v>2.8172339999999996</v>
      </c>
      <c r="R109" s="76">
        <f t="shared" si="19"/>
        <v>1.5724699199999996</v>
      </c>
      <c r="S109" s="76">
        <f>IF(C109="Yes",'Input data'!$E$47*'Input data'!$B$51*O109,'Input data'!$E$47*'Input data'!$B$49*O109)</f>
        <v>1.9215702399999999</v>
      </c>
      <c r="T109" s="76">
        <f>'Other Maintenance'!$B$94*'Maintenance Costs'!O60</f>
        <v>0.11897113551214863</v>
      </c>
      <c r="U109" s="264">
        <f>'Input data'!$B$112</f>
        <v>2.9565521226700353</v>
      </c>
      <c r="V109" s="240">
        <f t="shared" si="20"/>
        <v>18.916595999515515</v>
      </c>
      <c r="W109" s="76">
        <f>'Input data'!$C$15*'Maintenance Costs'!N60</f>
        <v>9.75</v>
      </c>
      <c r="X109" s="76">
        <f t="shared" si="21"/>
        <v>27.314216999999996</v>
      </c>
      <c r="Y109" s="76">
        <f>'Input data'!$B$47*'Maintenance Costs'!N60</f>
        <v>0</v>
      </c>
      <c r="Z109" s="76">
        <f>'Other Maintenance'!$B$94*'Maintenance Costs'!N60</f>
        <v>0.74356959695092895</v>
      </c>
      <c r="AA109" s="76">
        <f>('Input data'!$B$96+'Input data'!$B$97)*'Input data'!$B$76</f>
        <v>0.87776744444444454</v>
      </c>
      <c r="AB109" s="240">
        <f t="shared" si="22"/>
        <v>38.68555404139537</v>
      </c>
      <c r="AC109" s="163" t="s">
        <v>905</v>
      </c>
      <c r="AD109" s="311">
        <v>9.5500000000000002E-2</v>
      </c>
      <c r="AE109" s="312">
        <f t="shared" si="23"/>
        <v>3.5500000000000004E-2</v>
      </c>
      <c r="AF109" s="177"/>
      <c r="AG109" s="177"/>
      <c r="AH109" s="177"/>
      <c r="AI109" s="177"/>
      <c r="AJ109" s="177"/>
      <c r="AK109" s="177"/>
      <c r="AL109" s="177"/>
      <c r="AM109" s="177"/>
      <c r="AN109" s="177"/>
      <c r="AO109" s="177"/>
      <c r="AP109" s="177"/>
      <c r="AQ109" s="177"/>
      <c r="AR109" s="177"/>
      <c r="AS109" s="177"/>
      <c r="AT109" s="177"/>
      <c r="AU109" s="177"/>
      <c r="AV109" s="177"/>
      <c r="AW109" s="177"/>
      <c r="AX109" s="177"/>
    </row>
    <row r="110" spans="1:50" s="178" customFormat="1" hidden="1" x14ac:dyDescent="0.2">
      <c r="A110" s="72" t="s">
        <v>378</v>
      </c>
      <c r="B110" s="73" t="str">
        <f>VLOOKUP(LEFT(A110,7),'Tariff Schedule Lookup Table'!A$8:D$143,3,FALSE)</f>
        <v>4x70</v>
      </c>
      <c r="C110" s="236" t="s">
        <v>890</v>
      </c>
      <c r="D110" s="74">
        <v>4</v>
      </c>
      <c r="E110" s="74">
        <v>0</v>
      </c>
      <c r="F110" s="74" t="s">
        <v>268</v>
      </c>
      <c r="G110" s="106">
        <f>VLOOKUP(F110,'Lamp Stock'!A$14:H$48,4,FALSE)</f>
        <v>15.651299999999999</v>
      </c>
      <c r="H110" s="106">
        <f>VLOOKUP(F110,'Lamp Stock'!A$14:G$48,6,FALSE)</f>
        <v>27.200879999999998</v>
      </c>
      <c r="I110" s="106">
        <f>VLOOKUP(F110,'Lamp Stock'!A$14:H$48,8,FALSE)</f>
        <v>20.767655999999995</v>
      </c>
      <c r="J110" s="262">
        <v>0.2</v>
      </c>
      <c r="K110" s="262">
        <v>0.1</v>
      </c>
      <c r="L110" s="262">
        <v>0.2</v>
      </c>
      <c r="M110" s="74">
        <v>4</v>
      </c>
      <c r="N110" s="75">
        <f t="shared" si="17"/>
        <v>0.25</v>
      </c>
      <c r="O110" s="311">
        <v>0.06</v>
      </c>
      <c r="P110" s="265">
        <f>'Input data'!B$92*O110</f>
        <v>9.529798581333333</v>
      </c>
      <c r="Q110" s="76">
        <f t="shared" si="18"/>
        <v>3.7563119999999994</v>
      </c>
      <c r="R110" s="76">
        <f t="shared" si="19"/>
        <v>1.5724699199999996</v>
      </c>
      <c r="S110" s="76">
        <f>IF(C110="Yes",'Input data'!$E$47*'Input data'!$B$51*O110,'Input data'!$E$47*'Input data'!$B$49*O110)</f>
        <v>1.9215702399999999</v>
      </c>
      <c r="T110" s="76">
        <f>'Other Maintenance'!$B$94*'Maintenance Costs'!O61</f>
        <v>0.1487139193901858</v>
      </c>
      <c r="U110" s="264">
        <f>'Input data'!$B$112</f>
        <v>2.9565521226700353</v>
      </c>
      <c r="V110" s="240">
        <f t="shared" si="20"/>
        <v>19.885416783393556</v>
      </c>
      <c r="W110" s="76">
        <f>'Input data'!$C$15*'Maintenance Costs'!N61</f>
        <v>9.75</v>
      </c>
      <c r="X110" s="76">
        <f t="shared" si="21"/>
        <v>36.418955999999994</v>
      </c>
      <c r="Y110" s="76">
        <f>'Input data'!$B$47*'Maintenance Costs'!N61</f>
        <v>0</v>
      </c>
      <c r="Z110" s="76">
        <f>'Other Maintenance'!$B$94*'Maintenance Costs'!N61</f>
        <v>0.74356959695092895</v>
      </c>
      <c r="AA110" s="76">
        <f>('Input data'!$B$96+'Input data'!$B$97)*'Input data'!$B$76</f>
        <v>0.87776744444444454</v>
      </c>
      <c r="AB110" s="240">
        <f t="shared" si="22"/>
        <v>47.790293041395365</v>
      </c>
      <c r="AC110" s="163" t="s">
        <v>905</v>
      </c>
      <c r="AD110" s="311">
        <v>9.5500000000000002E-2</v>
      </c>
      <c r="AE110" s="312">
        <f t="shared" si="23"/>
        <v>3.5500000000000004E-2</v>
      </c>
      <c r="AF110" s="177"/>
      <c r="AG110" s="177"/>
      <c r="AH110" s="177"/>
      <c r="AI110" s="177"/>
      <c r="AJ110" s="177"/>
      <c r="AK110" s="177"/>
      <c r="AL110" s="177"/>
      <c r="AM110" s="177"/>
      <c r="AN110" s="177"/>
      <c r="AO110" s="177"/>
      <c r="AP110" s="177"/>
      <c r="AQ110" s="177"/>
      <c r="AR110" s="177"/>
      <c r="AS110" s="177"/>
      <c r="AT110" s="177"/>
      <c r="AU110" s="177"/>
      <c r="AV110" s="177"/>
      <c r="AW110" s="177"/>
      <c r="AX110" s="177"/>
    </row>
    <row r="111" spans="1:50" s="178" customFormat="1" hidden="1" x14ac:dyDescent="0.2">
      <c r="A111" s="72" t="s">
        <v>431</v>
      </c>
      <c r="B111" s="73" t="str">
        <f>VLOOKUP(LEFT(A111,7),'Tariff Schedule Lookup Table'!A$8:D$143,3,FALSE)</f>
        <v>8x70</v>
      </c>
      <c r="C111" s="236" t="s">
        <v>890</v>
      </c>
      <c r="D111" s="74">
        <v>8</v>
      </c>
      <c r="E111" s="74">
        <v>0</v>
      </c>
      <c r="F111" s="74" t="s">
        <v>268</v>
      </c>
      <c r="G111" s="106">
        <f>VLOOKUP(F111,'Lamp Stock'!A$14:H$48,4,FALSE)</f>
        <v>15.651299999999999</v>
      </c>
      <c r="H111" s="106">
        <f>VLOOKUP(F111,'Lamp Stock'!A$14:G$48,6,FALSE)</f>
        <v>27.200879999999998</v>
      </c>
      <c r="I111" s="106">
        <f>VLOOKUP(F111,'Lamp Stock'!A$14:H$48,8,FALSE)</f>
        <v>20.767655999999995</v>
      </c>
      <c r="J111" s="262">
        <v>0.12</v>
      </c>
      <c r="K111" s="262">
        <v>0.1</v>
      </c>
      <c r="L111" s="262">
        <v>0.2</v>
      </c>
      <c r="M111" s="74">
        <v>4</v>
      </c>
      <c r="N111" s="75">
        <f t="shared" si="17"/>
        <v>0.25</v>
      </c>
      <c r="O111" s="311">
        <v>0.06</v>
      </c>
      <c r="P111" s="265">
        <f>'Input data'!B$92*O111</f>
        <v>9.529798581333333</v>
      </c>
      <c r="Q111" s="76">
        <f t="shared" si="18"/>
        <v>7.5126239999999989</v>
      </c>
      <c r="R111" s="76">
        <f t="shared" si="19"/>
        <v>1.5724699199999996</v>
      </c>
      <c r="S111" s="76">
        <f>IF(C111="Yes",'Input data'!$E$47*'Input data'!$B$51*O111,'Input data'!$E$47*'Input data'!$B$49*O111)</f>
        <v>1.9215702399999999</v>
      </c>
      <c r="T111" s="76">
        <f>'Other Maintenance'!$B$94*'Maintenance Costs'!O62</f>
        <v>0.17845670326822294</v>
      </c>
      <c r="U111" s="264">
        <f>'Input data'!$B$112</f>
        <v>2.9565521226700353</v>
      </c>
      <c r="V111" s="240">
        <f t="shared" si="20"/>
        <v>23.671471567271592</v>
      </c>
      <c r="W111" s="76">
        <f>'Input data'!$C$15*'Maintenance Costs'!N62</f>
        <v>9.75</v>
      </c>
      <c r="X111" s="76">
        <f t="shared" si="21"/>
        <v>72.837911999999989</v>
      </c>
      <c r="Y111" s="76">
        <f>'Input data'!$B$47*'Maintenance Costs'!N62</f>
        <v>0</v>
      </c>
      <c r="Z111" s="76">
        <f>'Other Maintenance'!$B$94*'Maintenance Costs'!N62</f>
        <v>0.74356959695092895</v>
      </c>
      <c r="AA111" s="76">
        <f>('Input data'!$B$96+'Input data'!$B$97)*'Input data'!$B$76</f>
        <v>0.87776744444444454</v>
      </c>
      <c r="AB111" s="240">
        <f t="shared" si="22"/>
        <v>84.209249041395367</v>
      </c>
      <c r="AC111" s="163" t="s">
        <v>905</v>
      </c>
      <c r="AD111" s="311">
        <v>9.5500000000000002E-2</v>
      </c>
      <c r="AE111" s="312">
        <f t="shared" si="23"/>
        <v>3.5500000000000004E-2</v>
      </c>
      <c r="AF111" s="177"/>
      <c r="AG111" s="177"/>
      <c r="AH111" s="177"/>
      <c r="AI111" s="177"/>
      <c r="AJ111" s="177"/>
      <c r="AK111" s="177"/>
      <c r="AL111" s="177"/>
      <c r="AM111" s="177"/>
      <c r="AN111" s="177"/>
      <c r="AO111" s="177"/>
      <c r="AP111" s="177"/>
      <c r="AQ111" s="177"/>
      <c r="AR111" s="177"/>
      <c r="AS111" s="177"/>
      <c r="AT111" s="177"/>
      <c r="AU111" s="177"/>
      <c r="AV111" s="177"/>
      <c r="AW111" s="177"/>
      <c r="AX111" s="177"/>
    </row>
    <row r="112" spans="1:50" s="178" customFormat="1" hidden="1" x14ac:dyDescent="0.2">
      <c r="A112" s="72" t="s">
        <v>382</v>
      </c>
      <c r="B112" s="73" t="str">
        <f>VLOOKUP(LEFT(A112,7),'Tariff Schedule Lookup Table'!A$8:D$143,3,FALSE)</f>
        <v>4x250</v>
      </c>
      <c r="C112" s="236" t="s">
        <v>891</v>
      </c>
      <c r="D112" s="74">
        <v>4</v>
      </c>
      <c r="E112" s="74">
        <v>0</v>
      </c>
      <c r="F112" s="74" t="s">
        <v>277</v>
      </c>
      <c r="G112" s="106">
        <f>VLOOKUP(F112,'Lamp Stock'!A$14:H$48,4,FALSE)</f>
        <v>20.756861999999998</v>
      </c>
      <c r="H112" s="106">
        <f>VLOOKUP(F112,'Lamp Stock'!A$14:G$48,6,FALSE)</f>
        <v>54.833519999999993</v>
      </c>
      <c r="I112" s="106">
        <f>VLOOKUP(F112,'Lamp Stock'!A$14:H$48,8,FALSE)</f>
        <v>17.011343999999998</v>
      </c>
      <c r="J112" s="262">
        <v>0.2</v>
      </c>
      <c r="K112" s="262">
        <v>0.1</v>
      </c>
      <c r="L112" s="262">
        <v>0.2</v>
      </c>
      <c r="M112" s="74">
        <v>4</v>
      </c>
      <c r="N112" s="75">
        <f t="shared" si="17"/>
        <v>0.25</v>
      </c>
      <c r="O112" s="311">
        <v>0.06</v>
      </c>
      <c r="P112" s="265">
        <f>'Input data'!B$92*O112</f>
        <v>9.529798581333333</v>
      </c>
      <c r="Q112" s="76">
        <f t="shared" si="18"/>
        <v>4.9816468799999996</v>
      </c>
      <c r="R112" s="76">
        <f t="shared" si="19"/>
        <v>1.6786828799999998</v>
      </c>
      <c r="S112" s="76">
        <f>IF(C112="Yes",'Input data'!$E$47*'Input data'!$B$51*O112,'Input data'!$E$47*'Input data'!$B$49*O112)</f>
        <v>15.372561919999999</v>
      </c>
      <c r="T112" s="76">
        <f>'Other Maintenance'!$B$94*'Maintenance Costs'!O69</f>
        <v>0.11897113551214863</v>
      </c>
      <c r="U112" s="264">
        <f>'Input data'!$B$112</f>
        <v>2.9565521226700353</v>
      </c>
      <c r="V112" s="240">
        <f t="shared" si="20"/>
        <v>34.63821351951551</v>
      </c>
      <c r="W112" s="76">
        <f>'Input data'!$C$15*'Maintenance Costs'!N69</f>
        <v>9.75</v>
      </c>
      <c r="X112" s="76">
        <f t="shared" si="21"/>
        <v>37.768205999999992</v>
      </c>
      <c r="Y112" s="76">
        <f>'Input data'!$B$47*'Maintenance Costs'!N69</f>
        <v>0</v>
      </c>
      <c r="Z112" s="76">
        <f>'Other Maintenance'!$B$94*'Maintenance Costs'!N69</f>
        <v>0.74356959695092895</v>
      </c>
      <c r="AA112" s="76">
        <f>('Input data'!$B$96+'Input data'!$B$97)*'Input data'!$B$76</f>
        <v>0.87776744444444454</v>
      </c>
      <c r="AB112" s="240">
        <f t="shared" si="22"/>
        <v>49.139543041395363</v>
      </c>
      <c r="AC112" s="163" t="s">
        <v>905</v>
      </c>
      <c r="AD112" s="311">
        <v>9.5500000000000002E-2</v>
      </c>
      <c r="AE112" s="312">
        <f t="shared" si="23"/>
        <v>3.5500000000000004E-2</v>
      </c>
      <c r="AF112" s="177"/>
      <c r="AG112" s="177"/>
      <c r="AH112" s="177"/>
      <c r="AI112" s="177"/>
      <c r="AJ112" s="177"/>
      <c r="AK112" s="177"/>
      <c r="AL112" s="177"/>
      <c r="AM112" s="177"/>
      <c r="AN112" s="177"/>
      <c r="AO112" s="177"/>
      <c r="AP112" s="177"/>
      <c r="AQ112" s="177"/>
      <c r="AR112" s="177"/>
      <c r="AS112" s="177"/>
      <c r="AT112" s="177"/>
      <c r="AU112" s="177"/>
      <c r="AV112" s="177"/>
      <c r="AW112" s="177"/>
      <c r="AX112" s="177"/>
    </row>
    <row r="113" spans="1:50" s="178" customFormat="1" hidden="1" x14ac:dyDescent="0.2">
      <c r="A113" s="72" t="s">
        <v>384</v>
      </c>
      <c r="B113" s="73" t="str">
        <f>VLOOKUP(LEFT(A113,7),'Tariff Schedule Lookup Table'!A$8:D$143,3,FALSE)</f>
        <v>2x310</v>
      </c>
      <c r="C113" s="236" t="s">
        <v>891</v>
      </c>
      <c r="D113" s="74">
        <v>2</v>
      </c>
      <c r="E113" s="74">
        <v>0</v>
      </c>
      <c r="F113" s="74" t="s">
        <v>277</v>
      </c>
      <c r="G113" s="106">
        <f>VLOOKUP(F113,'Lamp Stock'!A$14:H$48,4,FALSE)</f>
        <v>20.756861999999998</v>
      </c>
      <c r="H113" s="106">
        <f>VLOOKUP(F113,'Lamp Stock'!A$14:G$48,6,FALSE)</f>
        <v>54.833519999999993</v>
      </c>
      <c r="I113" s="106">
        <f>VLOOKUP(F113,'Lamp Stock'!A$14:H$48,8,FALSE)</f>
        <v>17.011343999999998</v>
      </c>
      <c r="J113" s="262">
        <v>0.2</v>
      </c>
      <c r="K113" s="262">
        <v>0.1</v>
      </c>
      <c r="L113" s="262">
        <v>0.2</v>
      </c>
      <c r="M113" s="74">
        <v>4</v>
      </c>
      <c r="N113" s="75">
        <f t="shared" si="17"/>
        <v>0.25</v>
      </c>
      <c r="O113" s="311">
        <v>0.06</v>
      </c>
      <c r="P113" s="265">
        <f>'Input data'!B$92*O113</f>
        <v>9.529798581333333</v>
      </c>
      <c r="Q113" s="76">
        <f t="shared" si="18"/>
        <v>2.4908234399999998</v>
      </c>
      <c r="R113" s="76">
        <f t="shared" si="19"/>
        <v>1.6786828799999998</v>
      </c>
      <c r="S113" s="76">
        <f>IF(C113="Yes",'Input data'!$E$47*'Input data'!$B$51*O113,'Input data'!$E$47*'Input data'!$B$49*O113)</f>
        <v>15.372561919999999</v>
      </c>
      <c r="T113" s="76">
        <f>'Other Maintenance'!$B$94*'Maintenance Costs'!O71</f>
        <v>0.11897113551214863</v>
      </c>
      <c r="U113" s="264">
        <f>'Input data'!$B$112</f>
        <v>2.9565521226700353</v>
      </c>
      <c r="V113" s="240">
        <f t="shared" si="20"/>
        <v>32.14739007951551</v>
      </c>
      <c r="W113" s="76">
        <f>'Input data'!$C$15*'Maintenance Costs'!N71</f>
        <v>9.75</v>
      </c>
      <c r="X113" s="76">
        <f t="shared" si="21"/>
        <v>18.884102999999996</v>
      </c>
      <c r="Y113" s="76">
        <f>'Input data'!$B$47*'Maintenance Costs'!N71</f>
        <v>0</v>
      </c>
      <c r="Z113" s="76">
        <f>'Other Maintenance'!$B$94*'Maintenance Costs'!N71</f>
        <v>0.74356959695092895</v>
      </c>
      <c r="AA113" s="76">
        <f>('Input data'!$B$96+'Input data'!$B$97)*'Input data'!$B$76</f>
        <v>0.87776744444444454</v>
      </c>
      <c r="AB113" s="240">
        <f t="shared" si="22"/>
        <v>30.255440041395371</v>
      </c>
      <c r="AC113" s="163" t="s">
        <v>905</v>
      </c>
      <c r="AD113" s="311">
        <v>9.5500000000000002E-2</v>
      </c>
      <c r="AE113" s="312">
        <f t="shared" si="23"/>
        <v>3.5500000000000004E-2</v>
      </c>
      <c r="AF113" s="177"/>
      <c r="AG113" s="177"/>
      <c r="AH113" s="177"/>
      <c r="AI113" s="177"/>
      <c r="AJ113" s="177"/>
      <c r="AK113" s="177"/>
      <c r="AL113" s="177"/>
      <c r="AM113" s="177"/>
      <c r="AN113" s="177"/>
      <c r="AO113" s="177"/>
      <c r="AP113" s="177"/>
      <c r="AQ113" s="177"/>
      <c r="AR113" s="177"/>
      <c r="AS113" s="177"/>
      <c r="AT113" s="177"/>
      <c r="AU113" s="177"/>
      <c r="AV113" s="177"/>
      <c r="AW113" s="177"/>
      <c r="AX113" s="177"/>
    </row>
    <row r="114" spans="1:50" s="178" customFormat="1" hidden="1" x14ac:dyDescent="0.2">
      <c r="A114" s="72" t="s">
        <v>387</v>
      </c>
      <c r="B114" s="73" t="str">
        <f>VLOOKUP(LEFT(A114,7),'Tariff Schedule Lookup Table'!A$8:D$143,3,FALSE)</f>
        <v>4x400</v>
      </c>
      <c r="C114" s="236" t="s">
        <v>891</v>
      </c>
      <c r="D114" s="74">
        <v>4</v>
      </c>
      <c r="E114" s="74">
        <v>0</v>
      </c>
      <c r="F114" s="74" t="s">
        <v>285</v>
      </c>
      <c r="G114" s="106">
        <f>VLOOKUP(F114,'Lamp Stock'!A$14:H$48,4,FALSE)</f>
        <v>28.701245999999998</v>
      </c>
      <c r="H114" s="106">
        <f>VLOOKUP(F114,'Lamp Stock'!A$14:G$48,6,FALSE)</f>
        <v>65.541167999999999</v>
      </c>
      <c r="I114" s="106">
        <f>VLOOKUP(F114,'Lamp Stock'!A$14:H$48,8,FALSE)</f>
        <v>17.011343999999998</v>
      </c>
      <c r="J114" s="262">
        <v>0.2</v>
      </c>
      <c r="K114" s="262">
        <v>0.1</v>
      </c>
      <c r="L114" s="262">
        <v>0.2</v>
      </c>
      <c r="M114" s="74">
        <v>4</v>
      </c>
      <c r="N114" s="75">
        <f t="shared" si="17"/>
        <v>0.25</v>
      </c>
      <c r="O114" s="311">
        <v>0.06</v>
      </c>
      <c r="P114" s="265">
        <f>'Input data'!B$92*O114</f>
        <v>9.529798581333333</v>
      </c>
      <c r="Q114" s="76">
        <f t="shared" si="18"/>
        <v>6.8882990399999988</v>
      </c>
      <c r="R114" s="76">
        <f t="shared" si="19"/>
        <v>1.8071746559999999</v>
      </c>
      <c r="S114" s="76">
        <f>IF(C114="Yes",'Input data'!$E$47*'Input data'!$B$51*O114,'Input data'!$E$47*'Input data'!$B$49*O114)</f>
        <v>15.372561919999999</v>
      </c>
      <c r="T114" s="76">
        <f>'Other Maintenance'!$B$94*'Maintenance Costs'!O76</f>
        <v>1.6655958971700809E-2</v>
      </c>
      <c r="U114" s="264">
        <f>'Input data'!$B$112</f>
        <v>2.9565521226700353</v>
      </c>
      <c r="V114" s="240">
        <f t="shared" si="20"/>
        <v>36.571042278975064</v>
      </c>
      <c r="W114" s="76">
        <f>'Input data'!$C$15*'Maintenance Costs'!N76</f>
        <v>9.75</v>
      </c>
      <c r="X114" s="76">
        <f t="shared" si="21"/>
        <v>45.712589999999992</v>
      </c>
      <c r="Y114" s="76">
        <f>'Input data'!$B$47*'Maintenance Costs'!N76</f>
        <v>0</v>
      </c>
      <c r="Z114" s="76">
        <f>'Other Maintenance'!$B$94*'Maintenance Costs'!N76</f>
        <v>0.74356959695092895</v>
      </c>
      <c r="AA114" s="76">
        <f>('Input data'!$B$96+'Input data'!$B$97)*'Input data'!$B$76</f>
        <v>0.87776744444444454</v>
      </c>
      <c r="AB114" s="240">
        <f t="shared" si="22"/>
        <v>57.083927041395363</v>
      </c>
      <c r="AC114" s="163" t="s">
        <v>905</v>
      </c>
      <c r="AD114" s="311">
        <v>9.5500000000000002E-2</v>
      </c>
      <c r="AE114" s="312">
        <f t="shared" si="23"/>
        <v>3.5500000000000004E-2</v>
      </c>
      <c r="AF114" s="177"/>
      <c r="AG114" s="177"/>
      <c r="AH114" s="177"/>
      <c r="AI114" s="177"/>
      <c r="AJ114" s="177"/>
      <c r="AK114" s="177"/>
      <c r="AL114" s="177"/>
      <c r="AM114" s="177"/>
      <c r="AN114" s="177"/>
      <c r="AO114" s="177"/>
      <c r="AP114" s="177"/>
      <c r="AQ114" s="177"/>
      <c r="AR114" s="177"/>
      <c r="AS114" s="177"/>
      <c r="AT114" s="177"/>
      <c r="AU114" s="177"/>
      <c r="AV114" s="177"/>
      <c r="AW114" s="177"/>
      <c r="AX114" s="177"/>
    </row>
    <row r="115" spans="1:50" s="178" customFormat="1" ht="22.5" hidden="1" x14ac:dyDescent="0.2">
      <c r="A115" s="72" t="s">
        <v>195</v>
      </c>
      <c r="B115" s="73" t="str">
        <f>VLOOKUP(LEFT(A115,7),'Tariff Schedule Lookup Table'!A$8:D$143,3,FALSE)</f>
        <v>600 (Internal Ignitor)</v>
      </c>
      <c r="C115" s="236" t="s">
        <v>891</v>
      </c>
      <c r="D115" s="74">
        <v>1</v>
      </c>
      <c r="E115" s="74">
        <v>0</v>
      </c>
      <c r="F115" s="74" t="s">
        <v>289</v>
      </c>
      <c r="G115" s="106">
        <f>VLOOKUP(F115,'Lamp Stock'!A$14:H$48,4,FALSE)</f>
        <v>101.36645399999999</v>
      </c>
      <c r="H115" s="106">
        <f>VLOOKUP(F115,'Lamp Stock'!A$14:G$48,6,FALSE)</f>
        <v>79.141607999999991</v>
      </c>
      <c r="I115" s="106">
        <f>VLOOKUP(F115,'Lamp Stock'!A$14:H$48,8,FALSE)</f>
        <v>21.005123999999999</v>
      </c>
      <c r="J115" s="262">
        <v>0.2</v>
      </c>
      <c r="K115" s="262">
        <v>0.1</v>
      </c>
      <c r="L115" s="262">
        <v>0.2</v>
      </c>
      <c r="M115" s="74">
        <v>4</v>
      </c>
      <c r="N115" s="75">
        <f t="shared" si="17"/>
        <v>0.25</v>
      </c>
      <c r="O115" s="311">
        <v>0.06</v>
      </c>
      <c r="P115" s="265">
        <f>'Input data'!B$92*O115</f>
        <v>9.529798581333333</v>
      </c>
      <c r="Q115" s="76">
        <f t="shared" si="18"/>
        <v>6.0819872399999992</v>
      </c>
      <c r="R115" s="76">
        <f t="shared" si="19"/>
        <v>2.2100067359999995</v>
      </c>
      <c r="S115" s="76">
        <f>IF(C115="Yes",'Input data'!$E$47*'Input data'!$B$51*O115,'Input data'!$E$47*'Input data'!$B$49*O115)</f>
        <v>15.372561919999999</v>
      </c>
      <c r="T115" s="76">
        <f>'Other Maintenance'!$B$94*'Maintenance Costs'!O77</f>
        <v>0.11897113551214863</v>
      </c>
      <c r="U115" s="264">
        <f>'Input data'!$B$112</f>
        <v>2.9565521226700353</v>
      </c>
      <c r="V115" s="240">
        <f t="shared" si="20"/>
        <v>36.269877735515514</v>
      </c>
      <c r="W115" s="76">
        <f>'Input data'!$C$15*'Maintenance Costs'!N77</f>
        <v>9.75</v>
      </c>
      <c r="X115" s="76">
        <f t="shared" si="21"/>
        <v>30.592894499999996</v>
      </c>
      <c r="Y115" s="76">
        <f>'Input data'!$B$47*'Maintenance Costs'!N77</f>
        <v>0</v>
      </c>
      <c r="Z115" s="76">
        <f>'Other Maintenance'!$B$94*'Maintenance Costs'!N77</f>
        <v>0.74356959695092895</v>
      </c>
      <c r="AA115" s="76">
        <f>('Input data'!$B$96+'Input data'!$B$97)*'Input data'!$B$76</f>
        <v>0.87776744444444454</v>
      </c>
      <c r="AB115" s="240">
        <f t="shared" si="22"/>
        <v>41.964231541395371</v>
      </c>
      <c r="AC115" s="163" t="s">
        <v>905</v>
      </c>
      <c r="AD115" s="311">
        <v>9.5500000000000002E-2</v>
      </c>
      <c r="AE115" s="312">
        <f t="shared" si="23"/>
        <v>3.5500000000000004E-2</v>
      </c>
      <c r="AF115" s="177"/>
      <c r="AG115" s="177"/>
      <c r="AH115" s="177"/>
      <c r="AI115" s="177"/>
      <c r="AJ115" s="177"/>
      <c r="AK115" s="177"/>
      <c r="AL115" s="177"/>
      <c r="AM115" s="177"/>
      <c r="AN115" s="177"/>
      <c r="AO115" s="177"/>
      <c r="AP115" s="177"/>
      <c r="AQ115" s="177"/>
      <c r="AR115" s="177"/>
      <c r="AS115" s="177"/>
      <c r="AT115" s="177"/>
      <c r="AU115" s="177"/>
      <c r="AV115" s="177"/>
      <c r="AW115" s="177"/>
      <c r="AX115" s="177"/>
    </row>
    <row r="116" spans="1:50" s="178" customFormat="1" hidden="1" x14ac:dyDescent="0.2">
      <c r="A116" s="72" t="s">
        <v>433</v>
      </c>
      <c r="B116" s="73" t="str">
        <f>VLOOKUP(LEFT(A116,7),'Tariff Schedule Lookup Table'!A$8:D$143,3,FALSE)</f>
        <v>2x600</v>
      </c>
      <c r="C116" s="236" t="s">
        <v>891</v>
      </c>
      <c r="D116" s="74">
        <v>2</v>
      </c>
      <c r="E116" s="74">
        <v>0</v>
      </c>
      <c r="F116" s="74" t="s">
        <v>289</v>
      </c>
      <c r="G116" s="106">
        <f>VLOOKUP(F116,'Lamp Stock'!A$14:H$48,4,FALSE)</f>
        <v>101.36645399999999</v>
      </c>
      <c r="H116" s="106">
        <f>VLOOKUP(F116,'Lamp Stock'!A$14:G$48,6,FALSE)</f>
        <v>79.141607999999991</v>
      </c>
      <c r="I116" s="106">
        <f>VLOOKUP(F116,'Lamp Stock'!A$14:H$48,8,FALSE)</f>
        <v>21.005123999999999</v>
      </c>
      <c r="J116" s="262">
        <v>0.2</v>
      </c>
      <c r="K116" s="262">
        <v>0.1</v>
      </c>
      <c r="L116" s="262">
        <v>0.2</v>
      </c>
      <c r="M116" s="74">
        <v>4</v>
      </c>
      <c r="N116" s="75">
        <f t="shared" ref="N116:N147" si="24">1/M116</f>
        <v>0.25</v>
      </c>
      <c r="O116" s="311">
        <v>0.06</v>
      </c>
      <c r="P116" s="265">
        <f>'Input data'!B$92*O116</f>
        <v>9.529798581333333</v>
      </c>
      <c r="Q116" s="76">
        <f t="shared" ref="Q116:Q147" si="25">D116*(G116*O116)</f>
        <v>12.163974479999998</v>
      </c>
      <c r="R116" s="76">
        <f t="shared" ref="R116:R147" si="26">I116*O116+H116*O116*0.2</f>
        <v>2.2100067359999995</v>
      </c>
      <c r="S116" s="76">
        <f>IF(C116="Yes",'Input data'!$E$47*'Input data'!$B$51*O116,'Input data'!$E$47*'Input data'!$B$49*O116)</f>
        <v>15.372561919999999</v>
      </c>
      <c r="T116" s="76">
        <f>'Other Maintenance'!$B$94*'Maintenance Costs'!O78</f>
        <v>0.17845670326822294</v>
      </c>
      <c r="U116" s="264">
        <f>'Input data'!$B$112</f>
        <v>2.9565521226700353</v>
      </c>
      <c r="V116" s="240">
        <f t="shared" ref="V116:V147" si="27">SUM(P116:U116)</f>
        <v>42.411350543271588</v>
      </c>
      <c r="W116" s="76">
        <f>'Input data'!$C$15*'Maintenance Costs'!N78</f>
        <v>9.75</v>
      </c>
      <c r="X116" s="76">
        <f t="shared" ref="X116:X147" si="28">D116*(G116+I116)*N116</f>
        <v>61.185788999999993</v>
      </c>
      <c r="Y116" s="76">
        <f>'Input data'!$B$47*'Maintenance Costs'!N78</f>
        <v>0</v>
      </c>
      <c r="Z116" s="76">
        <f>'Other Maintenance'!$B$94*'Maintenance Costs'!N78</f>
        <v>0.74356959695092895</v>
      </c>
      <c r="AA116" s="76">
        <f>('Input data'!$B$96+'Input data'!$B$97)*'Input data'!$B$76</f>
        <v>0.87776744444444454</v>
      </c>
      <c r="AB116" s="240">
        <f t="shared" ref="AB116:AB147" si="29">SUM(W116:AA116)</f>
        <v>72.557126041395378</v>
      </c>
      <c r="AC116" s="163" t="s">
        <v>905</v>
      </c>
      <c r="AD116" s="311">
        <v>9.5500000000000002E-2</v>
      </c>
      <c r="AE116" s="312">
        <f t="shared" ref="AE116:AE147" si="30">AD116-O116</f>
        <v>3.5500000000000004E-2</v>
      </c>
      <c r="AF116" s="177"/>
      <c r="AG116" s="177"/>
      <c r="AH116" s="177"/>
      <c r="AI116" s="177"/>
      <c r="AJ116" s="177"/>
      <c r="AK116" s="177"/>
      <c r="AL116" s="177"/>
      <c r="AM116" s="177"/>
      <c r="AN116" s="177"/>
      <c r="AO116" s="177"/>
      <c r="AP116" s="177"/>
      <c r="AQ116" s="177"/>
      <c r="AR116" s="177"/>
      <c r="AS116" s="177"/>
      <c r="AT116" s="177"/>
      <c r="AU116" s="177"/>
      <c r="AV116" s="177"/>
      <c r="AW116" s="177"/>
      <c r="AX116" s="177"/>
    </row>
    <row r="117" spans="1:50" s="178" customFormat="1" hidden="1" x14ac:dyDescent="0.2">
      <c r="A117" s="72" t="s">
        <v>434</v>
      </c>
      <c r="B117" s="73" t="str">
        <f>VLOOKUP(LEFT(A117,7),'Tariff Schedule Lookup Table'!A$8:D$143,3,FALSE)</f>
        <v>4x600</v>
      </c>
      <c r="C117" s="236" t="s">
        <v>891</v>
      </c>
      <c r="D117" s="74">
        <v>4</v>
      </c>
      <c r="E117" s="74">
        <v>0</v>
      </c>
      <c r="F117" s="74" t="s">
        <v>289</v>
      </c>
      <c r="G117" s="106">
        <f>VLOOKUP(F117,'Lamp Stock'!A$14:H$48,4,FALSE)</f>
        <v>101.36645399999999</v>
      </c>
      <c r="H117" s="106">
        <f>VLOOKUP(F117,'Lamp Stock'!A$14:G$48,6,FALSE)</f>
        <v>79.141607999999991</v>
      </c>
      <c r="I117" s="106">
        <f>VLOOKUP(F117,'Lamp Stock'!A$14:H$48,8,FALSE)</f>
        <v>21.005123999999999</v>
      </c>
      <c r="J117" s="262">
        <v>0.2</v>
      </c>
      <c r="K117" s="262">
        <v>0.1</v>
      </c>
      <c r="L117" s="262">
        <v>0.2</v>
      </c>
      <c r="M117" s="74">
        <v>4</v>
      </c>
      <c r="N117" s="75">
        <f t="shared" si="24"/>
        <v>0.25</v>
      </c>
      <c r="O117" s="311">
        <v>0.06</v>
      </c>
      <c r="P117" s="265">
        <f>'Input data'!B$92*O117</f>
        <v>9.529798581333333</v>
      </c>
      <c r="Q117" s="76">
        <f t="shared" si="25"/>
        <v>24.327948959999997</v>
      </c>
      <c r="R117" s="76">
        <f t="shared" si="26"/>
        <v>2.2100067359999995</v>
      </c>
      <c r="S117" s="76">
        <f>IF(C117="Yes",'Input data'!$E$47*'Input data'!$B$51*O117,'Input data'!$E$47*'Input data'!$B$49*O117)</f>
        <v>15.372561919999999</v>
      </c>
      <c r="T117" s="76">
        <f>'Other Maintenance'!$B$94*'Maintenance Costs'!O79</f>
        <v>1.6655958971700809E-2</v>
      </c>
      <c r="U117" s="264">
        <f>'Input data'!$B$112</f>
        <v>2.9565521226700353</v>
      </c>
      <c r="V117" s="240">
        <f t="shared" si="27"/>
        <v>54.413524278975068</v>
      </c>
      <c r="W117" s="76">
        <f>'Input data'!$C$15*'Maintenance Costs'!N79</f>
        <v>9.75</v>
      </c>
      <c r="X117" s="76">
        <f t="shared" si="28"/>
        <v>122.37157799999999</v>
      </c>
      <c r="Y117" s="76">
        <f>'Input data'!$B$47*'Maintenance Costs'!N79</f>
        <v>0</v>
      </c>
      <c r="Z117" s="76">
        <f>'Other Maintenance'!$B$94*'Maintenance Costs'!N79</f>
        <v>0.74356959695092895</v>
      </c>
      <c r="AA117" s="76">
        <f>('Input data'!$B$96+'Input data'!$B$97)*'Input data'!$B$76</f>
        <v>0.87776744444444454</v>
      </c>
      <c r="AB117" s="240">
        <f t="shared" si="29"/>
        <v>133.74291504139538</v>
      </c>
      <c r="AC117" s="163" t="s">
        <v>905</v>
      </c>
      <c r="AD117" s="311">
        <v>9.5500000000000002E-2</v>
      </c>
      <c r="AE117" s="312">
        <f t="shared" si="30"/>
        <v>3.5500000000000004E-2</v>
      </c>
      <c r="AF117" s="177"/>
      <c r="AG117" s="177"/>
      <c r="AH117" s="177"/>
      <c r="AI117" s="177"/>
      <c r="AJ117" s="177"/>
      <c r="AK117" s="177"/>
      <c r="AL117" s="177"/>
      <c r="AM117" s="177"/>
      <c r="AN117" s="177"/>
      <c r="AO117" s="177"/>
      <c r="AP117" s="177"/>
      <c r="AQ117" s="177"/>
      <c r="AR117" s="177"/>
      <c r="AS117" s="177"/>
      <c r="AT117" s="177"/>
      <c r="AU117" s="177"/>
      <c r="AV117" s="177"/>
      <c r="AW117" s="177"/>
      <c r="AX117" s="177"/>
    </row>
    <row r="118" spans="1:50" s="178" customFormat="1" hidden="1" x14ac:dyDescent="0.2">
      <c r="A118" s="72" t="s">
        <v>389</v>
      </c>
      <c r="B118" s="73" t="str">
        <f>VLOOKUP(LEFT(A118,7),'Tariff Schedule Lookup Table'!A$8:D$143,3,FALSE)</f>
        <v>6x600</v>
      </c>
      <c r="C118" s="236" t="s">
        <v>891</v>
      </c>
      <c r="D118" s="74">
        <v>6</v>
      </c>
      <c r="E118" s="74">
        <v>0</v>
      </c>
      <c r="F118" s="74" t="s">
        <v>289</v>
      </c>
      <c r="G118" s="106">
        <f>VLOOKUP(F118,'Lamp Stock'!A$14:H$48,4,FALSE)</f>
        <v>101.36645399999999</v>
      </c>
      <c r="H118" s="106">
        <f>VLOOKUP(F118,'Lamp Stock'!A$14:G$48,6,FALSE)</f>
        <v>79.141607999999991</v>
      </c>
      <c r="I118" s="106">
        <f>VLOOKUP(F118,'Lamp Stock'!A$14:H$48,8,FALSE)</f>
        <v>21.005123999999999</v>
      </c>
      <c r="J118" s="262">
        <v>0.2</v>
      </c>
      <c r="K118" s="262">
        <v>0.1</v>
      </c>
      <c r="L118" s="262">
        <v>0.2</v>
      </c>
      <c r="M118" s="74">
        <v>4</v>
      </c>
      <c r="N118" s="75">
        <f t="shared" si="24"/>
        <v>0.25</v>
      </c>
      <c r="O118" s="311">
        <v>0.06</v>
      </c>
      <c r="P118" s="265">
        <f>'Input data'!B$92*O118</f>
        <v>9.529798581333333</v>
      </c>
      <c r="Q118" s="76">
        <f t="shared" si="25"/>
        <v>36.491923439999994</v>
      </c>
      <c r="R118" s="76">
        <f t="shared" si="26"/>
        <v>2.2100067359999995</v>
      </c>
      <c r="S118" s="76">
        <f>IF(C118="Yes",'Input data'!$E$47*'Input data'!$B$51*O118,'Input data'!$E$47*'Input data'!$B$49*O118)</f>
        <v>15.372561919999999</v>
      </c>
      <c r="T118" s="76">
        <f>'Other Maintenance'!$B$94*'Maintenance Costs'!O80</f>
        <v>0.17845670326822294</v>
      </c>
      <c r="U118" s="264">
        <f>'Input data'!$B$112</f>
        <v>2.9565521226700353</v>
      </c>
      <c r="V118" s="240">
        <f t="shared" si="27"/>
        <v>66.739299503271582</v>
      </c>
      <c r="W118" s="76">
        <f>'Input data'!$C$15*'Maintenance Costs'!N80</f>
        <v>9.75</v>
      </c>
      <c r="X118" s="76">
        <f t="shared" si="28"/>
        <v>183.55736699999997</v>
      </c>
      <c r="Y118" s="76">
        <f>'Input data'!$B$47*'Maintenance Costs'!N80</f>
        <v>0</v>
      </c>
      <c r="Z118" s="76">
        <f>'Other Maintenance'!$B$94*'Maintenance Costs'!N80</f>
        <v>0.74356959695092895</v>
      </c>
      <c r="AA118" s="76">
        <f>('Input data'!$B$96+'Input data'!$B$97)*'Input data'!$B$76</f>
        <v>0.87776744444444454</v>
      </c>
      <c r="AB118" s="240">
        <f t="shared" si="29"/>
        <v>194.92870404139535</v>
      </c>
      <c r="AC118" s="163" t="s">
        <v>905</v>
      </c>
      <c r="AD118" s="311">
        <v>9.5500000000000002E-2</v>
      </c>
      <c r="AE118" s="312">
        <f t="shared" si="30"/>
        <v>3.5500000000000004E-2</v>
      </c>
      <c r="AF118" s="177"/>
      <c r="AG118" s="177"/>
      <c r="AH118" s="177"/>
      <c r="AI118" s="177"/>
      <c r="AJ118" s="177"/>
      <c r="AK118" s="177"/>
      <c r="AL118" s="177"/>
      <c r="AM118" s="177"/>
      <c r="AN118" s="177"/>
      <c r="AO118" s="177"/>
      <c r="AP118" s="177"/>
      <c r="AQ118" s="177"/>
      <c r="AR118" s="177"/>
      <c r="AS118" s="177"/>
      <c r="AT118" s="177"/>
      <c r="AU118" s="177"/>
      <c r="AV118" s="177"/>
      <c r="AW118" s="177"/>
      <c r="AX118" s="177"/>
    </row>
    <row r="119" spans="1:50" s="178" customFormat="1" hidden="1" x14ac:dyDescent="0.2">
      <c r="A119" s="72" t="s">
        <v>435</v>
      </c>
      <c r="B119" s="73" t="str">
        <f>VLOOKUP(LEFT(A119,7),'Tariff Schedule Lookup Table'!A$8:D$143,3,FALSE)</f>
        <v>4x1000</v>
      </c>
      <c r="C119" s="236" t="s">
        <v>891</v>
      </c>
      <c r="D119" s="74">
        <v>1</v>
      </c>
      <c r="E119" s="74">
        <v>0</v>
      </c>
      <c r="F119" s="74" t="s">
        <v>333</v>
      </c>
      <c r="G119" s="106">
        <f>VLOOKUP(F119,'Lamp Stock'!A$14:H$48,4,FALSE)</f>
        <v>50.310833999999993</v>
      </c>
      <c r="H119" s="106">
        <f>VLOOKUP(F119,'Lamp Stock'!A$14:G$48,6,FALSE)</f>
        <v>140.322</v>
      </c>
      <c r="I119" s="106">
        <f>VLOOKUP(F119,'Lamp Stock'!A$14:H$48,8,FALSE)</f>
        <v>17.011343999999998</v>
      </c>
      <c r="J119" s="262">
        <v>0.2</v>
      </c>
      <c r="K119" s="262">
        <v>0.1</v>
      </c>
      <c r="L119" s="262">
        <v>0.2</v>
      </c>
      <c r="M119" s="74">
        <v>4</v>
      </c>
      <c r="N119" s="75">
        <f t="shared" si="24"/>
        <v>0.25</v>
      </c>
      <c r="O119" s="311">
        <v>0.06</v>
      </c>
      <c r="P119" s="265">
        <f>'Input data'!B$92*O119</f>
        <v>9.529798581333333</v>
      </c>
      <c r="Q119" s="76">
        <f t="shared" si="25"/>
        <v>3.0186500399999994</v>
      </c>
      <c r="R119" s="76">
        <f t="shared" si="26"/>
        <v>2.7045446399999999</v>
      </c>
      <c r="S119" s="76">
        <f>IF(C119="Yes",'Input data'!$E$47*'Input data'!$B$51*O119,'Input data'!$E$47*'Input data'!$B$49*O119)</f>
        <v>15.372561919999999</v>
      </c>
      <c r="T119" s="76">
        <f>'Other Maintenance'!$B$94*'Maintenance Costs'!O82</f>
        <v>0.11897113551214863</v>
      </c>
      <c r="U119" s="264">
        <f>'Input data'!$B$112</f>
        <v>2.9565521226700353</v>
      </c>
      <c r="V119" s="240">
        <f t="shared" si="27"/>
        <v>33.701078439515513</v>
      </c>
      <c r="W119" s="76">
        <f>'Input data'!$C$15*'Maintenance Costs'!N82</f>
        <v>9.75</v>
      </c>
      <c r="X119" s="76">
        <f t="shared" si="28"/>
        <v>16.830544499999998</v>
      </c>
      <c r="Y119" s="76">
        <f>'Input data'!$B$47*'Maintenance Costs'!N82</f>
        <v>0</v>
      </c>
      <c r="Z119" s="76">
        <f>'Other Maintenance'!$B$94*'Maintenance Costs'!N82</f>
        <v>0.74356959695092895</v>
      </c>
      <c r="AA119" s="76">
        <f>('Input data'!$B$96+'Input data'!$B$97)*'Input data'!$B$76</f>
        <v>0.87776744444444454</v>
      </c>
      <c r="AB119" s="240">
        <f t="shared" si="29"/>
        <v>28.201881541395373</v>
      </c>
      <c r="AC119" s="163" t="s">
        <v>905</v>
      </c>
      <c r="AD119" s="311">
        <v>9.5500000000000002E-2</v>
      </c>
      <c r="AE119" s="312">
        <f t="shared" si="30"/>
        <v>3.5500000000000004E-2</v>
      </c>
      <c r="AF119" s="177"/>
      <c r="AG119" s="177"/>
      <c r="AH119" s="177"/>
      <c r="AI119" s="177"/>
      <c r="AJ119" s="177"/>
      <c r="AK119" s="177"/>
      <c r="AL119" s="177"/>
      <c r="AM119" s="177"/>
      <c r="AN119" s="177"/>
      <c r="AO119" s="177"/>
      <c r="AP119" s="177"/>
      <c r="AQ119" s="177"/>
      <c r="AR119" s="177"/>
      <c r="AS119" s="177"/>
      <c r="AT119" s="177"/>
      <c r="AU119" s="177"/>
      <c r="AV119" s="177"/>
      <c r="AW119" s="177"/>
      <c r="AX119" s="177"/>
    </row>
    <row r="120" spans="1:50" s="178" customFormat="1" hidden="1" x14ac:dyDescent="0.2">
      <c r="A120" s="72" t="s">
        <v>375</v>
      </c>
      <c r="B120" s="73" t="str">
        <f>VLOOKUP(LEFT(A120,7),'Tariff Schedule Lookup Table'!A$8:D$143,3,FALSE)</f>
        <v>2x70</v>
      </c>
      <c r="C120" s="236" t="s">
        <v>890</v>
      </c>
      <c r="D120" s="74">
        <v>2</v>
      </c>
      <c r="E120" s="74">
        <v>0</v>
      </c>
      <c r="F120" s="74" t="s">
        <v>177</v>
      </c>
      <c r="G120" s="106">
        <f>VLOOKUP(F120,'Lamp Stock'!A$14:H$48,4,FALSE)</f>
        <v>34.605564000000001</v>
      </c>
      <c r="H120" s="106">
        <f>VLOOKUP(F120,'Lamp Stock'!A$14:G$48,6,FALSE)</f>
        <v>51.487380000000002</v>
      </c>
      <c r="I120" s="106">
        <f>VLOOKUP(F120,'Lamp Stock'!A$14:H$48,8,FALSE)</f>
        <v>20.767655999999995</v>
      </c>
      <c r="J120" s="262">
        <v>0.12</v>
      </c>
      <c r="K120" s="262">
        <v>0.1</v>
      </c>
      <c r="L120" s="262">
        <v>0.2</v>
      </c>
      <c r="M120" s="74">
        <v>4</v>
      </c>
      <c r="N120" s="75">
        <f t="shared" si="24"/>
        <v>0.25</v>
      </c>
      <c r="O120" s="311">
        <v>0.04</v>
      </c>
      <c r="P120" s="265">
        <f>'Input data'!B$92*O120</f>
        <v>6.3531990542222223</v>
      </c>
      <c r="Q120" s="76">
        <f t="shared" si="25"/>
        <v>2.76844512</v>
      </c>
      <c r="R120" s="76">
        <f t="shared" si="26"/>
        <v>1.2426052799999998</v>
      </c>
      <c r="S120" s="76">
        <f>IF(C120="Yes",'Input data'!$E$47*'Input data'!$B$51*O120,'Input data'!$E$47*'Input data'!$B$49*O120)</f>
        <v>1.2810468266666666</v>
      </c>
      <c r="T120" s="76">
        <f>'Other Maintenance'!$B$94*'Maintenance Costs'!O85</f>
        <v>0.17845670326822294</v>
      </c>
      <c r="U120" s="264">
        <f>'Input data'!$B$112</f>
        <v>2.9565521226700353</v>
      </c>
      <c r="V120" s="240">
        <f t="shared" si="27"/>
        <v>14.780305106827146</v>
      </c>
      <c r="W120" s="76">
        <f>'Input data'!$C$15*'Maintenance Costs'!N85</f>
        <v>9.75</v>
      </c>
      <c r="X120" s="76">
        <f t="shared" si="28"/>
        <v>27.686609999999998</v>
      </c>
      <c r="Y120" s="76">
        <f>'Input data'!$B$47*'Maintenance Costs'!N85</f>
        <v>0</v>
      </c>
      <c r="Z120" s="76">
        <f>'Other Maintenance'!$B$94*'Maintenance Costs'!N85</f>
        <v>0.74356959695092895</v>
      </c>
      <c r="AA120" s="76">
        <f>('Input data'!$B$96+'Input data'!$B$97)*'Input data'!$B$76</f>
        <v>0.87776744444444454</v>
      </c>
      <c r="AB120" s="240">
        <f t="shared" si="29"/>
        <v>39.057947041395373</v>
      </c>
      <c r="AC120" s="163" t="s">
        <v>906</v>
      </c>
      <c r="AD120" s="311">
        <v>7.2499999999999995E-2</v>
      </c>
      <c r="AE120" s="312">
        <f t="shared" si="30"/>
        <v>3.2499999999999994E-2</v>
      </c>
      <c r="AF120" s="177"/>
      <c r="AG120" s="177"/>
      <c r="AH120" s="177"/>
      <c r="AI120" s="177"/>
      <c r="AJ120" s="177"/>
      <c r="AK120" s="177"/>
      <c r="AL120" s="177"/>
      <c r="AM120" s="177"/>
      <c r="AN120" s="177"/>
      <c r="AO120" s="177"/>
      <c r="AP120" s="177"/>
      <c r="AQ120" s="177"/>
      <c r="AR120" s="177"/>
      <c r="AS120" s="177"/>
      <c r="AT120" s="177"/>
      <c r="AU120" s="177"/>
      <c r="AV120" s="177"/>
      <c r="AW120" s="177"/>
      <c r="AX120" s="177"/>
    </row>
    <row r="121" spans="1:50" s="178" customFormat="1" hidden="1" x14ac:dyDescent="0.2">
      <c r="A121" s="72" t="s">
        <v>377</v>
      </c>
      <c r="B121" s="73" t="str">
        <f>VLOOKUP(LEFT(A121,7),'Tariff Schedule Lookup Table'!A$8:D$143,3,FALSE)</f>
        <v>3x70</v>
      </c>
      <c r="C121" s="236" t="s">
        <v>890</v>
      </c>
      <c r="D121" s="74">
        <v>3</v>
      </c>
      <c r="E121" s="74">
        <v>0</v>
      </c>
      <c r="F121" s="74" t="s">
        <v>177</v>
      </c>
      <c r="G121" s="106">
        <f>VLOOKUP(F121,'Lamp Stock'!A$14:H$48,4,FALSE)</f>
        <v>34.605564000000001</v>
      </c>
      <c r="H121" s="106">
        <f>VLOOKUP(F121,'Lamp Stock'!A$14:G$48,6,FALSE)</f>
        <v>51.487380000000002</v>
      </c>
      <c r="I121" s="106">
        <f>VLOOKUP(F121,'Lamp Stock'!A$14:H$48,8,FALSE)</f>
        <v>20.767655999999995</v>
      </c>
      <c r="J121" s="262">
        <v>0.12</v>
      </c>
      <c r="K121" s="262">
        <v>0.1</v>
      </c>
      <c r="L121" s="262">
        <v>0.2</v>
      </c>
      <c r="M121" s="74">
        <v>4</v>
      </c>
      <c r="N121" s="75">
        <f t="shared" si="24"/>
        <v>0.25</v>
      </c>
      <c r="O121" s="311">
        <v>0.04</v>
      </c>
      <c r="P121" s="265">
        <f>'Input data'!B$92*O121</f>
        <v>6.3531990542222223</v>
      </c>
      <c r="Q121" s="76">
        <f t="shared" si="25"/>
        <v>4.1526676800000004</v>
      </c>
      <c r="R121" s="76">
        <f t="shared" si="26"/>
        <v>1.2426052799999998</v>
      </c>
      <c r="S121" s="76">
        <f>IF(C121="Yes",'Input data'!$E$47*'Input data'!$B$51*O121,'Input data'!$E$47*'Input data'!$B$49*O121)</f>
        <v>1.2810468266666666</v>
      </c>
      <c r="T121" s="76">
        <f>'Other Maintenance'!$B$94*'Maintenance Costs'!O86</f>
        <v>0.11897113551214863</v>
      </c>
      <c r="U121" s="264">
        <f>'Input data'!$B$112</f>
        <v>2.9565521226700353</v>
      </c>
      <c r="V121" s="240">
        <f t="shared" si="27"/>
        <v>16.105042099071074</v>
      </c>
      <c r="W121" s="76">
        <f>'Input data'!$C$15*'Maintenance Costs'!N86</f>
        <v>9.75</v>
      </c>
      <c r="X121" s="76">
        <f t="shared" si="28"/>
        <v>41.529914999999995</v>
      </c>
      <c r="Y121" s="76">
        <f>'Input data'!$B$47*'Maintenance Costs'!N86</f>
        <v>0</v>
      </c>
      <c r="Z121" s="76">
        <f>'Other Maintenance'!$B$94*'Maintenance Costs'!N86</f>
        <v>0.74356959695092895</v>
      </c>
      <c r="AA121" s="76">
        <f>('Input data'!$B$96+'Input data'!$B$97)*'Input data'!$B$76</f>
        <v>0.87776744444444454</v>
      </c>
      <c r="AB121" s="240">
        <f t="shared" si="29"/>
        <v>52.901252041395367</v>
      </c>
      <c r="AC121" s="163" t="s">
        <v>906</v>
      </c>
      <c r="AD121" s="311">
        <v>7.2499999999999995E-2</v>
      </c>
      <c r="AE121" s="312">
        <f t="shared" si="30"/>
        <v>3.2499999999999994E-2</v>
      </c>
      <c r="AF121" s="177"/>
      <c r="AG121" s="177"/>
      <c r="AH121" s="177"/>
      <c r="AI121" s="177"/>
      <c r="AJ121" s="177"/>
      <c r="AK121" s="177"/>
      <c r="AL121" s="177"/>
      <c r="AM121" s="177"/>
      <c r="AN121" s="177"/>
      <c r="AO121" s="177"/>
      <c r="AP121" s="177"/>
      <c r="AQ121" s="177"/>
      <c r="AR121" s="177"/>
      <c r="AS121" s="177"/>
      <c r="AT121" s="177"/>
      <c r="AU121" s="177"/>
      <c r="AV121" s="177"/>
      <c r="AW121" s="177"/>
      <c r="AX121" s="177"/>
    </row>
    <row r="122" spans="1:50" s="178" customFormat="1" hidden="1" x14ac:dyDescent="0.2">
      <c r="A122" s="77" t="s">
        <v>379</v>
      </c>
      <c r="B122" s="78" t="str">
        <f>VLOOKUP(LEFT(A122,7),'Tariff Schedule Lookup Table'!A$8:D$143,3,FALSE)</f>
        <v>4x70</v>
      </c>
      <c r="C122" s="236" t="s">
        <v>890</v>
      </c>
      <c r="D122" s="79">
        <v>4</v>
      </c>
      <c r="E122" s="79">
        <v>0</v>
      </c>
      <c r="F122" s="79" t="s">
        <v>177</v>
      </c>
      <c r="G122" s="106">
        <f>VLOOKUP(F122,'Lamp Stock'!A$14:H$48,4,FALSE)</f>
        <v>34.605564000000001</v>
      </c>
      <c r="H122" s="106">
        <f>VLOOKUP(F122,'Lamp Stock'!A$14:G$48,6,FALSE)</f>
        <v>51.487380000000002</v>
      </c>
      <c r="I122" s="106">
        <f>VLOOKUP(F122,'Lamp Stock'!A$14:H$48,8,FALSE)</f>
        <v>20.767655999999995</v>
      </c>
      <c r="J122" s="267">
        <v>0.12</v>
      </c>
      <c r="K122" s="267">
        <v>0.1</v>
      </c>
      <c r="L122" s="267">
        <v>0.2</v>
      </c>
      <c r="M122" s="74">
        <v>4</v>
      </c>
      <c r="N122" s="80">
        <f t="shared" si="24"/>
        <v>0.25</v>
      </c>
      <c r="O122" s="311">
        <v>0.04</v>
      </c>
      <c r="P122" s="265">
        <f>'Input data'!B$92*O122</f>
        <v>6.3531990542222223</v>
      </c>
      <c r="Q122" s="76">
        <f t="shared" si="25"/>
        <v>5.53689024</v>
      </c>
      <c r="R122" s="76">
        <f t="shared" si="26"/>
        <v>1.2426052799999998</v>
      </c>
      <c r="S122" s="76">
        <f>IF(C122="Yes",'Input data'!$E$47*'Input data'!$B$51*O122,'Input data'!$E$47*'Input data'!$B$49*O122)</f>
        <v>1.2810468266666666</v>
      </c>
      <c r="T122" s="76">
        <f>'Other Maintenance'!$B$94*'Maintenance Costs'!O87</f>
        <v>0.11897113551214863</v>
      </c>
      <c r="U122" s="264">
        <f>'Input data'!$B$112</f>
        <v>2.9565521226700353</v>
      </c>
      <c r="V122" s="240">
        <f t="shared" si="27"/>
        <v>17.489264659071072</v>
      </c>
      <c r="W122" s="76">
        <f>'Input data'!$C$15*'Maintenance Costs'!N87</f>
        <v>9.75</v>
      </c>
      <c r="X122" s="76">
        <f t="shared" si="28"/>
        <v>55.373219999999996</v>
      </c>
      <c r="Y122" s="76">
        <f>'Input data'!$B$47*'Maintenance Costs'!N87</f>
        <v>0</v>
      </c>
      <c r="Z122" s="76">
        <f>'Other Maintenance'!$B$94*'Maintenance Costs'!N87</f>
        <v>0.74356959695092895</v>
      </c>
      <c r="AA122" s="76">
        <f>('Input data'!$B$96+'Input data'!$B$97)*'Input data'!$B$76</f>
        <v>0.87776744444444454</v>
      </c>
      <c r="AB122" s="240">
        <f t="shared" si="29"/>
        <v>66.744557041395382</v>
      </c>
      <c r="AC122" s="163" t="s">
        <v>906</v>
      </c>
      <c r="AD122" s="311">
        <v>7.2499999999999995E-2</v>
      </c>
      <c r="AE122" s="312">
        <f t="shared" si="30"/>
        <v>3.2499999999999994E-2</v>
      </c>
      <c r="AF122" s="177"/>
      <c r="AG122" s="177"/>
      <c r="AH122" s="177"/>
      <c r="AI122" s="177"/>
      <c r="AJ122" s="177"/>
      <c r="AK122" s="177"/>
      <c r="AL122" s="177"/>
      <c r="AM122" s="177"/>
      <c r="AN122" s="177"/>
      <c r="AO122" s="177"/>
      <c r="AP122" s="177"/>
      <c r="AQ122" s="177"/>
      <c r="AR122" s="177"/>
      <c r="AS122" s="177"/>
      <c r="AT122" s="177"/>
      <c r="AU122" s="177"/>
      <c r="AV122" s="177"/>
      <c r="AW122" s="177"/>
      <c r="AX122" s="177"/>
    </row>
    <row r="123" spans="1:50" s="178" customFormat="1" ht="12" hidden="1" customHeight="1" x14ac:dyDescent="0.2">
      <c r="A123" s="72" t="s">
        <v>432</v>
      </c>
      <c r="B123" s="73" t="str">
        <f>VLOOKUP(LEFT(A123,7),'Tariff Schedule Lookup Table'!A$8:D$143,3,FALSE)</f>
        <v>8x70</v>
      </c>
      <c r="C123" s="236" t="s">
        <v>890</v>
      </c>
      <c r="D123" s="74">
        <v>8</v>
      </c>
      <c r="E123" s="74">
        <v>0</v>
      </c>
      <c r="F123" s="74" t="s">
        <v>177</v>
      </c>
      <c r="G123" s="106">
        <f>VLOOKUP(F123,'Lamp Stock'!A$14:H$48,4,FALSE)</f>
        <v>34.605564000000001</v>
      </c>
      <c r="H123" s="106">
        <f>VLOOKUP(F123,'Lamp Stock'!A$14:G$48,6,FALSE)</f>
        <v>51.487380000000002</v>
      </c>
      <c r="I123" s="106">
        <f>VLOOKUP(F123,'Lamp Stock'!A$14:H$48,8,FALSE)</f>
        <v>20.767655999999995</v>
      </c>
      <c r="J123" s="262">
        <v>0.12</v>
      </c>
      <c r="K123" s="262">
        <v>0.1</v>
      </c>
      <c r="L123" s="262">
        <v>0.2</v>
      </c>
      <c r="M123" s="74">
        <v>4</v>
      </c>
      <c r="N123" s="75">
        <f t="shared" si="24"/>
        <v>0.25</v>
      </c>
      <c r="O123" s="311">
        <v>0.04</v>
      </c>
      <c r="P123" s="265">
        <f>'Input data'!B$92*O123</f>
        <v>6.3531990542222223</v>
      </c>
      <c r="Q123" s="76">
        <f t="shared" si="25"/>
        <v>11.07378048</v>
      </c>
      <c r="R123" s="76">
        <f t="shared" si="26"/>
        <v>1.2426052799999998</v>
      </c>
      <c r="S123" s="76">
        <f>IF(C123="Yes",'Input data'!$E$47*'Input data'!$B$51*O123,'Input data'!$E$47*'Input data'!$B$49*O123)</f>
        <v>1.2810468266666666</v>
      </c>
      <c r="T123" s="76">
        <f>'Other Maintenance'!$B$94*'Maintenance Costs'!O88</f>
        <v>0.11897113551214863</v>
      </c>
      <c r="U123" s="264">
        <f>'Input data'!$B$112</f>
        <v>2.9565521226700353</v>
      </c>
      <c r="V123" s="240">
        <f t="shared" si="27"/>
        <v>23.026154899071074</v>
      </c>
      <c r="W123" s="76">
        <f>'Input data'!$C$15*'Maintenance Costs'!N88</f>
        <v>9.75</v>
      </c>
      <c r="X123" s="76">
        <f t="shared" si="28"/>
        <v>110.74643999999999</v>
      </c>
      <c r="Y123" s="76">
        <f>'Input data'!$B$47*'Maintenance Costs'!N88</f>
        <v>0</v>
      </c>
      <c r="Z123" s="76">
        <f>'Other Maintenance'!$B$94*'Maintenance Costs'!N88</f>
        <v>0.74356959695092895</v>
      </c>
      <c r="AA123" s="76">
        <f>('Input data'!$B$96+'Input data'!$B$97)*'Input data'!$B$76</f>
        <v>0.87776744444444454</v>
      </c>
      <c r="AB123" s="240">
        <f t="shared" si="29"/>
        <v>122.11777704139537</v>
      </c>
      <c r="AC123" s="163" t="s">
        <v>906</v>
      </c>
      <c r="AD123" s="311">
        <v>7.2499999999999995E-2</v>
      </c>
      <c r="AE123" s="312">
        <f t="shared" si="30"/>
        <v>3.2499999999999994E-2</v>
      </c>
      <c r="AF123" s="177"/>
      <c r="AG123" s="177"/>
      <c r="AH123" s="177"/>
      <c r="AI123" s="177"/>
      <c r="AJ123" s="177"/>
      <c r="AK123" s="177"/>
      <c r="AL123" s="177"/>
      <c r="AM123" s="177"/>
      <c r="AN123" s="177"/>
      <c r="AO123" s="177"/>
      <c r="AP123" s="177"/>
      <c r="AQ123" s="177"/>
      <c r="AR123" s="177"/>
      <c r="AS123" s="177"/>
      <c r="AT123" s="177"/>
      <c r="AU123" s="177"/>
      <c r="AV123" s="177"/>
      <c r="AW123" s="177"/>
      <c r="AX123" s="177"/>
    </row>
    <row r="124" spans="1:50" s="178" customFormat="1" ht="12" hidden="1" customHeight="1" x14ac:dyDescent="0.2">
      <c r="A124" s="72" t="s">
        <v>179</v>
      </c>
      <c r="B124" s="73">
        <f>VLOOKUP(LEFT(A124,7),'Tariff Schedule Lookup Table'!A$8:D$143,3,FALSE)</f>
        <v>100</v>
      </c>
      <c r="C124" s="236" t="s">
        <v>890</v>
      </c>
      <c r="D124" s="74">
        <v>1</v>
      </c>
      <c r="E124" s="74">
        <v>0</v>
      </c>
      <c r="F124" s="74" t="s">
        <v>177</v>
      </c>
      <c r="G124" s="106">
        <f>VLOOKUP(F124,'Lamp Stock'!A$14:H$48,4,FALSE)</f>
        <v>34.605564000000001</v>
      </c>
      <c r="H124" s="106">
        <f>VLOOKUP(F124,'Lamp Stock'!A$14:G$48,6,FALSE)</f>
        <v>51.487380000000002</v>
      </c>
      <c r="I124" s="106">
        <f>VLOOKUP(F124,'Lamp Stock'!A$14:H$48,8,FALSE)</f>
        <v>20.767655999999995</v>
      </c>
      <c r="J124" s="262">
        <v>0.12</v>
      </c>
      <c r="K124" s="262">
        <v>0.1</v>
      </c>
      <c r="L124" s="262">
        <v>0.2</v>
      </c>
      <c r="M124" s="74">
        <v>4</v>
      </c>
      <c r="N124" s="75">
        <f t="shared" si="24"/>
        <v>0.25</v>
      </c>
      <c r="O124" s="311">
        <v>0.04</v>
      </c>
      <c r="P124" s="265">
        <f>'Input data'!B$92*O124</f>
        <v>6.3531990542222223</v>
      </c>
      <c r="Q124" s="76">
        <f t="shared" si="25"/>
        <v>1.38422256</v>
      </c>
      <c r="R124" s="76">
        <f t="shared" si="26"/>
        <v>1.2426052799999998</v>
      </c>
      <c r="S124" s="76">
        <f>IF(C124="Yes",'Input data'!$E$47*'Input data'!$B$51*O124,'Input data'!$E$47*'Input data'!$B$49*O124)</f>
        <v>1.2810468266666666</v>
      </c>
      <c r="T124" s="76">
        <f>'Other Maintenance'!$B$94*'Maintenance Costs'!O89</f>
        <v>0.11897113551214863</v>
      </c>
      <c r="U124" s="264">
        <f>'Input data'!$B$112</f>
        <v>2.9565521226700353</v>
      </c>
      <c r="V124" s="240">
        <f t="shared" si="27"/>
        <v>13.336596979071071</v>
      </c>
      <c r="W124" s="76">
        <f>'Input data'!$C$15*'Maintenance Costs'!N89</f>
        <v>9.75</v>
      </c>
      <c r="X124" s="76">
        <f t="shared" si="28"/>
        <v>13.843304999999999</v>
      </c>
      <c r="Y124" s="76">
        <f>'Input data'!$B$47*'Maintenance Costs'!N89</f>
        <v>0</v>
      </c>
      <c r="Z124" s="76">
        <f>'Other Maintenance'!$B$94*'Maintenance Costs'!N89</f>
        <v>0.74356959695092895</v>
      </c>
      <c r="AA124" s="76">
        <f>('Input data'!$B$96+'Input data'!$B$97)*'Input data'!$B$76</f>
        <v>0.87776744444444454</v>
      </c>
      <c r="AB124" s="240">
        <f t="shared" si="29"/>
        <v>25.214642041395376</v>
      </c>
      <c r="AC124" s="163" t="s">
        <v>906</v>
      </c>
      <c r="AD124" s="311">
        <v>7.2499999999999995E-2</v>
      </c>
      <c r="AE124" s="312">
        <f t="shared" si="30"/>
        <v>3.2499999999999994E-2</v>
      </c>
      <c r="AF124" s="177"/>
      <c r="AG124" s="177"/>
      <c r="AH124" s="177"/>
      <c r="AI124" s="177"/>
      <c r="AJ124" s="177"/>
      <c r="AK124" s="177"/>
      <c r="AL124" s="177"/>
      <c r="AM124" s="177"/>
      <c r="AN124" s="177"/>
      <c r="AO124" s="177"/>
      <c r="AP124" s="177"/>
      <c r="AQ124" s="177"/>
      <c r="AR124" s="177"/>
      <c r="AS124" s="177"/>
      <c r="AT124" s="177"/>
      <c r="AU124" s="177"/>
      <c r="AV124" s="177"/>
      <c r="AW124" s="177"/>
      <c r="AX124" s="177"/>
    </row>
    <row r="125" spans="1:50" s="178" customFormat="1" ht="12" hidden="1" customHeight="1" x14ac:dyDescent="0.2">
      <c r="A125" s="72" t="s">
        <v>380</v>
      </c>
      <c r="B125" s="73">
        <f>VLOOKUP(LEFT(A125,7),'Tariff Schedule Lookup Table'!A$8:D$143,3,FALSE)</f>
        <v>120</v>
      </c>
      <c r="C125" s="236" t="s">
        <v>890</v>
      </c>
      <c r="D125" s="74">
        <v>1</v>
      </c>
      <c r="E125" s="74">
        <v>0</v>
      </c>
      <c r="F125" s="74" t="s">
        <v>182</v>
      </c>
      <c r="G125" s="106">
        <f>VLOOKUP(F125,'Lamp Stock'!A$14:H$48,4,FALSE)</f>
        <v>45.270035999999998</v>
      </c>
      <c r="H125" s="106">
        <f>VLOOKUP(F125,'Lamp Stock'!A$14:G$48,6,FALSE)</f>
        <v>68.649839999999998</v>
      </c>
      <c r="I125" s="106">
        <f>VLOOKUP(F125,'Lamp Stock'!A$14:H$48,8,FALSE)</f>
        <v>17.011343999999998</v>
      </c>
      <c r="J125" s="262">
        <v>0.12</v>
      </c>
      <c r="K125" s="262">
        <v>0.1</v>
      </c>
      <c r="L125" s="262">
        <v>0.2</v>
      </c>
      <c r="M125" s="74">
        <v>4</v>
      </c>
      <c r="N125" s="75">
        <f t="shared" si="24"/>
        <v>0.25</v>
      </c>
      <c r="O125" s="311">
        <v>0.04</v>
      </c>
      <c r="P125" s="265">
        <f>'Input data'!B$92*O125</f>
        <v>6.3531990542222223</v>
      </c>
      <c r="Q125" s="76">
        <f t="shared" si="25"/>
        <v>1.8108014399999999</v>
      </c>
      <c r="R125" s="76">
        <f t="shared" si="26"/>
        <v>1.2296524799999999</v>
      </c>
      <c r="S125" s="76">
        <f>IF(C125="Yes",'Input data'!$E$47*'Input data'!$B$51*O125,'Input data'!$E$47*'Input data'!$B$49*O125)</f>
        <v>1.2810468266666666</v>
      </c>
      <c r="T125" s="76">
        <f>'Other Maintenance'!$B$94*'Maintenance Costs'!O90</f>
        <v>0.11897113551214863</v>
      </c>
      <c r="U125" s="264">
        <f>'Input data'!$B$112</f>
        <v>2.9565521226700353</v>
      </c>
      <c r="V125" s="240">
        <f t="shared" si="27"/>
        <v>13.750223059071072</v>
      </c>
      <c r="W125" s="76">
        <f>'Input data'!$C$15*'Maintenance Costs'!N90</f>
        <v>9.75</v>
      </c>
      <c r="X125" s="76">
        <f t="shared" si="28"/>
        <v>15.570345</v>
      </c>
      <c r="Y125" s="76">
        <f>'Input data'!$B$47*'Maintenance Costs'!N90</f>
        <v>0</v>
      </c>
      <c r="Z125" s="76">
        <f>'Other Maintenance'!$B$94*'Maintenance Costs'!N90</f>
        <v>0.74356959695092895</v>
      </c>
      <c r="AA125" s="76">
        <f>('Input data'!$B$96+'Input data'!$B$97)*'Input data'!$B$76</f>
        <v>0.87776744444444454</v>
      </c>
      <c r="AB125" s="240">
        <f t="shared" si="29"/>
        <v>26.941682041395374</v>
      </c>
      <c r="AC125" s="163" t="s">
        <v>906</v>
      </c>
      <c r="AD125" s="311">
        <v>7.2499999999999995E-2</v>
      </c>
      <c r="AE125" s="312">
        <f t="shared" si="30"/>
        <v>3.2499999999999994E-2</v>
      </c>
      <c r="AF125" s="177"/>
      <c r="AG125" s="177"/>
      <c r="AH125" s="177"/>
      <c r="AI125" s="177"/>
      <c r="AJ125" s="177"/>
      <c r="AK125" s="177"/>
      <c r="AL125" s="177"/>
      <c r="AM125" s="177"/>
      <c r="AN125" s="177"/>
      <c r="AO125" s="177"/>
      <c r="AP125" s="177"/>
      <c r="AQ125" s="177"/>
      <c r="AR125" s="177"/>
      <c r="AS125" s="177"/>
      <c r="AT125" s="177"/>
      <c r="AU125" s="177"/>
      <c r="AV125" s="177"/>
      <c r="AW125" s="177"/>
      <c r="AX125" s="177"/>
    </row>
    <row r="126" spans="1:50" s="178" customFormat="1" ht="12" hidden="1" customHeight="1" x14ac:dyDescent="0.2">
      <c r="A126" s="72" t="s">
        <v>381</v>
      </c>
      <c r="B126" s="73">
        <f>VLOOKUP(LEFT(A126,7),'Tariff Schedule Lookup Table'!A$8:D$143,3,FALSE)</f>
        <v>220</v>
      </c>
      <c r="C126" s="236" t="s">
        <v>891</v>
      </c>
      <c r="D126" s="74">
        <v>1</v>
      </c>
      <c r="E126" s="74">
        <v>0</v>
      </c>
      <c r="F126" s="74" t="s">
        <v>185</v>
      </c>
      <c r="G126" s="106">
        <f>VLOOKUP(F126,'Lamp Stock'!A$14:H$48,4,FALSE)</f>
        <v>47.256132000000001</v>
      </c>
      <c r="H126" s="106">
        <f>VLOOKUP(F126,'Lamp Stock'!A$14:G$48,6,FALSE)</f>
        <v>43.823639999999997</v>
      </c>
      <c r="I126" s="106">
        <f>VLOOKUP(F126,'Lamp Stock'!A$14:H$48,8,FALSE)</f>
        <v>17.011343999999998</v>
      </c>
      <c r="J126" s="262">
        <v>0.12</v>
      </c>
      <c r="K126" s="262">
        <v>0.1</v>
      </c>
      <c r="L126" s="262">
        <v>0.2</v>
      </c>
      <c r="M126" s="74">
        <v>4</v>
      </c>
      <c r="N126" s="75">
        <f t="shared" si="24"/>
        <v>0.25</v>
      </c>
      <c r="O126" s="311">
        <v>0.04</v>
      </c>
      <c r="P126" s="265">
        <f>'Input data'!B$92*O126</f>
        <v>6.3531990542222223</v>
      </c>
      <c r="Q126" s="76">
        <f t="shared" si="25"/>
        <v>1.89024528</v>
      </c>
      <c r="R126" s="76">
        <f t="shared" si="26"/>
        <v>1.0310428799999998</v>
      </c>
      <c r="S126" s="76">
        <f>IF(C126="Yes",'Input data'!$E$47*'Input data'!$B$51*O126,'Input data'!$E$47*'Input data'!$B$49*O126)</f>
        <v>10.248374613333333</v>
      </c>
      <c r="T126" s="76">
        <f>'Other Maintenance'!$B$94*'Maintenance Costs'!O92</f>
        <v>0.11897113551214863</v>
      </c>
      <c r="U126" s="264">
        <f>'Input data'!$B$112</f>
        <v>2.9565521226700353</v>
      </c>
      <c r="V126" s="240">
        <f t="shared" si="27"/>
        <v>22.598385085737736</v>
      </c>
      <c r="W126" s="76">
        <f>'Input data'!$C$15*'Maintenance Costs'!N92</f>
        <v>9.75</v>
      </c>
      <c r="X126" s="76">
        <f t="shared" si="28"/>
        <v>16.066869000000001</v>
      </c>
      <c r="Y126" s="76">
        <f>'Input data'!$B$47*'Maintenance Costs'!N92</f>
        <v>0</v>
      </c>
      <c r="Z126" s="76">
        <f>'Other Maintenance'!$B$94*'Maintenance Costs'!N92</f>
        <v>0.74356959695092895</v>
      </c>
      <c r="AA126" s="76">
        <f>('Input data'!$B$96+'Input data'!$B$97)*'Input data'!$B$76</f>
        <v>0.87776744444444454</v>
      </c>
      <c r="AB126" s="240">
        <f t="shared" si="29"/>
        <v>27.438206041395375</v>
      </c>
      <c r="AC126" s="163" t="s">
        <v>906</v>
      </c>
      <c r="AD126" s="311">
        <v>7.2499999999999995E-2</v>
      </c>
      <c r="AE126" s="312">
        <f t="shared" si="30"/>
        <v>3.2499999999999994E-2</v>
      </c>
      <c r="AF126" s="177"/>
      <c r="AG126" s="177"/>
      <c r="AH126" s="177"/>
      <c r="AI126" s="177"/>
      <c r="AJ126" s="177"/>
      <c r="AK126" s="177"/>
      <c r="AL126" s="177"/>
      <c r="AM126" s="177"/>
      <c r="AN126" s="177"/>
      <c r="AO126" s="177"/>
      <c r="AP126" s="177"/>
      <c r="AQ126" s="177"/>
      <c r="AR126" s="177"/>
      <c r="AS126" s="177"/>
      <c r="AT126" s="177"/>
      <c r="AU126" s="177"/>
      <c r="AV126" s="177"/>
      <c r="AW126" s="177"/>
      <c r="AX126" s="177"/>
    </row>
    <row r="127" spans="1:50" s="178" customFormat="1" ht="12" hidden="1" customHeight="1" x14ac:dyDescent="0.2">
      <c r="A127" s="72" t="s">
        <v>187</v>
      </c>
      <c r="B127" s="73" t="str">
        <f>VLOOKUP(LEFT(A127,7),'Tariff Schedule Lookup Table'!A$8:D$143,3,FALSE)</f>
        <v>2x250</v>
      </c>
      <c r="C127" s="236" t="s">
        <v>891</v>
      </c>
      <c r="D127" s="74">
        <v>2</v>
      </c>
      <c r="E127" s="74">
        <v>0</v>
      </c>
      <c r="F127" s="74" t="s">
        <v>185</v>
      </c>
      <c r="G127" s="106">
        <f>VLOOKUP(F127,'Lamp Stock'!A$14:H$48,4,FALSE)</f>
        <v>47.256132000000001</v>
      </c>
      <c r="H127" s="106">
        <f>VLOOKUP(F127,'Lamp Stock'!A$14:G$48,6,FALSE)</f>
        <v>43.823639999999997</v>
      </c>
      <c r="I127" s="106">
        <f>VLOOKUP(F127,'Lamp Stock'!A$14:H$48,8,FALSE)</f>
        <v>17.011343999999998</v>
      </c>
      <c r="J127" s="262">
        <v>0.12</v>
      </c>
      <c r="K127" s="262">
        <v>0.1</v>
      </c>
      <c r="L127" s="262">
        <v>0.2</v>
      </c>
      <c r="M127" s="74">
        <v>4</v>
      </c>
      <c r="N127" s="75">
        <f t="shared" si="24"/>
        <v>0.25</v>
      </c>
      <c r="O127" s="311">
        <v>0.04</v>
      </c>
      <c r="P127" s="265">
        <f>'Input data'!B$92*O127</f>
        <v>6.3531990542222223</v>
      </c>
      <c r="Q127" s="76">
        <f t="shared" si="25"/>
        <v>3.7804905600000001</v>
      </c>
      <c r="R127" s="76">
        <f t="shared" si="26"/>
        <v>1.0310428799999998</v>
      </c>
      <c r="S127" s="76">
        <f>IF(C127="Yes",'Input data'!$E$47*'Input data'!$B$51*O127,'Input data'!$E$47*'Input data'!$B$49*O127)</f>
        <v>10.248374613333333</v>
      </c>
      <c r="T127" s="76">
        <f>'Other Maintenance'!$B$94*'Maintenance Costs'!O94</f>
        <v>0.11897113551214863</v>
      </c>
      <c r="U127" s="264">
        <f>'Input data'!$B$112</f>
        <v>2.9565521226700353</v>
      </c>
      <c r="V127" s="240">
        <f t="shared" si="27"/>
        <v>24.488630365737738</v>
      </c>
      <c r="W127" s="76">
        <f>'Input data'!$C$15*'Maintenance Costs'!N94</f>
        <v>9.75</v>
      </c>
      <c r="X127" s="76">
        <f t="shared" si="28"/>
        <v>32.133738000000001</v>
      </c>
      <c r="Y127" s="76">
        <f>'Input data'!$B$47*'Maintenance Costs'!N94</f>
        <v>0</v>
      </c>
      <c r="Z127" s="76">
        <f>'Other Maintenance'!$B$94*'Maintenance Costs'!N94</f>
        <v>0.74356959695092895</v>
      </c>
      <c r="AA127" s="76">
        <f>('Input data'!$B$96+'Input data'!$B$97)*'Input data'!$B$76</f>
        <v>0.87776744444444454</v>
      </c>
      <c r="AB127" s="240">
        <f t="shared" si="29"/>
        <v>43.505075041395372</v>
      </c>
      <c r="AC127" s="163" t="s">
        <v>906</v>
      </c>
      <c r="AD127" s="311">
        <v>7.2499999999999995E-2</v>
      </c>
      <c r="AE127" s="312">
        <f t="shared" si="30"/>
        <v>3.2499999999999994E-2</v>
      </c>
      <c r="AF127" s="177"/>
      <c r="AG127" s="177"/>
      <c r="AH127" s="177"/>
      <c r="AI127" s="177"/>
      <c r="AJ127" s="177"/>
      <c r="AK127" s="177"/>
      <c r="AL127" s="177"/>
      <c r="AM127" s="177"/>
      <c r="AN127" s="177"/>
      <c r="AO127" s="177"/>
      <c r="AP127" s="177"/>
      <c r="AQ127" s="177"/>
      <c r="AR127" s="177"/>
      <c r="AS127" s="177"/>
      <c r="AT127" s="177"/>
      <c r="AU127" s="177"/>
      <c r="AV127" s="177"/>
      <c r="AW127" s="177"/>
      <c r="AX127" s="177"/>
    </row>
    <row r="128" spans="1:50" s="178" customFormat="1" ht="12.75" hidden="1" customHeight="1" x14ac:dyDescent="0.2">
      <c r="A128" s="72" t="s">
        <v>383</v>
      </c>
      <c r="B128" s="73" t="str">
        <f>VLOOKUP(LEFT(A128,7),'Tariff Schedule Lookup Table'!A$8:D$143,3,FALSE)</f>
        <v>4x250</v>
      </c>
      <c r="C128" s="236" t="s">
        <v>891</v>
      </c>
      <c r="D128" s="74">
        <v>4</v>
      </c>
      <c r="E128" s="74">
        <v>0</v>
      </c>
      <c r="F128" s="74" t="s">
        <v>185</v>
      </c>
      <c r="G128" s="106">
        <f>VLOOKUP(F128,'Lamp Stock'!A$14:H$48,4,FALSE)</f>
        <v>47.256132000000001</v>
      </c>
      <c r="H128" s="106">
        <f>VLOOKUP(F128,'Lamp Stock'!A$14:G$48,6,FALSE)</f>
        <v>43.823639999999997</v>
      </c>
      <c r="I128" s="106">
        <f>VLOOKUP(F128,'Lamp Stock'!A$14:H$48,8,FALSE)</f>
        <v>17.011343999999998</v>
      </c>
      <c r="J128" s="262">
        <v>0.12</v>
      </c>
      <c r="K128" s="262">
        <v>0.1</v>
      </c>
      <c r="L128" s="262">
        <v>0.2</v>
      </c>
      <c r="M128" s="74">
        <v>4</v>
      </c>
      <c r="N128" s="75">
        <f t="shared" si="24"/>
        <v>0.25</v>
      </c>
      <c r="O128" s="311">
        <v>0.04</v>
      </c>
      <c r="P128" s="265">
        <f>'Input data'!B$92*O128</f>
        <v>6.3531990542222223</v>
      </c>
      <c r="Q128" s="76">
        <f t="shared" si="25"/>
        <v>7.5609811200000001</v>
      </c>
      <c r="R128" s="76">
        <f t="shared" si="26"/>
        <v>1.0310428799999998</v>
      </c>
      <c r="S128" s="76">
        <f>IF(C128="Yes",'Input data'!$E$47*'Input data'!$B$51*O128,'Input data'!$E$47*'Input data'!$B$49*O128)</f>
        <v>10.248374613333333</v>
      </c>
      <c r="T128" s="76">
        <f>'Other Maintenance'!$B$94*'Maintenance Costs'!O95</f>
        <v>0.11897113551214863</v>
      </c>
      <c r="U128" s="264">
        <f>'Input data'!$B$112</f>
        <v>2.9565521226700353</v>
      </c>
      <c r="V128" s="240">
        <f t="shared" si="27"/>
        <v>28.269120925737738</v>
      </c>
      <c r="W128" s="76">
        <f>'Input data'!$C$15*'Maintenance Costs'!N95</f>
        <v>9.75</v>
      </c>
      <c r="X128" s="76">
        <f t="shared" si="28"/>
        <v>64.267476000000002</v>
      </c>
      <c r="Y128" s="76">
        <f>'Input data'!$B$47*'Maintenance Costs'!N95</f>
        <v>0</v>
      </c>
      <c r="Z128" s="76">
        <f>'Other Maintenance'!$B$94*'Maintenance Costs'!N95</f>
        <v>0.74356959695092895</v>
      </c>
      <c r="AA128" s="76">
        <f>('Input data'!$B$96+'Input data'!$B$97)*'Input data'!$B$76</f>
        <v>0.87776744444444454</v>
      </c>
      <c r="AB128" s="240">
        <f t="shared" si="29"/>
        <v>75.63881304139538</v>
      </c>
      <c r="AC128" s="163" t="s">
        <v>906</v>
      </c>
      <c r="AD128" s="311">
        <v>7.2499999999999995E-2</v>
      </c>
      <c r="AE128" s="312">
        <f t="shared" si="30"/>
        <v>3.2499999999999994E-2</v>
      </c>
      <c r="AF128" s="177"/>
      <c r="AG128" s="177"/>
      <c r="AH128" s="177"/>
      <c r="AI128" s="177"/>
      <c r="AJ128" s="177"/>
      <c r="AK128" s="177"/>
      <c r="AL128" s="177"/>
      <c r="AM128" s="177"/>
      <c r="AN128" s="177"/>
      <c r="AO128" s="177"/>
      <c r="AP128" s="177"/>
      <c r="AQ128" s="177"/>
      <c r="AR128" s="177"/>
      <c r="AS128" s="177"/>
      <c r="AT128" s="177"/>
      <c r="AU128" s="177"/>
      <c r="AV128" s="177"/>
      <c r="AW128" s="177"/>
      <c r="AX128" s="177"/>
    </row>
    <row r="129" spans="1:50" s="178" customFormat="1" ht="12.75" hidden="1" customHeight="1" x14ac:dyDescent="0.2">
      <c r="A129" s="72" t="s">
        <v>385</v>
      </c>
      <c r="B129" s="73" t="str">
        <f>VLOOKUP(LEFT(A129,7),'Tariff Schedule Lookup Table'!A$8:D$143,3,FALSE)</f>
        <v>2x310</v>
      </c>
      <c r="C129" s="236" t="s">
        <v>891</v>
      </c>
      <c r="D129" s="74">
        <v>2</v>
      </c>
      <c r="E129" s="74">
        <v>0</v>
      </c>
      <c r="F129" s="74" t="s">
        <v>185</v>
      </c>
      <c r="G129" s="106">
        <f>VLOOKUP(F129,'Lamp Stock'!A$14:H$48,4,FALSE)</f>
        <v>47.256132000000001</v>
      </c>
      <c r="H129" s="106">
        <f>VLOOKUP(F129,'Lamp Stock'!A$14:G$48,6,FALSE)</f>
        <v>43.823639999999997</v>
      </c>
      <c r="I129" s="106">
        <f>VLOOKUP(F129,'Lamp Stock'!A$14:H$48,8,FALSE)</f>
        <v>17.011343999999998</v>
      </c>
      <c r="J129" s="262">
        <v>0.12</v>
      </c>
      <c r="K129" s="262">
        <v>0.1</v>
      </c>
      <c r="L129" s="262">
        <v>0.2</v>
      </c>
      <c r="M129" s="74">
        <v>4</v>
      </c>
      <c r="N129" s="75">
        <f t="shared" si="24"/>
        <v>0.25</v>
      </c>
      <c r="O129" s="311">
        <v>0.04</v>
      </c>
      <c r="P129" s="265">
        <f>'Input data'!B$92*O129</f>
        <v>6.3531990542222223</v>
      </c>
      <c r="Q129" s="76">
        <f t="shared" si="25"/>
        <v>3.7804905600000001</v>
      </c>
      <c r="R129" s="76">
        <f t="shared" si="26"/>
        <v>1.0310428799999998</v>
      </c>
      <c r="S129" s="76">
        <f>IF(C129="Yes",'Input data'!$E$47*'Input data'!$B$51*O129,'Input data'!$E$47*'Input data'!$B$49*O129)</f>
        <v>10.248374613333333</v>
      </c>
      <c r="T129" s="76">
        <f>'Other Maintenance'!$B$94*'Maintenance Costs'!O96</f>
        <v>0.11897113551214863</v>
      </c>
      <c r="U129" s="264">
        <f>'Input data'!$B$112</f>
        <v>2.9565521226700353</v>
      </c>
      <c r="V129" s="240">
        <f t="shared" si="27"/>
        <v>24.488630365737738</v>
      </c>
      <c r="W129" s="76">
        <f>'Input data'!$C$15*'Maintenance Costs'!N96</f>
        <v>9.75</v>
      </c>
      <c r="X129" s="76">
        <f t="shared" si="28"/>
        <v>32.133738000000001</v>
      </c>
      <c r="Y129" s="76">
        <f>'Input data'!$B$47*'Maintenance Costs'!N96</f>
        <v>0</v>
      </c>
      <c r="Z129" s="76">
        <f>'Other Maintenance'!$B$94*'Maintenance Costs'!N96</f>
        <v>0.74356959695092895</v>
      </c>
      <c r="AA129" s="76">
        <f>('Input data'!$B$96+'Input data'!$B$97)*'Input data'!$B$76</f>
        <v>0.87776744444444454</v>
      </c>
      <c r="AB129" s="240">
        <f t="shared" si="29"/>
        <v>43.505075041395372</v>
      </c>
      <c r="AC129" s="163" t="s">
        <v>906</v>
      </c>
      <c r="AD129" s="311">
        <v>7.2499999999999995E-2</v>
      </c>
      <c r="AE129" s="312">
        <f t="shared" si="30"/>
        <v>3.2499999999999994E-2</v>
      </c>
      <c r="AF129" s="177"/>
      <c r="AG129" s="177"/>
      <c r="AH129" s="177"/>
      <c r="AI129" s="177"/>
      <c r="AJ129" s="177"/>
      <c r="AK129" s="177"/>
      <c r="AL129" s="177"/>
      <c r="AM129" s="177"/>
      <c r="AN129" s="177"/>
      <c r="AO129" s="177"/>
      <c r="AP129" s="177"/>
      <c r="AQ129" s="177"/>
      <c r="AR129" s="177"/>
      <c r="AS129" s="177"/>
      <c r="AT129" s="177"/>
      <c r="AU129" s="177"/>
      <c r="AV129" s="177"/>
      <c r="AW129" s="177"/>
      <c r="AX129" s="177"/>
    </row>
    <row r="130" spans="1:50" s="178" customFormat="1" ht="12.75" hidden="1" customHeight="1" x14ac:dyDescent="0.2">
      <c r="A130" s="72" t="s">
        <v>386</v>
      </c>
      <c r="B130" s="73">
        <f>VLOOKUP(LEFT(A130,7),'Tariff Schedule Lookup Table'!A$8:D$143,3,FALSE)</f>
        <v>360</v>
      </c>
      <c r="C130" s="236" t="s">
        <v>891</v>
      </c>
      <c r="D130" s="74">
        <v>1</v>
      </c>
      <c r="E130" s="74">
        <v>0</v>
      </c>
      <c r="F130" s="74" t="s">
        <v>191</v>
      </c>
      <c r="G130" s="106">
        <f>VLOOKUP(F130,'Lamp Stock'!A$14:H$48,4,FALSE)</f>
        <v>65.735459999999989</v>
      </c>
      <c r="H130" s="106">
        <f>VLOOKUP(F130,'Lamp Stock'!A$14:G$48,6,FALSE)</f>
        <v>65.541167999999999</v>
      </c>
      <c r="I130" s="106">
        <f>VLOOKUP(F130,'Lamp Stock'!A$14:H$48,8,FALSE)</f>
        <v>17.011343999999998</v>
      </c>
      <c r="J130" s="262">
        <v>0.12</v>
      </c>
      <c r="K130" s="262">
        <v>0.1</v>
      </c>
      <c r="L130" s="262">
        <v>0.2</v>
      </c>
      <c r="M130" s="74">
        <v>4</v>
      </c>
      <c r="N130" s="75">
        <f t="shared" si="24"/>
        <v>0.25</v>
      </c>
      <c r="O130" s="311">
        <v>0.04</v>
      </c>
      <c r="P130" s="265">
        <f>'Input data'!B$92*O130</f>
        <v>6.3531990542222223</v>
      </c>
      <c r="Q130" s="76">
        <f t="shared" si="25"/>
        <v>2.6294183999999996</v>
      </c>
      <c r="R130" s="76">
        <f t="shared" si="26"/>
        <v>1.2047831040000001</v>
      </c>
      <c r="S130" s="76">
        <f>IF(C130="Yes",'Input data'!$E$47*'Input data'!$B$51*O130,'Input data'!$E$47*'Input data'!$B$49*O130)</f>
        <v>10.248374613333333</v>
      </c>
      <c r="T130" s="76">
        <f>'Other Maintenance'!$B$94*'Maintenance Costs'!O97</f>
        <v>0.11897113551214863</v>
      </c>
      <c r="U130" s="264">
        <f>'Input data'!$B$112</f>
        <v>2.9565521226700353</v>
      </c>
      <c r="V130" s="240">
        <f t="shared" si="27"/>
        <v>23.511298429737739</v>
      </c>
      <c r="W130" s="76">
        <f>'Input data'!$C$15*'Maintenance Costs'!N97</f>
        <v>9.75</v>
      </c>
      <c r="X130" s="76">
        <f t="shared" si="28"/>
        <v>20.686700999999996</v>
      </c>
      <c r="Y130" s="76">
        <f>'Input data'!$B$47*'Maintenance Costs'!N97</f>
        <v>0</v>
      </c>
      <c r="Z130" s="76">
        <f>'Other Maintenance'!$B$94*'Maintenance Costs'!N97</f>
        <v>0.74356959695092895</v>
      </c>
      <c r="AA130" s="76">
        <f>('Input data'!$B$96+'Input data'!$B$97)*'Input data'!$B$76</f>
        <v>0.87776744444444454</v>
      </c>
      <c r="AB130" s="240">
        <f t="shared" si="29"/>
        <v>32.05803804139537</v>
      </c>
      <c r="AC130" s="163" t="s">
        <v>906</v>
      </c>
      <c r="AD130" s="311">
        <v>7.2499999999999995E-2</v>
      </c>
      <c r="AE130" s="312">
        <f t="shared" si="30"/>
        <v>3.2499999999999994E-2</v>
      </c>
      <c r="AF130" s="177"/>
      <c r="AG130" s="177"/>
      <c r="AH130" s="177"/>
      <c r="AI130" s="177"/>
      <c r="AJ130" s="177"/>
      <c r="AK130" s="177"/>
      <c r="AL130" s="177"/>
      <c r="AM130" s="177"/>
      <c r="AN130" s="177"/>
      <c r="AO130" s="177"/>
      <c r="AP130" s="177"/>
      <c r="AQ130" s="177"/>
      <c r="AR130" s="177"/>
      <c r="AS130" s="177"/>
      <c r="AT130" s="177"/>
      <c r="AU130" s="177"/>
      <c r="AV130" s="177"/>
      <c r="AW130" s="177"/>
      <c r="AX130" s="177"/>
    </row>
    <row r="131" spans="1:50" s="178" customFormat="1" ht="13.5" hidden="1" customHeight="1" x14ac:dyDescent="0.2">
      <c r="A131" s="72" t="s">
        <v>193</v>
      </c>
      <c r="B131" s="73" t="str">
        <f>VLOOKUP(LEFT(A131,7),'Tariff Schedule Lookup Table'!A$8:D$143,3,FALSE)</f>
        <v>2x400</v>
      </c>
      <c r="C131" s="236" t="s">
        <v>891</v>
      </c>
      <c r="D131" s="74">
        <v>2</v>
      </c>
      <c r="E131" s="74">
        <v>0</v>
      </c>
      <c r="F131" s="74" t="s">
        <v>191</v>
      </c>
      <c r="G131" s="106">
        <f>VLOOKUP(F131,'Lamp Stock'!A$14:H$48,4,FALSE)</f>
        <v>65.735459999999989</v>
      </c>
      <c r="H131" s="106">
        <f>VLOOKUP(F131,'Lamp Stock'!A$14:G$48,6,FALSE)</f>
        <v>65.541167999999999</v>
      </c>
      <c r="I131" s="106">
        <f>VLOOKUP(F131,'Lamp Stock'!A$14:H$48,8,FALSE)</f>
        <v>17.011343999999998</v>
      </c>
      <c r="J131" s="262">
        <v>0.12</v>
      </c>
      <c r="K131" s="262">
        <v>0.1</v>
      </c>
      <c r="L131" s="262">
        <v>0.2</v>
      </c>
      <c r="M131" s="74">
        <v>4</v>
      </c>
      <c r="N131" s="75">
        <f t="shared" si="24"/>
        <v>0.25</v>
      </c>
      <c r="O131" s="311">
        <v>0.04</v>
      </c>
      <c r="P131" s="265">
        <f>'Input data'!B$92*O131</f>
        <v>6.3531990542222223</v>
      </c>
      <c r="Q131" s="76">
        <f t="shared" si="25"/>
        <v>5.2588367999999992</v>
      </c>
      <c r="R131" s="76">
        <f t="shared" si="26"/>
        <v>1.2047831040000001</v>
      </c>
      <c r="S131" s="76">
        <f>IF(C131="Yes",'Input data'!$E$47*'Input data'!$B$51*O131,'Input data'!$E$47*'Input data'!$B$49*O131)</f>
        <v>10.248374613333333</v>
      </c>
      <c r="T131" s="76">
        <f>'Other Maintenance'!$B$94*'Maintenance Costs'!O99</f>
        <v>0.11897113551214863</v>
      </c>
      <c r="U131" s="264">
        <f>'Input data'!$B$112</f>
        <v>2.9565521226700353</v>
      </c>
      <c r="V131" s="240">
        <f t="shared" si="27"/>
        <v>26.140716829737737</v>
      </c>
      <c r="W131" s="76">
        <f>'Input data'!$C$15*'Maintenance Costs'!N99</f>
        <v>9.75</v>
      </c>
      <c r="X131" s="76">
        <f t="shared" si="28"/>
        <v>41.373401999999992</v>
      </c>
      <c r="Y131" s="76">
        <f>'Input data'!$B$47*'Maintenance Costs'!N99</f>
        <v>0</v>
      </c>
      <c r="Z131" s="76">
        <f>'Other Maintenance'!$B$94*'Maintenance Costs'!N99</f>
        <v>0.74356959695092895</v>
      </c>
      <c r="AA131" s="76">
        <f>('Input data'!$B$96+'Input data'!$B$97)*'Input data'!$B$76</f>
        <v>0.87776744444444454</v>
      </c>
      <c r="AB131" s="240">
        <f t="shared" si="29"/>
        <v>52.744739041395363</v>
      </c>
      <c r="AC131" s="163" t="s">
        <v>906</v>
      </c>
      <c r="AD131" s="311">
        <v>7.2499999999999995E-2</v>
      </c>
      <c r="AE131" s="312">
        <f t="shared" si="30"/>
        <v>3.2499999999999994E-2</v>
      </c>
      <c r="AF131" s="177"/>
      <c r="AG131" s="177"/>
      <c r="AH131" s="177"/>
      <c r="AI131" s="177"/>
      <c r="AJ131" s="177"/>
      <c r="AK131" s="177"/>
      <c r="AL131" s="177"/>
      <c r="AM131" s="177"/>
      <c r="AN131" s="177"/>
      <c r="AO131" s="177"/>
      <c r="AP131" s="177"/>
      <c r="AQ131" s="177"/>
      <c r="AR131" s="177"/>
      <c r="AS131" s="177"/>
      <c r="AT131" s="177"/>
      <c r="AU131" s="177"/>
      <c r="AV131" s="177"/>
      <c r="AW131" s="177"/>
      <c r="AX131" s="177"/>
    </row>
    <row r="132" spans="1:50" s="178" customFormat="1" ht="12" hidden="1" customHeight="1" x14ac:dyDescent="0.2">
      <c r="A132" s="72" t="s">
        <v>388</v>
      </c>
      <c r="B132" s="73" t="str">
        <f>VLOOKUP(LEFT(A132,7),'Tariff Schedule Lookup Table'!A$8:D$143,3,FALSE)</f>
        <v>4x400</v>
      </c>
      <c r="C132" s="236" t="s">
        <v>891</v>
      </c>
      <c r="D132" s="74">
        <v>4</v>
      </c>
      <c r="E132" s="74">
        <v>0</v>
      </c>
      <c r="F132" s="74" t="s">
        <v>191</v>
      </c>
      <c r="G132" s="106">
        <f>VLOOKUP(F132,'Lamp Stock'!A$14:H$48,4,FALSE)</f>
        <v>65.735459999999989</v>
      </c>
      <c r="H132" s="106">
        <f>VLOOKUP(F132,'Lamp Stock'!A$14:G$48,6,FALSE)</f>
        <v>65.541167999999999</v>
      </c>
      <c r="I132" s="106">
        <f>VLOOKUP(F132,'Lamp Stock'!A$14:H$48,8,FALSE)</f>
        <v>17.011343999999998</v>
      </c>
      <c r="J132" s="262">
        <v>0.12</v>
      </c>
      <c r="K132" s="262">
        <v>0.1</v>
      </c>
      <c r="L132" s="262">
        <v>0.2</v>
      </c>
      <c r="M132" s="74">
        <v>4</v>
      </c>
      <c r="N132" s="75">
        <f t="shared" si="24"/>
        <v>0.25</v>
      </c>
      <c r="O132" s="311">
        <v>0.04</v>
      </c>
      <c r="P132" s="265">
        <f>'Input data'!B$92*O132</f>
        <v>6.3531990542222223</v>
      </c>
      <c r="Q132" s="76">
        <f t="shared" si="25"/>
        <v>10.517673599999998</v>
      </c>
      <c r="R132" s="76">
        <f t="shared" si="26"/>
        <v>1.2047831040000001</v>
      </c>
      <c r="S132" s="76">
        <f>IF(C132="Yes",'Input data'!$E$47*'Input data'!$B$51*O132,'Input data'!$E$47*'Input data'!$B$49*O132)</f>
        <v>10.248374613333333</v>
      </c>
      <c r="T132" s="76">
        <f>'Other Maintenance'!$B$94*'Maintenance Costs'!O100</f>
        <v>0.11897113551214863</v>
      </c>
      <c r="U132" s="264">
        <f>'Input data'!$B$112</f>
        <v>2.9565521226700353</v>
      </c>
      <c r="V132" s="240">
        <f t="shared" si="27"/>
        <v>31.399553629737738</v>
      </c>
      <c r="W132" s="76">
        <f>'Input data'!$C$15*'Maintenance Costs'!N100</f>
        <v>9.75</v>
      </c>
      <c r="X132" s="76">
        <f t="shared" si="28"/>
        <v>82.746803999999983</v>
      </c>
      <c r="Y132" s="76">
        <f>'Input data'!$B$47*'Maintenance Costs'!N100</f>
        <v>0</v>
      </c>
      <c r="Z132" s="76">
        <f>'Other Maintenance'!$B$94*'Maintenance Costs'!N100</f>
        <v>0.74356959695092895</v>
      </c>
      <c r="AA132" s="76">
        <f>('Input data'!$B$96+'Input data'!$B$97)*'Input data'!$B$76</f>
        <v>0.87776744444444454</v>
      </c>
      <c r="AB132" s="240">
        <f t="shared" si="29"/>
        <v>94.118141041395361</v>
      </c>
      <c r="AC132" s="163" t="s">
        <v>906</v>
      </c>
      <c r="AD132" s="311">
        <v>7.2499999999999995E-2</v>
      </c>
      <c r="AE132" s="312">
        <f t="shared" si="30"/>
        <v>3.2499999999999994E-2</v>
      </c>
      <c r="AF132" s="177"/>
      <c r="AG132" s="177"/>
      <c r="AH132" s="177"/>
      <c r="AI132" s="177"/>
      <c r="AJ132" s="177"/>
      <c r="AK132" s="177"/>
      <c r="AL132" s="177"/>
      <c r="AM132" s="177"/>
      <c r="AN132" s="177"/>
      <c r="AO132" s="177"/>
      <c r="AP132" s="177"/>
      <c r="AQ132" s="177"/>
      <c r="AR132" s="177"/>
      <c r="AS132" s="177"/>
      <c r="AT132" s="177"/>
      <c r="AU132" s="177"/>
      <c r="AV132" s="177"/>
      <c r="AW132" s="177"/>
      <c r="AX132" s="177"/>
    </row>
    <row r="133" spans="1:50" s="178" customFormat="1" ht="12" hidden="1" customHeight="1" x14ac:dyDescent="0.2">
      <c r="A133" s="72" t="s">
        <v>198</v>
      </c>
      <c r="B133" s="73">
        <f>VLOOKUP(LEFT(A133,7),'Tariff Schedule Lookup Table'!A$8:D$143,3,FALSE)</f>
        <v>40</v>
      </c>
      <c r="C133" s="236" t="s">
        <v>890</v>
      </c>
      <c r="D133" s="74">
        <v>1</v>
      </c>
      <c r="E133" s="74">
        <v>0</v>
      </c>
      <c r="F133" s="74" t="s">
        <v>297</v>
      </c>
      <c r="G133" s="106">
        <f>VLOOKUP(F133,'Lamp Stock'!A$14:H$48,4,FALSE)</f>
        <v>1.1873400000000001</v>
      </c>
      <c r="H133" s="106">
        <f>VLOOKUP(F133,'Lamp Stock'!A$14:G$48,6,FALSE)</f>
        <v>0</v>
      </c>
      <c r="I133" s="106">
        <f>VLOOKUP(F133,'Lamp Stock'!A$14:H$48,8,FALSE)</f>
        <v>0</v>
      </c>
      <c r="J133" s="262">
        <v>0.5</v>
      </c>
      <c r="K133" s="262">
        <v>0.1</v>
      </c>
      <c r="L133" s="262">
        <v>0.2</v>
      </c>
      <c r="M133" s="74">
        <v>4</v>
      </c>
      <c r="N133" s="75">
        <f t="shared" si="24"/>
        <v>0.25</v>
      </c>
      <c r="O133" s="311">
        <f t="shared" ref="O133:O139" si="31">AD133</f>
        <v>5.5999999999999999E-3</v>
      </c>
      <c r="P133" s="265">
        <f>'Input data'!B$92*O133</f>
        <v>0.88944786759111105</v>
      </c>
      <c r="Q133" s="76">
        <f t="shared" si="25"/>
        <v>6.6491040000000003E-3</v>
      </c>
      <c r="R133" s="76">
        <f t="shared" si="26"/>
        <v>0</v>
      </c>
      <c r="S133" s="76">
        <f>IF(C133="Yes",'Input data'!$E$47*'Input data'!$B$51*O133,'Input data'!$E$47*'Input data'!$B$49*O133)</f>
        <v>0.17934655573333333</v>
      </c>
      <c r="T133" s="76">
        <f>'Other Maintenance'!$B$94*'Maintenance Costs'!O102</f>
        <v>0.11897113551214863</v>
      </c>
      <c r="U133" s="264">
        <f>'Input data'!$B$112</f>
        <v>2.9565521226700353</v>
      </c>
      <c r="V133" s="240">
        <f t="shared" si="27"/>
        <v>4.1509667855066281</v>
      </c>
      <c r="W133" s="76">
        <f>'Input data'!$C$15*'Maintenance Costs'!N102</f>
        <v>9.75</v>
      </c>
      <c r="X133" s="76">
        <f t="shared" si="28"/>
        <v>0.29683500000000002</v>
      </c>
      <c r="Y133" s="76">
        <f>'Input data'!$B$47*'Maintenance Costs'!N102</f>
        <v>0</v>
      </c>
      <c r="Z133" s="76">
        <f>'Other Maintenance'!$B$94*'Maintenance Costs'!N102</f>
        <v>0.74356959695092895</v>
      </c>
      <c r="AA133" s="76">
        <f>('Input data'!$B$96+'Input data'!$B$97)*'Input data'!$B$76</f>
        <v>0.87776744444444454</v>
      </c>
      <c r="AB133" s="240">
        <f t="shared" si="29"/>
        <v>11.668172041395373</v>
      </c>
      <c r="AC133" s="163" t="str">
        <f t="shared" ref="AC133:AC174" si="32">LEFT(A133,3)</f>
        <v>INC</v>
      </c>
      <c r="AD133" s="311">
        <v>5.5999999999999999E-3</v>
      </c>
      <c r="AE133" s="312">
        <f t="shared" si="30"/>
        <v>0</v>
      </c>
      <c r="AF133" s="177"/>
      <c r="AG133" s="177"/>
      <c r="AH133" s="177"/>
      <c r="AI133" s="177"/>
      <c r="AJ133" s="177"/>
      <c r="AK133" s="177"/>
      <c r="AL133" s="177"/>
      <c r="AM133" s="177"/>
      <c r="AN133" s="177"/>
      <c r="AO133" s="177"/>
      <c r="AP133" s="177"/>
      <c r="AQ133" s="177"/>
      <c r="AR133" s="177"/>
      <c r="AS133" s="177"/>
      <c r="AT133" s="177"/>
      <c r="AU133" s="177"/>
      <c r="AV133" s="177"/>
      <c r="AW133" s="177"/>
      <c r="AX133" s="177"/>
    </row>
    <row r="134" spans="1:50" s="178" customFormat="1" ht="13.5" hidden="1" customHeight="1" x14ac:dyDescent="0.2">
      <c r="A134" s="72" t="s">
        <v>436</v>
      </c>
      <c r="B134" s="73" t="str">
        <f>VLOOKUP(LEFT(A134,7),'Tariff Schedule Lookup Table'!A$8:D$143,3,FALSE)</f>
        <v>3x100</v>
      </c>
      <c r="C134" s="236" t="s">
        <v>890</v>
      </c>
      <c r="D134" s="74">
        <v>3</v>
      </c>
      <c r="E134" s="74">
        <v>0</v>
      </c>
      <c r="F134" s="74" t="s">
        <v>297</v>
      </c>
      <c r="G134" s="106">
        <f>VLOOKUP(F134,'Lamp Stock'!A$14:H$48,4,FALSE)</f>
        <v>1.1873400000000001</v>
      </c>
      <c r="H134" s="106">
        <f>VLOOKUP(F134,'Lamp Stock'!A$14:G$48,6,FALSE)</f>
        <v>0</v>
      </c>
      <c r="I134" s="106">
        <f>VLOOKUP(F134,'Lamp Stock'!A$14:H$48,8,FALSE)</f>
        <v>0</v>
      </c>
      <c r="J134" s="262">
        <v>0.5</v>
      </c>
      <c r="K134" s="262">
        <v>0.1</v>
      </c>
      <c r="L134" s="262">
        <v>0.2</v>
      </c>
      <c r="M134" s="74">
        <v>4</v>
      </c>
      <c r="N134" s="75">
        <f t="shared" si="24"/>
        <v>0.25</v>
      </c>
      <c r="O134" s="311">
        <f t="shared" si="31"/>
        <v>5.5999999999999999E-3</v>
      </c>
      <c r="P134" s="265">
        <f>'Input data'!B$92*O134</f>
        <v>0.88944786759111105</v>
      </c>
      <c r="Q134" s="76">
        <f t="shared" si="25"/>
        <v>1.9947312000000002E-2</v>
      </c>
      <c r="R134" s="76">
        <f t="shared" si="26"/>
        <v>0</v>
      </c>
      <c r="S134" s="76">
        <f>IF(C134="Yes",'Input data'!$E$47*'Input data'!$B$51*O134,'Input data'!$E$47*'Input data'!$B$49*O134)</f>
        <v>0.17934655573333333</v>
      </c>
      <c r="T134" s="76">
        <f>'Other Maintenance'!$B$94*'Maintenance Costs'!O106</f>
        <v>0.11897113551214863</v>
      </c>
      <c r="U134" s="264">
        <f>'Input data'!$B$112</f>
        <v>2.9565521226700353</v>
      </c>
      <c r="V134" s="240">
        <f t="shared" si="27"/>
        <v>4.1642649935066283</v>
      </c>
      <c r="W134" s="76">
        <f>'Input data'!$C$15*'Maintenance Costs'!N106</f>
        <v>9.75</v>
      </c>
      <c r="X134" s="76">
        <f t="shared" si="28"/>
        <v>0.8905050000000001</v>
      </c>
      <c r="Y134" s="76">
        <f>'Input data'!$B$47*'Maintenance Costs'!N106</f>
        <v>0</v>
      </c>
      <c r="Z134" s="76">
        <f>'Other Maintenance'!$B$94*'Maintenance Costs'!N106</f>
        <v>0.74356959695092895</v>
      </c>
      <c r="AA134" s="76">
        <f>('Input data'!$B$96+'Input data'!$B$97)*'Input data'!$B$76</f>
        <v>0.87776744444444454</v>
      </c>
      <c r="AB134" s="240">
        <f t="shared" si="29"/>
        <v>12.261842041395374</v>
      </c>
      <c r="AC134" s="163" t="str">
        <f t="shared" si="32"/>
        <v>INC</v>
      </c>
      <c r="AD134" s="311">
        <v>5.5999999999999999E-3</v>
      </c>
      <c r="AE134" s="312">
        <f t="shared" si="30"/>
        <v>0</v>
      </c>
      <c r="AF134" s="177"/>
      <c r="AG134" s="177"/>
      <c r="AH134" s="177"/>
      <c r="AI134" s="177"/>
      <c r="AJ134" s="177"/>
      <c r="AK134" s="177"/>
      <c r="AL134" s="177"/>
      <c r="AM134" s="177"/>
      <c r="AN134" s="177"/>
      <c r="AO134" s="177"/>
      <c r="AP134" s="177"/>
      <c r="AQ134" s="177"/>
      <c r="AR134" s="177"/>
      <c r="AS134" s="177"/>
      <c r="AT134" s="177"/>
      <c r="AU134" s="177"/>
      <c r="AV134" s="177"/>
      <c r="AW134" s="177"/>
      <c r="AX134" s="177"/>
    </row>
    <row r="135" spans="1:50" s="178" customFormat="1" ht="13.5" hidden="1" customHeight="1" x14ac:dyDescent="0.2">
      <c r="A135" s="72" t="s">
        <v>202</v>
      </c>
      <c r="B135" s="73">
        <f>VLOOKUP(LEFT(A135,7),'Tariff Schedule Lookup Table'!A$8:D$143,3,FALSE)</f>
        <v>130</v>
      </c>
      <c r="C135" s="236" t="s">
        <v>890</v>
      </c>
      <c r="D135" s="74">
        <v>1</v>
      </c>
      <c r="E135" s="74">
        <v>0</v>
      </c>
      <c r="F135" s="74" t="s">
        <v>297</v>
      </c>
      <c r="G135" s="106">
        <f>VLOOKUP(F135,'Lamp Stock'!A$14:H$48,4,FALSE)</f>
        <v>1.1873400000000001</v>
      </c>
      <c r="H135" s="106">
        <f>VLOOKUP(F135,'Lamp Stock'!A$14:G$48,6,FALSE)</f>
        <v>0</v>
      </c>
      <c r="I135" s="106">
        <f>VLOOKUP(F135,'Lamp Stock'!A$14:H$48,8,FALSE)</f>
        <v>0</v>
      </c>
      <c r="J135" s="262">
        <v>0.5</v>
      </c>
      <c r="K135" s="262">
        <v>0.1</v>
      </c>
      <c r="L135" s="262">
        <v>0.2</v>
      </c>
      <c r="M135" s="74">
        <v>4</v>
      </c>
      <c r="N135" s="75">
        <f t="shared" si="24"/>
        <v>0.25</v>
      </c>
      <c r="O135" s="311">
        <f t="shared" si="31"/>
        <v>5.5999999999999999E-3</v>
      </c>
      <c r="P135" s="265">
        <f>'Input data'!B$92*O135</f>
        <v>0.88944786759111105</v>
      </c>
      <c r="Q135" s="76">
        <f t="shared" si="25"/>
        <v>6.6491040000000003E-3</v>
      </c>
      <c r="R135" s="76">
        <f t="shared" si="26"/>
        <v>0</v>
      </c>
      <c r="S135" s="76">
        <f>IF(C135="Yes",'Input data'!$E$47*'Input data'!$B$51*O135,'Input data'!$E$47*'Input data'!$B$49*O135)</f>
        <v>0.17934655573333333</v>
      </c>
      <c r="T135" s="76">
        <f>'Other Maintenance'!$B$94*'Maintenance Costs'!O107</f>
        <v>0.17845670326822294</v>
      </c>
      <c r="U135" s="264">
        <f>'Input data'!$B$112</f>
        <v>2.9565521226700353</v>
      </c>
      <c r="V135" s="240">
        <f t="shared" si="27"/>
        <v>4.2104523532627027</v>
      </c>
      <c r="W135" s="76">
        <f>'Input data'!$C$15*'Maintenance Costs'!N107</f>
        <v>9.75</v>
      </c>
      <c r="X135" s="76">
        <f t="shared" si="28"/>
        <v>0.29683500000000002</v>
      </c>
      <c r="Y135" s="76">
        <f>'Input data'!$B$47*'Maintenance Costs'!N107</f>
        <v>0</v>
      </c>
      <c r="Z135" s="76">
        <f>'Other Maintenance'!$B$94*'Maintenance Costs'!N107</f>
        <v>0.74356959695092895</v>
      </c>
      <c r="AA135" s="76">
        <f>('Input data'!$B$96+'Input data'!$B$97)*'Input data'!$B$76</f>
        <v>0.87776744444444454</v>
      </c>
      <c r="AB135" s="240">
        <f t="shared" si="29"/>
        <v>11.668172041395373</v>
      </c>
      <c r="AC135" s="163" t="str">
        <f t="shared" si="32"/>
        <v>INC</v>
      </c>
      <c r="AD135" s="311">
        <v>5.5999999999999999E-3</v>
      </c>
      <c r="AE135" s="312">
        <f t="shared" si="30"/>
        <v>0</v>
      </c>
      <c r="AF135" s="177"/>
      <c r="AG135" s="177"/>
      <c r="AH135" s="177"/>
      <c r="AI135" s="177"/>
      <c r="AJ135" s="177"/>
      <c r="AK135" s="177"/>
      <c r="AL135" s="177"/>
      <c r="AM135" s="177"/>
      <c r="AN135" s="177"/>
      <c r="AO135" s="177"/>
      <c r="AP135" s="177"/>
      <c r="AQ135" s="177"/>
      <c r="AR135" s="177"/>
      <c r="AS135" s="177"/>
      <c r="AT135" s="177"/>
      <c r="AU135" s="177"/>
      <c r="AV135" s="177"/>
      <c r="AW135" s="177"/>
      <c r="AX135" s="177"/>
    </row>
    <row r="136" spans="1:50" s="178" customFormat="1" ht="13.5" hidden="1" customHeight="1" x14ac:dyDescent="0.2">
      <c r="A136" s="72" t="s">
        <v>437</v>
      </c>
      <c r="B136" s="73">
        <f>VLOOKUP(LEFT(A136,7),'Tariff Schedule Lookup Table'!A$8:D$143,3,FALSE)</f>
        <v>750</v>
      </c>
      <c r="C136" s="236" t="s">
        <v>891</v>
      </c>
      <c r="D136" s="74">
        <v>1</v>
      </c>
      <c r="E136" s="74">
        <v>0</v>
      </c>
      <c r="F136" s="74" t="s">
        <v>297</v>
      </c>
      <c r="G136" s="106">
        <f>VLOOKUP(F136,'Lamp Stock'!A$14:H$48,4,FALSE)</f>
        <v>1.1873400000000001</v>
      </c>
      <c r="H136" s="106">
        <f>VLOOKUP(F136,'Lamp Stock'!A$14:G$48,6,FALSE)</f>
        <v>0</v>
      </c>
      <c r="I136" s="106">
        <f>VLOOKUP(F136,'Lamp Stock'!A$14:H$48,8,FALSE)</f>
        <v>0</v>
      </c>
      <c r="J136" s="262">
        <v>0.5</v>
      </c>
      <c r="K136" s="262">
        <v>0.1</v>
      </c>
      <c r="L136" s="262">
        <v>0.2</v>
      </c>
      <c r="M136" s="74">
        <v>4</v>
      </c>
      <c r="N136" s="75">
        <f t="shared" si="24"/>
        <v>0.25</v>
      </c>
      <c r="O136" s="311">
        <f t="shared" si="31"/>
        <v>5.5999999999999999E-3</v>
      </c>
      <c r="P136" s="265">
        <f>'Input data'!B$92*O136</f>
        <v>0.88944786759111105</v>
      </c>
      <c r="Q136" s="76">
        <f t="shared" si="25"/>
        <v>6.6491040000000003E-3</v>
      </c>
      <c r="R136" s="76">
        <f t="shared" si="26"/>
        <v>0</v>
      </c>
      <c r="S136" s="76">
        <f>IF(C136="Yes",'Input data'!$E$47*'Input data'!$B$51*O136,'Input data'!$E$47*'Input data'!$B$49*O136)</f>
        <v>1.4347724458666666</v>
      </c>
      <c r="T136" s="76">
        <f>'Other Maintenance'!$B$94*'Maintenance Costs'!O112</f>
        <v>0.17845670326822294</v>
      </c>
      <c r="U136" s="264">
        <f>'Input data'!$B$112</f>
        <v>2.9565521226700353</v>
      </c>
      <c r="V136" s="240">
        <f t="shared" si="27"/>
        <v>5.4658782433960358</v>
      </c>
      <c r="W136" s="76">
        <f>'Input data'!$C$15*'Maintenance Costs'!N112</f>
        <v>9.75</v>
      </c>
      <c r="X136" s="76">
        <f t="shared" si="28"/>
        <v>0.29683500000000002</v>
      </c>
      <c r="Y136" s="76">
        <f>'Input data'!$B$47*'Maintenance Costs'!N112</f>
        <v>0</v>
      </c>
      <c r="Z136" s="76">
        <f>'Other Maintenance'!$B$94*'Maintenance Costs'!N112</f>
        <v>0.74356959695092895</v>
      </c>
      <c r="AA136" s="76">
        <f>('Input data'!$B$96+'Input data'!$B$97)*'Input data'!$B$76</f>
        <v>0.87776744444444454</v>
      </c>
      <c r="AB136" s="240">
        <f t="shared" si="29"/>
        <v>11.668172041395373</v>
      </c>
      <c r="AC136" s="163" t="str">
        <f t="shared" si="32"/>
        <v>INC</v>
      </c>
      <c r="AD136" s="311">
        <v>5.5999999999999999E-3</v>
      </c>
      <c r="AE136" s="312">
        <f t="shared" si="30"/>
        <v>0</v>
      </c>
      <c r="AF136" s="177"/>
      <c r="AG136" s="177"/>
      <c r="AH136" s="177"/>
      <c r="AI136" s="177"/>
      <c r="AJ136" s="177"/>
      <c r="AK136" s="177"/>
      <c r="AL136" s="177"/>
      <c r="AM136" s="177"/>
      <c r="AN136" s="177"/>
      <c r="AO136" s="177"/>
      <c r="AP136" s="177"/>
      <c r="AQ136" s="177"/>
      <c r="AR136" s="177"/>
      <c r="AS136" s="177"/>
      <c r="AT136" s="177"/>
      <c r="AU136" s="177"/>
      <c r="AV136" s="177"/>
      <c r="AW136" s="177"/>
      <c r="AX136" s="177"/>
    </row>
    <row r="137" spans="1:50" s="178" customFormat="1" ht="13.5" hidden="1" customHeight="1" x14ac:dyDescent="0.2">
      <c r="A137" s="72" t="s">
        <v>207</v>
      </c>
      <c r="B137" s="73">
        <f>VLOOKUP(LEFT(A137,7),'Tariff Schedule Lookup Table'!A$8:D$143,3,FALSE)</f>
        <v>800</v>
      </c>
      <c r="C137" s="236" t="s">
        <v>891</v>
      </c>
      <c r="D137" s="74">
        <v>1</v>
      </c>
      <c r="E137" s="74">
        <v>0</v>
      </c>
      <c r="F137" s="74" t="s">
        <v>297</v>
      </c>
      <c r="G137" s="106">
        <f>VLOOKUP(F137,'Lamp Stock'!A$14:H$48,4,FALSE)</f>
        <v>1.1873400000000001</v>
      </c>
      <c r="H137" s="106">
        <f>VLOOKUP(F137,'Lamp Stock'!A$14:G$48,6,FALSE)</f>
        <v>0</v>
      </c>
      <c r="I137" s="106">
        <f>VLOOKUP(F137,'Lamp Stock'!A$14:H$48,8,FALSE)</f>
        <v>0</v>
      </c>
      <c r="J137" s="262">
        <v>0.5</v>
      </c>
      <c r="K137" s="262">
        <v>0.1</v>
      </c>
      <c r="L137" s="262">
        <v>0.2</v>
      </c>
      <c r="M137" s="74">
        <v>4</v>
      </c>
      <c r="N137" s="75">
        <f t="shared" si="24"/>
        <v>0.25</v>
      </c>
      <c r="O137" s="311">
        <f t="shared" si="31"/>
        <v>5.5999999999999999E-3</v>
      </c>
      <c r="P137" s="265">
        <f>'Input data'!B$92*O137</f>
        <v>0.88944786759111105</v>
      </c>
      <c r="Q137" s="76">
        <f t="shared" si="25"/>
        <v>6.6491040000000003E-3</v>
      </c>
      <c r="R137" s="76">
        <f t="shared" si="26"/>
        <v>0</v>
      </c>
      <c r="S137" s="76">
        <f>IF(C137="Yes",'Input data'!$E$47*'Input data'!$B$51*O137,'Input data'!$E$47*'Input data'!$B$49*O137)</f>
        <v>1.4347724458666666</v>
      </c>
      <c r="T137" s="76">
        <f>'Other Maintenance'!$B$94*'Maintenance Costs'!O113</f>
        <v>0.17845670326822294</v>
      </c>
      <c r="U137" s="264">
        <f>'Input data'!$B$112</f>
        <v>2.9565521226700353</v>
      </c>
      <c r="V137" s="240">
        <f t="shared" si="27"/>
        <v>5.4658782433960358</v>
      </c>
      <c r="W137" s="76">
        <f>'Input data'!$C$15*'Maintenance Costs'!N113</f>
        <v>9.75</v>
      </c>
      <c r="X137" s="76">
        <f t="shared" si="28"/>
        <v>0.29683500000000002</v>
      </c>
      <c r="Y137" s="76">
        <f>'Input data'!$B$47*'Maintenance Costs'!N113</f>
        <v>0</v>
      </c>
      <c r="Z137" s="76">
        <f>'Other Maintenance'!$B$94*'Maintenance Costs'!N113</f>
        <v>0.74356959695092895</v>
      </c>
      <c r="AA137" s="76">
        <f>('Input data'!$B$96+'Input data'!$B$97)*'Input data'!$B$76</f>
        <v>0.87776744444444454</v>
      </c>
      <c r="AB137" s="240">
        <f t="shared" si="29"/>
        <v>11.668172041395373</v>
      </c>
      <c r="AC137" s="163" t="str">
        <f t="shared" si="32"/>
        <v>INC</v>
      </c>
      <c r="AD137" s="311">
        <v>5.5999999999999999E-3</v>
      </c>
      <c r="AE137" s="312">
        <f t="shared" si="30"/>
        <v>0</v>
      </c>
      <c r="AF137" s="177"/>
      <c r="AG137" s="177"/>
      <c r="AH137" s="177"/>
      <c r="AI137" s="177"/>
      <c r="AJ137" s="177"/>
      <c r="AK137" s="177"/>
      <c r="AL137" s="177"/>
      <c r="AM137" s="177"/>
      <c r="AN137" s="177"/>
      <c r="AO137" s="177"/>
      <c r="AP137" s="177"/>
      <c r="AQ137" s="177"/>
      <c r="AR137" s="177"/>
      <c r="AS137" s="177"/>
      <c r="AT137" s="177"/>
      <c r="AU137" s="177"/>
      <c r="AV137" s="177"/>
      <c r="AW137" s="177"/>
      <c r="AX137" s="177"/>
    </row>
    <row r="138" spans="1:50" s="178" customFormat="1" ht="13.5" hidden="1" customHeight="1" x14ac:dyDescent="0.2">
      <c r="A138" s="77" t="s">
        <v>208</v>
      </c>
      <c r="B138" s="78">
        <f>VLOOKUP(LEFT(A138,7),'Tariff Schedule Lookup Table'!A$8:D$143,3,FALSE)</f>
        <v>1000</v>
      </c>
      <c r="C138" s="236" t="s">
        <v>891</v>
      </c>
      <c r="D138" s="79">
        <v>1</v>
      </c>
      <c r="E138" s="79">
        <v>0</v>
      </c>
      <c r="F138" s="79" t="s">
        <v>297</v>
      </c>
      <c r="G138" s="106">
        <f>VLOOKUP(F138,'Lamp Stock'!A$14:H$48,4,FALSE)</f>
        <v>1.1873400000000001</v>
      </c>
      <c r="H138" s="106">
        <f>VLOOKUP(F138,'Lamp Stock'!A$14:G$48,6,FALSE)</f>
        <v>0</v>
      </c>
      <c r="I138" s="106">
        <f>VLOOKUP(F138,'Lamp Stock'!A$14:H$48,8,FALSE)</f>
        <v>0</v>
      </c>
      <c r="J138" s="267">
        <v>0.5</v>
      </c>
      <c r="K138" s="267">
        <v>0.1</v>
      </c>
      <c r="L138" s="267">
        <v>0.2</v>
      </c>
      <c r="M138" s="74">
        <v>4</v>
      </c>
      <c r="N138" s="80">
        <f t="shared" si="24"/>
        <v>0.25</v>
      </c>
      <c r="O138" s="311">
        <f t="shared" si="31"/>
        <v>5.5999999999999999E-3</v>
      </c>
      <c r="P138" s="265">
        <f>'Input data'!B$92*O138</f>
        <v>0.88944786759111105</v>
      </c>
      <c r="Q138" s="76">
        <f t="shared" si="25"/>
        <v>6.6491040000000003E-3</v>
      </c>
      <c r="R138" s="76">
        <f t="shared" si="26"/>
        <v>0</v>
      </c>
      <c r="S138" s="76">
        <f>IF(C138="Yes",'Input data'!$E$47*'Input data'!$B$51*O138,'Input data'!$E$47*'Input data'!$B$49*O138)</f>
        <v>1.4347724458666666</v>
      </c>
      <c r="T138" s="76">
        <f>'Other Maintenance'!$B$94*'Maintenance Costs'!O114</f>
        <v>0.17845670326822294</v>
      </c>
      <c r="U138" s="264">
        <f>'Input data'!$B$112</f>
        <v>2.9565521226700353</v>
      </c>
      <c r="V138" s="240">
        <f t="shared" si="27"/>
        <v>5.4658782433960358</v>
      </c>
      <c r="W138" s="76">
        <f>'Input data'!$C$15*'Maintenance Costs'!N114</f>
        <v>9.75</v>
      </c>
      <c r="X138" s="76">
        <f t="shared" si="28"/>
        <v>0.29683500000000002</v>
      </c>
      <c r="Y138" s="76">
        <f>'Input data'!$B$47*'Maintenance Costs'!N114</f>
        <v>0</v>
      </c>
      <c r="Z138" s="76">
        <f>'Other Maintenance'!$B$94*'Maintenance Costs'!N114</f>
        <v>0.74356959695092895</v>
      </c>
      <c r="AA138" s="76">
        <f>('Input data'!$B$96+'Input data'!$B$97)*'Input data'!$B$76</f>
        <v>0.87776744444444454</v>
      </c>
      <c r="AB138" s="240">
        <f t="shared" si="29"/>
        <v>11.668172041395373</v>
      </c>
      <c r="AC138" s="163" t="str">
        <f t="shared" si="32"/>
        <v>INC</v>
      </c>
      <c r="AD138" s="311">
        <v>5.5999999999999999E-3</v>
      </c>
      <c r="AE138" s="312">
        <f t="shared" si="30"/>
        <v>0</v>
      </c>
      <c r="AF138" s="177"/>
      <c r="AG138" s="177"/>
      <c r="AH138" s="177"/>
      <c r="AI138" s="177"/>
      <c r="AJ138" s="177"/>
      <c r="AK138" s="177"/>
      <c r="AL138" s="177"/>
      <c r="AM138" s="177"/>
      <c r="AN138" s="177"/>
      <c r="AO138" s="177"/>
      <c r="AP138" s="177"/>
      <c r="AQ138" s="177"/>
      <c r="AR138" s="177"/>
      <c r="AS138" s="177"/>
      <c r="AT138" s="177"/>
      <c r="AU138" s="177"/>
      <c r="AV138" s="177"/>
      <c r="AW138" s="177"/>
      <c r="AX138" s="177"/>
    </row>
    <row r="139" spans="1:50" s="178" customFormat="1" ht="13.5" hidden="1" customHeight="1" x14ac:dyDescent="0.2">
      <c r="A139" s="72" t="s">
        <v>438</v>
      </c>
      <c r="B139" s="73">
        <f>VLOOKUP(LEFT(A139,7),'Tariff Schedule Lookup Table'!A$8:D$143,3,FALSE)</f>
        <v>1440</v>
      </c>
      <c r="C139" s="236" t="s">
        <v>891</v>
      </c>
      <c r="D139" s="74">
        <v>1</v>
      </c>
      <c r="E139" s="74">
        <v>0</v>
      </c>
      <c r="F139" s="74" t="s">
        <v>297</v>
      </c>
      <c r="G139" s="106">
        <f>VLOOKUP(F139,'Lamp Stock'!A$14:H$48,4,FALSE)</f>
        <v>1.1873400000000001</v>
      </c>
      <c r="H139" s="106">
        <f>VLOOKUP(F139,'Lamp Stock'!A$14:G$48,6,FALSE)</f>
        <v>0</v>
      </c>
      <c r="I139" s="106">
        <f>VLOOKUP(F139,'Lamp Stock'!A$14:H$48,8,FALSE)</f>
        <v>0</v>
      </c>
      <c r="J139" s="262">
        <v>0.5</v>
      </c>
      <c r="K139" s="262">
        <v>0.1</v>
      </c>
      <c r="L139" s="262">
        <v>0.2</v>
      </c>
      <c r="M139" s="74">
        <v>4</v>
      </c>
      <c r="N139" s="75">
        <f t="shared" si="24"/>
        <v>0.25</v>
      </c>
      <c r="O139" s="311">
        <f t="shared" si="31"/>
        <v>5.5999999999999999E-3</v>
      </c>
      <c r="P139" s="265">
        <f>'Input data'!B$92*O139</f>
        <v>0.88944786759111105</v>
      </c>
      <c r="Q139" s="76">
        <f t="shared" si="25"/>
        <v>6.6491040000000003E-3</v>
      </c>
      <c r="R139" s="76">
        <f t="shared" si="26"/>
        <v>0</v>
      </c>
      <c r="S139" s="76">
        <f>IF(C139="Yes",'Input data'!$E$47*'Input data'!$B$51*O139,'Input data'!$E$47*'Input data'!$B$49*O139)</f>
        <v>1.4347724458666666</v>
      </c>
      <c r="T139" s="76">
        <f>'Other Maintenance'!$B$94*'Maintenance Costs'!O115</f>
        <v>0.17845670326822294</v>
      </c>
      <c r="U139" s="264">
        <f>'Input data'!$B$112</f>
        <v>2.9565521226700353</v>
      </c>
      <c r="V139" s="240">
        <f t="shared" si="27"/>
        <v>5.4658782433960358</v>
      </c>
      <c r="W139" s="76">
        <f>'Input data'!$C$15*'Maintenance Costs'!N115</f>
        <v>9.75</v>
      </c>
      <c r="X139" s="76">
        <f t="shared" si="28"/>
        <v>0.29683500000000002</v>
      </c>
      <c r="Y139" s="76">
        <f>'Input data'!$B$47*'Maintenance Costs'!N115</f>
        <v>0</v>
      </c>
      <c r="Z139" s="76">
        <f>'Other Maintenance'!$B$94*'Maintenance Costs'!N115</f>
        <v>0.74356959695092895</v>
      </c>
      <c r="AA139" s="76">
        <f>('Input data'!$B$96+'Input data'!$B$97)*'Input data'!$B$76</f>
        <v>0.87776744444444454</v>
      </c>
      <c r="AB139" s="240">
        <f t="shared" si="29"/>
        <v>11.668172041395373</v>
      </c>
      <c r="AC139" s="163" t="str">
        <f t="shared" si="32"/>
        <v>INC</v>
      </c>
      <c r="AD139" s="311">
        <v>5.5999999999999999E-3</v>
      </c>
      <c r="AE139" s="312">
        <f t="shared" si="30"/>
        <v>0</v>
      </c>
      <c r="AF139" s="177"/>
      <c r="AG139" s="177"/>
      <c r="AH139" s="177"/>
      <c r="AI139" s="177"/>
      <c r="AJ139" s="177"/>
      <c r="AK139" s="177"/>
      <c r="AL139" s="177"/>
      <c r="AM139" s="177"/>
      <c r="AN139" s="177"/>
      <c r="AO139" s="177"/>
      <c r="AP139" s="177"/>
      <c r="AQ139" s="177"/>
      <c r="AR139" s="177"/>
      <c r="AS139" s="177"/>
      <c r="AT139" s="177"/>
      <c r="AU139" s="177"/>
      <c r="AV139" s="177"/>
      <c r="AW139" s="177"/>
      <c r="AX139" s="177"/>
    </row>
    <row r="140" spans="1:50" s="178" customFormat="1" ht="13.5" hidden="1" customHeight="1" x14ac:dyDescent="0.2">
      <c r="A140" s="72" t="s">
        <v>439</v>
      </c>
      <c r="B140" s="73">
        <f>VLOOKUP(LEFT(A140,7),'Tariff Schedule Lookup Table'!A$8:D$143,3,FALSE)</f>
        <v>2880</v>
      </c>
      <c r="C140" s="236" t="s">
        <v>891</v>
      </c>
      <c r="D140" s="74">
        <v>1</v>
      </c>
      <c r="E140" s="74">
        <v>0</v>
      </c>
      <c r="F140" s="74" t="s">
        <v>297</v>
      </c>
      <c r="G140" s="106">
        <f>VLOOKUP(F140,'Lamp Stock'!A$14:H$48,4,FALSE)</f>
        <v>1.1873400000000001</v>
      </c>
      <c r="H140" s="106">
        <f>VLOOKUP(F140,'Lamp Stock'!A$14:G$48,6,FALSE)</f>
        <v>0</v>
      </c>
      <c r="I140" s="106">
        <f>VLOOKUP(F140,'Lamp Stock'!A$14:H$48,8,FALSE)</f>
        <v>0</v>
      </c>
      <c r="J140" s="262">
        <v>0.5</v>
      </c>
      <c r="K140" s="262">
        <v>0.1</v>
      </c>
      <c r="L140" s="262">
        <v>0.2</v>
      </c>
      <c r="M140" s="74">
        <v>4</v>
      </c>
      <c r="N140" s="75">
        <f t="shared" si="24"/>
        <v>0.25</v>
      </c>
      <c r="O140" s="311">
        <f>AD140</f>
        <v>5.5999999999999999E-3</v>
      </c>
      <c r="P140" s="265">
        <f>'Input data'!B$92*O140</f>
        <v>0.88944786759111105</v>
      </c>
      <c r="Q140" s="76">
        <f t="shared" si="25"/>
        <v>6.6491040000000003E-3</v>
      </c>
      <c r="R140" s="76">
        <f t="shared" si="26"/>
        <v>0</v>
      </c>
      <c r="S140" s="76">
        <f>IF(C140="Yes",'Input data'!$E$47*'Input data'!$B$51*O140,'Input data'!$E$47*'Input data'!$B$49*O140)</f>
        <v>1.4347724458666666</v>
      </c>
      <c r="T140" s="76">
        <f>'Other Maintenance'!$B$94*'Maintenance Costs'!O117</f>
        <v>0.17845670326822294</v>
      </c>
      <c r="U140" s="264">
        <f>'Input data'!$B$112</f>
        <v>2.9565521226700353</v>
      </c>
      <c r="V140" s="240">
        <f t="shared" si="27"/>
        <v>5.4658782433960358</v>
      </c>
      <c r="W140" s="76">
        <f>'Input data'!$C$15*'Maintenance Costs'!N117</f>
        <v>9.75</v>
      </c>
      <c r="X140" s="76">
        <f t="shared" si="28"/>
        <v>0.29683500000000002</v>
      </c>
      <c r="Y140" s="76">
        <f>'Input data'!$B$47*'Maintenance Costs'!N117</f>
        <v>0</v>
      </c>
      <c r="Z140" s="76">
        <f>'Other Maintenance'!$B$94*'Maintenance Costs'!N117</f>
        <v>0.74356959695092895</v>
      </c>
      <c r="AA140" s="76">
        <f>('Input data'!$B$96+'Input data'!$B$97)*'Input data'!$B$76</f>
        <v>0.87776744444444454</v>
      </c>
      <c r="AB140" s="240">
        <f t="shared" si="29"/>
        <v>11.668172041395373</v>
      </c>
      <c r="AC140" s="163" t="str">
        <f t="shared" si="32"/>
        <v>INC</v>
      </c>
      <c r="AD140" s="311">
        <v>5.5999999999999999E-3</v>
      </c>
      <c r="AE140" s="312">
        <f t="shared" si="30"/>
        <v>0</v>
      </c>
      <c r="AF140" s="177"/>
      <c r="AG140" s="177"/>
      <c r="AH140" s="177"/>
      <c r="AI140" s="177"/>
      <c r="AJ140" s="177"/>
      <c r="AK140" s="177"/>
      <c r="AL140" s="177"/>
      <c r="AM140" s="177"/>
      <c r="AN140" s="177"/>
      <c r="AO140" s="177"/>
      <c r="AP140" s="177"/>
      <c r="AQ140" s="177"/>
      <c r="AR140" s="177"/>
      <c r="AS140" s="177"/>
      <c r="AT140" s="177"/>
      <c r="AU140" s="177"/>
      <c r="AV140" s="177"/>
      <c r="AW140" s="177"/>
      <c r="AX140" s="177"/>
    </row>
    <row r="141" spans="1:50" s="178" customFormat="1" hidden="1" x14ac:dyDescent="0.2">
      <c r="A141" s="72" t="s">
        <v>210</v>
      </c>
      <c r="B141" s="73">
        <f>VLOOKUP(LEFT(A141,7),'Tariff Schedule Lookup Table'!A$8:D$143,3,FALSE)</f>
        <v>18</v>
      </c>
      <c r="C141" s="236" t="s">
        <v>890</v>
      </c>
      <c r="D141" s="74">
        <v>1</v>
      </c>
      <c r="E141" s="74">
        <v>0</v>
      </c>
      <c r="F141" s="74" t="s">
        <v>314</v>
      </c>
      <c r="G141" s="106">
        <f>VLOOKUP(F141,'Lamp Stock'!A$14:H$48,4,FALSE)</f>
        <v>30.00732</v>
      </c>
      <c r="H141" s="106">
        <f>VLOOKUP(F141,'Lamp Stock'!A$14:G$48,6,FALSE)</f>
        <v>72.319800000000001</v>
      </c>
      <c r="I141" s="106">
        <f>VLOOKUP(F141,'Lamp Stock'!A$14:H$48,8,FALSE)</f>
        <v>21.005123999999999</v>
      </c>
      <c r="J141" s="262">
        <v>0.25</v>
      </c>
      <c r="K141" s="262">
        <v>0.1</v>
      </c>
      <c r="L141" s="262">
        <v>0.2</v>
      </c>
      <c r="M141" s="74">
        <v>4</v>
      </c>
      <c r="N141" s="75">
        <f t="shared" si="24"/>
        <v>0.25</v>
      </c>
      <c r="O141" s="311">
        <v>0.06</v>
      </c>
      <c r="P141" s="265">
        <f>'Input data'!B$92*O141</f>
        <v>9.529798581333333</v>
      </c>
      <c r="Q141" s="76">
        <f t="shared" si="25"/>
        <v>1.8004392</v>
      </c>
      <c r="R141" s="76">
        <f t="shared" si="26"/>
        <v>2.1281450399999997</v>
      </c>
      <c r="S141" s="76">
        <f>IF(C141="Yes",'Input data'!$E$47*'Input data'!$B$51*O141,'Input data'!$E$47*'Input data'!$B$49*O141)</f>
        <v>1.9215702399999999</v>
      </c>
      <c r="T141" s="76">
        <f>'Other Maintenance'!$B$94*'Maintenance Costs'!O118</f>
        <v>0.17845670326822294</v>
      </c>
      <c r="U141" s="264">
        <f>'Input data'!$B$112</f>
        <v>2.9565521226700353</v>
      </c>
      <c r="V141" s="240">
        <f t="shared" si="27"/>
        <v>18.514961887271589</v>
      </c>
      <c r="W141" s="76">
        <f>'Input data'!$C$15*'Maintenance Costs'!N118</f>
        <v>9.75</v>
      </c>
      <c r="X141" s="76">
        <f t="shared" si="28"/>
        <v>12.753111000000001</v>
      </c>
      <c r="Y141" s="76">
        <f>'Input data'!$B$47*'Maintenance Costs'!N118</f>
        <v>0</v>
      </c>
      <c r="Z141" s="76">
        <f>'Other Maintenance'!$B$94*'Maintenance Costs'!N118</f>
        <v>0.74356959695092895</v>
      </c>
      <c r="AA141" s="76">
        <f>('Input data'!$B$96+'Input data'!$B$97)*'Input data'!$B$76</f>
        <v>0.87776744444444454</v>
      </c>
      <c r="AB141" s="240">
        <f t="shared" si="29"/>
        <v>24.124448041395375</v>
      </c>
      <c r="AC141" s="163" t="str">
        <f t="shared" si="32"/>
        <v>LPS</v>
      </c>
      <c r="AD141" s="311">
        <v>0.1076</v>
      </c>
      <c r="AE141" s="312">
        <f t="shared" si="30"/>
        <v>4.7600000000000003E-2</v>
      </c>
      <c r="AF141" s="177"/>
      <c r="AG141" s="177"/>
      <c r="AH141" s="177"/>
      <c r="AI141" s="177"/>
      <c r="AJ141" s="177"/>
      <c r="AK141" s="177"/>
      <c r="AL141" s="177"/>
      <c r="AM141" s="177"/>
      <c r="AN141" s="177"/>
      <c r="AO141" s="177"/>
      <c r="AP141" s="177"/>
      <c r="AQ141" s="177"/>
      <c r="AR141" s="177"/>
      <c r="AS141" s="177"/>
      <c r="AT141" s="177"/>
      <c r="AU141" s="177"/>
      <c r="AV141" s="177"/>
      <c r="AW141" s="177"/>
      <c r="AX141" s="177"/>
    </row>
    <row r="142" spans="1:50" s="178" customFormat="1" hidden="1" x14ac:dyDescent="0.2">
      <c r="A142" s="72" t="s">
        <v>211</v>
      </c>
      <c r="B142" s="73">
        <f>VLOOKUP(LEFT(A142,7),'Tariff Schedule Lookup Table'!A$8:D$143,3,FALSE)</f>
        <v>35</v>
      </c>
      <c r="C142" s="236" t="s">
        <v>890</v>
      </c>
      <c r="D142" s="74">
        <v>1</v>
      </c>
      <c r="E142" s="74">
        <v>0</v>
      </c>
      <c r="F142" s="74" t="s">
        <v>314</v>
      </c>
      <c r="G142" s="106">
        <f>VLOOKUP(F142,'Lamp Stock'!A$14:H$48,4,FALSE)</f>
        <v>30.00732</v>
      </c>
      <c r="H142" s="106">
        <f>VLOOKUP(F142,'Lamp Stock'!A$14:G$48,6,FALSE)</f>
        <v>72.319800000000001</v>
      </c>
      <c r="I142" s="106">
        <f>VLOOKUP(F142,'Lamp Stock'!A$14:H$48,8,FALSE)</f>
        <v>21.005123999999999</v>
      </c>
      <c r="J142" s="262">
        <v>0.25</v>
      </c>
      <c r="K142" s="262">
        <v>0.1</v>
      </c>
      <c r="L142" s="262">
        <v>0.2</v>
      </c>
      <c r="M142" s="74">
        <v>4</v>
      </c>
      <c r="N142" s="75">
        <f t="shared" si="24"/>
        <v>0.25</v>
      </c>
      <c r="O142" s="311">
        <v>0.06</v>
      </c>
      <c r="P142" s="265">
        <f>'Input data'!B$92*O142</f>
        <v>9.529798581333333</v>
      </c>
      <c r="Q142" s="76">
        <f t="shared" si="25"/>
        <v>1.8004392</v>
      </c>
      <c r="R142" s="76">
        <f t="shared" si="26"/>
        <v>2.1281450399999997</v>
      </c>
      <c r="S142" s="76">
        <f>IF(C142="Yes",'Input data'!$E$47*'Input data'!$B$51*O142,'Input data'!$E$47*'Input data'!$B$49*O142)</f>
        <v>1.9215702399999999</v>
      </c>
      <c r="T142" s="76">
        <f>'Other Maintenance'!$B$94*'Maintenance Costs'!O119</f>
        <v>0.17845670326822294</v>
      </c>
      <c r="U142" s="264">
        <f>'Input data'!$B$112</f>
        <v>2.9565521226700353</v>
      </c>
      <c r="V142" s="240">
        <f t="shared" si="27"/>
        <v>18.514961887271589</v>
      </c>
      <c r="W142" s="76">
        <f>'Input data'!$C$15*'Maintenance Costs'!N119</f>
        <v>9.75</v>
      </c>
      <c r="X142" s="76">
        <f t="shared" si="28"/>
        <v>12.753111000000001</v>
      </c>
      <c r="Y142" s="76">
        <f>'Input data'!$B$47*'Maintenance Costs'!N119</f>
        <v>0</v>
      </c>
      <c r="Z142" s="76">
        <f>'Other Maintenance'!$B$94*'Maintenance Costs'!N119</f>
        <v>0.74356959695092895</v>
      </c>
      <c r="AA142" s="76">
        <f>('Input data'!$B$96+'Input data'!$B$97)*'Input data'!$B$76</f>
        <v>0.87776744444444454</v>
      </c>
      <c r="AB142" s="240">
        <f t="shared" si="29"/>
        <v>24.124448041395375</v>
      </c>
      <c r="AC142" s="163" t="str">
        <f t="shared" si="32"/>
        <v>LPS</v>
      </c>
      <c r="AD142" s="311">
        <v>0.1076</v>
      </c>
      <c r="AE142" s="312">
        <f t="shared" si="30"/>
        <v>4.7600000000000003E-2</v>
      </c>
      <c r="AF142" s="177"/>
      <c r="AG142" s="177"/>
      <c r="AH142" s="177"/>
      <c r="AI142" s="177"/>
      <c r="AJ142" s="177"/>
      <c r="AK142" s="177"/>
      <c r="AL142" s="177"/>
      <c r="AM142" s="177"/>
      <c r="AN142" s="177"/>
      <c r="AO142" s="177"/>
      <c r="AP142" s="177"/>
      <c r="AQ142" s="177"/>
      <c r="AR142" s="177"/>
      <c r="AS142" s="177"/>
      <c r="AT142" s="177"/>
      <c r="AU142" s="177"/>
      <c r="AV142" s="177"/>
      <c r="AW142" s="177"/>
      <c r="AX142" s="177"/>
    </row>
    <row r="143" spans="1:50" s="178" customFormat="1" hidden="1" x14ac:dyDescent="0.2">
      <c r="A143" s="72" t="s">
        <v>440</v>
      </c>
      <c r="B143" s="73">
        <f>VLOOKUP(LEFT(A143,7),'Tariff Schedule Lookup Table'!A$8:D$143,3,FALSE)</f>
        <v>160</v>
      </c>
      <c r="C143" s="236" t="s">
        <v>891</v>
      </c>
      <c r="D143" s="74">
        <v>1</v>
      </c>
      <c r="E143" s="74">
        <v>0</v>
      </c>
      <c r="F143" s="74" t="s">
        <v>316</v>
      </c>
      <c r="G143" s="106">
        <f>VLOOKUP(F143,'Lamp Stock'!A$14:H$48,4,FALSE)</f>
        <v>38.3187</v>
      </c>
      <c r="H143" s="106">
        <f>VLOOKUP(F143,'Lamp Stock'!A$14:G$48,6,FALSE)</f>
        <v>79.551779999999994</v>
      </c>
      <c r="I143" s="106">
        <f>VLOOKUP(F143,'Lamp Stock'!A$14:H$48,8,FALSE)</f>
        <v>21.005123999999999</v>
      </c>
      <c r="J143" s="262">
        <v>0.25</v>
      </c>
      <c r="K143" s="262">
        <v>0.1</v>
      </c>
      <c r="L143" s="262">
        <v>0.2</v>
      </c>
      <c r="M143" s="74">
        <v>4</v>
      </c>
      <c r="N143" s="75">
        <f t="shared" si="24"/>
        <v>0.25</v>
      </c>
      <c r="O143" s="311">
        <v>0.06</v>
      </c>
      <c r="P143" s="265">
        <f>'Input data'!B$92*O143</f>
        <v>9.529798581333333</v>
      </c>
      <c r="Q143" s="76">
        <f t="shared" si="25"/>
        <v>2.2991220000000001</v>
      </c>
      <c r="R143" s="76">
        <f t="shared" si="26"/>
        <v>2.2149288</v>
      </c>
      <c r="S143" s="76">
        <f>IF(C143="Yes",'Input data'!$E$47*'Input data'!$B$51*O143,'Input data'!$E$47*'Input data'!$B$49*O143)</f>
        <v>15.372561919999999</v>
      </c>
      <c r="T143" s="76">
        <f>'Other Maintenance'!$B$94*'Maintenance Costs'!O124</f>
        <v>0.11897113551214863</v>
      </c>
      <c r="U143" s="264">
        <f>'Input data'!$B$112</f>
        <v>2.9565521226700353</v>
      </c>
      <c r="V143" s="240">
        <f t="shared" si="27"/>
        <v>32.491934559515514</v>
      </c>
      <c r="W143" s="76">
        <f>'Input data'!$C$15*'Maintenance Costs'!N124</f>
        <v>9.75</v>
      </c>
      <c r="X143" s="76">
        <f t="shared" si="28"/>
        <v>14.830956</v>
      </c>
      <c r="Y143" s="76">
        <f>'Input data'!$B$47*'Maintenance Costs'!N124</f>
        <v>0</v>
      </c>
      <c r="Z143" s="76">
        <f>'Other Maintenance'!$B$94*'Maintenance Costs'!N124</f>
        <v>0.74356959695092895</v>
      </c>
      <c r="AA143" s="76">
        <f>('Input data'!$B$96+'Input data'!$B$97)*'Input data'!$B$76</f>
        <v>0.87776744444444454</v>
      </c>
      <c r="AB143" s="240">
        <f t="shared" si="29"/>
        <v>26.202293041395375</v>
      </c>
      <c r="AC143" s="163" t="str">
        <f t="shared" si="32"/>
        <v>LPS</v>
      </c>
      <c r="AD143" s="311">
        <v>0.1076</v>
      </c>
      <c r="AE143" s="312">
        <f t="shared" si="30"/>
        <v>4.7600000000000003E-2</v>
      </c>
      <c r="AF143" s="177"/>
      <c r="AG143" s="177"/>
      <c r="AH143" s="177"/>
      <c r="AI143" s="177"/>
      <c r="AJ143" s="177"/>
      <c r="AK143" s="177"/>
      <c r="AL143" s="177"/>
      <c r="AM143" s="177"/>
      <c r="AN143" s="177"/>
      <c r="AO143" s="177"/>
      <c r="AP143" s="177"/>
      <c r="AQ143" s="177"/>
      <c r="AR143" s="177"/>
      <c r="AS143" s="177"/>
      <c r="AT143" s="177"/>
      <c r="AU143" s="177"/>
      <c r="AV143" s="177"/>
      <c r="AW143" s="177"/>
      <c r="AX143" s="177"/>
    </row>
    <row r="144" spans="1:50" s="178" customFormat="1" hidden="1" x14ac:dyDescent="0.2">
      <c r="A144" s="72" t="s">
        <v>216</v>
      </c>
      <c r="B144" s="73">
        <f>VLOOKUP(LEFT(A144,7),'Tariff Schedule Lookup Table'!A$8:D$143,3,FALSE)</f>
        <v>180</v>
      </c>
      <c r="C144" s="236" t="s">
        <v>891</v>
      </c>
      <c r="D144" s="74">
        <v>1</v>
      </c>
      <c r="E144" s="74">
        <v>0</v>
      </c>
      <c r="F144" s="74" t="s">
        <v>316</v>
      </c>
      <c r="G144" s="106">
        <f>VLOOKUP(F144,'Lamp Stock'!A$14:H$48,4,FALSE)</f>
        <v>38.3187</v>
      </c>
      <c r="H144" s="106">
        <f>VLOOKUP(F144,'Lamp Stock'!A$14:G$48,6,FALSE)</f>
        <v>79.551779999999994</v>
      </c>
      <c r="I144" s="106">
        <f>VLOOKUP(F144,'Lamp Stock'!A$14:H$48,8,FALSE)</f>
        <v>21.005123999999999</v>
      </c>
      <c r="J144" s="262">
        <v>0.25</v>
      </c>
      <c r="K144" s="262">
        <v>0.1</v>
      </c>
      <c r="L144" s="262">
        <v>0.2</v>
      </c>
      <c r="M144" s="74">
        <v>4</v>
      </c>
      <c r="N144" s="75">
        <f t="shared" si="24"/>
        <v>0.25</v>
      </c>
      <c r="O144" s="311">
        <v>0.06</v>
      </c>
      <c r="P144" s="265">
        <f>'Input data'!B$92*O144</f>
        <v>9.529798581333333</v>
      </c>
      <c r="Q144" s="76">
        <f t="shared" si="25"/>
        <v>2.2991220000000001</v>
      </c>
      <c r="R144" s="76">
        <f t="shared" si="26"/>
        <v>2.2149288</v>
      </c>
      <c r="S144" s="76">
        <f>IF(C144="Yes",'Input data'!$E$47*'Input data'!$B$51*O144,'Input data'!$E$47*'Input data'!$B$49*O144)</f>
        <v>15.372561919999999</v>
      </c>
      <c r="T144" s="76">
        <f>'Other Maintenance'!$B$94*'Maintenance Costs'!O125</f>
        <v>0.11897113551214863</v>
      </c>
      <c r="U144" s="264">
        <f>'Input data'!$B$112</f>
        <v>2.9565521226700353</v>
      </c>
      <c r="V144" s="240">
        <f t="shared" si="27"/>
        <v>32.491934559515514</v>
      </c>
      <c r="W144" s="76">
        <f>'Input data'!$C$15*'Maintenance Costs'!N125</f>
        <v>9.75</v>
      </c>
      <c r="X144" s="76">
        <f t="shared" si="28"/>
        <v>14.830956</v>
      </c>
      <c r="Y144" s="76">
        <f>'Input data'!$B$47*'Maintenance Costs'!N125</f>
        <v>0</v>
      </c>
      <c r="Z144" s="76">
        <f>'Other Maintenance'!$B$94*'Maintenance Costs'!N125</f>
        <v>0.74356959695092895</v>
      </c>
      <c r="AA144" s="76">
        <f>('Input data'!$B$96+'Input data'!$B$97)*'Input data'!$B$76</f>
        <v>0.87776744444444454</v>
      </c>
      <c r="AB144" s="240">
        <f t="shared" si="29"/>
        <v>26.202293041395375</v>
      </c>
      <c r="AC144" s="163" t="str">
        <f t="shared" si="32"/>
        <v>LPS</v>
      </c>
      <c r="AD144" s="311">
        <v>0.1076</v>
      </c>
      <c r="AE144" s="312">
        <f t="shared" si="30"/>
        <v>4.7600000000000003E-2</v>
      </c>
      <c r="AF144" s="177"/>
      <c r="AG144" s="177"/>
      <c r="AH144" s="177"/>
      <c r="AI144" s="177"/>
      <c r="AJ144" s="177"/>
      <c r="AK144" s="177"/>
      <c r="AL144" s="177"/>
      <c r="AM144" s="177"/>
      <c r="AN144" s="177"/>
      <c r="AO144" s="177"/>
      <c r="AP144" s="177"/>
      <c r="AQ144" s="177"/>
      <c r="AR144" s="177"/>
      <c r="AS144" s="177"/>
      <c r="AT144" s="177"/>
      <c r="AU144" s="177"/>
      <c r="AV144" s="177"/>
      <c r="AW144" s="177"/>
      <c r="AX144" s="177"/>
    </row>
    <row r="145" spans="1:50" s="178" customFormat="1" hidden="1" x14ac:dyDescent="0.2">
      <c r="A145" s="72" t="s">
        <v>441</v>
      </c>
      <c r="B145" s="73">
        <f>VLOOKUP(LEFT(A145,7),'Tariff Schedule Lookup Table'!A$8:D$143,3,FALSE)</f>
        <v>150</v>
      </c>
      <c r="C145" s="236" t="s">
        <v>891</v>
      </c>
      <c r="D145" s="74">
        <v>1</v>
      </c>
      <c r="E145" s="74">
        <v>0</v>
      </c>
      <c r="F145" s="74" t="s">
        <v>329</v>
      </c>
      <c r="G145" s="106">
        <f>VLOOKUP(F145,'Lamp Stock'!A$14:H$48,4,FALSE)</f>
        <v>40.952435999999992</v>
      </c>
      <c r="H145" s="106">
        <f>VLOOKUP(F145,'Lamp Stock'!A$14:G$48,6,FALSE)</f>
        <v>54.833519999999993</v>
      </c>
      <c r="I145" s="106">
        <f>VLOOKUP(F145,'Lamp Stock'!A$14:H$48,8,FALSE)</f>
        <v>17.011343999999998</v>
      </c>
      <c r="J145" s="262">
        <v>0.28000000000000003</v>
      </c>
      <c r="K145" s="262">
        <v>0.1</v>
      </c>
      <c r="L145" s="262">
        <v>0.2</v>
      </c>
      <c r="M145" s="74">
        <v>4</v>
      </c>
      <c r="N145" s="75">
        <f t="shared" si="24"/>
        <v>0.25</v>
      </c>
      <c r="O145" s="311">
        <v>0.04</v>
      </c>
      <c r="P145" s="265">
        <f>'Input data'!B$92*O145</f>
        <v>6.3531990542222223</v>
      </c>
      <c r="Q145" s="76">
        <f t="shared" si="25"/>
        <v>1.6380974399999997</v>
      </c>
      <c r="R145" s="76">
        <f t="shared" si="26"/>
        <v>1.11912192</v>
      </c>
      <c r="S145" s="76">
        <f>IF(C145="Yes",'Input data'!$E$47*'Input data'!$B$51*O145,'Input data'!$E$47*'Input data'!$B$49*O145)</f>
        <v>10.248374613333333</v>
      </c>
      <c r="T145" s="76">
        <f>'Other Maintenance'!$B$94*'Maintenance Costs'!O127</f>
        <v>0.11897113551214863</v>
      </c>
      <c r="U145" s="264">
        <f>'Input data'!$B$112</f>
        <v>2.9565521226700353</v>
      </c>
      <c r="V145" s="240">
        <f t="shared" si="27"/>
        <v>22.43431628573774</v>
      </c>
      <c r="W145" s="76">
        <f>'Input data'!$C$15*'Maintenance Costs'!N127</f>
        <v>9.75</v>
      </c>
      <c r="X145" s="76">
        <f t="shared" si="28"/>
        <v>14.490944999999996</v>
      </c>
      <c r="Y145" s="76">
        <f>'Input data'!$B$47*'Maintenance Costs'!N127</f>
        <v>0</v>
      </c>
      <c r="Z145" s="76">
        <f>'Other Maintenance'!$B$94*'Maintenance Costs'!N127</f>
        <v>0.74356959695092895</v>
      </c>
      <c r="AA145" s="76">
        <f>('Input data'!$B$96+'Input data'!$B$97)*'Input data'!$B$76</f>
        <v>0.87776744444444454</v>
      </c>
      <c r="AB145" s="240">
        <f t="shared" si="29"/>
        <v>25.862282041395371</v>
      </c>
      <c r="AC145" s="163" t="str">
        <f t="shared" si="32"/>
        <v>MHC</v>
      </c>
      <c r="AD145" s="311">
        <v>5.6500000000000002E-2</v>
      </c>
      <c r="AE145" s="312">
        <f t="shared" si="30"/>
        <v>1.6500000000000001E-2</v>
      </c>
      <c r="AF145" s="177"/>
      <c r="AG145" s="177"/>
      <c r="AH145" s="177"/>
      <c r="AI145" s="177"/>
      <c r="AJ145" s="177"/>
      <c r="AK145" s="177"/>
      <c r="AL145" s="177"/>
      <c r="AM145" s="177"/>
      <c r="AN145" s="177"/>
      <c r="AO145" s="177"/>
      <c r="AP145" s="177"/>
      <c r="AQ145" s="177"/>
      <c r="AR145" s="177"/>
      <c r="AS145" s="177"/>
      <c r="AT145" s="177"/>
      <c r="AU145" s="177"/>
      <c r="AV145" s="177"/>
      <c r="AW145" s="177"/>
      <c r="AX145" s="177"/>
    </row>
    <row r="146" spans="1:50" s="178" customFormat="1" ht="13.5" hidden="1" customHeight="1" x14ac:dyDescent="0.2">
      <c r="A146" s="72" t="s">
        <v>443</v>
      </c>
      <c r="B146" s="73">
        <f>VLOOKUP(LEFT(A146,7),'Tariff Schedule Lookup Table'!A$8:D$143,3,FALSE)</f>
        <v>400</v>
      </c>
      <c r="C146" s="236" t="s">
        <v>891</v>
      </c>
      <c r="D146" s="74">
        <v>1</v>
      </c>
      <c r="E146" s="74">
        <v>0</v>
      </c>
      <c r="F146" s="74" t="s">
        <v>330</v>
      </c>
      <c r="G146" s="106">
        <f>VLOOKUP(F146,'Lamp Stock'!A$14:H$48,4,FALSE)</f>
        <v>41.265461999999992</v>
      </c>
      <c r="H146" s="106">
        <f>VLOOKUP(F146,'Lamp Stock'!A$14:G$48,6,FALSE)</f>
        <v>65.541167999999999</v>
      </c>
      <c r="I146" s="106">
        <f>VLOOKUP(F146,'Lamp Stock'!A$14:H$48,8,FALSE)</f>
        <v>17.011343999999998</v>
      </c>
      <c r="J146" s="262">
        <v>0.28000000000000003</v>
      </c>
      <c r="K146" s="262">
        <v>0.1</v>
      </c>
      <c r="L146" s="262">
        <v>0.2</v>
      </c>
      <c r="M146" s="74">
        <v>4</v>
      </c>
      <c r="N146" s="75">
        <f t="shared" si="24"/>
        <v>0.25</v>
      </c>
      <c r="O146" s="311">
        <v>0.04</v>
      </c>
      <c r="P146" s="265">
        <f>'Input data'!B$92*O146</f>
        <v>6.3531990542222223</v>
      </c>
      <c r="Q146" s="76">
        <f t="shared" si="25"/>
        <v>1.6506184799999997</v>
      </c>
      <c r="R146" s="76">
        <f t="shared" si="26"/>
        <v>1.2047831040000001</v>
      </c>
      <c r="S146" s="76">
        <f>IF(C146="Yes",'Input data'!$E$47*'Input data'!$B$51*O146,'Input data'!$E$47*'Input data'!$B$49*O146)</f>
        <v>10.248374613333333</v>
      </c>
      <c r="T146" s="76">
        <f>'Other Maintenance'!$B$94*'Maintenance Costs'!O129</f>
        <v>0.11897113551214863</v>
      </c>
      <c r="U146" s="264">
        <f>'Input data'!$B$112</f>
        <v>2.9565521226700353</v>
      </c>
      <c r="V146" s="240">
        <f t="shared" si="27"/>
        <v>22.532498509737739</v>
      </c>
      <c r="W146" s="76">
        <f>'Input data'!$C$15*'Maintenance Costs'!N129</f>
        <v>9.75</v>
      </c>
      <c r="X146" s="76">
        <f t="shared" si="28"/>
        <v>14.569201499999998</v>
      </c>
      <c r="Y146" s="76">
        <f>'Input data'!$B$47*'Maintenance Costs'!N129</f>
        <v>0</v>
      </c>
      <c r="Z146" s="76">
        <f>'Other Maintenance'!$B$94*'Maintenance Costs'!N129</f>
        <v>0.74356959695092895</v>
      </c>
      <c r="AA146" s="76">
        <f>('Input data'!$B$96+'Input data'!$B$97)*'Input data'!$B$76</f>
        <v>0.87776744444444454</v>
      </c>
      <c r="AB146" s="240">
        <f t="shared" si="29"/>
        <v>25.940538541395373</v>
      </c>
      <c r="AC146" s="163" t="str">
        <f t="shared" si="32"/>
        <v>MHC</v>
      </c>
      <c r="AD146" s="311">
        <v>5.6500000000000002E-2</v>
      </c>
      <c r="AE146" s="312">
        <f t="shared" si="30"/>
        <v>1.6500000000000001E-2</v>
      </c>
      <c r="AF146" s="177"/>
      <c r="AG146" s="177"/>
      <c r="AH146" s="177"/>
      <c r="AI146" s="177"/>
      <c r="AJ146" s="177"/>
      <c r="AK146" s="177"/>
      <c r="AL146" s="177"/>
      <c r="AM146" s="177"/>
      <c r="AN146" s="177"/>
      <c r="AO146" s="177"/>
      <c r="AP146" s="177"/>
      <c r="AQ146" s="177"/>
      <c r="AR146" s="177"/>
      <c r="AS146" s="177"/>
      <c r="AT146" s="177"/>
      <c r="AU146" s="177"/>
      <c r="AV146" s="177"/>
      <c r="AW146" s="177"/>
      <c r="AX146" s="177"/>
    </row>
    <row r="147" spans="1:50" s="178" customFormat="1" hidden="1" x14ac:dyDescent="0.2">
      <c r="A147" s="72" t="s">
        <v>444</v>
      </c>
      <c r="B147" s="73" t="str">
        <f>VLOOKUP(LEFT(A147,7),'Tariff Schedule Lookup Table'!A$8:D$143,3,FALSE)</f>
        <v>4x150</v>
      </c>
      <c r="C147" s="236" t="s">
        <v>891</v>
      </c>
      <c r="D147" s="74">
        <v>4</v>
      </c>
      <c r="E147" s="74">
        <v>0</v>
      </c>
      <c r="F147" s="74" t="s">
        <v>329</v>
      </c>
      <c r="G147" s="106">
        <f>VLOOKUP(F147,'Lamp Stock'!A$14:H$48,4,FALSE)</f>
        <v>40.952435999999992</v>
      </c>
      <c r="H147" s="106">
        <f>VLOOKUP(F147,'Lamp Stock'!A$14:G$48,6,FALSE)</f>
        <v>54.833519999999993</v>
      </c>
      <c r="I147" s="106">
        <f>VLOOKUP(F147,'Lamp Stock'!A$14:H$48,8,FALSE)</f>
        <v>17.011343999999998</v>
      </c>
      <c r="J147" s="262">
        <v>0.28000000000000003</v>
      </c>
      <c r="K147" s="262">
        <v>0.1</v>
      </c>
      <c r="L147" s="262">
        <v>0.2</v>
      </c>
      <c r="M147" s="74">
        <v>4</v>
      </c>
      <c r="N147" s="75">
        <f t="shared" si="24"/>
        <v>0.25</v>
      </c>
      <c r="O147" s="311">
        <v>0.04</v>
      </c>
      <c r="P147" s="265">
        <f>'Input data'!B$92*O147</f>
        <v>6.3531990542222223</v>
      </c>
      <c r="Q147" s="76">
        <f t="shared" si="25"/>
        <v>6.5523897599999987</v>
      </c>
      <c r="R147" s="76">
        <f t="shared" si="26"/>
        <v>1.11912192</v>
      </c>
      <c r="S147" s="76">
        <f>IF(C147="Yes",'Input data'!$E$47*'Input data'!$B$51*O147,'Input data'!$E$47*'Input data'!$B$49*O147)</f>
        <v>10.248374613333333</v>
      </c>
      <c r="T147" s="76">
        <f>'Other Maintenance'!$B$94*'Maintenance Costs'!O133</f>
        <v>1.6655958971700809E-2</v>
      </c>
      <c r="U147" s="264">
        <f>'Input data'!$B$112</f>
        <v>2.9565521226700353</v>
      </c>
      <c r="V147" s="240">
        <f t="shared" si="27"/>
        <v>27.246293429197287</v>
      </c>
      <c r="W147" s="76">
        <f>'Input data'!$C$15*'Maintenance Costs'!N133</f>
        <v>9.75</v>
      </c>
      <c r="X147" s="76">
        <f t="shared" si="28"/>
        <v>57.963779999999986</v>
      </c>
      <c r="Y147" s="76">
        <f>'Input data'!$B$47*'Maintenance Costs'!N133</f>
        <v>0</v>
      </c>
      <c r="Z147" s="76">
        <f>'Other Maintenance'!$B$94*'Maintenance Costs'!N133</f>
        <v>0.74356959695092895</v>
      </c>
      <c r="AA147" s="76">
        <f>('Input data'!$B$96+'Input data'!$B$97)*'Input data'!$B$76</f>
        <v>0.87776744444444454</v>
      </c>
      <c r="AB147" s="240">
        <f t="shared" si="29"/>
        <v>69.335117041395364</v>
      </c>
      <c r="AC147" s="163" t="str">
        <f t="shared" si="32"/>
        <v>MHR</v>
      </c>
      <c r="AD147" s="311">
        <v>5.6500000000000002E-2</v>
      </c>
      <c r="AE147" s="312">
        <f t="shared" si="30"/>
        <v>1.6500000000000001E-2</v>
      </c>
      <c r="AF147" s="177"/>
      <c r="AG147" s="177"/>
      <c r="AH147" s="177"/>
      <c r="AI147" s="177"/>
      <c r="AJ147" s="177"/>
      <c r="AK147" s="177"/>
      <c r="AL147" s="177"/>
      <c r="AM147" s="177"/>
      <c r="AN147" s="177"/>
      <c r="AO147" s="177"/>
      <c r="AP147" s="177"/>
      <c r="AQ147" s="177"/>
      <c r="AR147" s="177"/>
      <c r="AS147" s="177"/>
      <c r="AT147" s="177"/>
      <c r="AU147" s="177"/>
      <c r="AV147" s="177"/>
      <c r="AW147" s="177"/>
      <c r="AX147" s="177"/>
    </row>
    <row r="148" spans="1:50" s="178" customFormat="1" hidden="1" x14ac:dyDescent="0.2">
      <c r="A148" s="72" t="s">
        <v>446</v>
      </c>
      <c r="B148" s="73" t="str">
        <f>VLOOKUP(LEFT(A148,7),'Tariff Schedule Lookup Table'!A$8:D$143,3,FALSE)</f>
        <v>2x400</v>
      </c>
      <c r="C148" s="236" t="s">
        <v>891</v>
      </c>
      <c r="D148" s="74">
        <v>2</v>
      </c>
      <c r="E148" s="74">
        <v>0</v>
      </c>
      <c r="F148" s="74" t="s">
        <v>330</v>
      </c>
      <c r="G148" s="106">
        <f>VLOOKUP(F148,'Lamp Stock'!A$14:H$48,4,FALSE)</f>
        <v>41.265461999999992</v>
      </c>
      <c r="H148" s="106">
        <f>VLOOKUP(F148,'Lamp Stock'!A$14:G$48,6,FALSE)</f>
        <v>65.541167999999999</v>
      </c>
      <c r="I148" s="106">
        <f>VLOOKUP(F148,'Lamp Stock'!A$14:H$48,8,FALSE)</f>
        <v>17.011343999999998</v>
      </c>
      <c r="J148" s="262">
        <v>0.28000000000000003</v>
      </c>
      <c r="K148" s="262">
        <v>0.1</v>
      </c>
      <c r="L148" s="262">
        <v>0.2</v>
      </c>
      <c r="M148" s="74">
        <v>4</v>
      </c>
      <c r="N148" s="75">
        <f t="shared" ref="N148:N174" si="33">1/M148</f>
        <v>0.25</v>
      </c>
      <c r="O148" s="311">
        <v>0.04</v>
      </c>
      <c r="P148" s="265">
        <f>'Input data'!B$92*O148</f>
        <v>6.3531990542222223</v>
      </c>
      <c r="Q148" s="76">
        <f t="shared" ref="Q148:Q174" si="34">D148*(G148*O148)</f>
        <v>3.3012369599999993</v>
      </c>
      <c r="R148" s="76">
        <f t="shared" ref="R148:R174" si="35">I148*O148+H148*O148*0.2</f>
        <v>1.2047831040000001</v>
      </c>
      <c r="S148" s="76">
        <f>IF(C148="Yes",'Input data'!$E$47*'Input data'!$B$51*O148,'Input data'!$E$47*'Input data'!$B$49*O148)</f>
        <v>10.248374613333333</v>
      </c>
      <c r="T148" s="76">
        <f>'Other Maintenance'!$B$94*'Maintenance Costs'!O137</f>
        <v>1.6655958971700809E-2</v>
      </c>
      <c r="U148" s="264">
        <f>'Input data'!$B$112</f>
        <v>2.9565521226700353</v>
      </c>
      <c r="V148" s="240">
        <f t="shared" ref="V148:V174" si="36">SUM(P148:U148)</f>
        <v>24.08080181319729</v>
      </c>
      <c r="W148" s="76">
        <f>'Input data'!$C$15*'Maintenance Costs'!N137</f>
        <v>9.75</v>
      </c>
      <c r="X148" s="76">
        <f t="shared" ref="X148:X174" si="37">D148*(G148+I148)*N148</f>
        <v>29.138402999999997</v>
      </c>
      <c r="Y148" s="76">
        <f>'Input data'!$B$47*'Maintenance Costs'!N137</f>
        <v>0</v>
      </c>
      <c r="Z148" s="76">
        <f>'Other Maintenance'!$B$94*'Maintenance Costs'!N137</f>
        <v>0.74356959695092895</v>
      </c>
      <c r="AA148" s="76">
        <f>('Input data'!$B$96+'Input data'!$B$97)*'Input data'!$B$76</f>
        <v>0.87776744444444454</v>
      </c>
      <c r="AB148" s="240">
        <f t="shared" ref="AB148:AB174" si="38">SUM(W148:AA148)</f>
        <v>40.509740041395368</v>
      </c>
      <c r="AC148" s="163" t="str">
        <f t="shared" si="32"/>
        <v>MHR</v>
      </c>
      <c r="AD148" s="311">
        <v>5.6500000000000002E-2</v>
      </c>
      <c r="AE148" s="312">
        <f t="shared" ref="AE148:AE174" si="39">AD148-O148</f>
        <v>1.6500000000000001E-2</v>
      </c>
      <c r="AF148" s="177"/>
      <c r="AG148" s="177"/>
      <c r="AH148" s="177"/>
      <c r="AI148" s="177"/>
      <c r="AJ148" s="177"/>
      <c r="AK148" s="177"/>
      <c r="AL148" s="177"/>
      <c r="AM148" s="177"/>
      <c r="AN148" s="177"/>
      <c r="AO148" s="177"/>
      <c r="AP148" s="177"/>
      <c r="AQ148" s="177"/>
      <c r="AR148" s="177"/>
      <c r="AS148" s="177"/>
      <c r="AT148" s="177"/>
      <c r="AU148" s="177"/>
      <c r="AV148" s="177"/>
      <c r="AW148" s="177"/>
      <c r="AX148" s="177"/>
    </row>
    <row r="149" spans="1:50" s="178" customFormat="1" hidden="1" x14ac:dyDescent="0.2">
      <c r="A149" s="72" t="s">
        <v>223</v>
      </c>
      <c r="B149" s="73">
        <f>VLOOKUP(LEFT(A149,7),'Tariff Schedule Lookup Table'!A$8:D$143,3,FALSE)</f>
        <v>500</v>
      </c>
      <c r="C149" s="236" t="s">
        <v>891</v>
      </c>
      <c r="D149" s="74">
        <v>1</v>
      </c>
      <c r="E149" s="74">
        <v>0</v>
      </c>
      <c r="F149" s="74" t="s">
        <v>330</v>
      </c>
      <c r="G149" s="106">
        <f>VLOOKUP(F149,'Lamp Stock'!A$14:H$48,4,FALSE)</f>
        <v>41.265461999999992</v>
      </c>
      <c r="H149" s="106">
        <f>VLOOKUP(F149,'Lamp Stock'!A$14:G$48,6,FALSE)</f>
        <v>65.541167999999999</v>
      </c>
      <c r="I149" s="106">
        <f>VLOOKUP(F149,'Lamp Stock'!A$14:H$48,8,FALSE)</f>
        <v>17.011343999999998</v>
      </c>
      <c r="J149" s="262">
        <v>0.28000000000000003</v>
      </c>
      <c r="K149" s="262">
        <v>0.1</v>
      </c>
      <c r="L149" s="262">
        <v>0.2</v>
      </c>
      <c r="M149" s="74">
        <v>4</v>
      </c>
      <c r="N149" s="75">
        <f t="shared" si="33"/>
        <v>0.25</v>
      </c>
      <c r="O149" s="311">
        <v>0.04</v>
      </c>
      <c r="P149" s="265">
        <f>'Input data'!B$92*O149</f>
        <v>6.3531990542222223</v>
      </c>
      <c r="Q149" s="76">
        <f t="shared" si="34"/>
        <v>1.6506184799999997</v>
      </c>
      <c r="R149" s="76">
        <f t="shared" si="35"/>
        <v>1.2047831040000001</v>
      </c>
      <c r="S149" s="76">
        <f>IF(C149="Yes",'Input data'!$E$47*'Input data'!$B$51*O149,'Input data'!$E$47*'Input data'!$B$49*O149)</f>
        <v>10.248374613333333</v>
      </c>
      <c r="T149" s="76">
        <f>'Other Maintenance'!$B$94*'Maintenance Costs'!O138</f>
        <v>1.6655958971700809E-2</v>
      </c>
      <c r="U149" s="264">
        <f>'Input data'!$B$112</f>
        <v>2.9565521226700353</v>
      </c>
      <c r="V149" s="240">
        <f t="shared" si="36"/>
        <v>22.430183333197292</v>
      </c>
      <c r="W149" s="76">
        <f>'Input data'!$C$15*'Maintenance Costs'!N138</f>
        <v>9.75</v>
      </c>
      <c r="X149" s="76">
        <f t="shared" si="37"/>
        <v>14.569201499999998</v>
      </c>
      <c r="Y149" s="76">
        <f>'Input data'!$B$47*'Maintenance Costs'!N138</f>
        <v>0</v>
      </c>
      <c r="Z149" s="76">
        <f>'Other Maintenance'!$B$94*'Maintenance Costs'!N138</f>
        <v>0.74356959695092895</v>
      </c>
      <c r="AA149" s="76">
        <f>('Input data'!$B$96+'Input data'!$B$97)*'Input data'!$B$76</f>
        <v>0.87776744444444454</v>
      </c>
      <c r="AB149" s="240">
        <f t="shared" si="38"/>
        <v>25.940538541395373</v>
      </c>
      <c r="AC149" s="163" t="str">
        <f t="shared" si="32"/>
        <v>MHR</v>
      </c>
      <c r="AD149" s="311">
        <v>5.6500000000000002E-2</v>
      </c>
      <c r="AE149" s="312">
        <f t="shared" si="39"/>
        <v>1.6500000000000001E-2</v>
      </c>
      <c r="AF149" s="177"/>
      <c r="AG149" s="177"/>
      <c r="AH149" s="177"/>
      <c r="AI149" s="177"/>
      <c r="AJ149" s="177"/>
      <c r="AK149" s="177"/>
      <c r="AL149" s="177"/>
      <c r="AM149" s="177"/>
      <c r="AN149" s="177"/>
      <c r="AO149" s="177"/>
      <c r="AP149" s="177"/>
      <c r="AQ149" s="177"/>
      <c r="AR149" s="177"/>
      <c r="AS149" s="177"/>
      <c r="AT149" s="177"/>
      <c r="AU149" s="177"/>
      <c r="AV149" s="177"/>
      <c r="AW149" s="177"/>
      <c r="AX149" s="177"/>
    </row>
    <row r="150" spans="1:50" s="178" customFormat="1" ht="14.25" hidden="1" customHeight="1" x14ac:dyDescent="0.2">
      <c r="A150" s="72" t="s">
        <v>447</v>
      </c>
      <c r="B150" s="73">
        <f>VLOOKUP(LEFT(A150,7),'Tariff Schedule Lookup Table'!A$8:D$143,3,FALSE)</f>
        <v>1500</v>
      </c>
      <c r="C150" s="236" t="s">
        <v>891</v>
      </c>
      <c r="D150" s="74">
        <v>1</v>
      </c>
      <c r="E150" s="74">
        <v>0</v>
      </c>
      <c r="F150" s="74" t="s">
        <v>333</v>
      </c>
      <c r="G150" s="106">
        <f>VLOOKUP(F150,'Lamp Stock'!A$14:H$48,4,FALSE)</f>
        <v>50.310833999999993</v>
      </c>
      <c r="H150" s="106">
        <f>VLOOKUP(F150,'Lamp Stock'!A$14:G$48,6,FALSE)</f>
        <v>140.322</v>
      </c>
      <c r="I150" s="106">
        <f>VLOOKUP(F150,'Lamp Stock'!A$14:H$48,8,FALSE)</f>
        <v>17.011343999999998</v>
      </c>
      <c r="J150" s="262">
        <v>0.28000000000000003</v>
      </c>
      <c r="K150" s="262">
        <v>0.1</v>
      </c>
      <c r="L150" s="262">
        <v>0.2</v>
      </c>
      <c r="M150" s="74">
        <v>4</v>
      </c>
      <c r="N150" s="75">
        <f t="shared" si="33"/>
        <v>0.25</v>
      </c>
      <c r="O150" s="311">
        <v>0.04</v>
      </c>
      <c r="P150" s="265">
        <f>'Input data'!B$92*O150</f>
        <v>6.3531990542222223</v>
      </c>
      <c r="Q150" s="76">
        <f t="shared" si="34"/>
        <v>2.0124333599999997</v>
      </c>
      <c r="R150" s="76">
        <f t="shared" si="35"/>
        <v>1.8030297600000003</v>
      </c>
      <c r="S150" s="76">
        <f>IF(C150="Yes",'Input data'!$E$47*'Input data'!$B$51*O150,'Input data'!$E$47*'Input data'!$B$49*O150)</f>
        <v>10.248374613333333</v>
      </c>
      <c r="T150" s="76">
        <f>'Other Maintenance'!$B$94*'Maintenance Costs'!O140</f>
        <v>1.6655958971700809E-2</v>
      </c>
      <c r="U150" s="264">
        <f>'Input data'!$B$112</f>
        <v>2.9565521226700353</v>
      </c>
      <c r="V150" s="240">
        <f t="shared" si="36"/>
        <v>23.390244869197293</v>
      </c>
      <c r="W150" s="76">
        <f>'Input data'!$C$15*'Maintenance Costs'!N140</f>
        <v>9.75</v>
      </c>
      <c r="X150" s="76">
        <f t="shared" si="37"/>
        <v>16.830544499999998</v>
      </c>
      <c r="Y150" s="76">
        <f>'Input data'!$B$47*'Maintenance Costs'!N140</f>
        <v>0</v>
      </c>
      <c r="Z150" s="76">
        <f>'Other Maintenance'!$B$94*'Maintenance Costs'!N140</f>
        <v>0.74356959695092895</v>
      </c>
      <c r="AA150" s="76">
        <f>('Input data'!$B$96+'Input data'!$B$97)*'Input data'!$B$76</f>
        <v>0.87776744444444454</v>
      </c>
      <c r="AB150" s="240">
        <f t="shared" si="38"/>
        <v>28.201881541395373</v>
      </c>
      <c r="AC150" s="163" t="str">
        <f t="shared" si="32"/>
        <v>MHR</v>
      </c>
      <c r="AD150" s="311">
        <v>5.6500000000000002E-2</v>
      </c>
      <c r="AE150" s="312">
        <f t="shared" si="39"/>
        <v>1.6500000000000001E-2</v>
      </c>
      <c r="AF150" s="177"/>
      <c r="AG150" s="177"/>
      <c r="AH150" s="177"/>
      <c r="AI150" s="177"/>
      <c r="AJ150" s="177"/>
      <c r="AK150" s="177"/>
      <c r="AL150" s="177"/>
      <c r="AM150" s="177"/>
      <c r="AN150" s="177"/>
      <c r="AO150" s="177"/>
      <c r="AP150" s="177"/>
      <c r="AQ150" s="177"/>
      <c r="AR150" s="177"/>
      <c r="AS150" s="177"/>
      <c r="AT150" s="177"/>
      <c r="AU150" s="177"/>
      <c r="AV150" s="177"/>
      <c r="AW150" s="177"/>
      <c r="AX150" s="177"/>
    </row>
    <row r="151" spans="1:50" s="178" customFormat="1" ht="14.25" hidden="1" customHeight="1" x14ac:dyDescent="0.2">
      <c r="A151" s="72" t="s">
        <v>390</v>
      </c>
      <c r="B151" s="73">
        <f>VLOOKUP(LEFT(A151,7),'Tariff Schedule Lookup Table'!A$8:D$143,3,FALSE)</f>
        <v>2000</v>
      </c>
      <c r="C151" s="236" t="s">
        <v>891</v>
      </c>
      <c r="D151" s="74">
        <v>1</v>
      </c>
      <c r="E151" s="74">
        <v>0</v>
      </c>
      <c r="F151" s="74" t="s">
        <v>333</v>
      </c>
      <c r="G151" s="106">
        <f>VLOOKUP(F151,'Lamp Stock'!A$14:H$48,4,FALSE)</f>
        <v>50.310833999999993</v>
      </c>
      <c r="H151" s="106">
        <f>VLOOKUP(F151,'Lamp Stock'!A$14:G$48,6,FALSE)</f>
        <v>140.322</v>
      </c>
      <c r="I151" s="106">
        <f>VLOOKUP(F151,'Lamp Stock'!A$14:H$48,8,FALSE)</f>
        <v>17.011343999999998</v>
      </c>
      <c r="J151" s="262">
        <v>0.28000000000000003</v>
      </c>
      <c r="K151" s="262">
        <v>0.1</v>
      </c>
      <c r="L151" s="262">
        <v>0.2</v>
      </c>
      <c r="M151" s="74">
        <v>4</v>
      </c>
      <c r="N151" s="75">
        <f t="shared" si="33"/>
        <v>0.25</v>
      </c>
      <c r="O151" s="311">
        <v>0.04</v>
      </c>
      <c r="P151" s="265">
        <f>'Input data'!B$92*O151</f>
        <v>6.3531990542222223</v>
      </c>
      <c r="Q151" s="76">
        <f t="shared" si="34"/>
        <v>2.0124333599999997</v>
      </c>
      <c r="R151" s="76">
        <f t="shared" si="35"/>
        <v>1.8030297600000003</v>
      </c>
      <c r="S151" s="76">
        <f>IF(C151="Yes",'Input data'!$E$47*'Input data'!$B$51*O151,'Input data'!$E$47*'Input data'!$B$49*O151)</f>
        <v>10.248374613333333</v>
      </c>
      <c r="T151" s="76">
        <f>'Other Maintenance'!$B$94*'Maintenance Costs'!O141</f>
        <v>0.17845670326822294</v>
      </c>
      <c r="U151" s="264">
        <f>'Input data'!$B$112</f>
        <v>2.9565521226700353</v>
      </c>
      <c r="V151" s="240">
        <f t="shared" si="36"/>
        <v>23.552045613493814</v>
      </c>
      <c r="W151" s="76">
        <f>'Input data'!$C$15*'Maintenance Costs'!N141</f>
        <v>9.75</v>
      </c>
      <c r="X151" s="76">
        <f t="shared" si="37"/>
        <v>16.830544499999998</v>
      </c>
      <c r="Y151" s="76">
        <f>'Input data'!$B$47*'Maintenance Costs'!N141</f>
        <v>0</v>
      </c>
      <c r="Z151" s="76">
        <f>'Other Maintenance'!$B$94*'Maintenance Costs'!N141</f>
        <v>0.74356959695092895</v>
      </c>
      <c r="AA151" s="76">
        <f>('Input data'!$B$96+'Input data'!$B$97)*'Input data'!$B$76</f>
        <v>0.87776744444444454</v>
      </c>
      <c r="AB151" s="240">
        <f t="shared" si="38"/>
        <v>28.201881541395373</v>
      </c>
      <c r="AC151" s="163" t="str">
        <f t="shared" si="32"/>
        <v>MHR</v>
      </c>
      <c r="AD151" s="311">
        <v>5.6500000000000002E-2</v>
      </c>
      <c r="AE151" s="312">
        <f t="shared" si="39"/>
        <v>1.6500000000000001E-2</v>
      </c>
      <c r="AF151" s="177"/>
      <c r="AG151" s="177"/>
      <c r="AH151" s="177"/>
      <c r="AI151" s="177"/>
      <c r="AJ151" s="177"/>
      <c r="AK151" s="177"/>
      <c r="AL151" s="177"/>
      <c r="AM151" s="177"/>
      <c r="AN151" s="177"/>
      <c r="AO151" s="177"/>
      <c r="AP151" s="177"/>
      <c r="AQ151" s="177"/>
      <c r="AR151" s="177"/>
      <c r="AS151" s="177"/>
      <c r="AT151" s="177"/>
      <c r="AU151" s="177"/>
      <c r="AV151" s="177"/>
      <c r="AW151" s="177"/>
      <c r="AX151" s="177"/>
    </row>
    <row r="152" spans="1:50" s="178" customFormat="1" ht="14.25" hidden="1" customHeight="1" x14ac:dyDescent="0.2">
      <c r="A152" s="72" t="s">
        <v>448</v>
      </c>
      <c r="B152" s="73">
        <f>VLOOKUP(LEFT(A152,7),'Tariff Schedule Lookup Table'!A$8:D$143,3,FALSE)</f>
        <v>3745</v>
      </c>
      <c r="C152" s="236" t="s">
        <v>891</v>
      </c>
      <c r="D152" s="74">
        <v>1</v>
      </c>
      <c r="E152" s="74">
        <v>0</v>
      </c>
      <c r="F152" s="74" t="s">
        <v>333</v>
      </c>
      <c r="G152" s="106">
        <f>VLOOKUP(F152,'Lamp Stock'!A$14:H$48,4,FALSE)</f>
        <v>50.310833999999993</v>
      </c>
      <c r="H152" s="106">
        <f>VLOOKUP(F152,'Lamp Stock'!A$14:G$48,6,FALSE)</f>
        <v>140.322</v>
      </c>
      <c r="I152" s="106">
        <f>VLOOKUP(F152,'Lamp Stock'!A$14:H$48,8,FALSE)</f>
        <v>17.011343999999998</v>
      </c>
      <c r="J152" s="262">
        <v>0.28000000000000003</v>
      </c>
      <c r="K152" s="262">
        <v>0.1</v>
      </c>
      <c r="L152" s="262">
        <v>0.2</v>
      </c>
      <c r="M152" s="74">
        <v>4</v>
      </c>
      <c r="N152" s="75">
        <f t="shared" si="33"/>
        <v>0.25</v>
      </c>
      <c r="O152" s="311">
        <v>0.04</v>
      </c>
      <c r="P152" s="265">
        <f>'Input data'!B$92*O152</f>
        <v>6.3531990542222223</v>
      </c>
      <c r="Q152" s="76">
        <f t="shared" si="34"/>
        <v>2.0124333599999997</v>
      </c>
      <c r="R152" s="76">
        <f t="shared" si="35"/>
        <v>1.8030297600000003</v>
      </c>
      <c r="S152" s="76">
        <f>IF(C152="Yes",'Input data'!$E$47*'Input data'!$B$51*O152,'Input data'!$E$47*'Input data'!$B$49*O152)</f>
        <v>10.248374613333333</v>
      </c>
      <c r="T152" s="76">
        <f>'Other Maintenance'!$B$94*'Maintenance Costs'!O142</f>
        <v>0.17845670326822294</v>
      </c>
      <c r="U152" s="264">
        <f>'Input data'!$B$112</f>
        <v>2.9565521226700353</v>
      </c>
      <c r="V152" s="240">
        <f t="shared" si="36"/>
        <v>23.552045613493814</v>
      </c>
      <c r="W152" s="76">
        <f>'Input data'!$C$15*'Maintenance Costs'!N142</f>
        <v>9.75</v>
      </c>
      <c r="X152" s="76">
        <f t="shared" si="37"/>
        <v>16.830544499999998</v>
      </c>
      <c r="Y152" s="76">
        <f>'Input data'!$B$47*'Maintenance Costs'!N142</f>
        <v>0</v>
      </c>
      <c r="Z152" s="76">
        <f>'Other Maintenance'!$B$94*'Maintenance Costs'!N142</f>
        <v>0.74356959695092895</v>
      </c>
      <c r="AA152" s="76">
        <f>('Input data'!$B$96+'Input data'!$B$97)*'Input data'!$B$76</f>
        <v>0.87776744444444454</v>
      </c>
      <c r="AB152" s="240">
        <f t="shared" si="38"/>
        <v>28.201881541395373</v>
      </c>
      <c r="AC152" s="163" t="str">
        <f t="shared" si="32"/>
        <v>MHR</v>
      </c>
      <c r="AD152" s="311">
        <v>5.6500000000000002E-2</v>
      </c>
      <c r="AE152" s="312">
        <f t="shared" si="39"/>
        <v>1.6500000000000001E-2</v>
      </c>
      <c r="AF152" s="177"/>
      <c r="AG152" s="177"/>
      <c r="AH152" s="177"/>
      <c r="AI152" s="177"/>
      <c r="AJ152" s="177"/>
      <c r="AK152" s="177"/>
      <c r="AL152" s="177"/>
      <c r="AM152" s="177"/>
      <c r="AN152" s="177"/>
      <c r="AO152" s="177"/>
      <c r="AP152" s="177"/>
      <c r="AQ152" s="177"/>
      <c r="AR152" s="177"/>
      <c r="AS152" s="177"/>
      <c r="AT152" s="177"/>
      <c r="AU152" s="177"/>
      <c r="AV152" s="177"/>
      <c r="AW152" s="177"/>
      <c r="AX152" s="177"/>
    </row>
    <row r="153" spans="1:50" s="178" customFormat="1" ht="14.25" hidden="1" customHeight="1" x14ac:dyDescent="0.2">
      <c r="A153" s="72" t="s">
        <v>391</v>
      </c>
      <c r="B153" s="73" t="str">
        <f>VLOOKUP(LEFT(A153,7),'Tariff Schedule Lookup Table'!A$8:D$143,3,FALSE)</f>
        <v>2x80</v>
      </c>
      <c r="C153" s="236" t="s">
        <v>890</v>
      </c>
      <c r="D153" s="74">
        <v>2</v>
      </c>
      <c r="E153" s="74">
        <v>0</v>
      </c>
      <c r="F153" s="74" t="s">
        <v>338</v>
      </c>
      <c r="G153" s="106">
        <f>VLOOKUP(F153,'Lamp Stock'!A$14:H$48,4,FALSE)</f>
        <v>3.5296379999999998</v>
      </c>
      <c r="H153" s="106">
        <f>VLOOKUP(F153,'Lamp Stock'!A$14:G$48,6,FALSE)</f>
        <v>23.207099999999997</v>
      </c>
      <c r="I153" s="106">
        <f>VLOOKUP(F153,'Lamp Stock'!A$14:H$48,8,FALSE)</f>
        <v>20.767655999999995</v>
      </c>
      <c r="J153" s="262">
        <v>0.22</v>
      </c>
      <c r="K153" s="262">
        <v>0.1</v>
      </c>
      <c r="L153" s="262">
        <v>0.2</v>
      </c>
      <c r="M153" s="74">
        <v>4</v>
      </c>
      <c r="N153" s="75">
        <f t="shared" si="33"/>
        <v>0.25</v>
      </c>
      <c r="O153" s="311">
        <v>0.04</v>
      </c>
      <c r="P153" s="265">
        <f>'Input data'!B$92*O153</f>
        <v>6.3531990542222223</v>
      </c>
      <c r="Q153" s="76">
        <f t="shared" si="34"/>
        <v>0.28237104000000002</v>
      </c>
      <c r="R153" s="76">
        <f t="shared" si="35"/>
        <v>1.0163630399999999</v>
      </c>
      <c r="S153" s="76">
        <f>IF(C153="Yes",'Input data'!$E$47*'Input data'!$B$51*O153,'Input data'!$E$47*'Input data'!$B$49*O153)</f>
        <v>1.2810468266666666</v>
      </c>
      <c r="T153" s="76">
        <f>'Other Maintenance'!$B$94*'Maintenance Costs'!O145</f>
        <v>0.11897113551214863</v>
      </c>
      <c r="U153" s="264">
        <f>'Input data'!$B$112</f>
        <v>2.9565521226700353</v>
      </c>
      <c r="V153" s="240">
        <f t="shared" si="36"/>
        <v>12.008503219071073</v>
      </c>
      <c r="W153" s="76">
        <f>'Input data'!$C$15*'Maintenance Costs'!N145</f>
        <v>9.75</v>
      </c>
      <c r="X153" s="76">
        <f t="shared" si="37"/>
        <v>12.148646999999997</v>
      </c>
      <c r="Y153" s="76">
        <f>'Input data'!$B$47*'Maintenance Costs'!N145</f>
        <v>0</v>
      </c>
      <c r="Z153" s="76">
        <f>'Other Maintenance'!$B$94*'Maintenance Costs'!N145</f>
        <v>0.74356959695092895</v>
      </c>
      <c r="AA153" s="76">
        <f>('Input data'!$B$96+'Input data'!$B$97)*'Input data'!$B$76</f>
        <v>0.87776744444444454</v>
      </c>
      <c r="AB153" s="240">
        <f t="shared" si="38"/>
        <v>23.519984041395372</v>
      </c>
      <c r="AC153" s="163" t="str">
        <f t="shared" si="32"/>
        <v>MVA</v>
      </c>
      <c r="AD153" s="311">
        <v>4.4699999999999997E-2</v>
      </c>
      <c r="AE153" s="312">
        <f t="shared" si="39"/>
        <v>4.6999999999999958E-3</v>
      </c>
      <c r="AF153" s="177"/>
      <c r="AG153" s="177"/>
      <c r="AH153" s="177"/>
      <c r="AI153" s="177"/>
      <c r="AJ153" s="177"/>
      <c r="AK153" s="177"/>
      <c r="AL153" s="177"/>
      <c r="AM153" s="177"/>
      <c r="AN153" s="177"/>
      <c r="AO153" s="177"/>
      <c r="AP153" s="177"/>
      <c r="AQ153" s="177"/>
      <c r="AR153" s="177"/>
      <c r="AS153" s="177"/>
      <c r="AT153" s="177"/>
      <c r="AU153" s="177"/>
      <c r="AV153" s="177"/>
      <c r="AW153" s="177"/>
      <c r="AX153" s="177"/>
    </row>
    <row r="154" spans="1:50" s="178" customFormat="1" ht="14.25" hidden="1" customHeight="1" x14ac:dyDescent="0.2">
      <c r="A154" s="72" t="s">
        <v>629</v>
      </c>
      <c r="B154" s="73" t="str">
        <f>VLOOKUP(LEFT(A154,7),'Tariff Schedule Lookup Table'!A$8:D$143,3,FALSE)</f>
        <v>3x80</v>
      </c>
      <c r="C154" s="236" t="s">
        <v>890</v>
      </c>
      <c r="D154" s="74">
        <v>3</v>
      </c>
      <c r="E154" s="74">
        <v>0</v>
      </c>
      <c r="F154" s="74" t="s">
        <v>338</v>
      </c>
      <c r="G154" s="106">
        <f>VLOOKUP(F154,'Lamp Stock'!A$14:H$48,4,FALSE)</f>
        <v>3.5296379999999998</v>
      </c>
      <c r="H154" s="106">
        <f>VLOOKUP(F154,'Lamp Stock'!A$14:G$48,6,FALSE)</f>
        <v>23.207099999999997</v>
      </c>
      <c r="I154" s="106">
        <f>VLOOKUP(F154,'Lamp Stock'!A$14:H$48,8,FALSE)</f>
        <v>20.767655999999995</v>
      </c>
      <c r="J154" s="262">
        <v>0.22</v>
      </c>
      <c r="K154" s="262">
        <v>0.1</v>
      </c>
      <c r="L154" s="262">
        <v>0.2</v>
      </c>
      <c r="M154" s="74">
        <v>4</v>
      </c>
      <c r="N154" s="75">
        <f t="shared" si="33"/>
        <v>0.25</v>
      </c>
      <c r="O154" s="311">
        <v>0.04</v>
      </c>
      <c r="P154" s="265">
        <f>'Input data'!B$92*O154</f>
        <v>6.3531990542222223</v>
      </c>
      <c r="Q154" s="76">
        <f t="shared" si="34"/>
        <v>0.42355656000000003</v>
      </c>
      <c r="R154" s="76">
        <f t="shared" si="35"/>
        <v>1.0163630399999999</v>
      </c>
      <c r="S154" s="76">
        <f>IF(C154="Yes",'Input data'!$E$47*'Input data'!$B$51*O154,'Input data'!$E$47*'Input data'!$B$49*O154)</f>
        <v>1.2810468266666666</v>
      </c>
      <c r="T154" s="76">
        <f>'Other Maintenance'!$B$94*'Maintenance Costs'!O146</f>
        <v>0.11897113551214863</v>
      </c>
      <c r="U154" s="264">
        <f>'Input data'!$B$112</f>
        <v>2.9565521226700353</v>
      </c>
      <c r="V154" s="240">
        <f t="shared" si="36"/>
        <v>12.149688739071074</v>
      </c>
      <c r="W154" s="76">
        <f>'Input data'!$C$15*'Maintenance Costs'!N146</f>
        <v>9.75</v>
      </c>
      <c r="X154" s="76">
        <f t="shared" si="37"/>
        <v>18.222970499999995</v>
      </c>
      <c r="Y154" s="76">
        <f>'Input data'!$B$47*'Maintenance Costs'!N146</f>
        <v>0</v>
      </c>
      <c r="Z154" s="76">
        <f>'Other Maintenance'!$B$94*'Maintenance Costs'!N146</f>
        <v>0.74356959695092895</v>
      </c>
      <c r="AA154" s="76">
        <f>('Input data'!$B$96+'Input data'!$B$97)*'Input data'!$B$76</f>
        <v>0.87776744444444454</v>
      </c>
      <c r="AB154" s="240">
        <f t="shared" si="38"/>
        <v>29.59430754139537</v>
      </c>
      <c r="AC154" s="163" t="str">
        <f t="shared" si="32"/>
        <v>MVA</v>
      </c>
      <c r="AD154" s="311">
        <v>4.4699999999999997E-2</v>
      </c>
      <c r="AE154" s="312">
        <f t="shared" si="39"/>
        <v>4.6999999999999958E-3</v>
      </c>
      <c r="AF154" s="177"/>
      <c r="AG154" s="177"/>
      <c r="AH154" s="177"/>
      <c r="AI154" s="177"/>
      <c r="AJ154" s="177"/>
      <c r="AK154" s="177"/>
      <c r="AL154" s="177"/>
      <c r="AM154" s="177"/>
      <c r="AN154" s="177"/>
      <c r="AO154" s="177"/>
      <c r="AP154" s="177"/>
      <c r="AQ154" s="177"/>
      <c r="AR154" s="177"/>
      <c r="AS154" s="177"/>
      <c r="AT154" s="177"/>
      <c r="AU154" s="177"/>
      <c r="AV154" s="177"/>
      <c r="AW154" s="177"/>
      <c r="AX154" s="177"/>
    </row>
    <row r="155" spans="1:50" s="178" customFormat="1" ht="13.5" hidden="1" customHeight="1" x14ac:dyDescent="0.2">
      <c r="A155" s="72" t="s">
        <v>449</v>
      </c>
      <c r="B155" s="73" t="str">
        <f>VLOOKUP(LEFT(A155,7),'Tariff Schedule Lookup Table'!A$8:D$143,3,FALSE)</f>
        <v>4x80</v>
      </c>
      <c r="C155" s="236" t="s">
        <v>890</v>
      </c>
      <c r="D155" s="74">
        <v>3</v>
      </c>
      <c r="E155" s="74">
        <v>0</v>
      </c>
      <c r="F155" s="74" t="s">
        <v>338</v>
      </c>
      <c r="G155" s="106">
        <f>VLOOKUP(F155,'Lamp Stock'!A$14:H$48,4,FALSE)</f>
        <v>3.5296379999999998</v>
      </c>
      <c r="H155" s="106">
        <f>VLOOKUP(F155,'Lamp Stock'!A$14:G$48,6,FALSE)</f>
        <v>23.207099999999997</v>
      </c>
      <c r="I155" s="106">
        <f>VLOOKUP(F155,'Lamp Stock'!A$14:H$48,8,FALSE)</f>
        <v>20.767655999999995</v>
      </c>
      <c r="J155" s="262">
        <v>0.22</v>
      </c>
      <c r="K155" s="262">
        <v>0.1</v>
      </c>
      <c r="L155" s="262">
        <v>0.2</v>
      </c>
      <c r="M155" s="74">
        <v>4</v>
      </c>
      <c r="N155" s="75">
        <f t="shared" si="33"/>
        <v>0.25</v>
      </c>
      <c r="O155" s="311">
        <v>0.04</v>
      </c>
      <c r="P155" s="265">
        <f>'Input data'!B$92*O155</f>
        <v>6.3531990542222223</v>
      </c>
      <c r="Q155" s="76">
        <f t="shared" si="34"/>
        <v>0.42355656000000003</v>
      </c>
      <c r="R155" s="76">
        <f t="shared" si="35"/>
        <v>1.0163630399999999</v>
      </c>
      <c r="S155" s="76">
        <f>IF(C155="Yes",'Input data'!$E$47*'Input data'!$B$51*O155,'Input data'!$E$47*'Input data'!$B$49*O155)</f>
        <v>1.2810468266666666</v>
      </c>
      <c r="T155" s="76">
        <f>'Other Maintenance'!$B$94*'Maintenance Costs'!O147</f>
        <v>0.11897113551214863</v>
      </c>
      <c r="U155" s="264">
        <f>'Input data'!$B$112</f>
        <v>2.9565521226700353</v>
      </c>
      <c r="V155" s="240">
        <f t="shared" si="36"/>
        <v>12.149688739071074</v>
      </c>
      <c r="W155" s="76">
        <f>'Input data'!$C$15*'Maintenance Costs'!N147</f>
        <v>9.75</v>
      </c>
      <c r="X155" s="76">
        <f t="shared" si="37"/>
        <v>18.222970499999995</v>
      </c>
      <c r="Y155" s="76">
        <f>'Input data'!$B$47*'Maintenance Costs'!N147</f>
        <v>0</v>
      </c>
      <c r="Z155" s="76">
        <f>'Other Maintenance'!$B$94*'Maintenance Costs'!N147</f>
        <v>0.74356959695092895</v>
      </c>
      <c r="AA155" s="76">
        <f>('Input data'!$B$96+'Input data'!$B$97)*'Input data'!$B$76</f>
        <v>0.87776744444444454</v>
      </c>
      <c r="AB155" s="240">
        <f t="shared" si="38"/>
        <v>29.59430754139537</v>
      </c>
      <c r="AC155" s="163" t="str">
        <f t="shared" si="32"/>
        <v>MVA</v>
      </c>
      <c r="AD155" s="311">
        <v>4.4699999999999997E-2</v>
      </c>
      <c r="AE155" s="312">
        <f t="shared" si="39"/>
        <v>4.6999999999999958E-3</v>
      </c>
      <c r="AF155" s="177"/>
      <c r="AG155" s="177"/>
      <c r="AH155" s="177"/>
      <c r="AI155" s="177"/>
      <c r="AJ155" s="177"/>
      <c r="AK155" s="177"/>
      <c r="AL155" s="177"/>
      <c r="AM155" s="177"/>
      <c r="AN155" s="177"/>
      <c r="AO155" s="177"/>
      <c r="AP155" s="177"/>
      <c r="AQ155" s="177"/>
      <c r="AR155" s="177"/>
      <c r="AS155" s="177"/>
      <c r="AT155" s="177"/>
      <c r="AU155" s="177"/>
      <c r="AV155" s="177"/>
      <c r="AW155" s="177"/>
      <c r="AX155" s="177"/>
    </row>
    <row r="156" spans="1:50" s="178" customFormat="1" ht="13.5" hidden="1" customHeight="1" x14ac:dyDescent="0.2">
      <c r="A156" s="72" t="s">
        <v>450</v>
      </c>
      <c r="B156" s="73" t="str">
        <f>VLOOKUP(LEFT(A156,7),'Tariff Schedule Lookup Table'!A$8:D$143,3,FALSE)</f>
        <v>6x80</v>
      </c>
      <c r="C156" s="236" t="s">
        <v>890</v>
      </c>
      <c r="D156" s="74">
        <v>6</v>
      </c>
      <c r="E156" s="74">
        <v>0</v>
      </c>
      <c r="F156" s="74" t="s">
        <v>338</v>
      </c>
      <c r="G156" s="106">
        <f>VLOOKUP(F156,'Lamp Stock'!A$14:H$48,4,FALSE)</f>
        <v>3.5296379999999998</v>
      </c>
      <c r="H156" s="106">
        <f>VLOOKUP(F156,'Lamp Stock'!A$14:G$48,6,FALSE)</f>
        <v>23.207099999999997</v>
      </c>
      <c r="I156" s="106">
        <f>VLOOKUP(F156,'Lamp Stock'!A$14:H$48,8,FALSE)</f>
        <v>20.767655999999995</v>
      </c>
      <c r="J156" s="262">
        <v>0.22</v>
      </c>
      <c r="K156" s="262">
        <v>0.1</v>
      </c>
      <c r="L156" s="262">
        <v>0.2</v>
      </c>
      <c r="M156" s="74">
        <v>4</v>
      </c>
      <c r="N156" s="75">
        <f t="shared" si="33"/>
        <v>0.25</v>
      </c>
      <c r="O156" s="311">
        <v>0.04</v>
      </c>
      <c r="P156" s="265">
        <f>'Input data'!B$92*O156</f>
        <v>6.3531990542222223</v>
      </c>
      <c r="Q156" s="76">
        <f t="shared" si="34"/>
        <v>0.84711312000000005</v>
      </c>
      <c r="R156" s="76">
        <f t="shared" si="35"/>
        <v>1.0163630399999999</v>
      </c>
      <c r="S156" s="76">
        <f>IF(C156="Yes",'Input data'!$E$47*'Input data'!$B$51*O156,'Input data'!$E$47*'Input data'!$B$49*O156)</f>
        <v>1.2810468266666666</v>
      </c>
      <c r="T156" s="76">
        <f>'Other Maintenance'!$B$94*'Maintenance Costs'!O148</f>
        <v>0.11897113551214863</v>
      </c>
      <c r="U156" s="264">
        <f>'Input data'!$B$112</f>
        <v>2.9565521226700353</v>
      </c>
      <c r="V156" s="240">
        <f t="shared" si="36"/>
        <v>12.573245299071072</v>
      </c>
      <c r="W156" s="76">
        <f>'Input data'!$C$15*'Maintenance Costs'!N148</f>
        <v>9.75</v>
      </c>
      <c r="X156" s="76">
        <f t="shared" si="37"/>
        <v>36.445940999999991</v>
      </c>
      <c r="Y156" s="76">
        <f>'Input data'!$B$47*'Maintenance Costs'!N148</f>
        <v>0</v>
      </c>
      <c r="Z156" s="76">
        <f>'Other Maintenance'!$B$94*'Maintenance Costs'!N148</f>
        <v>0.74356959695092895</v>
      </c>
      <c r="AA156" s="76">
        <f>('Input data'!$B$96+'Input data'!$B$97)*'Input data'!$B$76</f>
        <v>0.87776744444444454</v>
      </c>
      <c r="AB156" s="240">
        <f t="shared" si="38"/>
        <v>47.817278041395362</v>
      </c>
      <c r="AC156" s="163" t="str">
        <f t="shared" si="32"/>
        <v>MVA</v>
      </c>
      <c r="AD156" s="311">
        <v>4.4699999999999997E-2</v>
      </c>
      <c r="AE156" s="312">
        <f t="shared" si="39"/>
        <v>4.6999999999999958E-3</v>
      </c>
      <c r="AF156" s="177"/>
      <c r="AG156" s="177"/>
      <c r="AH156" s="177"/>
      <c r="AI156" s="177"/>
      <c r="AJ156" s="177"/>
      <c r="AK156" s="177"/>
      <c r="AL156" s="177"/>
      <c r="AM156" s="177"/>
      <c r="AN156" s="177"/>
      <c r="AO156" s="177"/>
      <c r="AP156" s="177"/>
      <c r="AQ156" s="177"/>
      <c r="AR156" s="177"/>
      <c r="AS156" s="177"/>
      <c r="AT156" s="177"/>
      <c r="AU156" s="177"/>
      <c r="AV156" s="177"/>
      <c r="AW156" s="177"/>
      <c r="AX156" s="177"/>
    </row>
    <row r="157" spans="1:50" s="178" customFormat="1" ht="12.75" hidden="1" customHeight="1" x14ac:dyDescent="0.2">
      <c r="A157" s="72" t="s">
        <v>451</v>
      </c>
      <c r="B157" s="73" t="str">
        <f>VLOOKUP(LEFT(A157,7),'Tariff Schedule Lookup Table'!A$8:D$143,3,FALSE)</f>
        <v>7x80</v>
      </c>
      <c r="C157" s="236" t="s">
        <v>890</v>
      </c>
      <c r="D157" s="74">
        <v>7</v>
      </c>
      <c r="E157" s="74">
        <v>0</v>
      </c>
      <c r="F157" s="74" t="s">
        <v>338</v>
      </c>
      <c r="G157" s="106">
        <f>VLOOKUP(F157,'Lamp Stock'!A$14:H$48,4,FALSE)</f>
        <v>3.5296379999999998</v>
      </c>
      <c r="H157" s="106">
        <f>VLOOKUP(F157,'Lamp Stock'!A$14:G$48,6,FALSE)</f>
        <v>23.207099999999997</v>
      </c>
      <c r="I157" s="106">
        <f>VLOOKUP(F157,'Lamp Stock'!A$14:H$48,8,FALSE)</f>
        <v>20.767655999999995</v>
      </c>
      <c r="J157" s="262">
        <v>0.22</v>
      </c>
      <c r="K157" s="262">
        <v>0.1</v>
      </c>
      <c r="L157" s="262">
        <v>0.2</v>
      </c>
      <c r="M157" s="74">
        <v>4</v>
      </c>
      <c r="N157" s="75">
        <f t="shared" si="33"/>
        <v>0.25</v>
      </c>
      <c r="O157" s="311">
        <v>0.04</v>
      </c>
      <c r="P157" s="265">
        <f>'Input data'!B$92*O157</f>
        <v>6.3531990542222223</v>
      </c>
      <c r="Q157" s="76">
        <f t="shared" si="34"/>
        <v>0.98829864000000001</v>
      </c>
      <c r="R157" s="76">
        <f t="shared" si="35"/>
        <v>1.0163630399999999</v>
      </c>
      <c r="S157" s="76">
        <f>IF(C157="Yes",'Input data'!$E$47*'Input data'!$B$51*O157,'Input data'!$E$47*'Input data'!$B$49*O157)</f>
        <v>1.2810468266666666</v>
      </c>
      <c r="T157" s="76">
        <f>'Other Maintenance'!$B$94*'Maintenance Costs'!O149</f>
        <v>0.11897113551214863</v>
      </c>
      <c r="U157" s="264">
        <f>'Input data'!$B$112</f>
        <v>2.9565521226700353</v>
      </c>
      <c r="V157" s="240">
        <f t="shared" si="36"/>
        <v>12.714430819071072</v>
      </c>
      <c r="W157" s="76">
        <f>'Input data'!$C$15*'Maintenance Costs'!N149</f>
        <v>9.75</v>
      </c>
      <c r="X157" s="76">
        <f t="shared" si="37"/>
        <v>42.520264499999989</v>
      </c>
      <c r="Y157" s="76">
        <f>'Input data'!$B$47*'Maintenance Costs'!N149</f>
        <v>0</v>
      </c>
      <c r="Z157" s="76">
        <f>'Other Maintenance'!$B$94*'Maintenance Costs'!N149</f>
        <v>0.74356959695092895</v>
      </c>
      <c r="AA157" s="76">
        <f>('Input data'!$B$96+'Input data'!$B$97)*'Input data'!$B$76</f>
        <v>0.87776744444444454</v>
      </c>
      <c r="AB157" s="240">
        <f t="shared" si="38"/>
        <v>53.89160154139536</v>
      </c>
      <c r="AC157" s="163" t="str">
        <f t="shared" si="32"/>
        <v>MVA</v>
      </c>
      <c r="AD157" s="311">
        <v>4.4699999999999997E-2</v>
      </c>
      <c r="AE157" s="312">
        <f t="shared" si="39"/>
        <v>4.6999999999999958E-3</v>
      </c>
      <c r="AF157" s="177"/>
      <c r="AG157" s="177"/>
      <c r="AH157" s="177"/>
      <c r="AI157" s="177"/>
      <c r="AJ157" s="177"/>
      <c r="AK157" s="177"/>
      <c r="AL157" s="177"/>
      <c r="AM157" s="177"/>
      <c r="AN157" s="177"/>
      <c r="AO157" s="177"/>
      <c r="AP157" s="177"/>
      <c r="AQ157" s="177"/>
      <c r="AR157" s="177"/>
      <c r="AS157" s="177"/>
      <c r="AT157" s="177"/>
      <c r="AU157" s="177"/>
      <c r="AV157" s="177"/>
      <c r="AW157" s="177"/>
      <c r="AX157" s="177"/>
    </row>
    <row r="158" spans="1:50" s="178" customFormat="1" hidden="1" x14ac:dyDescent="0.2">
      <c r="A158" s="72" t="s">
        <v>392</v>
      </c>
      <c r="B158" s="73" t="str">
        <f>VLOOKUP(LEFT(A158,7),'Tariff Schedule Lookup Table'!A$8:D$143,3,FALSE)</f>
        <v>2x125</v>
      </c>
      <c r="C158" s="236" t="s">
        <v>890</v>
      </c>
      <c r="D158" s="74">
        <v>2</v>
      </c>
      <c r="E158" s="74">
        <v>0</v>
      </c>
      <c r="F158" s="74" t="s">
        <v>344</v>
      </c>
      <c r="G158" s="106">
        <f>VLOOKUP(F158,'Lamp Stock'!A$14:H$48,4,FALSE)</f>
        <v>4.036956</v>
      </c>
      <c r="H158" s="106">
        <f>VLOOKUP(F158,'Lamp Stock'!A$14:G$48,6,FALSE)</f>
        <v>28.819979999999997</v>
      </c>
      <c r="I158" s="106">
        <f>VLOOKUP(F158,'Lamp Stock'!A$14:H$48,8,FALSE)</f>
        <v>21.005123999999999</v>
      </c>
      <c r="J158" s="262">
        <v>0.22</v>
      </c>
      <c r="K158" s="262">
        <v>0.1</v>
      </c>
      <c r="L158" s="262">
        <v>0.2</v>
      </c>
      <c r="M158" s="74">
        <v>4</v>
      </c>
      <c r="N158" s="75">
        <f t="shared" si="33"/>
        <v>0.25</v>
      </c>
      <c r="O158" s="311">
        <v>0.04</v>
      </c>
      <c r="P158" s="265">
        <f>'Input data'!B$92*O158</f>
        <v>6.3531990542222223</v>
      </c>
      <c r="Q158" s="76">
        <f t="shared" si="34"/>
        <v>0.32295647999999999</v>
      </c>
      <c r="R158" s="76">
        <f t="shared" si="35"/>
        <v>1.0707648000000001</v>
      </c>
      <c r="S158" s="76">
        <f>IF(C158="Yes",'Input data'!$E$47*'Input data'!$B$51*O158,'Input data'!$E$47*'Input data'!$B$49*O158)</f>
        <v>1.2810468266666666</v>
      </c>
      <c r="T158" s="76">
        <f>'Other Maintenance'!$B$94*'Maintenance Costs'!O151</f>
        <v>0.11897113551214863</v>
      </c>
      <c r="U158" s="264">
        <f>'Input data'!$B$112</f>
        <v>2.9565521226700353</v>
      </c>
      <c r="V158" s="240">
        <f t="shared" si="36"/>
        <v>12.103490419071072</v>
      </c>
      <c r="W158" s="76">
        <f>'Input data'!$C$15*'Maintenance Costs'!N151</f>
        <v>9.75</v>
      </c>
      <c r="X158" s="76">
        <f t="shared" si="37"/>
        <v>12.521039999999999</v>
      </c>
      <c r="Y158" s="76">
        <f>'Input data'!$B$47*'Maintenance Costs'!N151</f>
        <v>0</v>
      </c>
      <c r="Z158" s="76">
        <f>'Other Maintenance'!$B$94*'Maintenance Costs'!N151</f>
        <v>0.74356959695092895</v>
      </c>
      <c r="AA158" s="76">
        <f>('Input data'!$B$96+'Input data'!$B$97)*'Input data'!$B$76</f>
        <v>0.87776744444444454</v>
      </c>
      <c r="AB158" s="240">
        <f t="shared" si="38"/>
        <v>23.892377041395374</v>
      </c>
      <c r="AC158" s="163" t="str">
        <f t="shared" si="32"/>
        <v>MVA</v>
      </c>
      <c r="AD158" s="311">
        <v>4.4699999999999997E-2</v>
      </c>
      <c r="AE158" s="312">
        <f t="shared" si="39"/>
        <v>4.6999999999999958E-3</v>
      </c>
      <c r="AF158" s="177"/>
      <c r="AG158" s="177"/>
      <c r="AH158" s="177"/>
      <c r="AI158" s="177"/>
      <c r="AJ158" s="177"/>
      <c r="AK158" s="177"/>
      <c r="AL158" s="177"/>
      <c r="AM158" s="177"/>
      <c r="AN158" s="177"/>
      <c r="AO158" s="177"/>
      <c r="AP158" s="177"/>
      <c r="AQ158" s="177"/>
      <c r="AR158" s="177"/>
      <c r="AS158" s="177"/>
      <c r="AT158" s="177"/>
      <c r="AU158" s="177"/>
      <c r="AV158" s="177"/>
      <c r="AW158" s="177"/>
      <c r="AX158" s="177"/>
    </row>
    <row r="159" spans="1:50" s="178" customFormat="1" ht="12.75" hidden="1" customHeight="1" x14ac:dyDescent="0.2">
      <c r="A159" s="72" t="s">
        <v>452</v>
      </c>
      <c r="B159" s="73" t="str">
        <f>VLOOKUP(LEFT(A159,7),'Tariff Schedule Lookup Table'!A$8:D$143,3,FALSE)</f>
        <v>3x125</v>
      </c>
      <c r="C159" s="236" t="s">
        <v>890</v>
      </c>
      <c r="D159" s="74">
        <v>3</v>
      </c>
      <c r="E159" s="74">
        <v>0</v>
      </c>
      <c r="F159" s="74" t="s">
        <v>344</v>
      </c>
      <c r="G159" s="106">
        <f>VLOOKUP(F159,'Lamp Stock'!A$14:H$48,4,FALSE)</f>
        <v>4.036956</v>
      </c>
      <c r="H159" s="106">
        <f>VLOOKUP(F159,'Lamp Stock'!A$14:G$48,6,FALSE)</f>
        <v>28.819979999999997</v>
      </c>
      <c r="I159" s="106">
        <f>VLOOKUP(F159,'Lamp Stock'!A$14:H$48,8,FALSE)</f>
        <v>21.005123999999999</v>
      </c>
      <c r="J159" s="262">
        <v>0.22</v>
      </c>
      <c r="K159" s="262">
        <v>0.1</v>
      </c>
      <c r="L159" s="262">
        <v>0.2</v>
      </c>
      <c r="M159" s="74">
        <v>4</v>
      </c>
      <c r="N159" s="75">
        <f t="shared" si="33"/>
        <v>0.25</v>
      </c>
      <c r="O159" s="311">
        <v>0.04</v>
      </c>
      <c r="P159" s="265">
        <f>'Input data'!B$92*O159</f>
        <v>6.3531990542222223</v>
      </c>
      <c r="Q159" s="76">
        <f t="shared" si="34"/>
        <v>0.48443471999999999</v>
      </c>
      <c r="R159" s="76">
        <f t="shared" si="35"/>
        <v>1.0707648000000001</v>
      </c>
      <c r="S159" s="76">
        <f>IF(C159="Yes",'Input data'!$E$47*'Input data'!$B$51*O159,'Input data'!$E$47*'Input data'!$B$49*O159)</f>
        <v>1.2810468266666666</v>
      </c>
      <c r="T159" s="76">
        <f>'Other Maintenance'!$B$94*'Maintenance Costs'!O152</f>
        <v>0.11897113551214863</v>
      </c>
      <c r="U159" s="264">
        <f>'Input data'!$B$112</f>
        <v>2.9565521226700353</v>
      </c>
      <c r="V159" s="240">
        <f t="shared" si="36"/>
        <v>12.264968659071073</v>
      </c>
      <c r="W159" s="76">
        <f>'Input data'!$C$15*'Maintenance Costs'!N152</f>
        <v>9.75</v>
      </c>
      <c r="X159" s="76">
        <f t="shared" si="37"/>
        <v>18.781559999999999</v>
      </c>
      <c r="Y159" s="76">
        <f>'Input data'!$B$47*'Maintenance Costs'!N152</f>
        <v>0</v>
      </c>
      <c r="Z159" s="76">
        <f>'Other Maintenance'!$B$94*'Maintenance Costs'!N152</f>
        <v>0.74356959695092895</v>
      </c>
      <c r="AA159" s="76">
        <f>('Input data'!$B$96+'Input data'!$B$97)*'Input data'!$B$76</f>
        <v>0.87776744444444454</v>
      </c>
      <c r="AB159" s="240">
        <f t="shared" si="38"/>
        <v>30.152897041395374</v>
      </c>
      <c r="AC159" s="163" t="str">
        <f t="shared" si="32"/>
        <v>MVA</v>
      </c>
      <c r="AD159" s="311">
        <v>4.4699999999999997E-2</v>
      </c>
      <c r="AE159" s="312">
        <f t="shared" si="39"/>
        <v>4.6999999999999958E-3</v>
      </c>
      <c r="AF159" s="177"/>
      <c r="AG159" s="177"/>
      <c r="AH159" s="177"/>
      <c r="AI159" s="177"/>
      <c r="AJ159" s="177"/>
      <c r="AK159" s="177"/>
      <c r="AL159" s="177"/>
      <c r="AM159" s="177"/>
      <c r="AN159" s="177"/>
      <c r="AO159" s="177"/>
      <c r="AP159" s="177"/>
      <c r="AQ159" s="177"/>
      <c r="AR159" s="177"/>
      <c r="AS159" s="177"/>
      <c r="AT159" s="177"/>
      <c r="AU159" s="177"/>
      <c r="AV159" s="177"/>
      <c r="AW159" s="177"/>
      <c r="AX159" s="177"/>
    </row>
    <row r="160" spans="1:50" s="178" customFormat="1" hidden="1" x14ac:dyDescent="0.2">
      <c r="A160" s="72" t="s">
        <v>453</v>
      </c>
      <c r="B160" s="73" t="str">
        <f>VLOOKUP(LEFT(A160,7),'Tariff Schedule Lookup Table'!A$8:D$143,3,FALSE)</f>
        <v>6x125</v>
      </c>
      <c r="C160" s="236" t="s">
        <v>890</v>
      </c>
      <c r="D160" s="74">
        <v>6</v>
      </c>
      <c r="E160" s="74">
        <v>0</v>
      </c>
      <c r="F160" s="74" t="s">
        <v>344</v>
      </c>
      <c r="G160" s="106">
        <f>VLOOKUP(F160,'Lamp Stock'!A$14:H$48,4,FALSE)</f>
        <v>4.036956</v>
      </c>
      <c r="H160" s="106">
        <f>VLOOKUP(F160,'Lamp Stock'!A$14:G$48,6,FALSE)</f>
        <v>28.819979999999997</v>
      </c>
      <c r="I160" s="106">
        <f>VLOOKUP(F160,'Lamp Stock'!A$14:H$48,8,FALSE)</f>
        <v>21.005123999999999</v>
      </c>
      <c r="J160" s="262">
        <v>0.22</v>
      </c>
      <c r="K160" s="262">
        <v>0.1</v>
      </c>
      <c r="L160" s="262">
        <v>0.2</v>
      </c>
      <c r="M160" s="74">
        <v>4</v>
      </c>
      <c r="N160" s="75">
        <f t="shared" si="33"/>
        <v>0.25</v>
      </c>
      <c r="O160" s="311">
        <v>0.04</v>
      </c>
      <c r="P160" s="265">
        <f>'Input data'!B$92*O160</f>
        <v>6.3531990542222223</v>
      </c>
      <c r="Q160" s="76">
        <f t="shared" si="34"/>
        <v>0.96886943999999997</v>
      </c>
      <c r="R160" s="76">
        <f t="shared" si="35"/>
        <v>1.0707648000000001</v>
      </c>
      <c r="S160" s="76">
        <f>IF(C160="Yes",'Input data'!$E$47*'Input data'!$B$51*O160,'Input data'!$E$47*'Input data'!$B$49*O160)</f>
        <v>1.2810468266666666</v>
      </c>
      <c r="T160" s="76">
        <f>'Other Maintenance'!$B$94*'Maintenance Costs'!O153</f>
        <v>0.11897113551214863</v>
      </c>
      <c r="U160" s="264">
        <f>'Input data'!$B$112</f>
        <v>2.9565521226700353</v>
      </c>
      <c r="V160" s="240">
        <f t="shared" si="36"/>
        <v>12.749403379071072</v>
      </c>
      <c r="W160" s="76">
        <f>'Input data'!$C$15*'Maintenance Costs'!N153</f>
        <v>9.75</v>
      </c>
      <c r="X160" s="76">
        <f t="shared" si="37"/>
        <v>37.563119999999998</v>
      </c>
      <c r="Y160" s="76">
        <f>'Input data'!$B$47*'Maintenance Costs'!N153</f>
        <v>0</v>
      </c>
      <c r="Z160" s="76">
        <f>'Other Maintenance'!$B$94*'Maintenance Costs'!N153</f>
        <v>0.74356959695092895</v>
      </c>
      <c r="AA160" s="76">
        <f>('Input data'!$B$96+'Input data'!$B$97)*'Input data'!$B$76</f>
        <v>0.87776744444444454</v>
      </c>
      <c r="AB160" s="240">
        <f t="shared" si="38"/>
        <v>48.934457041395369</v>
      </c>
      <c r="AC160" s="163" t="str">
        <f t="shared" si="32"/>
        <v>MVA</v>
      </c>
      <c r="AD160" s="311">
        <v>4.4699999999999997E-2</v>
      </c>
      <c r="AE160" s="312">
        <f t="shared" si="39"/>
        <v>4.6999999999999958E-3</v>
      </c>
      <c r="AF160" s="177"/>
      <c r="AG160" s="177"/>
      <c r="AH160" s="177"/>
      <c r="AI160" s="177"/>
      <c r="AJ160" s="177"/>
      <c r="AK160" s="177"/>
      <c r="AL160" s="177"/>
      <c r="AM160" s="177"/>
      <c r="AN160" s="177"/>
      <c r="AO160" s="177"/>
      <c r="AP160" s="177"/>
      <c r="AQ160" s="177"/>
      <c r="AR160" s="177"/>
      <c r="AS160" s="177"/>
      <c r="AT160" s="177"/>
      <c r="AU160" s="177"/>
      <c r="AV160" s="177"/>
      <c r="AW160" s="177"/>
      <c r="AX160" s="177"/>
    </row>
    <row r="161" spans="1:50" s="178" customFormat="1" ht="13.5" hidden="1" customHeight="1" x14ac:dyDescent="0.2">
      <c r="A161" s="72" t="s">
        <v>454</v>
      </c>
      <c r="B161" s="73" t="str">
        <f>VLOOKUP(LEFT(A161,7),'Tariff Schedule Lookup Table'!A$8:D$143,3,FALSE)</f>
        <v>2x160</v>
      </c>
      <c r="C161" s="236" t="s">
        <v>891</v>
      </c>
      <c r="D161" s="74">
        <v>2</v>
      </c>
      <c r="E161" s="74">
        <v>0</v>
      </c>
      <c r="F161" s="74" t="s">
        <v>344</v>
      </c>
      <c r="G161" s="106">
        <f>VLOOKUP(F161,'Lamp Stock'!A$14:H$48,4,FALSE)</f>
        <v>4.036956</v>
      </c>
      <c r="H161" s="106">
        <f>VLOOKUP(F161,'Lamp Stock'!A$14:G$48,6,FALSE)</f>
        <v>28.819979999999997</v>
      </c>
      <c r="I161" s="106">
        <f>VLOOKUP(F161,'Lamp Stock'!A$14:H$48,8,FALSE)</f>
        <v>21.005123999999999</v>
      </c>
      <c r="J161" s="262">
        <v>0.22</v>
      </c>
      <c r="K161" s="262">
        <v>0.1</v>
      </c>
      <c r="L161" s="262">
        <v>0.2</v>
      </c>
      <c r="M161" s="74">
        <v>4</v>
      </c>
      <c r="N161" s="75">
        <f t="shared" si="33"/>
        <v>0.25</v>
      </c>
      <c r="O161" s="311">
        <v>0.04</v>
      </c>
      <c r="P161" s="265">
        <f>'Input data'!B$92*O161</f>
        <v>6.3531990542222223</v>
      </c>
      <c r="Q161" s="76">
        <f t="shared" si="34"/>
        <v>0.32295647999999999</v>
      </c>
      <c r="R161" s="76">
        <f t="shared" si="35"/>
        <v>1.0707648000000001</v>
      </c>
      <c r="S161" s="76">
        <f>IF(C161="Yes",'Input data'!$E$47*'Input data'!$B$51*O161,'Input data'!$E$47*'Input data'!$B$49*O161)</f>
        <v>10.248374613333333</v>
      </c>
      <c r="T161" s="76">
        <f>'Other Maintenance'!$B$94*'Maintenance Costs'!O155</f>
        <v>0.11897113551214863</v>
      </c>
      <c r="U161" s="264">
        <f>'Input data'!$B$112</f>
        <v>2.9565521226700353</v>
      </c>
      <c r="V161" s="240">
        <f t="shared" si="36"/>
        <v>21.070818205737741</v>
      </c>
      <c r="W161" s="76">
        <f>'Input data'!$C$15*'Maintenance Costs'!N155</f>
        <v>9.75</v>
      </c>
      <c r="X161" s="76">
        <f t="shared" si="37"/>
        <v>12.521039999999999</v>
      </c>
      <c r="Y161" s="76">
        <f>'Input data'!$B$47*'Maintenance Costs'!N155</f>
        <v>0</v>
      </c>
      <c r="Z161" s="76">
        <f>'Other Maintenance'!$B$94*'Maintenance Costs'!N155</f>
        <v>0.74356959695092895</v>
      </c>
      <c r="AA161" s="76">
        <f>('Input data'!$B$96+'Input data'!$B$97)*'Input data'!$B$76</f>
        <v>0.87776744444444454</v>
      </c>
      <c r="AB161" s="240">
        <f t="shared" si="38"/>
        <v>23.892377041395374</v>
      </c>
      <c r="AC161" s="163" t="str">
        <f t="shared" si="32"/>
        <v>MVA</v>
      </c>
      <c r="AD161" s="311">
        <v>4.4699999999999997E-2</v>
      </c>
      <c r="AE161" s="312">
        <f t="shared" si="39"/>
        <v>4.6999999999999958E-3</v>
      </c>
      <c r="AF161" s="177"/>
      <c r="AG161" s="177"/>
      <c r="AH161" s="177"/>
      <c r="AI161" s="177"/>
      <c r="AJ161" s="177"/>
      <c r="AK161" s="177"/>
      <c r="AL161" s="177"/>
      <c r="AM161" s="177"/>
      <c r="AN161" s="177"/>
      <c r="AO161" s="177"/>
      <c r="AP161" s="177"/>
      <c r="AQ161" s="177"/>
      <c r="AR161" s="177"/>
      <c r="AS161" s="177"/>
      <c r="AT161" s="177"/>
      <c r="AU161" s="177"/>
      <c r="AV161" s="177"/>
      <c r="AW161" s="177"/>
      <c r="AX161" s="177"/>
    </row>
    <row r="162" spans="1:50" s="178" customFormat="1" hidden="1" x14ac:dyDescent="0.2">
      <c r="A162" s="72" t="s">
        <v>455</v>
      </c>
      <c r="B162" s="73" t="str">
        <f>VLOOKUP(LEFT(A162,7),'Tariff Schedule Lookup Table'!A$8:D$143,3,FALSE)</f>
        <v>3x160</v>
      </c>
      <c r="C162" s="236" t="s">
        <v>891</v>
      </c>
      <c r="D162" s="74">
        <v>3</v>
      </c>
      <c r="E162" s="74">
        <v>0</v>
      </c>
      <c r="F162" s="74" t="s">
        <v>344</v>
      </c>
      <c r="G162" s="106">
        <f>VLOOKUP(F162,'Lamp Stock'!A$14:H$48,4,FALSE)</f>
        <v>4.036956</v>
      </c>
      <c r="H162" s="106">
        <f>VLOOKUP(F162,'Lamp Stock'!A$14:G$48,6,FALSE)</f>
        <v>28.819979999999997</v>
      </c>
      <c r="I162" s="106">
        <f>VLOOKUP(F162,'Lamp Stock'!A$14:H$48,8,FALSE)</f>
        <v>21.005123999999999</v>
      </c>
      <c r="J162" s="262">
        <v>0.22</v>
      </c>
      <c r="K162" s="262">
        <v>0.1</v>
      </c>
      <c r="L162" s="262">
        <v>0.2</v>
      </c>
      <c r="M162" s="74">
        <v>4</v>
      </c>
      <c r="N162" s="75">
        <f t="shared" si="33"/>
        <v>0.25</v>
      </c>
      <c r="O162" s="311">
        <v>0.04</v>
      </c>
      <c r="P162" s="265">
        <f>'Input data'!B$92*O162</f>
        <v>6.3531990542222223</v>
      </c>
      <c r="Q162" s="76">
        <f t="shared" si="34"/>
        <v>0.48443471999999999</v>
      </c>
      <c r="R162" s="76">
        <f t="shared" si="35"/>
        <v>1.0707648000000001</v>
      </c>
      <c r="S162" s="76">
        <f>IF(C162="Yes",'Input data'!$E$47*'Input data'!$B$51*O162,'Input data'!$E$47*'Input data'!$B$49*O162)</f>
        <v>10.248374613333333</v>
      </c>
      <c r="T162" s="76">
        <f>'Other Maintenance'!$B$94*'Maintenance Costs'!O156</f>
        <v>0.11897113551214863</v>
      </c>
      <c r="U162" s="264">
        <f>'Input data'!$B$112</f>
        <v>2.9565521226700353</v>
      </c>
      <c r="V162" s="240">
        <f t="shared" si="36"/>
        <v>21.232296445737738</v>
      </c>
      <c r="W162" s="76">
        <f>'Input data'!$C$15*'Maintenance Costs'!N156</f>
        <v>9.75</v>
      </c>
      <c r="X162" s="76">
        <f t="shared" si="37"/>
        <v>18.781559999999999</v>
      </c>
      <c r="Y162" s="76">
        <f>'Input data'!$B$47*'Maintenance Costs'!N156</f>
        <v>0</v>
      </c>
      <c r="Z162" s="76">
        <f>'Other Maintenance'!$B$94*'Maintenance Costs'!N156</f>
        <v>0.74356959695092895</v>
      </c>
      <c r="AA162" s="76">
        <f>('Input data'!$B$96+'Input data'!$B$97)*'Input data'!$B$76</f>
        <v>0.87776744444444454</v>
      </c>
      <c r="AB162" s="240">
        <f t="shared" si="38"/>
        <v>30.152897041395374</v>
      </c>
      <c r="AC162" s="163" t="str">
        <f t="shared" si="32"/>
        <v>MVA</v>
      </c>
      <c r="AD162" s="311">
        <v>4.4699999999999997E-2</v>
      </c>
      <c r="AE162" s="312">
        <f t="shared" si="39"/>
        <v>4.6999999999999958E-3</v>
      </c>
      <c r="AF162" s="177"/>
      <c r="AG162" s="177"/>
      <c r="AH162" s="177"/>
      <c r="AI162" s="177"/>
      <c r="AJ162" s="177"/>
      <c r="AK162" s="177"/>
      <c r="AL162" s="177"/>
      <c r="AM162" s="177"/>
      <c r="AN162" s="177"/>
      <c r="AO162" s="177"/>
      <c r="AP162" s="177"/>
      <c r="AQ162" s="177"/>
      <c r="AR162" s="177"/>
      <c r="AS162" s="177"/>
      <c r="AT162" s="177"/>
      <c r="AU162" s="177"/>
      <c r="AV162" s="177"/>
      <c r="AW162" s="177"/>
      <c r="AX162" s="177"/>
    </row>
    <row r="163" spans="1:50" s="178" customFormat="1" ht="13.5" hidden="1" customHeight="1" x14ac:dyDescent="0.2">
      <c r="A163" s="72" t="s">
        <v>462</v>
      </c>
      <c r="B163" s="73" t="str">
        <f>VLOOKUP(LEFT(A163,7),'Tariff Schedule Lookup Table'!A$8:D$143,3,FALSE)</f>
        <v>6x160</v>
      </c>
      <c r="C163" s="236" t="s">
        <v>891</v>
      </c>
      <c r="D163" s="74">
        <v>6</v>
      </c>
      <c r="E163" s="74">
        <v>0</v>
      </c>
      <c r="F163" s="74" t="s">
        <v>344</v>
      </c>
      <c r="G163" s="106">
        <f>VLOOKUP(F163,'Lamp Stock'!A$14:H$48,4,FALSE)</f>
        <v>4.036956</v>
      </c>
      <c r="H163" s="106">
        <f>VLOOKUP(F163,'Lamp Stock'!A$14:G$48,6,FALSE)</f>
        <v>28.819979999999997</v>
      </c>
      <c r="I163" s="106">
        <f>VLOOKUP(F163,'Lamp Stock'!A$14:H$48,8,FALSE)</f>
        <v>21.005123999999999</v>
      </c>
      <c r="J163" s="262">
        <v>0.22</v>
      </c>
      <c r="K163" s="262">
        <v>0.1</v>
      </c>
      <c r="L163" s="262">
        <v>0.2</v>
      </c>
      <c r="M163" s="74">
        <v>4</v>
      </c>
      <c r="N163" s="75">
        <f t="shared" si="33"/>
        <v>0.25</v>
      </c>
      <c r="O163" s="311">
        <v>0.04</v>
      </c>
      <c r="P163" s="265">
        <f>'Input data'!B$92*O163</f>
        <v>6.3531990542222223</v>
      </c>
      <c r="Q163" s="76">
        <f t="shared" si="34"/>
        <v>0.96886943999999997</v>
      </c>
      <c r="R163" s="76">
        <f t="shared" si="35"/>
        <v>1.0707648000000001</v>
      </c>
      <c r="S163" s="76">
        <f>IF(C163="Yes",'Input data'!$E$47*'Input data'!$B$51*O163,'Input data'!$E$47*'Input data'!$B$49*O163)</f>
        <v>10.248374613333333</v>
      </c>
      <c r="T163" s="76">
        <f>'Other Maintenance'!$B$94*'Maintenance Costs'!O157</f>
        <v>0.11897113551214863</v>
      </c>
      <c r="U163" s="264">
        <f>'Input data'!$B$112</f>
        <v>2.9565521226700353</v>
      </c>
      <c r="V163" s="240">
        <f t="shared" si="36"/>
        <v>21.716731165737738</v>
      </c>
      <c r="W163" s="76">
        <f>'Input data'!$C$15*'Maintenance Costs'!N157</f>
        <v>9.75</v>
      </c>
      <c r="X163" s="76">
        <f t="shared" si="37"/>
        <v>37.563119999999998</v>
      </c>
      <c r="Y163" s="76">
        <f>'Input data'!$B$47*'Maintenance Costs'!N157</f>
        <v>0</v>
      </c>
      <c r="Z163" s="76">
        <f>'Other Maintenance'!$B$94*'Maintenance Costs'!N157</f>
        <v>0.74356959695092895</v>
      </c>
      <c r="AA163" s="76">
        <f>('Input data'!$B$96+'Input data'!$B$97)*'Input data'!$B$76</f>
        <v>0.87776744444444454</v>
      </c>
      <c r="AB163" s="240">
        <f t="shared" si="38"/>
        <v>48.934457041395369</v>
      </c>
      <c r="AC163" s="163" t="str">
        <f t="shared" si="32"/>
        <v>MVA</v>
      </c>
      <c r="AD163" s="311">
        <v>4.4699999999999997E-2</v>
      </c>
      <c r="AE163" s="312">
        <f t="shared" si="39"/>
        <v>4.6999999999999958E-3</v>
      </c>
      <c r="AF163" s="177"/>
      <c r="AG163" s="177"/>
      <c r="AH163" s="177"/>
      <c r="AI163" s="177"/>
      <c r="AJ163" s="177"/>
      <c r="AK163" s="177"/>
      <c r="AL163" s="177"/>
      <c r="AM163" s="177"/>
      <c r="AN163" s="177"/>
      <c r="AO163" s="177"/>
      <c r="AP163" s="177"/>
      <c r="AQ163" s="177"/>
      <c r="AR163" s="177"/>
      <c r="AS163" s="177"/>
      <c r="AT163" s="177"/>
      <c r="AU163" s="177"/>
      <c r="AV163" s="177"/>
      <c r="AW163" s="177"/>
      <c r="AX163" s="177"/>
    </row>
    <row r="164" spans="1:50" s="178" customFormat="1" ht="14.25" hidden="1" customHeight="1" x14ac:dyDescent="0.2">
      <c r="A164" s="72" t="s">
        <v>463</v>
      </c>
      <c r="B164" s="73" t="str">
        <f>VLOOKUP(LEFT(A164,7),'Tariff Schedule Lookup Table'!A$8:D$143,3,FALSE)</f>
        <v>9x160</v>
      </c>
      <c r="C164" s="236" t="s">
        <v>891</v>
      </c>
      <c r="D164" s="74">
        <v>1</v>
      </c>
      <c r="E164" s="74">
        <v>0</v>
      </c>
      <c r="F164" s="74" t="s">
        <v>344</v>
      </c>
      <c r="G164" s="106">
        <f>VLOOKUP(F164,'Lamp Stock'!A$14:H$48,4,FALSE)</f>
        <v>4.036956</v>
      </c>
      <c r="H164" s="106">
        <f>VLOOKUP(F164,'Lamp Stock'!A$14:G$48,6,FALSE)</f>
        <v>28.819979999999997</v>
      </c>
      <c r="I164" s="106">
        <f>VLOOKUP(F164,'Lamp Stock'!A$14:H$48,8,FALSE)</f>
        <v>21.005123999999999</v>
      </c>
      <c r="J164" s="262">
        <v>0.22</v>
      </c>
      <c r="K164" s="262">
        <v>0.1</v>
      </c>
      <c r="L164" s="262">
        <v>0.2</v>
      </c>
      <c r="M164" s="74">
        <v>4</v>
      </c>
      <c r="N164" s="75">
        <f t="shared" si="33"/>
        <v>0.25</v>
      </c>
      <c r="O164" s="311">
        <v>0.04</v>
      </c>
      <c r="P164" s="265">
        <f>'Input data'!B$92*O164</f>
        <v>6.3531990542222223</v>
      </c>
      <c r="Q164" s="76">
        <f t="shared" si="34"/>
        <v>0.16147824</v>
      </c>
      <c r="R164" s="76">
        <f t="shared" si="35"/>
        <v>1.0707648000000001</v>
      </c>
      <c r="S164" s="76">
        <f>IF(C164="Yes",'Input data'!$E$47*'Input data'!$B$51*O164,'Input data'!$E$47*'Input data'!$B$49*O164)</f>
        <v>10.248374613333333</v>
      </c>
      <c r="T164" s="76">
        <f>'Other Maintenance'!$B$94*'Maintenance Costs'!O158</f>
        <v>0.11897113551214863</v>
      </c>
      <c r="U164" s="264">
        <f>'Input data'!$B$112</f>
        <v>2.9565521226700353</v>
      </c>
      <c r="V164" s="240">
        <f t="shared" si="36"/>
        <v>20.90933996573774</v>
      </c>
      <c r="W164" s="76">
        <f>'Input data'!$C$15*'Maintenance Costs'!N158</f>
        <v>9.75</v>
      </c>
      <c r="X164" s="76">
        <f t="shared" si="37"/>
        <v>6.2605199999999996</v>
      </c>
      <c r="Y164" s="76">
        <f>'Input data'!$B$47*'Maintenance Costs'!N158</f>
        <v>0</v>
      </c>
      <c r="Z164" s="76">
        <f>'Other Maintenance'!$B$94*'Maintenance Costs'!N158</f>
        <v>0.74356959695092895</v>
      </c>
      <c r="AA164" s="76">
        <f>('Input data'!$B$96+'Input data'!$B$97)*'Input data'!$B$76</f>
        <v>0.87776744444444454</v>
      </c>
      <c r="AB164" s="240">
        <f t="shared" si="38"/>
        <v>17.631857041395374</v>
      </c>
      <c r="AC164" s="163" t="str">
        <f t="shared" si="32"/>
        <v>MVA</v>
      </c>
      <c r="AD164" s="311">
        <v>4.4699999999999997E-2</v>
      </c>
      <c r="AE164" s="312">
        <f t="shared" si="39"/>
        <v>4.6999999999999958E-3</v>
      </c>
      <c r="AF164" s="177"/>
      <c r="AG164" s="177"/>
      <c r="AH164" s="177"/>
      <c r="AI164" s="177"/>
      <c r="AJ164" s="177"/>
      <c r="AK164" s="177"/>
      <c r="AL164" s="177"/>
      <c r="AM164" s="177"/>
      <c r="AN164" s="177"/>
      <c r="AO164" s="177"/>
      <c r="AP164" s="177"/>
      <c r="AQ164" s="177"/>
      <c r="AR164" s="177"/>
      <c r="AS164" s="177"/>
      <c r="AT164" s="177"/>
      <c r="AU164" s="177"/>
      <c r="AV164" s="177"/>
      <c r="AW164" s="177"/>
      <c r="AX164" s="177"/>
    </row>
    <row r="165" spans="1:50" s="178" customFormat="1" ht="14.25" hidden="1" customHeight="1" x14ac:dyDescent="0.2">
      <c r="A165" s="72" t="s">
        <v>464</v>
      </c>
      <c r="B165" s="73" t="str">
        <f>VLOOKUP(LEFT(A165,7),'Tariff Schedule Lookup Table'!A$8:D$143,3,FALSE)</f>
        <v>2x175</v>
      </c>
      <c r="C165" s="236" t="s">
        <v>891</v>
      </c>
      <c r="D165" s="74">
        <v>2</v>
      </c>
      <c r="E165" s="74">
        <v>0</v>
      </c>
      <c r="F165" s="74" t="s">
        <v>344</v>
      </c>
      <c r="G165" s="106">
        <f>VLOOKUP(F165,'Lamp Stock'!A$14:H$48,4,FALSE)</f>
        <v>4.036956</v>
      </c>
      <c r="H165" s="106">
        <f>VLOOKUP(F165,'Lamp Stock'!A$14:G$48,6,FALSE)</f>
        <v>28.819979999999997</v>
      </c>
      <c r="I165" s="106">
        <f>VLOOKUP(F165,'Lamp Stock'!A$14:H$48,8,FALSE)</f>
        <v>21.005123999999999</v>
      </c>
      <c r="J165" s="262">
        <v>0.22</v>
      </c>
      <c r="K165" s="262">
        <v>0.1</v>
      </c>
      <c r="L165" s="262">
        <v>0.2</v>
      </c>
      <c r="M165" s="74">
        <v>4</v>
      </c>
      <c r="N165" s="75">
        <f t="shared" si="33"/>
        <v>0.25</v>
      </c>
      <c r="O165" s="311">
        <v>0.04</v>
      </c>
      <c r="P165" s="265">
        <f>'Input data'!B$92*O165</f>
        <v>6.3531990542222223</v>
      </c>
      <c r="Q165" s="76">
        <f t="shared" si="34"/>
        <v>0.32295647999999999</v>
      </c>
      <c r="R165" s="76">
        <f t="shared" si="35"/>
        <v>1.0707648000000001</v>
      </c>
      <c r="S165" s="76">
        <f>IF(C165="Yes",'Input data'!$E$47*'Input data'!$B$51*O165,'Input data'!$E$47*'Input data'!$B$49*O165)</f>
        <v>10.248374613333333</v>
      </c>
      <c r="T165" s="76">
        <f>'Other Maintenance'!$B$94*'Maintenance Costs'!O160</f>
        <v>0.11897113551214863</v>
      </c>
      <c r="U165" s="264">
        <f>'Input data'!$B$112</f>
        <v>2.9565521226700353</v>
      </c>
      <c r="V165" s="240">
        <f t="shared" si="36"/>
        <v>21.070818205737741</v>
      </c>
      <c r="W165" s="76">
        <f>'Input data'!$C$15*'Maintenance Costs'!N160</f>
        <v>9.75</v>
      </c>
      <c r="X165" s="76">
        <f t="shared" si="37"/>
        <v>12.521039999999999</v>
      </c>
      <c r="Y165" s="76">
        <f>'Input data'!$B$47*'Maintenance Costs'!N160</f>
        <v>0</v>
      </c>
      <c r="Z165" s="76">
        <f>'Other Maintenance'!$B$94*'Maintenance Costs'!N160</f>
        <v>0.74356959695092895</v>
      </c>
      <c r="AA165" s="76">
        <f>('Input data'!$B$96+'Input data'!$B$97)*'Input data'!$B$76</f>
        <v>0.87776744444444454</v>
      </c>
      <c r="AB165" s="240">
        <f t="shared" si="38"/>
        <v>23.892377041395374</v>
      </c>
      <c r="AC165" s="163" t="str">
        <f t="shared" si="32"/>
        <v>MVA</v>
      </c>
      <c r="AD165" s="311">
        <v>4.4699999999999997E-2</v>
      </c>
      <c r="AE165" s="312">
        <f t="shared" si="39"/>
        <v>4.6999999999999958E-3</v>
      </c>
      <c r="AF165" s="177"/>
      <c r="AG165" s="177"/>
      <c r="AH165" s="177"/>
      <c r="AI165" s="177"/>
      <c r="AJ165" s="177"/>
      <c r="AK165" s="177"/>
      <c r="AL165" s="177"/>
      <c r="AM165" s="177"/>
      <c r="AN165" s="177"/>
      <c r="AO165" s="177"/>
      <c r="AP165" s="177"/>
      <c r="AQ165" s="177"/>
      <c r="AR165" s="177"/>
      <c r="AS165" s="177"/>
      <c r="AT165" s="177"/>
      <c r="AU165" s="177"/>
      <c r="AV165" s="177"/>
      <c r="AW165" s="177"/>
      <c r="AX165" s="177"/>
    </row>
    <row r="166" spans="1:50" s="178" customFormat="1" ht="14.25" hidden="1" customHeight="1" x14ac:dyDescent="0.2">
      <c r="A166" s="72" t="s">
        <v>393</v>
      </c>
      <c r="B166" s="73" t="str">
        <f>VLOOKUP(LEFT(A166,7),'Tariff Schedule Lookup Table'!A$8:D$143,3,FALSE)</f>
        <v>2x250</v>
      </c>
      <c r="C166" s="236" t="s">
        <v>891</v>
      </c>
      <c r="D166" s="74">
        <v>2</v>
      </c>
      <c r="E166" s="74">
        <v>0</v>
      </c>
      <c r="F166" s="74" t="s">
        <v>355</v>
      </c>
      <c r="G166" s="106">
        <f>VLOOKUP(F166,'Lamp Stock'!A$14:H$48,4,FALSE)</f>
        <v>10.740029999999999</v>
      </c>
      <c r="H166" s="106">
        <f>VLOOKUP(F166,'Lamp Stock'!A$14:G$48,6,FALSE)</f>
        <v>42.258509999999994</v>
      </c>
      <c r="I166" s="106">
        <f>VLOOKUP(F166,'Lamp Stock'!A$14:H$48,8,FALSE)</f>
        <v>21.005123999999999</v>
      </c>
      <c r="J166" s="262">
        <v>0.22</v>
      </c>
      <c r="K166" s="262">
        <v>0.1</v>
      </c>
      <c r="L166" s="262">
        <v>0.2</v>
      </c>
      <c r="M166" s="74">
        <v>4</v>
      </c>
      <c r="N166" s="75">
        <f t="shared" si="33"/>
        <v>0.25</v>
      </c>
      <c r="O166" s="311">
        <v>0.04</v>
      </c>
      <c r="P166" s="265">
        <f>'Input data'!B$92*O166</f>
        <v>6.3531990542222223</v>
      </c>
      <c r="Q166" s="76">
        <f t="shared" si="34"/>
        <v>0.85920239999999992</v>
      </c>
      <c r="R166" s="76">
        <f t="shared" si="35"/>
        <v>1.1782730400000001</v>
      </c>
      <c r="S166" s="76">
        <f>IF(C166="Yes",'Input data'!$E$47*'Input data'!$B$51*O166,'Input data'!$E$47*'Input data'!$B$49*O166)</f>
        <v>10.248374613333333</v>
      </c>
      <c r="T166" s="76">
        <f>'Other Maintenance'!$B$94*'Maintenance Costs'!O162</f>
        <v>0.11897113551214863</v>
      </c>
      <c r="U166" s="264">
        <f>'Input data'!$B$112</f>
        <v>2.9565521226700353</v>
      </c>
      <c r="V166" s="240">
        <f t="shared" si="36"/>
        <v>21.714572365737741</v>
      </c>
      <c r="W166" s="76">
        <f>'Input data'!$C$15*'Maintenance Costs'!N162</f>
        <v>9.75</v>
      </c>
      <c r="X166" s="76">
        <f t="shared" si="37"/>
        <v>15.872577</v>
      </c>
      <c r="Y166" s="76">
        <f>'Input data'!$B$47*'Maintenance Costs'!N162</f>
        <v>0</v>
      </c>
      <c r="Z166" s="76">
        <f>'Other Maintenance'!$B$94*'Maintenance Costs'!N162</f>
        <v>0.74356959695092895</v>
      </c>
      <c r="AA166" s="76">
        <f>('Input data'!$B$96+'Input data'!$B$97)*'Input data'!$B$76</f>
        <v>0.87776744444444454</v>
      </c>
      <c r="AB166" s="240">
        <f t="shared" si="38"/>
        <v>27.243914041395374</v>
      </c>
      <c r="AC166" s="163" t="str">
        <f t="shared" si="32"/>
        <v>MVA</v>
      </c>
      <c r="AD166" s="311">
        <v>4.4699999999999997E-2</v>
      </c>
      <c r="AE166" s="312">
        <f t="shared" si="39"/>
        <v>4.6999999999999958E-3</v>
      </c>
      <c r="AF166" s="177"/>
      <c r="AG166" s="177"/>
      <c r="AH166" s="177"/>
      <c r="AI166" s="177"/>
      <c r="AJ166" s="177"/>
      <c r="AK166" s="177"/>
      <c r="AL166" s="177"/>
      <c r="AM166" s="177"/>
      <c r="AN166" s="177"/>
      <c r="AO166" s="177"/>
      <c r="AP166" s="177"/>
      <c r="AQ166" s="177"/>
      <c r="AR166" s="177"/>
      <c r="AS166" s="177"/>
      <c r="AT166" s="177"/>
      <c r="AU166" s="177"/>
      <c r="AV166" s="177"/>
      <c r="AW166" s="177"/>
      <c r="AX166" s="177"/>
    </row>
    <row r="167" spans="1:50" s="178" customFormat="1" ht="14.25" hidden="1" customHeight="1" x14ac:dyDescent="0.2">
      <c r="A167" s="72" t="s">
        <v>465</v>
      </c>
      <c r="B167" s="73" t="str">
        <f>VLOOKUP(LEFT(A167,7),'Tariff Schedule Lookup Table'!A$8:D$143,3,FALSE)</f>
        <v>3x250</v>
      </c>
      <c r="C167" s="236" t="s">
        <v>891</v>
      </c>
      <c r="D167" s="74">
        <v>3</v>
      </c>
      <c r="E167" s="74">
        <v>0</v>
      </c>
      <c r="F167" s="74" t="s">
        <v>355</v>
      </c>
      <c r="G167" s="106">
        <f>VLOOKUP(F167,'Lamp Stock'!A$14:H$48,4,FALSE)</f>
        <v>10.740029999999999</v>
      </c>
      <c r="H167" s="106">
        <f>VLOOKUP(F167,'Lamp Stock'!A$14:G$48,6,FALSE)</f>
        <v>42.258509999999994</v>
      </c>
      <c r="I167" s="106">
        <f>VLOOKUP(F167,'Lamp Stock'!A$14:H$48,8,FALSE)</f>
        <v>21.005123999999999</v>
      </c>
      <c r="J167" s="262">
        <v>0.22</v>
      </c>
      <c r="K167" s="262">
        <v>0.1</v>
      </c>
      <c r="L167" s="262">
        <v>0.2</v>
      </c>
      <c r="M167" s="74">
        <v>4</v>
      </c>
      <c r="N167" s="75">
        <f t="shared" si="33"/>
        <v>0.25</v>
      </c>
      <c r="O167" s="311">
        <v>0.04</v>
      </c>
      <c r="P167" s="265">
        <f>'Input data'!B$92*O167</f>
        <v>6.3531990542222223</v>
      </c>
      <c r="Q167" s="76">
        <f t="shared" si="34"/>
        <v>1.2888035999999998</v>
      </c>
      <c r="R167" s="76">
        <f t="shared" si="35"/>
        <v>1.1782730400000001</v>
      </c>
      <c r="S167" s="76">
        <f>IF(C167="Yes",'Input data'!$E$47*'Input data'!$B$51*O167,'Input data'!$E$47*'Input data'!$B$49*O167)</f>
        <v>10.248374613333333</v>
      </c>
      <c r="T167" s="76">
        <f>'Other Maintenance'!$B$94*'Maintenance Costs'!O163</f>
        <v>0.11897113551214863</v>
      </c>
      <c r="U167" s="264">
        <f>'Input data'!$B$112</f>
        <v>2.9565521226700353</v>
      </c>
      <c r="V167" s="240">
        <f t="shared" si="36"/>
        <v>22.144173565737738</v>
      </c>
      <c r="W167" s="76">
        <f>'Input data'!$C$15*'Maintenance Costs'!N163</f>
        <v>9.75</v>
      </c>
      <c r="X167" s="76">
        <f t="shared" si="37"/>
        <v>23.8088655</v>
      </c>
      <c r="Y167" s="76">
        <f>'Input data'!$B$47*'Maintenance Costs'!N163</f>
        <v>0</v>
      </c>
      <c r="Z167" s="76">
        <f>'Other Maintenance'!$B$94*'Maintenance Costs'!N163</f>
        <v>0.74356959695092895</v>
      </c>
      <c r="AA167" s="76">
        <f>('Input data'!$B$96+'Input data'!$B$97)*'Input data'!$B$76</f>
        <v>0.87776744444444454</v>
      </c>
      <c r="AB167" s="240">
        <f t="shared" si="38"/>
        <v>35.180202541395367</v>
      </c>
      <c r="AC167" s="163" t="str">
        <f t="shared" si="32"/>
        <v>MVA</v>
      </c>
      <c r="AD167" s="311">
        <v>4.4699999999999997E-2</v>
      </c>
      <c r="AE167" s="312">
        <f t="shared" si="39"/>
        <v>4.6999999999999958E-3</v>
      </c>
      <c r="AF167" s="177"/>
      <c r="AG167" s="177"/>
      <c r="AH167" s="177"/>
      <c r="AI167" s="177"/>
      <c r="AJ167" s="177"/>
      <c r="AK167" s="177"/>
      <c r="AL167" s="177"/>
      <c r="AM167" s="177"/>
      <c r="AN167" s="177"/>
      <c r="AO167" s="177"/>
      <c r="AP167" s="177"/>
      <c r="AQ167" s="177"/>
      <c r="AR167" s="177"/>
      <c r="AS167" s="177"/>
      <c r="AT167" s="177"/>
      <c r="AU167" s="177"/>
      <c r="AV167" s="177"/>
      <c r="AW167" s="177"/>
      <c r="AX167" s="177"/>
    </row>
    <row r="168" spans="1:50" s="178" customFormat="1" ht="14.25" hidden="1" customHeight="1" x14ac:dyDescent="0.2">
      <c r="A168" s="72" t="s">
        <v>394</v>
      </c>
      <c r="B168" s="73" t="str">
        <f>VLOOKUP(LEFT(A168,7),'Tariff Schedule Lookup Table'!A$8:D$143,3,FALSE)</f>
        <v>2x400</v>
      </c>
      <c r="C168" s="236" t="s">
        <v>891</v>
      </c>
      <c r="D168" s="74">
        <v>2</v>
      </c>
      <c r="E168" s="74">
        <v>0</v>
      </c>
      <c r="F168" s="74" t="s">
        <v>359</v>
      </c>
      <c r="G168" s="106">
        <f>VLOOKUP(F168,'Lamp Stock'!A$14:H$48,4,FALSE)</f>
        <v>10.642883999999999</v>
      </c>
      <c r="H168" s="106">
        <f>VLOOKUP(F168,'Lamp Stock'!A$14:G$48,6,FALSE)</f>
        <v>51.703259999999993</v>
      </c>
      <c r="I168" s="106">
        <f>VLOOKUP(F168,'Lamp Stock'!A$14:H$48,8,FALSE)</f>
        <v>21.005123999999999</v>
      </c>
      <c r="J168" s="262">
        <v>0.22</v>
      </c>
      <c r="K168" s="262">
        <v>0.1</v>
      </c>
      <c r="L168" s="262">
        <v>0.2</v>
      </c>
      <c r="M168" s="74">
        <v>4</v>
      </c>
      <c r="N168" s="75">
        <f t="shared" si="33"/>
        <v>0.25</v>
      </c>
      <c r="O168" s="311">
        <v>0.04</v>
      </c>
      <c r="P168" s="265">
        <f>'Input data'!B$92*O168</f>
        <v>6.3531990542222223</v>
      </c>
      <c r="Q168" s="76">
        <f t="shared" si="34"/>
        <v>0.85143071999999986</v>
      </c>
      <c r="R168" s="76">
        <f t="shared" si="35"/>
        <v>1.2538310400000001</v>
      </c>
      <c r="S168" s="76">
        <f>IF(C168="Yes",'Input data'!$E$47*'Input data'!$B$51*O168,'Input data'!$E$47*'Input data'!$B$49*O168)</f>
        <v>10.248374613333333</v>
      </c>
      <c r="T168" s="76">
        <f>'Other Maintenance'!$B$94*'Maintenance Costs'!O165</f>
        <v>0.11897113551214863</v>
      </c>
      <c r="U168" s="264">
        <f>'Input data'!$B$112</f>
        <v>2.9565521226700353</v>
      </c>
      <c r="V168" s="240">
        <f t="shared" si="36"/>
        <v>21.782358685737737</v>
      </c>
      <c r="W168" s="76">
        <f>'Input data'!$C$15*'Maintenance Costs'!N165</f>
        <v>9.75</v>
      </c>
      <c r="X168" s="76">
        <f t="shared" si="37"/>
        <v>15.824003999999999</v>
      </c>
      <c r="Y168" s="76">
        <f>'Input data'!$B$47*'Maintenance Costs'!N165</f>
        <v>0</v>
      </c>
      <c r="Z168" s="76">
        <f>'Other Maintenance'!$B$94*'Maintenance Costs'!N165</f>
        <v>0.74356959695092895</v>
      </c>
      <c r="AA168" s="76">
        <f>('Input data'!$B$96+'Input data'!$B$97)*'Input data'!$B$76</f>
        <v>0.87776744444444454</v>
      </c>
      <c r="AB168" s="240">
        <f t="shared" si="38"/>
        <v>27.195341041395373</v>
      </c>
      <c r="AC168" s="163" t="str">
        <f t="shared" si="32"/>
        <v>MVA</v>
      </c>
      <c r="AD168" s="311">
        <v>4.4699999999999997E-2</v>
      </c>
      <c r="AE168" s="312">
        <f t="shared" si="39"/>
        <v>4.6999999999999958E-3</v>
      </c>
      <c r="AF168" s="177"/>
      <c r="AG168" s="177"/>
      <c r="AH168" s="177"/>
      <c r="AI168" s="177"/>
      <c r="AJ168" s="177"/>
      <c r="AK168" s="177"/>
      <c r="AL168" s="177"/>
      <c r="AM168" s="177"/>
      <c r="AN168" s="177"/>
      <c r="AO168" s="177"/>
      <c r="AP168" s="177"/>
      <c r="AQ168" s="177"/>
      <c r="AR168" s="177"/>
      <c r="AS168" s="177"/>
      <c r="AT168" s="177"/>
      <c r="AU168" s="177"/>
      <c r="AV168" s="177"/>
      <c r="AW168" s="177"/>
      <c r="AX168" s="177"/>
    </row>
    <row r="169" spans="1:50" s="178" customFormat="1" ht="14.25" hidden="1" customHeight="1" x14ac:dyDescent="0.2">
      <c r="A169" s="72" t="s">
        <v>466</v>
      </c>
      <c r="B169" s="73" t="str">
        <f>VLOOKUP(LEFT(A169,7),'Tariff Schedule Lookup Table'!A$8:D$143,3,FALSE)</f>
        <v>3x400</v>
      </c>
      <c r="C169" s="236" t="s">
        <v>891</v>
      </c>
      <c r="D169" s="74">
        <v>3</v>
      </c>
      <c r="E169" s="74">
        <v>0</v>
      </c>
      <c r="F169" s="74" t="s">
        <v>359</v>
      </c>
      <c r="G169" s="106">
        <f>VLOOKUP(F169,'Lamp Stock'!A$14:H$48,4,FALSE)</f>
        <v>10.642883999999999</v>
      </c>
      <c r="H169" s="106">
        <f>VLOOKUP(F169,'Lamp Stock'!A$14:G$48,6,FALSE)</f>
        <v>51.703259999999993</v>
      </c>
      <c r="I169" s="106">
        <f>VLOOKUP(F169,'Lamp Stock'!A$14:H$48,8,FALSE)</f>
        <v>21.005123999999999</v>
      </c>
      <c r="J169" s="262">
        <v>0.22</v>
      </c>
      <c r="K169" s="262">
        <v>0.1</v>
      </c>
      <c r="L169" s="262">
        <v>0.2</v>
      </c>
      <c r="M169" s="74">
        <v>4</v>
      </c>
      <c r="N169" s="75">
        <f t="shared" si="33"/>
        <v>0.25</v>
      </c>
      <c r="O169" s="311">
        <v>0.04</v>
      </c>
      <c r="P169" s="265">
        <f>'Input data'!B$92*O169</f>
        <v>6.3531990542222223</v>
      </c>
      <c r="Q169" s="76">
        <f t="shared" si="34"/>
        <v>1.2771460799999999</v>
      </c>
      <c r="R169" s="76">
        <f t="shared" si="35"/>
        <v>1.2538310400000001</v>
      </c>
      <c r="S169" s="76">
        <f>IF(C169="Yes",'Input data'!$E$47*'Input data'!$B$51*O169,'Input data'!$E$47*'Input data'!$B$49*O169)</f>
        <v>10.248374613333333</v>
      </c>
      <c r="T169" s="76">
        <f>'Other Maintenance'!$B$94*'Maintenance Costs'!O166</f>
        <v>0.11897113551214863</v>
      </c>
      <c r="U169" s="264">
        <f>'Input data'!$B$112</f>
        <v>2.9565521226700353</v>
      </c>
      <c r="V169" s="240">
        <f t="shared" si="36"/>
        <v>22.208074045737739</v>
      </c>
      <c r="W169" s="76">
        <f>'Input data'!$C$15*'Maintenance Costs'!N166</f>
        <v>9.75</v>
      </c>
      <c r="X169" s="76">
        <f t="shared" si="37"/>
        <v>23.736005999999996</v>
      </c>
      <c r="Y169" s="76">
        <f>'Input data'!$B$47*'Maintenance Costs'!N166</f>
        <v>0</v>
      </c>
      <c r="Z169" s="76">
        <f>'Other Maintenance'!$B$94*'Maintenance Costs'!N166</f>
        <v>0.74356959695092895</v>
      </c>
      <c r="AA169" s="76">
        <f>('Input data'!$B$96+'Input data'!$B$97)*'Input data'!$B$76</f>
        <v>0.87776744444444454</v>
      </c>
      <c r="AB169" s="240">
        <f t="shared" si="38"/>
        <v>35.107343041395367</v>
      </c>
      <c r="AC169" s="163" t="str">
        <f t="shared" si="32"/>
        <v>MVA</v>
      </c>
      <c r="AD169" s="311">
        <v>4.4699999999999997E-2</v>
      </c>
      <c r="AE169" s="312">
        <f t="shared" si="39"/>
        <v>4.6999999999999958E-3</v>
      </c>
      <c r="AF169" s="177"/>
      <c r="AG169" s="177"/>
      <c r="AH169" s="177"/>
      <c r="AI169" s="177"/>
      <c r="AJ169" s="177"/>
      <c r="AK169" s="177"/>
      <c r="AL169" s="177"/>
      <c r="AM169" s="177"/>
      <c r="AN169" s="177"/>
      <c r="AO169" s="177"/>
      <c r="AP169" s="177"/>
      <c r="AQ169" s="177"/>
      <c r="AR169" s="177"/>
      <c r="AS169" s="177"/>
      <c r="AT169" s="177"/>
      <c r="AU169" s="177"/>
      <c r="AV169" s="177"/>
      <c r="AW169" s="177"/>
      <c r="AX169" s="177"/>
    </row>
    <row r="170" spans="1:50" s="178" customFormat="1" ht="14.25" hidden="1" customHeight="1" x14ac:dyDescent="0.2">
      <c r="A170" s="72" t="s">
        <v>467</v>
      </c>
      <c r="B170" s="73" t="str">
        <f>VLOOKUP(LEFT(A170,7),'Tariff Schedule Lookup Table'!A$8:D$143,3,FALSE)</f>
        <v>2x700</v>
      </c>
      <c r="C170" s="236" t="s">
        <v>891</v>
      </c>
      <c r="D170" s="74">
        <v>2</v>
      </c>
      <c r="E170" s="74">
        <v>0</v>
      </c>
      <c r="F170" s="74" t="s">
        <v>285</v>
      </c>
      <c r="G170" s="106">
        <f>VLOOKUP(F170,'Lamp Stock'!A$14:H$48,4,FALSE)</f>
        <v>28.701245999999998</v>
      </c>
      <c r="H170" s="106">
        <f>VLOOKUP(F170,'Lamp Stock'!A$14:G$48,6,FALSE)</f>
        <v>65.541167999999999</v>
      </c>
      <c r="I170" s="106">
        <f>VLOOKUP(F170,'Lamp Stock'!A$14:H$48,8,FALSE)</f>
        <v>17.011343999999998</v>
      </c>
      <c r="J170" s="262">
        <v>0.22</v>
      </c>
      <c r="K170" s="262">
        <v>0.1</v>
      </c>
      <c r="L170" s="262">
        <v>0.2</v>
      </c>
      <c r="M170" s="74">
        <v>4</v>
      </c>
      <c r="N170" s="75">
        <f t="shared" si="33"/>
        <v>0.25</v>
      </c>
      <c r="O170" s="311">
        <v>0.04</v>
      </c>
      <c r="P170" s="265">
        <f>'Input data'!B$92*O170</f>
        <v>6.3531990542222223</v>
      </c>
      <c r="Q170" s="76">
        <f t="shared" si="34"/>
        <v>2.2960996799999998</v>
      </c>
      <c r="R170" s="76">
        <f t="shared" si="35"/>
        <v>1.2047831040000001</v>
      </c>
      <c r="S170" s="76">
        <f>IF(C170="Yes",'Input data'!$E$47*'Input data'!$B$51*O170,'Input data'!$E$47*'Input data'!$B$49*O170)</f>
        <v>10.248374613333333</v>
      </c>
      <c r="T170" s="76">
        <f>'Other Maintenance'!$B$94*'Maintenance Costs'!O169</f>
        <v>0.11897113551214863</v>
      </c>
      <c r="U170" s="264">
        <f>'Input data'!$B$112</f>
        <v>2.9565521226700353</v>
      </c>
      <c r="V170" s="240">
        <f t="shared" si="36"/>
        <v>23.177979709737738</v>
      </c>
      <c r="W170" s="76">
        <f>'Input data'!$C$15*'Maintenance Costs'!N169</f>
        <v>9.75</v>
      </c>
      <c r="X170" s="76">
        <f t="shared" si="37"/>
        <v>22.856294999999996</v>
      </c>
      <c r="Y170" s="76">
        <f>'Input data'!$B$47*'Maintenance Costs'!N169</f>
        <v>0</v>
      </c>
      <c r="Z170" s="76">
        <f>'Other Maintenance'!$B$94*'Maintenance Costs'!N169</f>
        <v>0.74356959695092895</v>
      </c>
      <c r="AA170" s="76">
        <f>('Input data'!$B$96+'Input data'!$B$97)*'Input data'!$B$76</f>
        <v>0.87776744444444454</v>
      </c>
      <c r="AB170" s="240">
        <f t="shared" si="38"/>
        <v>34.227632041395367</v>
      </c>
      <c r="AC170" s="163" t="str">
        <f t="shared" si="32"/>
        <v>MVA</v>
      </c>
      <c r="AD170" s="311">
        <v>4.4699999999999997E-2</v>
      </c>
      <c r="AE170" s="312">
        <f t="shared" si="39"/>
        <v>4.6999999999999958E-3</v>
      </c>
      <c r="AF170" s="177"/>
      <c r="AG170" s="177"/>
      <c r="AH170" s="177"/>
      <c r="AI170" s="177"/>
      <c r="AJ170" s="177"/>
      <c r="AK170" s="177"/>
      <c r="AL170" s="177"/>
      <c r="AM170" s="177"/>
      <c r="AN170" s="177"/>
      <c r="AO170" s="177"/>
      <c r="AP170" s="177"/>
      <c r="AQ170" s="177"/>
      <c r="AR170" s="177"/>
      <c r="AS170" s="177"/>
      <c r="AT170" s="177"/>
      <c r="AU170" s="177"/>
      <c r="AV170" s="177"/>
      <c r="AW170" s="177"/>
      <c r="AX170" s="177"/>
    </row>
    <row r="171" spans="1:50" s="178" customFormat="1" hidden="1" x14ac:dyDescent="0.2">
      <c r="A171" s="74" t="s">
        <v>468</v>
      </c>
      <c r="B171" s="73">
        <f>VLOOKUP(LEFT(A171,7),'Tariff Schedule Lookup Table'!A$8:D$143,3,FALSE)</f>
        <v>800</v>
      </c>
      <c r="C171" s="236" t="s">
        <v>891</v>
      </c>
      <c r="D171" s="74">
        <v>1</v>
      </c>
      <c r="E171" s="74">
        <v>0</v>
      </c>
      <c r="F171" s="74" t="s">
        <v>285</v>
      </c>
      <c r="G171" s="106">
        <f>VLOOKUP(F171,'Lamp Stock'!A$14:H$48,4,FALSE)</f>
        <v>28.701245999999998</v>
      </c>
      <c r="H171" s="106">
        <f>VLOOKUP(F171,'Lamp Stock'!A$14:G$48,6,FALSE)</f>
        <v>65.541167999999999</v>
      </c>
      <c r="I171" s="106">
        <f>VLOOKUP(F171,'Lamp Stock'!A$14:H$48,8,FALSE)</f>
        <v>17.011343999999998</v>
      </c>
      <c r="J171" s="262">
        <v>0.22</v>
      </c>
      <c r="K171" s="262">
        <v>0.1</v>
      </c>
      <c r="L171" s="262">
        <v>0.2</v>
      </c>
      <c r="M171" s="74">
        <v>4</v>
      </c>
      <c r="N171" s="75">
        <f t="shared" si="33"/>
        <v>0.25</v>
      </c>
      <c r="O171" s="311">
        <v>0.04</v>
      </c>
      <c r="P171" s="265">
        <f>'Input data'!B$92*O171</f>
        <v>6.3531990542222223</v>
      </c>
      <c r="Q171" s="76">
        <f t="shared" si="34"/>
        <v>1.1480498399999999</v>
      </c>
      <c r="R171" s="76">
        <f t="shared" si="35"/>
        <v>1.2047831040000001</v>
      </c>
      <c r="S171" s="76">
        <f>IF(C171="Yes",'Input data'!$E$47*'Input data'!$B$51*O171,'Input data'!$E$47*'Input data'!$B$49*O171)</f>
        <v>10.248374613333333</v>
      </c>
      <c r="T171" s="76">
        <f>'Other Maintenance'!$B$94*'Maintenance Costs'!O170</f>
        <v>0.11897113551214863</v>
      </c>
      <c r="U171" s="264">
        <f>'Input data'!$B$112</f>
        <v>2.9565521226700353</v>
      </c>
      <c r="V171" s="240">
        <f t="shared" si="36"/>
        <v>22.029929869737739</v>
      </c>
      <c r="W171" s="76">
        <f>'Input data'!$C$15*'Maintenance Costs'!N170</f>
        <v>9.75</v>
      </c>
      <c r="X171" s="76">
        <f t="shared" si="37"/>
        <v>11.428147499999998</v>
      </c>
      <c r="Y171" s="76">
        <f>'Input data'!$B$47*'Maintenance Costs'!N170</f>
        <v>0</v>
      </c>
      <c r="Z171" s="76">
        <f>'Other Maintenance'!$B$94*'Maintenance Costs'!N170</f>
        <v>0.74356959695092895</v>
      </c>
      <c r="AA171" s="76">
        <f>('Input data'!$B$96+'Input data'!$B$97)*'Input data'!$B$76</f>
        <v>0.87776744444444454</v>
      </c>
      <c r="AB171" s="240">
        <f t="shared" si="38"/>
        <v>22.799484541395373</v>
      </c>
      <c r="AC171" s="163" t="str">
        <f t="shared" si="32"/>
        <v>MVA</v>
      </c>
      <c r="AD171" s="311">
        <v>4.4699999999999997E-2</v>
      </c>
      <c r="AE171" s="312">
        <f t="shared" si="39"/>
        <v>4.6999999999999958E-3</v>
      </c>
      <c r="AF171" s="177"/>
      <c r="AG171" s="177"/>
      <c r="AH171" s="177"/>
      <c r="AI171" s="177"/>
      <c r="AJ171" s="177"/>
      <c r="AK171" s="177"/>
      <c r="AL171" s="177"/>
      <c r="AM171" s="177"/>
      <c r="AN171" s="177"/>
      <c r="AO171" s="177"/>
      <c r="AP171" s="177"/>
      <c r="AQ171" s="177"/>
      <c r="AR171" s="177"/>
      <c r="AS171" s="177"/>
      <c r="AT171" s="177"/>
      <c r="AU171" s="177"/>
      <c r="AV171" s="177"/>
      <c r="AW171" s="177"/>
      <c r="AX171" s="177"/>
    </row>
    <row r="172" spans="1:50" s="178" customFormat="1" hidden="1" x14ac:dyDescent="0.2">
      <c r="A172" s="74" t="s">
        <v>469</v>
      </c>
      <c r="B172" s="73" t="str">
        <f>VLOOKUP(LEFT(A172,7),'Tariff Schedule Lookup Table'!A$8:D$143,3,FALSE)</f>
        <v>4x1000</v>
      </c>
      <c r="C172" s="236" t="s">
        <v>891</v>
      </c>
      <c r="D172" s="74">
        <v>4</v>
      </c>
      <c r="E172" s="74">
        <v>0</v>
      </c>
      <c r="F172" s="74" t="s">
        <v>289</v>
      </c>
      <c r="G172" s="106">
        <f>VLOOKUP(F172,'Lamp Stock'!A$14:H$48,4,FALSE)</f>
        <v>101.36645399999999</v>
      </c>
      <c r="H172" s="106">
        <f>VLOOKUP(F172,'Lamp Stock'!A$14:G$48,6,FALSE)</f>
        <v>79.141607999999991</v>
      </c>
      <c r="I172" s="106">
        <f>VLOOKUP(F172,'Lamp Stock'!A$14:H$48,8,FALSE)</f>
        <v>21.005123999999999</v>
      </c>
      <c r="J172" s="262">
        <v>0.22</v>
      </c>
      <c r="K172" s="262">
        <v>0.1</v>
      </c>
      <c r="L172" s="262">
        <v>0.2</v>
      </c>
      <c r="M172" s="74">
        <v>4</v>
      </c>
      <c r="N172" s="75">
        <f t="shared" si="33"/>
        <v>0.25</v>
      </c>
      <c r="O172" s="311">
        <v>0.04</v>
      </c>
      <c r="P172" s="265">
        <f>'Input data'!B$92*O172</f>
        <v>6.3531990542222223</v>
      </c>
      <c r="Q172" s="76">
        <f t="shared" si="34"/>
        <v>16.218632639999999</v>
      </c>
      <c r="R172" s="76">
        <f t="shared" si="35"/>
        <v>1.4733378240000001</v>
      </c>
      <c r="S172" s="76">
        <f>IF(C172="Yes",'Input data'!$E$47*'Input data'!$B$51*O172,'Input data'!$E$47*'Input data'!$B$49*O172)</f>
        <v>10.248374613333333</v>
      </c>
      <c r="T172" s="76">
        <f>'Other Maintenance'!$B$94*'Maintenance Costs'!O172</f>
        <v>0.11897113551214863</v>
      </c>
      <c r="U172" s="264">
        <f>'Input data'!$B$112</f>
        <v>2.9565521226700353</v>
      </c>
      <c r="V172" s="240">
        <f t="shared" si="36"/>
        <v>37.369067389737737</v>
      </c>
      <c r="W172" s="76">
        <f>'Input data'!$C$15*'Maintenance Costs'!N172</f>
        <v>9.75</v>
      </c>
      <c r="X172" s="76">
        <f t="shared" si="37"/>
        <v>122.37157799999999</v>
      </c>
      <c r="Y172" s="76">
        <f>'Input data'!$B$47*'Maintenance Costs'!N172</f>
        <v>0</v>
      </c>
      <c r="Z172" s="76">
        <f>'Other Maintenance'!$B$94*'Maintenance Costs'!N172</f>
        <v>0.74356959695092895</v>
      </c>
      <c r="AA172" s="76">
        <f>('Input data'!$B$96+'Input data'!$B$97)*'Input data'!$B$76</f>
        <v>0.87776744444444454</v>
      </c>
      <c r="AB172" s="240">
        <f t="shared" si="38"/>
        <v>133.74291504139538</v>
      </c>
      <c r="AC172" s="163" t="str">
        <f t="shared" si="32"/>
        <v>MVA</v>
      </c>
      <c r="AD172" s="311">
        <v>4.4699999999999997E-2</v>
      </c>
      <c r="AE172" s="312">
        <f t="shared" si="39"/>
        <v>4.6999999999999958E-3</v>
      </c>
      <c r="AF172" s="177"/>
      <c r="AG172" s="177"/>
      <c r="AH172" s="177"/>
      <c r="AI172" s="177"/>
      <c r="AJ172" s="177"/>
      <c r="AK172" s="177"/>
      <c r="AL172" s="177"/>
      <c r="AM172" s="177"/>
      <c r="AN172" s="177"/>
      <c r="AO172" s="177"/>
      <c r="AP172" s="177"/>
      <c r="AQ172" s="177"/>
      <c r="AR172" s="177"/>
      <c r="AS172" s="177"/>
      <c r="AT172" s="177"/>
      <c r="AU172" s="177"/>
      <c r="AV172" s="177"/>
      <c r="AW172" s="177"/>
      <c r="AX172" s="177"/>
    </row>
    <row r="173" spans="1:50" s="178" customFormat="1" hidden="1" x14ac:dyDescent="0.2">
      <c r="A173" s="74" t="s">
        <v>470</v>
      </c>
      <c r="B173" s="73" t="str">
        <f>VLOOKUP(LEFT(A173,7),'Tariff Schedule Lookup Table'!A$8:D$143,3,FALSE)</f>
        <v>6x1000</v>
      </c>
      <c r="C173" s="236" t="s">
        <v>891</v>
      </c>
      <c r="D173" s="74">
        <v>6</v>
      </c>
      <c r="E173" s="74">
        <v>0</v>
      </c>
      <c r="F173" s="74" t="s">
        <v>289</v>
      </c>
      <c r="G173" s="106">
        <f>VLOOKUP(F173,'Lamp Stock'!A$14:H$48,4,FALSE)</f>
        <v>101.36645399999999</v>
      </c>
      <c r="H173" s="106">
        <f>VLOOKUP(F173,'Lamp Stock'!A$14:G$48,6,FALSE)</f>
        <v>79.141607999999991</v>
      </c>
      <c r="I173" s="106">
        <f>VLOOKUP(F173,'Lamp Stock'!A$14:H$48,8,FALSE)</f>
        <v>21.005123999999999</v>
      </c>
      <c r="J173" s="262">
        <v>0.22</v>
      </c>
      <c r="K173" s="262">
        <v>0.1</v>
      </c>
      <c r="L173" s="262">
        <v>0.2</v>
      </c>
      <c r="M173" s="74">
        <v>4</v>
      </c>
      <c r="N173" s="75">
        <f t="shared" si="33"/>
        <v>0.25</v>
      </c>
      <c r="O173" s="311">
        <v>0.04</v>
      </c>
      <c r="P173" s="265">
        <f>'Input data'!B$92*O173</f>
        <v>6.3531990542222223</v>
      </c>
      <c r="Q173" s="76">
        <f t="shared" si="34"/>
        <v>24.327948960000001</v>
      </c>
      <c r="R173" s="76">
        <f t="shared" si="35"/>
        <v>1.4733378240000001</v>
      </c>
      <c r="S173" s="76">
        <f>IF(C173="Yes",'Input data'!$E$47*'Input data'!$B$51*O173,'Input data'!$E$47*'Input data'!$B$49*O173)</f>
        <v>10.248374613333333</v>
      </c>
      <c r="T173" s="76">
        <f>'Other Maintenance'!$B$94*'Maintenance Costs'!O173</f>
        <v>0.11897113551214863</v>
      </c>
      <c r="U173" s="264">
        <f>'Input data'!$B$112</f>
        <v>2.9565521226700353</v>
      </c>
      <c r="V173" s="240">
        <f t="shared" si="36"/>
        <v>45.478383709737734</v>
      </c>
      <c r="W173" s="76">
        <f>'Input data'!$C$15*'Maintenance Costs'!N173</f>
        <v>9.75</v>
      </c>
      <c r="X173" s="76">
        <f t="shared" si="37"/>
        <v>183.55736699999997</v>
      </c>
      <c r="Y173" s="76">
        <f>'Input data'!$B$47*'Maintenance Costs'!N173</f>
        <v>0</v>
      </c>
      <c r="Z173" s="76">
        <f>'Other Maintenance'!$B$94*'Maintenance Costs'!N173</f>
        <v>0.74356959695092895</v>
      </c>
      <c r="AA173" s="76">
        <f>('Input data'!$B$96+'Input data'!$B$97)*'Input data'!$B$76</f>
        <v>0.87776744444444454</v>
      </c>
      <c r="AB173" s="240">
        <f t="shared" si="38"/>
        <v>194.92870404139535</v>
      </c>
      <c r="AC173" s="163" t="str">
        <f t="shared" si="32"/>
        <v>MVA</v>
      </c>
      <c r="AD173" s="311">
        <v>4.4699999999999997E-2</v>
      </c>
      <c r="AE173" s="312">
        <f t="shared" si="39"/>
        <v>4.6999999999999958E-3</v>
      </c>
      <c r="AF173" s="177"/>
      <c r="AG173" s="177"/>
      <c r="AH173" s="177"/>
      <c r="AI173" s="177"/>
      <c r="AJ173" s="177"/>
      <c r="AK173" s="177"/>
      <c r="AL173" s="177"/>
      <c r="AM173" s="177"/>
      <c r="AN173" s="177"/>
      <c r="AO173" s="177"/>
      <c r="AP173" s="177"/>
      <c r="AQ173" s="177"/>
      <c r="AR173" s="177"/>
      <c r="AS173" s="177"/>
      <c r="AT173" s="177"/>
      <c r="AU173" s="177"/>
      <c r="AV173" s="177"/>
      <c r="AW173" s="177"/>
      <c r="AX173" s="177"/>
    </row>
    <row r="174" spans="1:50" s="178" customFormat="1" hidden="1" x14ac:dyDescent="0.2">
      <c r="A174" s="74" t="s">
        <v>471</v>
      </c>
      <c r="B174" s="73">
        <f>VLOOKUP(LEFT(A174,7),'Tariff Schedule Lookup Table'!A$8:D$143,3,FALSE)</f>
        <v>1625</v>
      </c>
      <c r="C174" s="236" t="s">
        <v>891</v>
      </c>
      <c r="D174" s="74">
        <v>1</v>
      </c>
      <c r="E174" s="74">
        <v>0</v>
      </c>
      <c r="F174" s="74" t="s">
        <v>289</v>
      </c>
      <c r="G174" s="106">
        <f>VLOOKUP(F174,'Lamp Stock'!A$14:H$48,4,FALSE)</f>
        <v>101.36645399999999</v>
      </c>
      <c r="H174" s="106">
        <f>VLOOKUP(F174,'Lamp Stock'!A$14:G$48,6,FALSE)</f>
        <v>79.141607999999991</v>
      </c>
      <c r="I174" s="106">
        <f>VLOOKUP(F174,'Lamp Stock'!A$14:H$48,8,FALSE)</f>
        <v>21.005123999999999</v>
      </c>
      <c r="J174" s="262">
        <v>0.22</v>
      </c>
      <c r="K174" s="262">
        <v>0.1</v>
      </c>
      <c r="L174" s="262">
        <v>0.2</v>
      </c>
      <c r="M174" s="74">
        <v>4</v>
      </c>
      <c r="N174" s="75">
        <f t="shared" si="33"/>
        <v>0.25</v>
      </c>
      <c r="O174" s="311">
        <v>0.04</v>
      </c>
      <c r="P174" s="280">
        <f>'Input data'!B$92*O174</f>
        <v>6.3531990542222223</v>
      </c>
      <c r="Q174" s="76">
        <f t="shared" si="34"/>
        <v>4.0546581599999998</v>
      </c>
      <c r="R174" s="76">
        <f t="shared" si="35"/>
        <v>1.4733378240000001</v>
      </c>
      <c r="S174" s="81">
        <f>IF(C174="Yes",'Input data'!$E$47*'Input data'!$B$51*O174,'Input data'!$E$47*'Input data'!$B$49*O174)</f>
        <v>10.248374613333333</v>
      </c>
      <c r="T174" s="81">
        <f>'Other Maintenance'!$B$94*'Maintenance Costs'!O174</f>
        <v>0.11897113551214863</v>
      </c>
      <c r="U174" s="264">
        <f>'Input data'!$B$112</f>
        <v>2.9565521226700353</v>
      </c>
      <c r="V174" s="281">
        <f t="shared" si="36"/>
        <v>25.20509290973774</v>
      </c>
      <c r="W174" s="81">
        <f>'Input data'!$C$15*'Maintenance Costs'!N174</f>
        <v>9.75</v>
      </c>
      <c r="X174" s="76">
        <f t="shared" si="37"/>
        <v>30.592894499999996</v>
      </c>
      <c r="Y174" s="76">
        <f>'Input data'!$B$47*'Maintenance Costs'!N174</f>
        <v>0</v>
      </c>
      <c r="Z174" s="76">
        <f>'Other Maintenance'!$B$94*'Maintenance Costs'!N174</f>
        <v>0.74356959695092895</v>
      </c>
      <c r="AA174" s="81">
        <f>('Input data'!$B$96+'Input data'!$B$97)*'Input data'!$B$76</f>
        <v>0.87776744444444454</v>
      </c>
      <c r="AB174" s="281">
        <f t="shared" si="38"/>
        <v>41.964231541395371</v>
      </c>
      <c r="AC174" s="244" t="str">
        <f t="shared" si="32"/>
        <v>MVA</v>
      </c>
      <c r="AD174" s="311">
        <v>4.4699999999999997E-2</v>
      </c>
      <c r="AE174" s="312">
        <f t="shared" si="39"/>
        <v>4.6999999999999958E-3</v>
      </c>
      <c r="AF174" s="177"/>
      <c r="AG174" s="177"/>
      <c r="AH174" s="177"/>
      <c r="AI174" s="177"/>
      <c r="AJ174" s="177"/>
      <c r="AK174" s="177"/>
      <c r="AL174" s="177"/>
      <c r="AM174" s="177"/>
      <c r="AN174" s="177"/>
      <c r="AO174" s="177"/>
      <c r="AP174" s="177"/>
      <c r="AQ174" s="177"/>
      <c r="AR174" s="177"/>
      <c r="AS174" s="177"/>
      <c r="AT174" s="177"/>
      <c r="AU174" s="177"/>
      <c r="AV174" s="177"/>
      <c r="AW174" s="177"/>
      <c r="AX174" s="177"/>
    </row>
    <row r="175" spans="1:50" s="178" customFormat="1" x14ac:dyDescent="0.2">
      <c r="A175" s="266"/>
      <c r="B175" s="268"/>
      <c r="C175" s="268"/>
      <c r="D175" s="266"/>
      <c r="E175" s="266"/>
      <c r="F175" s="266"/>
      <c r="G175" s="266"/>
      <c r="H175" s="266"/>
      <c r="I175" s="266"/>
      <c r="J175" s="269"/>
      <c r="K175" s="269"/>
      <c r="L175" s="269"/>
      <c r="M175" s="266"/>
      <c r="N175" s="270"/>
      <c r="O175" s="271"/>
      <c r="P175" s="266"/>
      <c r="Q175" s="266"/>
      <c r="R175" s="266"/>
      <c r="S175" s="266"/>
      <c r="T175" s="266"/>
      <c r="U175" s="266"/>
      <c r="V175" s="272"/>
      <c r="W175" s="266"/>
      <c r="X175" s="266"/>
      <c r="Y175" s="266"/>
      <c r="Z175" s="266"/>
      <c r="AA175" s="266"/>
      <c r="AB175" s="272"/>
      <c r="AC175" s="29"/>
      <c r="AD175" s="266"/>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row>
    <row r="176" spans="1:50" s="178" customFormat="1" x14ac:dyDescent="0.2">
      <c r="A176" s="266"/>
      <c r="B176" s="268"/>
      <c r="C176" s="268"/>
      <c r="D176" s="266"/>
      <c r="E176" s="266"/>
      <c r="F176" s="266"/>
      <c r="G176" s="266"/>
      <c r="H176" s="266"/>
      <c r="I176" s="266"/>
      <c r="J176" s="269"/>
      <c r="K176" s="269"/>
      <c r="L176" s="269"/>
      <c r="M176" s="266"/>
      <c r="N176" s="270"/>
      <c r="O176" s="271"/>
      <c r="P176" s="266"/>
      <c r="Q176" s="266"/>
      <c r="R176" s="266"/>
      <c r="S176" s="266"/>
      <c r="T176" s="266"/>
      <c r="U176" s="266"/>
      <c r="V176" s="272"/>
      <c r="W176" s="266"/>
      <c r="X176" s="266"/>
      <c r="Y176" s="266"/>
      <c r="Z176" s="266"/>
      <c r="AA176" s="266"/>
      <c r="AB176" s="272"/>
      <c r="AC176" s="29"/>
      <c r="AD176" s="266"/>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row>
    <row r="177" spans="1:50" s="178" customFormat="1" x14ac:dyDescent="0.2">
      <c r="A177" s="266"/>
      <c r="B177" s="268"/>
      <c r="C177" s="268"/>
      <c r="D177" s="266"/>
      <c r="E177" s="266"/>
      <c r="F177" s="266"/>
      <c r="G177" s="266"/>
      <c r="H177" s="266"/>
      <c r="I177" s="266"/>
      <c r="J177" s="269"/>
      <c r="K177" s="269"/>
      <c r="L177" s="269"/>
      <c r="M177" s="266"/>
      <c r="N177" s="270"/>
      <c r="O177" s="271"/>
      <c r="P177" s="266"/>
      <c r="Q177" s="266"/>
      <c r="R177" s="266"/>
      <c r="S177" s="266"/>
      <c r="T177" s="266"/>
      <c r="U177" s="266"/>
      <c r="V177" s="272"/>
      <c r="W177" s="266"/>
      <c r="X177" s="266"/>
      <c r="Y177" s="266"/>
      <c r="Z177" s="266"/>
      <c r="AA177" s="266"/>
      <c r="AB177" s="272"/>
      <c r="AC177" s="29"/>
      <c r="AD177" s="266"/>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row>
    <row r="178" spans="1:50" s="178" customFormat="1" x14ac:dyDescent="0.2">
      <c r="A178" s="273"/>
      <c r="B178" s="274"/>
      <c r="C178" s="274"/>
      <c r="D178" s="273"/>
      <c r="E178" s="273"/>
      <c r="F178" s="273"/>
      <c r="G178" s="273"/>
      <c r="H178" s="273"/>
      <c r="I178" s="273"/>
      <c r="J178" s="275"/>
      <c r="K178" s="275"/>
      <c r="L178" s="275"/>
      <c r="M178" s="273"/>
      <c r="N178" s="276"/>
      <c r="O178" s="277"/>
      <c r="P178" s="273"/>
      <c r="Q178" s="273"/>
      <c r="R178" s="273"/>
      <c r="S178" s="273"/>
      <c r="T178" s="273"/>
      <c r="U178" s="273"/>
      <c r="V178" s="278"/>
      <c r="W178" s="273"/>
      <c r="X178" s="273"/>
      <c r="Y178" s="273"/>
      <c r="Z178" s="273"/>
      <c r="AA178" s="273"/>
      <c r="AB178" s="278"/>
      <c r="AC178" s="27"/>
      <c r="AD178" s="273"/>
    </row>
    <row r="179" spans="1:50" s="178" customFormat="1" x14ac:dyDescent="0.2">
      <c r="A179" s="273"/>
      <c r="B179" s="274"/>
      <c r="C179" s="274"/>
      <c r="D179" s="273"/>
      <c r="E179" s="273"/>
      <c r="F179" s="273"/>
      <c r="G179" s="273"/>
      <c r="H179" s="273"/>
      <c r="I179" s="273"/>
      <c r="J179" s="275"/>
      <c r="K179" s="275"/>
      <c r="L179" s="275"/>
      <c r="M179" s="273"/>
      <c r="N179" s="276"/>
      <c r="O179" s="277"/>
      <c r="P179" s="273"/>
      <c r="Q179" s="273"/>
      <c r="R179" s="273"/>
      <c r="S179" s="273"/>
      <c r="T179" s="273"/>
      <c r="U179" s="273"/>
      <c r="V179" s="278"/>
      <c r="W179" s="273"/>
      <c r="X179" s="273"/>
      <c r="Y179" s="273"/>
      <c r="Z179" s="273"/>
      <c r="AA179" s="273"/>
      <c r="AB179" s="278"/>
      <c r="AC179" s="27"/>
      <c r="AD179" s="273"/>
    </row>
    <row r="180" spans="1:50" s="178" customFormat="1" x14ac:dyDescent="0.2">
      <c r="A180" s="273"/>
      <c r="B180" s="274"/>
      <c r="C180" s="274"/>
      <c r="D180" s="273"/>
      <c r="E180" s="273"/>
      <c r="F180" s="273"/>
      <c r="G180" s="273"/>
      <c r="H180" s="273"/>
      <c r="I180" s="273"/>
      <c r="J180" s="275"/>
      <c r="K180" s="275"/>
      <c r="L180" s="275"/>
      <c r="M180" s="273"/>
      <c r="N180" s="276"/>
      <c r="O180" s="277"/>
      <c r="P180" s="273"/>
      <c r="Q180" s="273"/>
      <c r="R180" s="273"/>
      <c r="S180" s="273"/>
      <c r="T180" s="273"/>
      <c r="U180" s="273"/>
      <c r="V180" s="278"/>
      <c r="W180" s="273"/>
      <c r="X180" s="273"/>
      <c r="Y180" s="273"/>
      <c r="Z180" s="273"/>
      <c r="AA180" s="273"/>
      <c r="AB180" s="278"/>
      <c r="AC180" s="27"/>
      <c r="AD180" s="273"/>
    </row>
    <row r="181" spans="1:50" s="178" customFormat="1" x14ac:dyDescent="0.2">
      <c r="A181" s="273"/>
      <c r="B181" s="274"/>
      <c r="C181" s="274"/>
      <c r="D181" s="273"/>
      <c r="E181" s="273"/>
      <c r="F181" s="273"/>
      <c r="G181" s="273"/>
      <c r="H181" s="273"/>
      <c r="I181" s="273"/>
      <c r="J181" s="275"/>
      <c r="K181" s="275"/>
      <c r="L181" s="275"/>
      <c r="M181" s="273"/>
      <c r="N181" s="276"/>
      <c r="O181" s="277"/>
      <c r="P181" s="273"/>
      <c r="Q181" s="273"/>
      <c r="R181" s="273"/>
      <c r="S181" s="273"/>
      <c r="T181" s="273"/>
      <c r="U181" s="273"/>
      <c r="V181" s="278"/>
      <c r="W181" s="273"/>
      <c r="X181" s="273"/>
      <c r="Y181" s="273"/>
      <c r="Z181" s="273"/>
      <c r="AA181" s="273"/>
      <c r="AB181" s="278"/>
      <c r="AC181" s="27"/>
      <c r="AD181" s="273"/>
    </row>
    <row r="182" spans="1:50" s="178" customFormat="1" x14ac:dyDescent="0.2">
      <c r="A182" s="273"/>
      <c r="B182" s="274"/>
      <c r="C182" s="274"/>
      <c r="D182" s="273"/>
      <c r="E182" s="273"/>
      <c r="F182" s="273"/>
      <c r="G182" s="273"/>
      <c r="H182" s="273"/>
      <c r="I182" s="273"/>
      <c r="J182" s="275"/>
      <c r="K182" s="275"/>
      <c r="L182" s="275"/>
      <c r="M182" s="273"/>
      <c r="N182" s="276"/>
      <c r="O182" s="277"/>
      <c r="P182" s="273"/>
      <c r="Q182" s="273"/>
      <c r="R182" s="273"/>
      <c r="S182" s="273"/>
      <c r="T182" s="273"/>
      <c r="U182" s="273"/>
      <c r="V182" s="278"/>
      <c r="W182" s="273"/>
      <c r="X182" s="273"/>
      <c r="Y182" s="273"/>
      <c r="Z182" s="273"/>
      <c r="AA182" s="273"/>
      <c r="AB182" s="278"/>
      <c r="AC182" s="27"/>
      <c r="AD182" s="273"/>
    </row>
    <row r="183" spans="1:50" s="178" customFormat="1" x14ac:dyDescent="0.2">
      <c r="A183" s="273"/>
      <c r="B183" s="274"/>
      <c r="C183" s="274"/>
      <c r="D183" s="273"/>
      <c r="E183" s="273"/>
      <c r="F183" s="273"/>
      <c r="G183" s="273"/>
      <c r="H183" s="273"/>
      <c r="I183" s="273"/>
      <c r="J183" s="275"/>
      <c r="K183" s="275"/>
      <c r="L183" s="275"/>
      <c r="M183" s="273"/>
      <c r="N183" s="276"/>
      <c r="O183" s="277"/>
      <c r="P183" s="273"/>
      <c r="Q183" s="273"/>
      <c r="R183" s="273"/>
      <c r="S183" s="273"/>
      <c r="T183" s="273"/>
      <c r="U183" s="273"/>
      <c r="V183" s="278"/>
      <c r="W183" s="273"/>
      <c r="X183" s="273"/>
      <c r="Y183" s="273"/>
      <c r="Z183" s="273"/>
      <c r="AA183" s="273"/>
      <c r="AB183" s="278"/>
      <c r="AC183" s="27"/>
      <c r="AD183" s="273"/>
    </row>
    <row r="184" spans="1:50" s="178" customFormat="1" x14ac:dyDescent="0.2">
      <c r="A184" s="273"/>
      <c r="B184" s="274"/>
      <c r="C184" s="274"/>
      <c r="D184" s="273"/>
      <c r="E184" s="273"/>
      <c r="F184" s="273"/>
      <c r="G184" s="273"/>
      <c r="H184" s="273"/>
      <c r="I184" s="273"/>
      <c r="J184" s="275"/>
      <c r="K184" s="275"/>
      <c r="L184" s="275"/>
      <c r="M184" s="273"/>
      <c r="N184" s="276"/>
      <c r="O184" s="277"/>
      <c r="P184" s="273"/>
      <c r="Q184" s="273"/>
      <c r="R184" s="273"/>
      <c r="S184" s="273"/>
      <c r="T184" s="273"/>
      <c r="U184" s="273"/>
      <c r="V184" s="278"/>
      <c r="W184" s="273"/>
      <c r="X184" s="273"/>
      <c r="Y184" s="273"/>
      <c r="Z184" s="273"/>
      <c r="AA184" s="273"/>
      <c r="AB184" s="278"/>
      <c r="AC184" s="27"/>
      <c r="AD184" s="273"/>
    </row>
    <row r="185" spans="1:50" s="178" customFormat="1" x14ac:dyDescent="0.2">
      <c r="A185" s="273"/>
      <c r="B185" s="274"/>
      <c r="C185" s="274"/>
      <c r="D185" s="273"/>
      <c r="E185" s="273"/>
      <c r="F185" s="273"/>
      <c r="G185" s="273"/>
      <c r="H185" s="273"/>
      <c r="I185" s="273"/>
      <c r="J185" s="275"/>
      <c r="K185" s="275"/>
      <c r="L185" s="275"/>
      <c r="M185" s="273"/>
      <c r="N185" s="276"/>
      <c r="O185" s="277"/>
      <c r="P185" s="273"/>
      <c r="Q185" s="273"/>
      <c r="R185" s="273"/>
      <c r="S185" s="273"/>
      <c r="T185" s="273"/>
      <c r="U185" s="273"/>
      <c r="V185" s="278"/>
      <c r="W185" s="273"/>
      <c r="X185" s="273"/>
      <c r="Y185" s="273"/>
      <c r="Z185" s="273"/>
      <c r="AA185" s="273"/>
      <c r="AB185" s="278"/>
      <c r="AC185" s="27"/>
      <c r="AD185" s="273"/>
    </row>
    <row r="186" spans="1:50" s="178" customFormat="1" x14ac:dyDescent="0.2">
      <c r="A186" s="273"/>
      <c r="B186" s="274"/>
      <c r="C186" s="274"/>
      <c r="D186" s="273"/>
      <c r="E186" s="273"/>
      <c r="F186" s="273"/>
      <c r="G186" s="273"/>
      <c r="H186" s="273"/>
      <c r="I186" s="273"/>
      <c r="J186" s="275"/>
      <c r="K186" s="275"/>
      <c r="L186" s="275"/>
      <c r="M186" s="273"/>
      <c r="N186" s="276"/>
      <c r="O186" s="277"/>
      <c r="P186" s="273"/>
      <c r="Q186" s="273"/>
      <c r="R186" s="273"/>
      <c r="S186" s="273"/>
      <c r="T186" s="273"/>
      <c r="U186" s="273"/>
      <c r="V186" s="278"/>
      <c r="W186" s="273"/>
      <c r="X186" s="273"/>
      <c r="Y186" s="273"/>
      <c r="Z186" s="273"/>
      <c r="AA186" s="273"/>
      <c r="AB186" s="278"/>
      <c r="AC186" s="27"/>
      <c r="AD186" s="273"/>
    </row>
    <row r="187" spans="1:50" s="178" customFormat="1" x14ac:dyDescent="0.2">
      <c r="A187" s="273"/>
      <c r="B187" s="274"/>
      <c r="C187" s="274"/>
      <c r="D187" s="273"/>
      <c r="E187" s="273"/>
      <c r="F187" s="273"/>
      <c r="G187" s="273"/>
      <c r="H187" s="273"/>
      <c r="I187" s="273"/>
      <c r="J187" s="275"/>
      <c r="K187" s="275"/>
      <c r="L187" s="275"/>
      <c r="M187" s="273"/>
      <c r="N187" s="276"/>
      <c r="O187" s="277"/>
      <c r="P187" s="273"/>
      <c r="Q187" s="273"/>
      <c r="R187" s="273"/>
      <c r="S187" s="273"/>
      <c r="T187" s="273"/>
      <c r="U187" s="273"/>
      <c r="V187" s="278"/>
      <c r="W187" s="273"/>
      <c r="X187" s="273"/>
      <c r="Y187" s="273"/>
      <c r="Z187" s="273"/>
      <c r="AA187" s="273"/>
      <c r="AB187" s="278"/>
      <c r="AC187" s="27"/>
      <c r="AD187" s="273"/>
    </row>
    <row r="188" spans="1:50" s="178" customFormat="1" x14ac:dyDescent="0.2">
      <c r="A188" s="273"/>
      <c r="B188" s="274"/>
      <c r="C188" s="274"/>
      <c r="D188" s="273"/>
      <c r="E188" s="273"/>
      <c r="F188" s="273"/>
      <c r="G188" s="273"/>
      <c r="H188" s="273"/>
      <c r="I188" s="273"/>
      <c r="J188" s="275"/>
      <c r="K188" s="275"/>
      <c r="L188" s="275"/>
      <c r="M188" s="273"/>
      <c r="N188" s="276"/>
      <c r="O188" s="277"/>
      <c r="P188" s="273"/>
      <c r="Q188" s="273"/>
      <c r="R188" s="273"/>
      <c r="S188" s="273"/>
      <c r="T188" s="273"/>
      <c r="U188" s="273"/>
      <c r="V188" s="278"/>
      <c r="W188" s="273"/>
      <c r="X188" s="273"/>
      <c r="Y188" s="273"/>
      <c r="Z188" s="273"/>
      <c r="AA188" s="273"/>
      <c r="AB188" s="278"/>
      <c r="AC188" s="27"/>
      <c r="AD188" s="273"/>
    </row>
    <row r="189" spans="1:50" s="178" customFormat="1" x14ac:dyDescent="0.2">
      <c r="A189" s="273"/>
      <c r="B189" s="274"/>
      <c r="C189" s="274"/>
      <c r="D189" s="273"/>
      <c r="E189" s="273"/>
      <c r="F189" s="273"/>
      <c r="G189" s="273"/>
      <c r="H189" s="273"/>
      <c r="I189" s="273"/>
      <c r="J189" s="275"/>
      <c r="K189" s="275"/>
      <c r="L189" s="275"/>
      <c r="M189" s="273"/>
      <c r="N189" s="276"/>
      <c r="O189" s="277"/>
      <c r="P189" s="273"/>
      <c r="Q189" s="273"/>
      <c r="R189" s="273"/>
      <c r="S189" s="273"/>
      <c r="T189" s="273"/>
      <c r="U189" s="273"/>
      <c r="V189" s="278"/>
      <c r="W189" s="273"/>
      <c r="X189" s="273"/>
      <c r="Y189" s="273"/>
      <c r="Z189" s="273"/>
      <c r="AA189" s="273"/>
      <c r="AB189" s="278"/>
      <c r="AC189" s="27"/>
      <c r="AD189" s="273"/>
    </row>
    <row r="190" spans="1:50" s="178" customFormat="1" x14ac:dyDescent="0.2">
      <c r="A190" s="273"/>
      <c r="B190" s="274"/>
      <c r="C190" s="274"/>
      <c r="D190" s="273"/>
      <c r="E190" s="273"/>
      <c r="F190" s="273"/>
      <c r="G190" s="273"/>
      <c r="H190" s="273"/>
      <c r="I190" s="273"/>
      <c r="J190" s="275"/>
      <c r="K190" s="275"/>
      <c r="L190" s="275"/>
      <c r="M190" s="273"/>
      <c r="N190" s="276"/>
      <c r="O190" s="277"/>
      <c r="P190" s="273"/>
      <c r="Q190" s="273"/>
      <c r="R190" s="273"/>
      <c r="S190" s="273"/>
      <c r="T190" s="273"/>
      <c r="U190" s="273"/>
      <c r="V190" s="278"/>
      <c r="W190" s="273"/>
      <c r="X190" s="273"/>
      <c r="Y190" s="273"/>
      <c r="Z190" s="273"/>
      <c r="AA190" s="273"/>
      <c r="AB190" s="278"/>
      <c r="AC190" s="27"/>
    </row>
    <row r="191" spans="1:50" s="178" customFormat="1" x14ac:dyDescent="0.2">
      <c r="A191" s="273"/>
      <c r="B191" s="274"/>
      <c r="C191" s="274"/>
      <c r="D191" s="273"/>
      <c r="E191" s="273"/>
      <c r="F191" s="273"/>
      <c r="G191" s="273"/>
      <c r="H191" s="273"/>
      <c r="I191" s="273"/>
      <c r="J191" s="275"/>
      <c r="K191" s="275"/>
      <c r="L191" s="275"/>
      <c r="M191" s="273"/>
      <c r="N191" s="276"/>
      <c r="O191" s="277"/>
      <c r="P191" s="273"/>
      <c r="Q191" s="273"/>
      <c r="R191" s="273"/>
      <c r="S191" s="273"/>
      <c r="T191" s="273"/>
      <c r="U191" s="273"/>
      <c r="V191" s="278"/>
      <c r="W191" s="273"/>
      <c r="X191" s="273"/>
      <c r="Y191" s="273"/>
      <c r="Z191" s="273"/>
      <c r="AA191" s="273"/>
      <c r="AB191" s="278"/>
      <c r="AC191" s="27"/>
    </row>
    <row r="192" spans="1:50" s="178" customFormat="1" x14ac:dyDescent="0.2">
      <c r="A192" s="273"/>
      <c r="B192" s="274"/>
      <c r="C192" s="274"/>
      <c r="D192" s="273"/>
      <c r="E192" s="273"/>
      <c r="F192" s="273"/>
      <c r="G192" s="273"/>
      <c r="H192" s="273"/>
      <c r="I192" s="273"/>
      <c r="J192" s="275"/>
      <c r="K192" s="275"/>
      <c r="L192" s="275"/>
      <c r="M192" s="273"/>
      <c r="N192" s="276"/>
      <c r="O192" s="277"/>
      <c r="P192" s="273"/>
      <c r="Q192" s="273"/>
      <c r="R192" s="273"/>
      <c r="S192" s="273"/>
      <c r="T192" s="273"/>
      <c r="U192" s="273"/>
      <c r="V192" s="278"/>
      <c r="W192" s="273"/>
      <c r="X192" s="273"/>
      <c r="Y192" s="273"/>
      <c r="Z192" s="273"/>
      <c r="AA192" s="273"/>
      <c r="AB192" s="278"/>
      <c r="AC192" s="27"/>
    </row>
    <row r="193" spans="1:29" s="178" customFormat="1" x14ac:dyDescent="0.2">
      <c r="A193" s="273"/>
      <c r="B193" s="274"/>
      <c r="C193" s="274"/>
      <c r="D193" s="273"/>
      <c r="E193" s="273"/>
      <c r="F193" s="273"/>
      <c r="G193" s="273"/>
      <c r="H193" s="273"/>
      <c r="I193" s="273"/>
      <c r="J193" s="275"/>
      <c r="K193" s="275"/>
      <c r="L193" s="275"/>
      <c r="M193" s="273"/>
      <c r="N193" s="276"/>
      <c r="O193" s="277"/>
      <c r="P193" s="273"/>
      <c r="Q193" s="273"/>
      <c r="R193" s="273"/>
      <c r="S193" s="273"/>
      <c r="T193" s="273"/>
      <c r="U193" s="273"/>
      <c r="V193" s="278"/>
      <c r="W193" s="273"/>
      <c r="X193" s="273"/>
      <c r="Y193" s="273"/>
      <c r="Z193" s="273"/>
      <c r="AA193" s="273"/>
      <c r="AB193" s="278"/>
      <c r="AC193" s="27"/>
    </row>
    <row r="194" spans="1:29" s="178" customFormat="1" x14ac:dyDescent="0.2">
      <c r="A194" s="273"/>
      <c r="B194" s="274"/>
      <c r="C194" s="274"/>
      <c r="D194" s="273"/>
      <c r="E194" s="273"/>
      <c r="F194" s="273"/>
      <c r="G194" s="273"/>
      <c r="H194" s="273"/>
      <c r="I194" s="273"/>
      <c r="J194" s="275"/>
      <c r="K194" s="275"/>
      <c r="L194" s="275"/>
      <c r="M194" s="273"/>
      <c r="N194" s="276"/>
      <c r="O194" s="277"/>
      <c r="P194" s="273"/>
      <c r="Q194" s="273"/>
      <c r="R194" s="273"/>
      <c r="S194" s="273"/>
      <c r="T194" s="273"/>
      <c r="U194" s="273"/>
      <c r="V194" s="278"/>
      <c r="W194" s="273"/>
      <c r="X194" s="273"/>
      <c r="Y194" s="273"/>
      <c r="Z194" s="273"/>
      <c r="AA194" s="273"/>
      <c r="AB194" s="278"/>
      <c r="AC194" s="27"/>
    </row>
    <row r="195" spans="1:29" s="178" customFormat="1" x14ac:dyDescent="0.2">
      <c r="A195" s="273"/>
      <c r="B195" s="274"/>
      <c r="C195" s="274"/>
      <c r="D195" s="273"/>
      <c r="E195" s="273"/>
      <c r="F195" s="273"/>
      <c r="G195" s="273"/>
      <c r="H195" s="273"/>
      <c r="I195" s="273"/>
      <c r="J195" s="275"/>
      <c r="K195" s="275"/>
      <c r="L195" s="275"/>
      <c r="M195" s="273"/>
      <c r="N195" s="276"/>
      <c r="O195" s="277"/>
      <c r="P195" s="273"/>
      <c r="Q195" s="273"/>
      <c r="R195" s="273"/>
      <c r="S195" s="273"/>
      <c r="T195" s="273"/>
      <c r="U195" s="273"/>
      <c r="V195" s="278"/>
      <c r="W195" s="273"/>
      <c r="X195" s="273"/>
      <c r="Y195" s="273"/>
      <c r="Z195" s="273"/>
      <c r="AA195" s="273"/>
      <c r="AB195" s="278"/>
      <c r="AC195" s="27"/>
    </row>
    <row r="196" spans="1:29" s="178" customFormat="1" x14ac:dyDescent="0.2">
      <c r="A196" s="273"/>
      <c r="B196" s="274"/>
      <c r="C196" s="274"/>
      <c r="D196" s="273"/>
      <c r="E196" s="273"/>
      <c r="F196" s="273"/>
      <c r="G196" s="273"/>
      <c r="H196" s="273"/>
      <c r="I196" s="273"/>
      <c r="J196" s="275"/>
      <c r="K196" s="275"/>
      <c r="L196" s="275"/>
      <c r="M196" s="273"/>
      <c r="N196" s="276"/>
      <c r="O196" s="277"/>
      <c r="P196" s="273"/>
      <c r="Q196" s="273"/>
      <c r="R196" s="273"/>
      <c r="S196" s="273"/>
      <c r="T196" s="273"/>
      <c r="U196" s="273"/>
      <c r="V196" s="278"/>
      <c r="W196" s="273"/>
      <c r="X196" s="273"/>
      <c r="Y196" s="273"/>
      <c r="Z196" s="273"/>
      <c r="AA196" s="273"/>
      <c r="AB196" s="278"/>
      <c r="AC196" s="27"/>
    </row>
    <row r="197" spans="1:29" s="178" customFormat="1" x14ac:dyDescent="0.2">
      <c r="A197" s="273"/>
      <c r="B197" s="274"/>
      <c r="C197" s="274"/>
      <c r="D197" s="273"/>
      <c r="E197" s="273"/>
      <c r="F197" s="273"/>
      <c r="G197" s="273"/>
      <c r="H197" s="273"/>
      <c r="I197" s="273"/>
      <c r="J197" s="275"/>
      <c r="K197" s="275"/>
      <c r="L197" s="275"/>
      <c r="M197" s="273"/>
      <c r="N197" s="276"/>
      <c r="O197" s="277"/>
      <c r="P197" s="273"/>
      <c r="Q197" s="273"/>
      <c r="R197" s="273"/>
      <c r="S197" s="273"/>
      <c r="T197" s="273"/>
      <c r="U197" s="273"/>
      <c r="V197" s="278"/>
      <c r="W197" s="273"/>
      <c r="X197" s="273"/>
      <c r="Y197" s="273"/>
      <c r="Z197" s="273"/>
      <c r="AA197" s="273"/>
      <c r="AB197" s="278"/>
      <c r="AC197" s="27"/>
    </row>
    <row r="198" spans="1:29" s="178" customFormat="1" x14ac:dyDescent="0.2">
      <c r="A198" s="273"/>
      <c r="B198" s="274"/>
      <c r="C198" s="274"/>
      <c r="D198" s="273"/>
      <c r="E198" s="273"/>
      <c r="F198" s="273"/>
      <c r="G198" s="273"/>
      <c r="H198" s="273"/>
      <c r="I198" s="273"/>
      <c r="J198" s="275"/>
      <c r="K198" s="275"/>
      <c r="L198" s="275"/>
      <c r="M198" s="273"/>
      <c r="N198" s="276"/>
      <c r="O198" s="277"/>
      <c r="P198" s="273"/>
      <c r="Q198" s="273"/>
      <c r="R198" s="273"/>
      <c r="S198" s="273"/>
      <c r="T198" s="273"/>
      <c r="U198" s="273"/>
      <c r="V198" s="278"/>
      <c r="W198" s="273"/>
      <c r="X198" s="273"/>
      <c r="Y198" s="273"/>
      <c r="Z198" s="273"/>
      <c r="AA198" s="273"/>
      <c r="AB198" s="278"/>
      <c r="AC198" s="27"/>
    </row>
    <row r="199" spans="1:29" s="178" customFormat="1" x14ac:dyDescent="0.2">
      <c r="A199" s="273"/>
      <c r="B199" s="274"/>
      <c r="C199" s="274"/>
      <c r="D199" s="273"/>
      <c r="E199" s="273"/>
      <c r="F199" s="273"/>
      <c r="G199" s="273"/>
      <c r="H199" s="273"/>
      <c r="I199" s="273"/>
      <c r="J199" s="275"/>
      <c r="K199" s="275"/>
      <c r="L199" s="275"/>
      <c r="M199" s="273"/>
      <c r="N199" s="276"/>
      <c r="O199" s="277"/>
      <c r="P199" s="273"/>
      <c r="Q199" s="273"/>
      <c r="R199" s="273"/>
      <c r="S199" s="273"/>
      <c r="T199" s="273"/>
      <c r="U199" s="273"/>
      <c r="V199" s="278"/>
      <c r="W199" s="273"/>
      <c r="X199" s="273"/>
      <c r="Y199" s="273"/>
      <c r="Z199" s="273"/>
      <c r="AA199" s="273"/>
      <c r="AB199" s="278"/>
      <c r="AC199" s="27"/>
    </row>
    <row r="200" spans="1:29" s="178" customFormat="1" x14ac:dyDescent="0.2">
      <c r="A200" s="273"/>
      <c r="B200" s="274"/>
      <c r="C200" s="274"/>
      <c r="D200" s="273"/>
      <c r="E200" s="273"/>
      <c r="F200" s="273"/>
      <c r="G200" s="273"/>
      <c r="H200" s="273"/>
      <c r="I200" s="273"/>
      <c r="J200" s="275"/>
      <c r="K200" s="275"/>
      <c r="L200" s="275"/>
      <c r="M200" s="273"/>
      <c r="N200" s="276"/>
      <c r="O200" s="277"/>
      <c r="P200" s="273"/>
      <c r="Q200" s="273"/>
      <c r="R200" s="273"/>
      <c r="S200" s="273"/>
      <c r="T200" s="273"/>
      <c r="U200" s="273"/>
      <c r="V200" s="278"/>
      <c r="W200" s="273"/>
      <c r="X200" s="273"/>
      <c r="Y200" s="273"/>
      <c r="Z200" s="273"/>
      <c r="AA200" s="273"/>
      <c r="AB200" s="278"/>
      <c r="AC200" s="27"/>
    </row>
    <row r="201" spans="1:29" s="178" customFormat="1" x14ac:dyDescent="0.2">
      <c r="A201" s="273"/>
      <c r="B201" s="274"/>
      <c r="C201" s="274"/>
      <c r="D201" s="273"/>
      <c r="E201" s="273"/>
      <c r="F201" s="273"/>
      <c r="G201" s="273"/>
      <c r="H201" s="273"/>
      <c r="I201" s="273"/>
      <c r="J201" s="275"/>
      <c r="K201" s="275"/>
      <c r="L201" s="275"/>
      <c r="M201" s="273"/>
      <c r="N201" s="276"/>
      <c r="O201" s="277"/>
      <c r="P201" s="273"/>
      <c r="Q201" s="273"/>
      <c r="R201" s="273"/>
      <c r="S201" s="273"/>
      <c r="T201" s="273"/>
      <c r="U201" s="273"/>
      <c r="V201" s="278"/>
      <c r="W201" s="273"/>
      <c r="X201" s="273"/>
      <c r="Y201" s="273"/>
      <c r="Z201" s="273"/>
      <c r="AA201" s="273"/>
      <c r="AB201" s="278"/>
      <c r="AC201" s="27"/>
    </row>
    <row r="202" spans="1:29" s="178" customFormat="1" x14ac:dyDescent="0.2">
      <c r="A202" s="273"/>
      <c r="B202" s="274"/>
      <c r="C202" s="274"/>
      <c r="D202" s="273"/>
      <c r="E202" s="273"/>
      <c r="F202" s="273"/>
      <c r="G202" s="273"/>
      <c r="H202" s="273"/>
      <c r="I202" s="273"/>
      <c r="J202" s="275"/>
      <c r="K202" s="275"/>
      <c r="L202" s="275"/>
      <c r="M202" s="273"/>
      <c r="N202" s="276"/>
      <c r="O202" s="277"/>
      <c r="P202" s="273"/>
      <c r="Q202" s="273"/>
      <c r="R202" s="273"/>
      <c r="S202" s="273"/>
      <c r="T202" s="273"/>
      <c r="U202" s="273"/>
      <c r="V202" s="278"/>
      <c r="W202" s="273"/>
      <c r="X202" s="273"/>
      <c r="Y202" s="273"/>
      <c r="Z202" s="273"/>
      <c r="AA202" s="273"/>
      <c r="AB202" s="278"/>
      <c r="AC202" s="27"/>
    </row>
    <row r="203" spans="1:29" s="178" customFormat="1" x14ac:dyDescent="0.2">
      <c r="A203" s="273"/>
      <c r="B203" s="274"/>
      <c r="C203" s="274"/>
      <c r="D203" s="273"/>
      <c r="E203" s="273"/>
      <c r="F203" s="273"/>
      <c r="G203" s="273"/>
      <c r="H203" s="273"/>
      <c r="I203" s="273"/>
      <c r="J203" s="275"/>
      <c r="K203" s="275"/>
      <c r="L203" s="275"/>
      <c r="M203" s="273"/>
      <c r="N203" s="276"/>
      <c r="O203" s="277"/>
      <c r="P203" s="273"/>
      <c r="Q203" s="273"/>
      <c r="R203" s="273"/>
      <c r="S203" s="273"/>
      <c r="T203" s="273"/>
      <c r="U203" s="273"/>
      <c r="V203" s="278"/>
      <c r="W203" s="273"/>
      <c r="X203" s="273"/>
      <c r="Y203" s="273"/>
      <c r="Z203" s="273"/>
      <c r="AA203" s="273"/>
      <c r="AB203" s="278"/>
      <c r="AC203" s="27"/>
    </row>
    <row r="204" spans="1:29" s="178" customFormat="1" x14ac:dyDescent="0.2">
      <c r="A204" s="273"/>
      <c r="B204" s="274"/>
      <c r="C204" s="274"/>
      <c r="D204" s="273"/>
      <c r="E204" s="273"/>
      <c r="F204" s="273"/>
      <c r="G204" s="273"/>
      <c r="H204" s="273"/>
      <c r="I204" s="273"/>
      <c r="J204" s="275"/>
      <c r="K204" s="275"/>
      <c r="L204" s="275"/>
      <c r="M204" s="273"/>
      <c r="N204" s="276"/>
      <c r="O204" s="277"/>
      <c r="P204" s="273"/>
      <c r="Q204" s="273"/>
      <c r="R204" s="273"/>
      <c r="S204" s="273"/>
      <c r="T204" s="273"/>
      <c r="U204" s="273"/>
      <c r="V204" s="278"/>
      <c r="W204" s="273"/>
      <c r="X204" s="273"/>
      <c r="Y204" s="273"/>
      <c r="Z204" s="273"/>
      <c r="AA204" s="273"/>
      <c r="AB204" s="278"/>
      <c r="AC204" s="27"/>
    </row>
    <row r="205" spans="1:29" s="178" customFormat="1" x14ac:dyDescent="0.2">
      <c r="A205" s="273"/>
      <c r="B205" s="274"/>
      <c r="C205" s="274"/>
      <c r="D205" s="273"/>
      <c r="E205" s="273"/>
      <c r="F205" s="273"/>
      <c r="G205" s="273"/>
      <c r="H205" s="273"/>
      <c r="I205" s="273"/>
      <c r="J205" s="275"/>
      <c r="K205" s="275"/>
      <c r="L205" s="275"/>
      <c r="M205" s="273"/>
      <c r="N205" s="276"/>
      <c r="O205" s="277"/>
      <c r="P205" s="273"/>
      <c r="Q205" s="273"/>
      <c r="R205" s="273"/>
      <c r="S205" s="273"/>
      <c r="T205" s="273"/>
      <c r="U205" s="273"/>
      <c r="V205" s="278"/>
      <c r="W205" s="273"/>
      <c r="X205" s="273"/>
      <c r="Y205" s="273"/>
      <c r="Z205" s="273"/>
      <c r="AA205" s="273"/>
      <c r="AB205" s="278"/>
      <c r="AC205" s="27"/>
    </row>
    <row r="206" spans="1:29" s="178" customFormat="1" x14ac:dyDescent="0.2">
      <c r="A206" s="273"/>
      <c r="B206" s="274"/>
      <c r="C206" s="274"/>
      <c r="D206" s="273"/>
      <c r="E206" s="273"/>
      <c r="F206" s="273"/>
      <c r="G206" s="273"/>
      <c r="H206" s="273"/>
      <c r="I206" s="273"/>
      <c r="J206" s="275"/>
      <c r="K206" s="275"/>
      <c r="L206" s="275"/>
      <c r="M206" s="273"/>
      <c r="N206" s="276"/>
      <c r="O206" s="277"/>
      <c r="P206" s="273"/>
      <c r="Q206" s="273"/>
      <c r="R206" s="273"/>
      <c r="S206" s="273"/>
      <c r="T206" s="273"/>
      <c r="U206" s="273"/>
      <c r="V206" s="278"/>
      <c r="W206" s="273"/>
      <c r="X206" s="273"/>
      <c r="Y206" s="273"/>
      <c r="Z206" s="273"/>
      <c r="AA206" s="273"/>
      <c r="AB206" s="278"/>
      <c r="AC206" s="27"/>
    </row>
    <row r="207" spans="1:29" s="178" customFormat="1" x14ac:dyDescent="0.2">
      <c r="A207" s="273"/>
      <c r="B207" s="274"/>
      <c r="C207" s="274"/>
      <c r="D207" s="273"/>
      <c r="E207" s="273"/>
      <c r="F207" s="273"/>
      <c r="G207" s="273"/>
      <c r="H207" s="273"/>
      <c r="I207" s="273"/>
      <c r="J207" s="275"/>
      <c r="K207" s="275"/>
      <c r="L207" s="275"/>
      <c r="M207" s="273"/>
      <c r="N207" s="276"/>
      <c r="O207" s="277"/>
      <c r="P207" s="273"/>
      <c r="Q207" s="273"/>
      <c r="R207" s="273"/>
      <c r="S207" s="273"/>
      <c r="T207" s="273"/>
      <c r="U207" s="273"/>
      <c r="V207" s="278"/>
      <c r="W207" s="273"/>
      <c r="X207" s="273"/>
      <c r="Y207" s="273"/>
      <c r="Z207" s="273"/>
      <c r="AA207" s="273"/>
      <c r="AB207" s="278"/>
      <c r="AC207" s="27"/>
    </row>
    <row r="208" spans="1:29" s="178" customFormat="1" x14ac:dyDescent="0.2">
      <c r="A208" s="273"/>
      <c r="B208" s="274"/>
      <c r="C208" s="274"/>
      <c r="D208" s="273"/>
      <c r="E208" s="273"/>
      <c r="F208" s="273"/>
      <c r="G208" s="273"/>
      <c r="H208" s="273"/>
      <c r="I208" s="273"/>
      <c r="J208" s="275"/>
      <c r="K208" s="275"/>
      <c r="L208" s="275"/>
      <c r="M208" s="273"/>
      <c r="N208" s="276"/>
      <c r="O208" s="277"/>
      <c r="P208" s="273"/>
      <c r="Q208" s="273"/>
      <c r="R208" s="273"/>
      <c r="S208" s="273"/>
      <c r="T208" s="273"/>
      <c r="U208" s="273"/>
      <c r="V208" s="278"/>
      <c r="W208" s="273"/>
      <c r="X208" s="273"/>
      <c r="Y208" s="273"/>
      <c r="Z208" s="273"/>
      <c r="AA208" s="273"/>
      <c r="AB208" s="278"/>
      <c r="AC208" s="27"/>
    </row>
    <row r="209" spans="1:29" s="178" customFormat="1" x14ac:dyDescent="0.2">
      <c r="A209" s="273"/>
      <c r="B209" s="274"/>
      <c r="C209" s="274"/>
      <c r="D209" s="273"/>
      <c r="E209" s="273"/>
      <c r="F209" s="273"/>
      <c r="G209" s="273"/>
      <c r="H209" s="273"/>
      <c r="I209" s="273"/>
      <c r="J209" s="275"/>
      <c r="K209" s="275"/>
      <c r="L209" s="275"/>
      <c r="M209" s="273"/>
      <c r="N209" s="276"/>
      <c r="O209" s="277"/>
      <c r="P209" s="273"/>
      <c r="Q209" s="273"/>
      <c r="R209" s="273"/>
      <c r="S209" s="273"/>
      <c r="T209" s="273"/>
      <c r="U209" s="273"/>
      <c r="V209" s="278"/>
      <c r="W209" s="273"/>
      <c r="X209" s="273"/>
      <c r="Y209" s="273"/>
      <c r="Z209" s="273"/>
      <c r="AA209" s="273"/>
      <c r="AB209" s="278"/>
      <c r="AC209" s="27"/>
    </row>
    <row r="210" spans="1:29" s="178" customFormat="1" x14ac:dyDescent="0.2">
      <c r="A210" s="273"/>
      <c r="B210" s="274"/>
      <c r="C210" s="274"/>
      <c r="D210" s="273"/>
      <c r="E210" s="273"/>
      <c r="F210" s="273"/>
      <c r="G210" s="273"/>
      <c r="H210" s="273"/>
      <c r="I210" s="273"/>
      <c r="J210" s="275"/>
      <c r="K210" s="275"/>
      <c r="L210" s="275"/>
      <c r="M210" s="273"/>
      <c r="N210" s="276"/>
      <c r="O210" s="277"/>
      <c r="P210" s="273"/>
      <c r="Q210" s="273"/>
      <c r="R210" s="273"/>
      <c r="S210" s="273"/>
      <c r="T210" s="273"/>
      <c r="U210" s="273"/>
      <c r="V210" s="278"/>
      <c r="W210" s="273"/>
      <c r="X210" s="273"/>
      <c r="Y210" s="273"/>
      <c r="Z210" s="273"/>
      <c r="AA210" s="273"/>
      <c r="AB210" s="278"/>
      <c r="AC210" s="27"/>
    </row>
    <row r="211" spans="1:29" s="178" customFormat="1" x14ac:dyDescent="0.2">
      <c r="A211" s="273"/>
      <c r="B211" s="274"/>
      <c r="C211" s="274"/>
      <c r="D211" s="273"/>
      <c r="E211" s="273"/>
      <c r="F211" s="273"/>
      <c r="G211" s="273"/>
      <c r="H211" s="273"/>
      <c r="I211" s="273"/>
      <c r="J211" s="275"/>
      <c r="K211" s="275"/>
      <c r="L211" s="275"/>
      <c r="M211" s="273"/>
      <c r="N211" s="276"/>
      <c r="O211" s="277"/>
      <c r="P211" s="273"/>
      <c r="Q211" s="273"/>
      <c r="R211" s="273"/>
      <c r="S211" s="273"/>
      <c r="T211" s="273"/>
      <c r="U211" s="273"/>
      <c r="V211" s="278"/>
      <c r="W211" s="273"/>
      <c r="X211" s="273"/>
      <c r="Y211" s="273"/>
      <c r="Z211" s="273"/>
      <c r="AA211" s="273"/>
      <c r="AB211" s="278"/>
      <c r="AC211" s="27"/>
    </row>
    <row r="212" spans="1:29" s="178" customFormat="1" x14ac:dyDescent="0.2">
      <c r="A212" s="273"/>
      <c r="B212" s="274"/>
      <c r="C212" s="274"/>
      <c r="D212" s="273"/>
      <c r="E212" s="273"/>
      <c r="F212" s="273"/>
      <c r="G212" s="273"/>
      <c r="H212" s="273"/>
      <c r="I212" s="273"/>
      <c r="J212" s="275"/>
      <c r="K212" s="275"/>
      <c r="L212" s="275"/>
      <c r="M212" s="273"/>
      <c r="N212" s="276"/>
      <c r="O212" s="277"/>
      <c r="P212" s="273"/>
      <c r="Q212" s="273"/>
      <c r="R212" s="273"/>
      <c r="S212" s="273"/>
      <c r="T212" s="273"/>
      <c r="U212" s="273"/>
      <c r="V212" s="278"/>
      <c r="W212" s="273"/>
      <c r="X212" s="273"/>
      <c r="Y212" s="273"/>
      <c r="Z212" s="273"/>
      <c r="AA212" s="273"/>
      <c r="AB212" s="278"/>
      <c r="AC212" s="27"/>
    </row>
    <row r="213" spans="1:29" s="178" customFormat="1" x14ac:dyDescent="0.2">
      <c r="A213" s="273"/>
      <c r="B213" s="274"/>
      <c r="C213" s="274"/>
      <c r="D213" s="273"/>
      <c r="E213" s="273"/>
      <c r="F213" s="273"/>
      <c r="G213" s="273"/>
      <c r="H213" s="273"/>
      <c r="I213" s="273"/>
      <c r="J213" s="275"/>
      <c r="K213" s="275"/>
      <c r="L213" s="275"/>
      <c r="M213" s="273"/>
      <c r="N213" s="276"/>
      <c r="O213" s="277"/>
      <c r="P213" s="273"/>
      <c r="Q213" s="273"/>
      <c r="R213" s="273"/>
      <c r="S213" s="273"/>
      <c r="T213" s="273"/>
      <c r="U213" s="273"/>
      <c r="V213" s="278"/>
      <c r="W213" s="273"/>
      <c r="X213" s="273"/>
      <c r="Y213" s="273"/>
      <c r="Z213" s="273"/>
      <c r="AA213" s="273"/>
      <c r="AB213" s="278"/>
      <c r="AC213" s="27"/>
    </row>
    <row r="214" spans="1:29" s="178" customFormat="1" x14ac:dyDescent="0.2">
      <c r="A214" s="273"/>
      <c r="B214" s="274"/>
      <c r="C214" s="274"/>
      <c r="D214" s="273"/>
      <c r="E214" s="273"/>
      <c r="F214" s="273"/>
      <c r="G214" s="273"/>
      <c r="H214" s="273"/>
      <c r="I214" s="273"/>
      <c r="J214" s="275"/>
      <c r="K214" s="275"/>
      <c r="L214" s="275"/>
      <c r="M214" s="273"/>
      <c r="N214" s="276"/>
      <c r="O214" s="277"/>
      <c r="P214" s="273"/>
      <c r="Q214" s="273"/>
      <c r="R214" s="273"/>
      <c r="S214" s="273"/>
      <c r="T214" s="273"/>
      <c r="U214" s="273"/>
      <c r="V214" s="278"/>
      <c r="W214" s="273"/>
      <c r="X214" s="273"/>
      <c r="Y214" s="273"/>
      <c r="Z214" s="273"/>
      <c r="AA214" s="273"/>
      <c r="AB214" s="278"/>
      <c r="AC214" s="27"/>
    </row>
    <row r="215" spans="1:29" s="178" customFormat="1" x14ac:dyDescent="0.2">
      <c r="A215" s="273"/>
      <c r="B215" s="274"/>
      <c r="C215" s="274"/>
      <c r="D215" s="273"/>
      <c r="E215" s="273"/>
      <c r="F215" s="273"/>
      <c r="G215" s="273"/>
      <c r="H215" s="273"/>
      <c r="I215" s="273"/>
      <c r="J215" s="275"/>
      <c r="K215" s="275"/>
      <c r="L215" s="275"/>
      <c r="M215" s="273"/>
      <c r="N215" s="276"/>
      <c r="O215" s="277"/>
      <c r="P215" s="273"/>
      <c r="Q215" s="273"/>
      <c r="R215" s="273"/>
      <c r="S215" s="273"/>
      <c r="T215" s="273"/>
      <c r="U215" s="273"/>
      <c r="V215" s="278"/>
      <c r="W215" s="273"/>
      <c r="X215" s="273"/>
      <c r="Y215" s="273"/>
      <c r="Z215" s="273"/>
      <c r="AA215" s="273"/>
      <c r="AB215" s="278"/>
      <c r="AC215" s="27"/>
    </row>
    <row r="216" spans="1:29" s="178" customFormat="1" x14ac:dyDescent="0.2">
      <c r="A216" s="273"/>
      <c r="B216" s="274"/>
      <c r="C216" s="274"/>
      <c r="D216" s="273"/>
      <c r="E216" s="273"/>
      <c r="F216" s="273"/>
      <c r="G216" s="273"/>
      <c r="H216" s="273"/>
      <c r="I216" s="273"/>
      <c r="J216" s="275"/>
      <c r="K216" s="275"/>
      <c r="L216" s="275"/>
      <c r="M216" s="273"/>
      <c r="N216" s="276"/>
      <c r="O216" s="277"/>
      <c r="P216" s="273"/>
      <c r="Q216" s="273"/>
      <c r="R216" s="273"/>
      <c r="S216" s="273"/>
      <c r="T216" s="273"/>
      <c r="U216" s="273"/>
      <c r="V216" s="278"/>
      <c r="W216" s="273"/>
      <c r="X216" s="273"/>
      <c r="Y216" s="273"/>
      <c r="Z216" s="273"/>
      <c r="AA216" s="273"/>
      <c r="AB216" s="278"/>
      <c r="AC216" s="27"/>
    </row>
    <row r="217" spans="1:29" s="178" customFormat="1" x14ac:dyDescent="0.2">
      <c r="A217" s="273"/>
      <c r="B217" s="274"/>
      <c r="C217" s="274"/>
      <c r="D217" s="273"/>
      <c r="E217" s="273"/>
      <c r="F217" s="273"/>
      <c r="G217" s="273"/>
      <c r="H217" s="273"/>
      <c r="I217" s="273"/>
      <c r="J217" s="275"/>
      <c r="K217" s="275"/>
      <c r="L217" s="275"/>
      <c r="M217" s="273"/>
      <c r="N217" s="276"/>
      <c r="O217" s="277"/>
      <c r="P217" s="273"/>
      <c r="Q217" s="273"/>
      <c r="R217" s="273"/>
      <c r="S217" s="273"/>
      <c r="T217" s="273"/>
      <c r="U217" s="273"/>
      <c r="V217" s="278"/>
      <c r="W217" s="273"/>
      <c r="X217" s="273"/>
      <c r="Y217" s="273"/>
      <c r="Z217" s="273"/>
      <c r="AA217" s="273"/>
      <c r="AB217" s="278"/>
      <c r="AC217" s="27"/>
    </row>
    <row r="218" spans="1:29" s="178" customFormat="1" x14ac:dyDescent="0.2">
      <c r="A218" s="273"/>
      <c r="B218" s="274"/>
      <c r="C218" s="274"/>
      <c r="D218" s="273"/>
      <c r="E218" s="273"/>
      <c r="F218" s="273"/>
      <c r="G218" s="273"/>
      <c r="H218" s="273"/>
      <c r="I218" s="273"/>
      <c r="J218" s="275"/>
      <c r="K218" s="275"/>
      <c r="L218" s="275"/>
      <c r="M218" s="273"/>
      <c r="N218" s="276"/>
      <c r="O218" s="277"/>
      <c r="P218" s="273"/>
      <c r="Q218" s="273"/>
      <c r="R218" s="273"/>
      <c r="S218" s="273"/>
      <c r="T218" s="273"/>
      <c r="U218" s="273"/>
      <c r="V218" s="278"/>
      <c r="W218" s="273"/>
      <c r="X218" s="273"/>
      <c r="Y218" s="273"/>
      <c r="Z218" s="273"/>
      <c r="AA218" s="273"/>
      <c r="AB218" s="278"/>
      <c r="AC218" s="27"/>
    </row>
    <row r="219" spans="1:29" s="178" customFormat="1" x14ac:dyDescent="0.2">
      <c r="A219" s="273"/>
      <c r="B219" s="274"/>
      <c r="C219" s="274"/>
      <c r="D219" s="273"/>
      <c r="E219" s="273"/>
      <c r="F219" s="273"/>
      <c r="G219" s="273"/>
      <c r="H219" s="273"/>
      <c r="I219" s="273"/>
      <c r="J219" s="275"/>
      <c r="K219" s="275"/>
      <c r="L219" s="275"/>
      <c r="M219" s="273"/>
      <c r="N219" s="276"/>
      <c r="O219" s="277"/>
      <c r="P219" s="273"/>
      <c r="Q219" s="273"/>
      <c r="R219" s="273"/>
      <c r="S219" s="273"/>
      <c r="T219" s="273"/>
      <c r="U219" s="273"/>
      <c r="V219" s="278"/>
      <c r="W219" s="273"/>
      <c r="X219" s="273"/>
      <c r="Y219" s="273"/>
      <c r="Z219" s="273"/>
      <c r="AA219" s="273"/>
      <c r="AB219" s="278"/>
      <c r="AC219" s="27"/>
    </row>
    <row r="220" spans="1:29" s="178" customFormat="1" x14ac:dyDescent="0.2">
      <c r="A220" s="273"/>
      <c r="B220" s="274"/>
      <c r="C220" s="274"/>
      <c r="D220" s="273"/>
      <c r="E220" s="273"/>
      <c r="F220" s="273"/>
      <c r="G220" s="273"/>
      <c r="H220" s="273"/>
      <c r="I220" s="273"/>
      <c r="J220" s="275"/>
      <c r="K220" s="275"/>
      <c r="L220" s="275"/>
      <c r="M220" s="273"/>
      <c r="N220" s="276"/>
      <c r="O220" s="277"/>
      <c r="P220" s="273"/>
      <c r="Q220" s="273"/>
      <c r="R220" s="273"/>
      <c r="S220" s="273"/>
      <c r="T220" s="273"/>
      <c r="U220" s="273"/>
      <c r="V220" s="278"/>
      <c r="W220" s="273"/>
      <c r="X220" s="273"/>
      <c r="Y220" s="273"/>
      <c r="Z220" s="273"/>
      <c r="AA220" s="273"/>
      <c r="AB220" s="278"/>
      <c r="AC220" s="27"/>
    </row>
    <row r="221" spans="1:29" s="178" customFormat="1" x14ac:dyDescent="0.2">
      <c r="A221" s="273"/>
      <c r="B221" s="274"/>
      <c r="C221" s="274"/>
      <c r="D221" s="273"/>
      <c r="E221" s="273"/>
      <c r="F221" s="273"/>
      <c r="G221" s="273"/>
      <c r="H221" s="273"/>
      <c r="I221" s="273"/>
      <c r="J221" s="275"/>
      <c r="K221" s="275"/>
      <c r="L221" s="275"/>
      <c r="M221" s="273"/>
      <c r="N221" s="276"/>
      <c r="O221" s="277"/>
      <c r="P221" s="273"/>
      <c r="Q221" s="273"/>
      <c r="R221" s="273"/>
      <c r="S221" s="273"/>
      <c r="T221" s="273"/>
      <c r="U221" s="273"/>
      <c r="V221" s="278"/>
      <c r="W221" s="273"/>
      <c r="X221" s="273"/>
      <c r="Y221" s="273"/>
      <c r="Z221" s="273"/>
      <c r="AA221" s="273"/>
      <c r="AB221" s="278"/>
      <c r="AC221" s="27"/>
    </row>
    <row r="222" spans="1:29" s="178" customFormat="1" x14ac:dyDescent="0.2">
      <c r="A222" s="273"/>
      <c r="B222" s="274"/>
      <c r="C222" s="274"/>
      <c r="D222" s="273"/>
      <c r="E222" s="273"/>
      <c r="F222" s="273"/>
      <c r="G222" s="273"/>
      <c r="H222" s="273"/>
      <c r="I222" s="273"/>
      <c r="J222" s="275"/>
      <c r="K222" s="275"/>
      <c r="L222" s="275"/>
      <c r="M222" s="273"/>
      <c r="N222" s="276"/>
      <c r="O222" s="277"/>
      <c r="P222" s="273"/>
      <c r="Q222" s="273"/>
      <c r="R222" s="273"/>
      <c r="S222" s="273"/>
      <c r="T222" s="273"/>
      <c r="U222" s="273"/>
      <c r="V222" s="278"/>
      <c r="W222" s="273"/>
      <c r="X222" s="273"/>
      <c r="Y222" s="273"/>
      <c r="Z222" s="273"/>
      <c r="AA222" s="273"/>
      <c r="AB222" s="278"/>
      <c r="AC222" s="27"/>
    </row>
    <row r="223" spans="1:29" s="178" customFormat="1" x14ac:dyDescent="0.2">
      <c r="A223" s="273"/>
      <c r="B223" s="274"/>
      <c r="C223" s="274"/>
      <c r="D223" s="273"/>
      <c r="E223" s="273"/>
      <c r="F223" s="273"/>
      <c r="G223" s="273"/>
      <c r="H223" s="273"/>
      <c r="I223" s="273"/>
      <c r="J223" s="275"/>
      <c r="K223" s="275"/>
      <c r="L223" s="275"/>
      <c r="M223" s="273"/>
      <c r="N223" s="276"/>
      <c r="O223" s="277"/>
      <c r="P223" s="273"/>
      <c r="Q223" s="273"/>
      <c r="R223" s="273"/>
      <c r="S223" s="273"/>
      <c r="T223" s="273"/>
      <c r="U223" s="273"/>
      <c r="V223" s="278"/>
      <c r="W223" s="273"/>
      <c r="X223" s="273"/>
      <c r="Y223" s="273"/>
      <c r="Z223" s="273"/>
      <c r="AA223" s="273"/>
      <c r="AB223" s="278"/>
      <c r="AC223" s="27"/>
    </row>
    <row r="224" spans="1:29" s="178" customFormat="1" x14ac:dyDescent="0.2">
      <c r="A224" s="273"/>
      <c r="B224" s="274"/>
      <c r="C224" s="274"/>
      <c r="D224" s="273"/>
      <c r="E224" s="273"/>
      <c r="F224" s="273"/>
      <c r="G224" s="273"/>
      <c r="H224" s="273"/>
      <c r="I224" s="273"/>
      <c r="J224" s="275"/>
      <c r="K224" s="275"/>
      <c r="L224" s="275"/>
      <c r="M224" s="273"/>
      <c r="N224" s="276"/>
      <c r="O224" s="277"/>
      <c r="P224" s="273"/>
      <c r="Q224" s="273"/>
      <c r="R224" s="273"/>
      <c r="S224" s="273"/>
      <c r="T224" s="273"/>
      <c r="U224" s="273"/>
      <c r="V224" s="278"/>
      <c r="W224" s="273"/>
      <c r="X224" s="273"/>
      <c r="Y224" s="273"/>
      <c r="Z224" s="273"/>
      <c r="AA224" s="273"/>
      <c r="AB224" s="278"/>
      <c r="AC224" s="27"/>
    </row>
    <row r="225" spans="1:29" s="178" customFormat="1" x14ac:dyDescent="0.2">
      <c r="A225" s="273"/>
      <c r="B225" s="274"/>
      <c r="C225" s="274"/>
      <c r="D225" s="273"/>
      <c r="E225" s="273"/>
      <c r="F225" s="273"/>
      <c r="G225" s="273"/>
      <c r="H225" s="273"/>
      <c r="I225" s="273"/>
      <c r="J225" s="275"/>
      <c r="K225" s="275"/>
      <c r="L225" s="275"/>
      <c r="M225" s="273"/>
      <c r="N225" s="276"/>
      <c r="O225" s="277"/>
      <c r="P225" s="273"/>
      <c r="Q225" s="273"/>
      <c r="R225" s="273"/>
      <c r="S225" s="273"/>
      <c r="T225" s="273"/>
      <c r="U225" s="273"/>
      <c r="V225" s="278"/>
      <c r="W225" s="273"/>
      <c r="X225" s="273"/>
      <c r="Y225" s="273"/>
      <c r="Z225" s="273"/>
      <c r="AA225" s="273"/>
      <c r="AB225" s="278"/>
      <c r="AC225" s="27"/>
    </row>
    <row r="226" spans="1:29" s="178" customFormat="1" x14ac:dyDescent="0.2">
      <c r="A226" s="273"/>
      <c r="B226" s="274"/>
      <c r="C226" s="274"/>
      <c r="D226" s="273"/>
      <c r="E226" s="273"/>
      <c r="F226" s="273"/>
      <c r="G226" s="273"/>
      <c r="H226" s="273"/>
      <c r="I226" s="273"/>
      <c r="J226" s="275"/>
      <c r="K226" s="275"/>
      <c r="L226" s="275"/>
      <c r="M226" s="273"/>
      <c r="N226" s="276"/>
      <c r="O226" s="277"/>
      <c r="P226" s="273"/>
      <c r="Q226" s="273"/>
      <c r="R226" s="273"/>
      <c r="S226" s="273"/>
      <c r="T226" s="273"/>
      <c r="U226" s="273"/>
      <c r="V226" s="278"/>
      <c r="W226" s="273"/>
      <c r="X226" s="273"/>
      <c r="Y226" s="273"/>
      <c r="Z226" s="273"/>
      <c r="AA226" s="273"/>
      <c r="AB226" s="278"/>
      <c r="AC226" s="27"/>
    </row>
    <row r="227" spans="1:29" s="178" customFormat="1" x14ac:dyDescent="0.2">
      <c r="A227" s="273"/>
      <c r="B227" s="274"/>
      <c r="C227" s="274"/>
      <c r="D227" s="273"/>
      <c r="E227" s="273"/>
      <c r="F227" s="273"/>
      <c r="G227" s="273"/>
      <c r="H227" s="273"/>
      <c r="I227" s="273"/>
      <c r="J227" s="275"/>
      <c r="K227" s="275"/>
      <c r="L227" s="275"/>
      <c r="M227" s="273"/>
      <c r="N227" s="276"/>
      <c r="O227" s="277"/>
      <c r="P227" s="273"/>
      <c r="Q227" s="273"/>
      <c r="R227" s="273"/>
      <c r="S227" s="273"/>
      <c r="T227" s="273"/>
      <c r="U227" s="273"/>
      <c r="V227" s="278"/>
      <c r="W227" s="273"/>
      <c r="X227" s="273"/>
      <c r="Y227" s="273"/>
      <c r="Z227" s="273"/>
      <c r="AA227" s="273"/>
      <c r="AB227" s="278"/>
      <c r="AC227" s="27"/>
    </row>
    <row r="228" spans="1:29" s="178" customFormat="1" x14ac:dyDescent="0.2">
      <c r="A228" s="273"/>
      <c r="B228" s="274"/>
      <c r="C228" s="274"/>
      <c r="D228" s="273"/>
      <c r="E228" s="273"/>
      <c r="F228" s="273"/>
      <c r="G228" s="273"/>
      <c r="H228" s="273"/>
      <c r="I228" s="273"/>
      <c r="J228" s="275"/>
      <c r="K228" s="275"/>
      <c r="L228" s="275"/>
      <c r="M228" s="273"/>
      <c r="N228" s="276"/>
      <c r="O228" s="277"/>
      <c r="P228" s="273"/>
      <c r="Q228" s="273"/>
      <c r="R228" s="273"/>
      <c r="S228" s="273"/>
      <c r="T228" s="273"/>
      <c r="U228" s="273"/>
      <c r="V228" s="278"/>
      <c r="W228" s="273"/>
      <c r="X228" s="273"/>
      <c r="Y228" s="273"/>
      <c r="Z228" s="273"/>
      <c r="AA228" s="273"/>
      <c r="AB228" s="278"/>
      <c r="AC228" s="27"/>
    </row>
    <row r="229" spans="1:29" s="178" customFormat="1" x14ac:dyDescent="0.2">
      <c r="A229" s="273"/>
      <c r="B229" s="274"/>
      <c r="C229" s="274"/>
      <c r="D229" s="273"/>
      <c r="E229" s="273"/>
      <c r="F229" s="273"/>
      <c r="G229" s="273"/>
      <c r="H229" s="273"/>
      <c r="I229" s="273"/>
      <c r="J229" s="275"/>
      <c r="K229" s="275"/>
      <c r="L229" s="275"/>
      <c r="M229" s="273"/>
      <c r="N229" s="276"/>
      <c r="O229" s="277"/>
      <c r="P229" s="273"/>
      <c r="Q229" s="273"/>
      <c r="R229" s="273"/>
      <c r="S229" s="273"/>
      <c r="T229" s="273"/>
      <c r="U229" s="273"/>
      <c r="V229" s="278"/>
      <c r="W229" s="273"/>
      <c r="X229" s="273"/>
      <c r="Y229" s="273"/>
      <c r="Z229" s="273"/>
      <c r="AA229" s="273"/>
      <c r="AB229" s="278"/>
      <c r="AC229" s="27"/>
    </row>
    <row r="230" spans="1:29" s="178" customFormat="1" x14ac:dyDescent="0.2">
      <c r="A230" s="273"/>
      <c r="B230" s="274"/>
      <c r="C230" s="274"/>
      <c r="D230" s="273"/>
      <c r="E230" s="273"/>
      <c r="F230" s="273"/>
      <c r="G230" s="273"/>
      <c r="H230" s="273"/>
      <c r="I230" s="273"/>
      <c r="J230" s="275"/>
      <c r="K230" s="275"/>
      <c r="L230" s="275"/>
      <c r="M230" s="273"/>
      <c r="N230" s="276"/>
      <c r="O230" s="277"/>
      <c r="P230" s="273"/>
      <c r="Q230" s="273"/>
      <c r="R230" s="273"/>
      <c r="S230" s="273"/>
      <c r="T230" s="273"/>
      <c r="U230" s="273"/>
      <c r="V230" s="278"/>
      <c r="W230" s="273"/>
      <c r="X230" s="273"/>
      <c r="Y230" s="273"/>
      <c r="Z230" s="273"/>
      <c r="AA230" s="273"/>
      <c r="AB230" s="278"/>
      <c r="AC230" s="27"/>
    </row>
    <row r="231" spans="1:29" s="178" customFormat="1" x14ac:dyDescent="0.2">
      <c r="A231" s="273"/>
      <c r="B231" s="274"/>
      <c r="C231" s="274"/>
      <c r="D231" s="273"/>
      <c r="E231" s="273"/>
      <c r="F231" s="273"/>
      <c r="G231" s="273"/>
      <c r="H231" s="273"/>
      <c r="I231" s="273"/>
      <c r="J231" s="275"/>
      <c r="K231" s="275"/>
      <c r="L231" s="275"/>
      <c r="M231" s="273"/>
      <c r="N231" s="276"/>
      <c r="O231" s="277"/>
      <c r="P231" s="273"/>
      <c r="Q231" s="273"/>
      <c r="R231" s="273"/>
      <c r="S231" s="273"/>
      <c r="T231" s="273"/>
      <c r="U231" s="273"/>
      <c r="V231" s="278"/>
      <c r="W231" s="273"/>
      <c r="X231" s="273"/>
      <c r="Y231" s="273"/>
      <c r="Z231" s="273"/>
      <c r="AA231" s="273"/>
      <c r="AB231" s="278"/>
      <c r="AC231" s="27"/>
    </row>
    <row r="232" spans="1:29" s="178" customFormat="1" x14ac:dyDescent="0.2">
      <c r="A232" s="273"/>
      <c r="B232" s="274"/>
      <c r="C232" s="274"/>
      <c r="D232" s="273"/>
      <c r="E232" s="273"/>
      <c r="F232" s="273"/>
      <c r="G232" s="273"/>
      <c r="H232" s="273"/>
      <c r="I232" s="273"/>
      <c r="J232" s="275"/>
      <c r="K232" s="275"/>
      <c r="L232" s="275"/>
      <c r="M232" s="273"/>
      <c r="N232" s="276"/>
      <c r="O232" s="277"/>
      <c r="P232" s="273"/>
      <c r="Q232" s="273"/>
      <c r="R232" s="273"/>
      <c r="S232" s="273"/>
      <c r="T232" s="273"/>
      <c r="U232" s="273"/>
      <c r="V232" s="278"/>
      <c r="W232" s="273"/>
      <c r="X232" s="273"/>
      <c r="Y232" s="273"/>
      <c r="Z232" s="273"/>
      <c r="AA232" s="273"/>
      <c r="AB232" s="278"/>
      <c r="AC232" s="27"/>
    </row>
    <row r="233" spans="1:29" s="178" customFormat="1" x14ac:dyDescent="0.2">
      <c r="A233" s="273"/>
      <c r="B233" s="274"/>
      <c r="C233" s="274"/>
      <c r="D233" s="273"/>
      <c r="E233" s="273"/>
      <c r="F233" s="273"/>
      <c r="G233" s="273"/>
      <c r="H233" s="273"/>
      <c r="I233" s="273"/>
      <c r="J233" s="275"/>
      <c r="K233" s="275"/>
      <c r="L233" s="275"/>
      <c r="M233" s="273"/>
      <c r="N233" s="276"/>
      <c r="O233" s="277"/>
      <c r="P233" s="273"/>
      <c r="Q233" s="273"/>
      <c r="R233" s="273"/>
      <c r="S233" s="273"/>
      <c r="T233" s="273"/>
      <c r="U233" s="273"/>
      <c r="V233" s="278"/>
      <c r="W233" s="273"/>
      <c r="X233" s="273"/>
      <c r="Y233" s="273"/>
      <c r="Z233" s="273"/>
      <c r="AA233" s="273"/>
      <c r="AB233" s="278"/>
      <c r="AC233" s="27"/>
    </row>
    <row r="234" spans="1:29" s="178" customFormat="1" x14ac:dyDescent="0.2">
      <c r="A234" s="273"/>
      <c r="B234" s="274"/>
      <c r="C234" s="274"/>
      <c r="D234" s="273"/>
      <c r="E234" s="273"/>
      <c r="F234" s="273"/>
      <c r="G234" s="273"/>
      <c r="H234" s="273"/>
      <c r="I234" s="273"/>
      <c r="J234" s="275"/>
      <c r="K234" s="275"/>
      <c r="L234" s="275"/>
      <c r="M234" s="273"/>
      <c r="N234" s="276"/>
      <c r="O234" s="277"/>
      <c r="P234" s="273"/>
      <c r="Q234" s="273"/>
      <c r="R234" s="273"/>
      <c r="S234" s="273"/>
      <c r="T234" s="273"/>
      <c r="U234" s="273"/>
      <c r="V234" s="278"/>
      <c r="W234" s="273"/>
      <c r="X234" s="273"/>
      <c r="Y234" s="273"/>
      <c r="Z234" s="273"/>
      <c r="AA234" s="273"/>
      <c r="AB234" s="278"/>
      <c r="AC234" s="27"/>
    </row>
    <row r="235" spans="1:29" s="178" customFormat="1" x14ac:dyDescent="0.2">
      <c r="A235" s="273"/>
      <c r="B235" s="274"/>
      <c r="C235" s="274"/>
      <c r="D235" s="273"/>
      <c r="E235" s="273"/>
      <c r="F235" s="273"/>
      <c r="G235" s="273"/>
      <c r="H235" s="273"/>
      <c r="I235" s="273"/>
      <c r="J235" s="275"/>
      <c r="K235" s="275"/>
      <c r="L235" s="275"/>
      <c r="M235" s="273"/>
      <c r="N235" s="276"/>
      <c r="O235" s="277"/>
      <c r="P235" s="273"/>
      <c r="Q235" s="273"/>
      <c r="R235" s="273"/>
      <c r="S235" s="273"/>
      <c r="T235" s="273"/>
      <c r="U235" s="273"/>
      <c r="V235" s="278"/>
      <c r="W235" s="273"/>
      <c r="X235" s="273"/>
      <c r="Y235" s="273"/>
      <c r="Z235" s="273"/>
      <c r="AA235" s="273"/>
      <c r="AB235" s="278"/>
      <c r="AC235" s="27"/>
    </row>
    <row r="236" spans="1:29" s="178" customFormat="1" x14ac:dyDescent="0.2">
      <c r="A236" s="273"/>
      <c r="B236" s="274"/>
      <c r="C236" s="274"/>
      <c r="D236" s="273"/>
      <c r="E236" s="273"/>
      <c r="F236" s="273"/>
      <c r="G236" s="273"/>
      <c r="H236" s="273"/>
      <c r="I236" s="273"/>
      <c r="J236" s="275"/>
      <c r="K236" s="275"/>
      <c r="L236" s="275"/>
      <c r="M236" s="273"/>
      <c r="N236" s="276"/>
      <c r="O236" s="277"/>
      <c r="P236" s="273"/>
      <c r="Q236" s="273"/>
      <c r="R236" s="273"/>
      <c r="S236" s="273"/>
      <c r="T236" s="273"/>
      <c r="U236" s="273"/>
      <c r="V236" s="278"/>
      <c r="W236" s="273"/>
      <c r="X236" s="273"/>
      <c r="Y236" s="273"/>
      <c r="Z236" s="273"/>
      <c r="AA236" s="273"/>
      <c r="AB236" s="278"/>
      <c r="AC236" s="27"/>
    </row>
    <row r="237" spans="1:29" s="178" customFormat="1" x14ac:dyDescent="0.2">
      <c r="A237" s="273"/>
      <c r="B237" s="274"/>
      <c r="C237" s="274"/>
      <c r="D237" s="273"/>
      <c r="E237" s="273"/>
      <c r="F237" s="273"/>
      <c r="G237" s="273"/>
      <c r="H237" s="273"/>
      <c r="I237" s="273"/>
      <c r="J237" s="275"/>
      <c r="K237" s="275"/>
      <c r="L237" s="275"/>
      <c r="M237" s="273"/>
      <c r="N237" s="276"/>
      <c r="O237" s="277"/>
      <c r="P237" s="273"/>
      <c r="Q237" s="273"/>
      <c r="R237" s="273"/>
      <c r="S237" s="273"/>
      <c r="T237" s="273"/>
      <c r="U237" s="273"/>
      <c r="V237" s="278"/>
      <c r="W237" s="273"/>
      <c r="X237" s="273"/>
      <c r="Y237" s="273"/>
      <c r="Z237" s="273"/>
      <c r="AA237" s="273"/>
      <c r="AB237" s="278"/>
      <c r="AC237" s="27"/>
    </row>
    <row r="238" spans="1:29" s="178" customFormat="1" x14ac:dyDescent="0.2">
      <c r="A238" s="273"/>
      <c r="B238" s="274"/>
      <c r="C238" s="274"/>
      <c r="D238" s="273"/>
      <c r="E238" s="273"/>
      <c r="F238" s="273"/>
      <c r="G238" s="273"/>
      <c r="H238" s="273"/>
      <c r="I238" s="273"/>
      <c r="J238" s="275"/>
      <c r="K238" s="275"/>
      <c r="L238" s="275"/>
      <c r="M238" s="273"/>
      <c r="N238" s="276"/>
      <c r="O238" s="277"/>
      <c r="P238" s="273"/>
      <c r="Q238" s="273"/>
      <c r="R238" s="273"/>
      <c r="S238" s="273"/>
      <c r="T238" s="273"/>
      <c r="U238" s="273"/>
      <c r="V238" s="278"/>
      <c r="W238" s="273"/>
      <c r="X238" s="273"/>
      <c r="Y238" s="273"/>
      <c r="Z238" s="273"/>
      <c r="AA238" s="273"/>
      <c r="AB238" s="278"/>
      <c r="AC238" s="27"/>
    </row>
    <row r="239" spans="1:29" s="178" customFormat="1" x14ac:dyDescent="0.2">
      <c r="A239" s="273"/>
      <c r="B239" s="274"/>
      <c r="C239" s="274"/>
      <c r="D239" s="273"/>
      <c r="E239" s="273"/>
      <c r="F239" s="273"/>
      <c r="G239" s="273"/>
      <c r="H239" s="273"/>
      <c r="I239" s="273"/>
      <c r="J239" s="275"/>
      <c r="K239" s="275"/>
      <c r="L239" s="275"/>
      <c r="M239" s="273"/>
      <c r="N239" s="276"/>
      <c r="O239" s="277"/>
      <c r="P239" s="273"/>
      <c r="Q239" s="273"/>
      <c r="R239" s="273"/>
      <c r="S239" s="273"/>
      <c r="T239" s="273"/>
      <c r="U239" s="273"/>
      <c r="V239" s="278"/>
      <c r="W239" s="273"/>
      <c r="X239" s="273"/>
      <c r="Y239" s="273"/>
      <c r="Z239" s="273"/>
      <c r="AA239" s="273"/>
      <c r="AB239" s="278"/>
      <c r="AC239" s="27"/>
    </row>
    <row r="240" spans="1:29" s="178" customFormat="1" x14ac:dyDescent="0.2">
      <c r="A240" s="273"/>
      <c r="B240" s="274"/>
      <c r="C240" s="274"/>
      <c r="D240" s="273"/>
      <c r="E240" s="273"/>
      <c r="F240" s="273"/>
      <c r="G240" s="273"/>
      <c r="H240" s="273"/>
      <c r="I240" s="273"/>
      <c r="J240" s="275"/>
      <c r="K240" s="275"/>
      <c r="L240" s="275"/>
      <c r="M240" s="273"/>
      <c r="N240" s="276"/>
      <c r="O240" s="277"/>
      <c r="P240" s="273"/>
      <c r="Q240" s="273"/>
      <c r="R240" s="273"/>
      <c r="S240" s="273"/>
      <c r="T240" s="273"/>
      <c r="U240" s="273"/>
      <c r="V240" s="278"/>
      <c r="W240" s="273"/>
      <c r="X240" s="273"/>
      <c r="Y240" s="273"/>
      <c r="Z240" s="273"/>
      <c r="AA240" s="273"/>
      <c r="AB240" s="278"/>
      <c r="AC240" s="27"/>
    </row>
    <row r="241" spans="1:29" s="178" customFormat="1" x14ac:dyDescent="0.2">
      <c r="A241" s="273"/>
      <c r="B241" s="274"/>
      <c r="C241" s="274"/>
      <c r="D241" s="273"/>
      <c r="E241" s="273"/>
      <c r="F241" s="273"/>
      <c r="G241" s="273"/>
      <c r="H241" s="273"/>
      <c r="I241" s="273"/>
      <c r="J241" s="275"/>
      <c r="K241" s="275"/>
      <c r="L241" s="275"/>
      <c r="M241" s="273"/>
      <c r="N241" s="276"/>
      <c r="O241" s="277"/>
      <c r="P241" s="273"/>
      <c r="Q241" s="273"/>
      <c r="R241" s="273"/>
      <c r="S241" s="273"/>
      <c r="T241" s="273"/>
      <c r="U241" s="273"/>
      <c r="V241" s="278"/>
      <c r="W241" s="273"/>
      <c r="X241" s="273"/>
      <c r="Y241" s="273"/>
      <c r="Z241" s="273"/>
      <c r="AA241" s="273"/>
      <c r="AB241" s="278"/>
      <c r="AC241" s="27"/>
    </row>
    <row r="242" spans="1:29" s="178" customFormat="1" x14ac:dyDescent="0.2">
      <c r="A242" s="273"/>
      <c r="B242" s="274"/>
      <c r="C242" s="274"/>
      <c r="D242" s="273"/>
      <c r="E242" s="273"/>
      <c r="F242" s="273"/>
      <c r="G242" s="273"/>
      <c r="H242" s="273"/>
      <c r="I242" s="273"/>
      <c r="J242" s="275"/>
      <c r="K242" s="275"/>
      <c r="L242" s="275"/>
      <c r="M242" s="273"/>
      <c r="N242" s="276"/>
      <c r="O242" s="277"/>
      <c r="P242" s="273"/>
      <c r="Q242" s="273"/>
      <c r="R242" s="273"/>
      <c r="S242" s="273"/>
      <c r="T242" s="273"/>
      <c r="U242" s="273"/>
      <c r="V242" s="278"/>
      <c r="W242" s="273"/>
      <c r="X242" s="273"/>
      <c r="Y242" s="273"/>
      <c r="Z242" s="273"/>
      <c r="AA242" s="273"/>
      <c r="AB242" s="278"/>
      <c r="AC242" s="27"/>
    </row>
    <row r="243" spans="1:29" s="178" customFormat="1" x14ac:dyDescent="0.2">
      <c r="A243" s="273"/>
      <c r="B243" s="274"/>
      <c r="C243" s="274"/>
      <c r="D243" s="273"/>
      <c r="E243" s="273"/>
      <c r="F243" s="273"/>
      <c r="G243" s="273"/>
      <c r="H243" s="273"/>
      <c r="I243" s="273"/>
      <c r="J243" s="275"/>
      <c r="K243" s="275"/>
      <c r="L243" s="275"/>
      <c r="M243" s="273"/>
      <c r="N243" s="276"/>
      <c r="O243" s="277"/>
      <c r="P243" s="273"/>
      <c r="Q243" s="273"/>
      <c r="R243" s="273"/>
      <c r="S243" s="273"/>
      <c r="T243" s="273"/>
      <c r="U243" s="273"/>
      <c r="V243" s="278"/>
      <c r="W243" s="273"/>
      <c r="X243" s="273"/>
      <c r="Y243" s="273"/>
      <c r="Z243" s="273"/>
      <c r="AA243" s="273"/>
      <c r="AB243" s="278"/>
      <c r="AC243" s="27"/>
    </row>
    <row r="244" spans="1:29" s="178" customFormat="1" x14ac:dyDescent="0.2">
      <c r="A244" s="273"/>
      <c r="B244" s="274"/>
      <c r="C244" s="274"/>
      <c r="D244" s="273"/>
      <c r="E244" s="273"/>
      <c r="F244" s="273"/>
      <c r="G244" s="273"/>
      <c r="H244" s="273"/>
      <c r="I244" s="273"/>
      <c r="J244" s="275"/>
      <c r="K244" s="275"/>
      <c r="L244" s="275"/>
      <c r="M244" s="273"/>
      <c r="N244" s="276"/>
      <c r="O244" s="277"/>
      <c r="P244" s="273"/>
      <c r="Q244" s="273"/>
      <c r="R244" s="273"/>
      <c r="S244" s="273"/>
      <c r="T244" s="273"/>
      <c r="U244" s="273"/>
      <c r="V244" s="278"/>
      <c r="W244" s="273"/>
      <c r="X244" s="273"/>
      <c r="Y244" s="273"/>
      <c r="Z244" s="273"/>
      <c r="AA244" s="273"/>
      <c r="AB244" s="278"/>
      <c r="AC244" s="27"/>
    </row>
    <row r="245" spans="1:29" s="178" customFormat="1" x14ac:dyDescent="0.2">
      <c r="A245" s="273"/>
      <c r="B245" s="274"/>
      <c r="C245" s="274"/>
      <c r="D245" s="273"/>
      <c r="E245" s="273"/>
      <c r="F245" s="273"/>
      <c r="G245" s="273"/>
      <c r="H245" s="273"/>
      <c r="I245" s="273"/>
      <c r="J245" s="275"/>
      <c r="K245" s="275"/>
      <c r="L245" s="275"/>
      <c r="M245" s="273"/>
      <c r="N245" s="276"/>
      <c r="O245" s="277"/>
      <c r="P245" s="273"/>
      <c r="Q245" s="273"/>
      <c r="R245" s="273"/>
      <c r="S245" s="273"/>
      <c r="T245" s="273"/>
      <c r="U245" s="273"/>
      <c r="V245" s="278"/>
      <c r="W245" s="273"/>
      <c r="X245" s="273"/>
      <c r="Y245" s="273"/>
      <c r="Z245" s="273"/>
      <c r="AA245" s="273"/>
      <c r="AB245" s="278"/>
      <c r="AC245" s="27"/>
    </row>
    <row r="246" spans="1:29" x14ac:dyDescent="0.2">
      <c r="A246" s="26"/>
      <c r="B246" s="82"/>
      <c r="C246" s="82"/>
      <c r="D246" s="26"/>
      <c r="E246" s="26"/>
      <c r="F246" s="26"/>
      <c r="G246" s="26"/>
      <c r="H246" s="26"/>
      <c r="I246" s="26"/>
      <c r="J246" s="83"/>
      <c r="K246" s="83"/>
      <c r="L246" s="83"/>
      <c r="M246" s="26"/>
      <c r="N246" s="84"/>
      <c r="O246" s="85"/>
      <c r="P246" s="26"/>
      <c r="Q246" s="26"/>
      <c r="R246" s="26"/>
      <c r="S246" s="26"/>
      <c r="T246" s="26"/>
      <c r="U246" s="26"/>
      <c r="V246" s="237"/>
      <c r="W246" s="26"/>
      <c r="X246" s="26"/>
      <c r="Y246" s="26"/>
      <c r="Z246" s="26"/>
      <c r="AA246" s="26"/>
      <c r="AB246" s="237"/>
    </row>
    <row r="247" spans="1:29" x14ac:dyDescent="0.2">
      <c r="A247" s="26"/>
      <c r="B247" s="82"/>
      <c r="C247" s="82"/>
      <c r="D247" s="26"/>
      <c r="E247" s="26"/>
      <c r="F247" s="26"/>
      <c r="G247" s="26"/>
      <c r="H247" s="26"/>
      <c r="I247" s="26"/>
      <c r="J247" s="83"/>
      <c r="K247" s="83"/>
      <c r="L247" s="83"/>
      <c r="M247" s="26"/>
      <c r="N247" s="84"/>
      <c r="O247" s="85"/>
      <c r="P247" s="26"/>
      <c r="Q247" s="26"/>
      <c r="R247" s="26"/>
      <c r="S247" s="26"/>
      <c r="T247" s="26"/>
      <c r="U247" s="26"/>
      <c r="V247" s="237"/>
      <c r="W247" s="26"/>
      <c r="X247" s="26"/>
      <c r="Y247" s="26"/>
      <c r="Z247" s="26"/>
      <c r="AA247" s="26"/>
      <c r="AB247" s="237"/>
    </row>
    <row r="248" spans="1:29" x14ac:dyDescent="0.2">
      <c r="A248" s="26"/>
      <c r="B248" s="82"/>
      <c r="C248" s="82"/>
      <c r="D248" s="26"/>
      <c r="E248" s="26"/>
      <c r="F248" s="26"/>
      <c r="G248" s="26"/>
      <c r="H248" s="26"/>
      <c r="I248" s="26"/>
      <c r="J248" s="83"/>
      <c r="K248" s="83"/>
      <c r="L248" s="83"/>
      <c r="M248" s="26"/>
      <c r="N248" s="84"/>
      <c r="O248" s="85"/>
      <c r="P248" s="26"/>
      <c r="Q248" s="26"/>
      <c r="R248" s="26"/>
      <c r="S248" s="26"/>
      <c r="T248" s="26"/>
      <c r="U248" s="26"/>
      <c r="V248" s="237"/>
      <c r="W248" s="26"/>
      <c r="X248" s="26"/>
      <c r="Y248" s="26"/>
      <c r="Z248" s="26"/>
      <c r="AA248" s="26"/>
      <c r="AB248" s="237"/>
    </row>
    <row r="249" spans="1:29" x14ac:dyDescent="0.2">
      <c r="A249" s="26"/>
      <c r="B249" s="82"/>
      <c r="C249" s="82"/>
      <c r="D249" s="26"/>
      <c r="E249" s="26"/>
      <c r="F249" s="26"/>
      <c r="G249" s="26"/>
      <c r="H249" s="26"/>
      <c r="I249" s="26"/>
      <c r="J249" s="83"/>
      <c r="K249" s="83"/>
      <c r="L249" s="83"/>
      <c r="M249" s="26"/>
      <c r="N249" s="84"/>
      <c r="O249" s="85"/>
      <c r="P249" s="26"/>
      <c r="Q249" s="26"/>
      <c r="R249" s="26"/>
      <c r="S249" s="26"/>
      <c r="T249" s="26"/>
      <c r="U249" s="26"/>
      <c r="V249" s="237"/>
      <c r="W249" s="26"/>
      <c r="X249" s="26"/>
      <c r="Y249" s="26"/>
      <c r="Z249" s="26"/>
      <c r="AA249" s="26"/>
      <c r="AB249" s="237"/>
    </row>
    <row r="250" spans="1:29" x14ac:dyDescent="0.2">
      <c r="A250" s="26"/>
      <c r="B250" s="82"/>
      <c r="C250" s="82"/>
      <c r="D250" s="26"/>
      <c r="E250" s="26"/>
      <c r="F250" s="26"/>
      <c r="G250" s="26"/>
      <c r="H250" s="26"/>
      <c r="I250" s="26"/>
      <c r="J250" s="83"/>
      <c r="K250" s="83"/>
      <c r="L250" s="83"/>
      <c r="M250" s="26"/>
      <c r="N250" s="84"/>
      <c r="O250" s="85"/>
      <c r="P250" s="26"/>
      <c r="Q250" s="26"/>
      <c r="R250" s="26"/>
      <c r="S250" s="26"/>
      <c r="T250" s="26"/>
      <c r="U250" s="26"/>
      <c r="V250" s="237"/>
      <c r="W250" s="26"/>
      <c r="X250" s="26"/>
      <c r="Y250" s="26"/>
      <c r="Z250" s="26"/>
      <c r="AA250" s="26"/>
      <c r="AB250" s="237"/>
    </row>
    <row r="251" spans="1:29" x14ac:dyDescent="0.2">
      <c r="A251" s="26"/>
      <c r="B251" s="82"/>
      <c r="C251" s="82"/>
      <c r="D251" s="26"/>
      <c r="E251" s="26"/>
      <c r="F251" s="26"/>
      <c r="G251" s="26"/>
      <c r="H251" s="26"/>
      <c r="I251" s="26"/>
      <c r="J251" s="83"/>
      <c r="K251" s="83"/>
      <c r="L251" s="83"/>
      <c r="M251" s="26"/>
      <c r="N251" s="84"/>
      <c r="O251" s="85"/>
      <c r="P251" s="26"/>
      <c r="Q251" s="26"/>
      <c r="R251" s="26"/>
      <c r="S251" s="26"/>
      <c r="T251" s="26"/>
      <c r="U251" s="26"/>
      <c r="V251" s="237"/>
      <c r="W251" s="26"/>
      <c r="X251" s="26"/>
      <c r="Y251" s="26"/>
      <c r="Z251" s="26"/>
      <c r="AA251" s="26"/>
      <c r="AB251" s="237"/>
    </row>
    <row r="252" spans="1:29" x14ac:dyDescent="0.2">
      <c r="A252" s="26"/>
      <c r="B252" s="82"/>
      <c r="C252" s="82"/>
      <c r="D252" s="26"/>
      <c r="E252" s="26"/>
      <c r="F252" s="26"/>
      <c r="G252" s="26"/>
      <c r="H252" s="26"/>
      <c r="I252" s="26"/>
      <c r="J252" s="83"/>
      <c r="K252" s="83"/>
      <c r="L252" s="83"/>
      <c r="M252" s="26"/>
      <c r="N252" s="84"/>
      <c r="O252" s="85"/>
      <c r="P252" s="26"/>
      <c r="Q252" s="26"/>
      <c r="R252" s="26"/>
      <c r="S252" s="26"/>
      <c r="T252" s="26"/>
      <c r="U252" s="26"/>
      <c r="V252" s="237"/>
      <c r="W252" s="26"/>
      <c r="X252" s="26"/>
      <c r="Y252" s="26"/>
      <c r="Z252" s="26"/>
      <c r="AA252" s="26"/>
      <c r="AB252" s="237"/>
    </row>
    <row r="253" spans="1:29" x14ac:dyDescent="0.2">
      <c r="A253" s="26"/>
      <c r="B253" s="82"/>
      <c r="C253" s="82"/>
      <c r="D253" s="26"/>
      <c r="E253" s="26"/>
      <c r="F253" s="26"/>
      <c r="G253" s="26"/>
      <c r="H253" s="26"/>
      <c r="I253" s="26"/>
      <c r="J253" s="83"/>
      <c r="K253" s="83"/>
      <c r="L253" s="83"/>
      <c r="M253" s="26"/>
      <c r="N253" s="84"/>
      <c r="O253" s="85"/>
      <c r="P253" s="26"/>
      <c r="Q253" s="26"/>
      <c r="R253" s="26"/>
      <c r="S253" s="26"/>
      <c r="T253" s="26"/>
      <c r="U253" s="26"/>
      <c r="V253" s="237"/>
      <c r="W253" s="26"/>
      <c r="X253" s="26"/>
      <c r="Y253" s="26"/>
      <c r="Z253" s="26"/>
      <c r="AA253" s="26"/>
      <c r="AB253" s="237"/>
    </row>
    <row r="254" spans="1:29" x14ac:dyDescent="0.2">
      <c r="A254" s="26"/>
      <c r="B254" s="82"/>
      <c r="C254" s="82"/>
      <c r="D254" s="26"/>
      <c r="E254" s="26"/>
      <c r="F254" s="26"/>
      <c r="G254" s="26"/>
      <c r="H254" s="26"/>
      <c r="I254" s="26"/>
      <c r="J254" s="83"/>
      <c r="K254" s="83"/>
      <c r="L254" s="83"/>
      <c r="M254" s="26"/>
      <c r="N254" s="84"/>
      <c r="O254" s="85"/>
      <c r="P254" s="26"/>
      <c r="Q254" s="26"/>
      <c r="R254" s="26"/>
      <c r="S254" s="26"/>
      <c r="T254" s="26"/>
      <c r="U254" s="26"/>
      <c r="V254" s="237"/>
      <c r="W254" s="26"/>
      <c r="X254" s="26"/>
      <c r="Y254" s="26"/>
      <c r="Z254" s="26"/>
      <c r="AA254" s="26"/>
      <c r="AB254" s="237"/>
    </row>
    <row r="255" spans="1:29" x14ac:dyDescent="0.2">
      <c r="A255" s="26"/>
      <c r="B255" s="82"/>
      <c r="C255" s="82"/>
      <c r="D255" s="26"/>
      <c r="E255" s="26"/>
      <c r="F255" s="26"/>
      <c r="G255" s="26"/>
      <c r="H255" s="26"/>
      <c r="I255" s="26"/>
      <c r="J255" s="83"/>
      <c r="K255" s="83"/>
      <c r="L255" s="83"/>
      <c r="M255" s="26"/>
      <c r="N255" s="84"/>
      <c r="O255" s="85"/>
      <c r="P255" s="26"/>
      <c r="Q255" s="26"/>
      <c r="R255" s="26"/>
      <c r="S255" s="26"/>
      <c r="T255" s="26"/>
      <c r="U255" s="26"/>
      <c r="V255" s="237"/>
      <c r="W255" s="26"/>
      <c r="X255" s="26"/>
      <c r="Y255" s="26"/>
      <c r="Z255" s="26"/>
      <c r="AA255" s="26"/>
      <c r="AB255" s="237"/>
    </row>
    <row r="256" spans="1:29" x14ac:dyDescent="0.2">
      <c r="A256" s="26"/>
      <c r="B256" s="82"/>
      <c r="C256" s="82"/>
      <c r="D256" s="26"/>
      <c r="E256" s="26"/>
      <c r="F256" s="26"/>
      <c r="G256" s="26"/>
      <c r="H256" s="26"/>
      <c r="I256" s="26"/>
      <c r="J256" s="83"/>
      <c r="K256" s="83"/>
      <c r="L256" s="83"/>
      <c r="M256" s="26"/>
      <c r="N256" s="84"/>
      <c r="O256" s="85"/>
      <c r="P256" s="26"/>
      <c r="Q256" s="26"/>
      <c r="R256" s="26"/>
      <c r="S256" s="26"/>
      <c r="T256" s="26"/>
      <c r="U256" s="26"/>
      <c r="V256" s="237"/>
      <c r="W256" s="26"/>
      <c r="X256" s="26"/>
      <c r="Y256" s="26"/>
      <c r="Z256" s="26"/>
      <c r="AA256" s="26"/>
      <c r="AB256" s="237"/>
    </row>
    <row r="257" spans="1:28" x14ac:dyDescent="0.2">
      <c r="A257" s="26"/>
      <c r="B257" s="82"/>
      <c r="C257" s="82"/>
      <c r="D257" s="26"/>
      <c r="E257" s="26"/>
      <c r="F257" s="26"/>
      <c r="G257" s="26"/>
      <c r="H257" s="26"/>
      <c r="I257" s="26"/>
      <c r="J257" s="83"/>
      <c r="K257" s="83"/>
      <c r="L257" s="83"/>
      <c r="M257" s="26"/>
      <c r="N257" s="84"/>
      <c r="O257" s="85"/>
      <c r="P257" s="26"/>
      <c r="Q257" s="26"/>
      <c r="R257" s="26"/>
      <c r="S257" s="26"/>
      <c r="T257" s="26"/>
      <c r="U257" s="26"/>
      <c r="V257" s="237"/>
      <c r="W257" s="26"/>
      <c r="X257" s="26"/>
      <c r="Y257" s="26"/>
      <c r="Z257" s="26"/>
      <c r="AA257" s="26"/>
      <c r="AB257" s="237"/>
    </row>
    <row r="258" spans="1:28" x14ac:dyDescent="0.2">
      <c r="A258" s="26"/>
      <c r="B258" s="82"/>
      <c r="C258" s="82"/>
      <c r="D258" s="26"/>
      <c r="E258" s="26"/>
      <c r="F258" s="26"/>
      <c r="G258" s="26"/>
      <c r="H258" s="26"/>
      <c r="I258" s="26"/>
      <c r="J258" s="83"/>
      <c r="K258" s="83"/>
      <c r="L258" s="83"/>
      <c r="M258" s="26"/>
      <c r="N258" s="84"/>
      <c r="O258" s="85"/>
      <c r="P258" s="26"/>
      <c r="Q258" s="26"/>
      <c r="R258" s="26"/>
      <c r="S258" s="26"/>
      <c r="T258" s="26"/>
      <c r="U258" s="26"/>
      <c r="V258" s="237"/>
      <c r="W258" s="26"/>
      <c r="X258" s="26"/>
      <c r="Y258" s="26"/>
      <c r="Z258" s="26"/>
      <c r="AA258" s="26"/>
      <c r="AB258" s="237"/>
    </row>
    <row r="259" spans="1:28" x14ac:dyDescent="0.2">
      <c r="A259" s="26"/>
      <c r="B259" s="82"/>
      <c r="C259" s="82"/>
      <c r="D259" s="26"/>
      <c r="E259" s="26"/>
      <c r="F259" s="26"/>
      <c r="G259" s="26"/>
      <c r="H259" s="26"/>
      <c r="I259" s="26"/>
      <c r="J259" s="83"/>
      <c r="K259" s="83"/>
      <c r="L259" s="83"/>
      <c r="M259" s="26"/>
      <c r="N259" s="84"/>
      <c r="O259" s="85"/>
      <c r="P259" s="26"/>
      <c r="Q259" s="26"/>
      <c r="R259" s="26"/>
      <c r="S259" s="26"/>
      <c r="T259" s="26"/>
      <c r="U259" s="26"/>
      <c r="V259" s="237"/>
      <c r="W259" s="26"/>
      <c r="X259" s="26"/>
      <c r="Y259" s="26"/>
      <c r="Z259" s="26"/>
      <c r="AA259" s="26"/>
      <c r="AB259" s="237"/>
    </row>
    <row r="260" spans="1:28" x14ac:dyDescent="0.2">
      <c r="A260" s="26"/>
      <c r="B260" s="82"/>
      <c r="C260" s="82"/>
      <c r="D260" s="26"/>
      <c r="E260" s="26"/>
      <c r="F260" s="26"/>
      <c r="G260" s="26"/>
      <c r="H260" s="26"/>
      <c r="I260" s="26"/>
      <c r="J260" s="83"/>
      <c r="K260" s="83"/>
      <c r="L260" s="83"/>
      <c r="M260" s="26"/>
      <c r="N260" s="84"/>
      <c r="O260" s="85"/>
      <c r="P260" s="26"/>
      <c r="Q260" s="26"/>
      <c r="R260" s="26"/>
      <c r="S260" s="26"/>
      <c r="T260" s="26"/>
      <c r="U260" s="26"/>
      <c r="V260" s="237"/>
      <c r="W260" s="26"/>
      <c r="X260" s="26"/>
      <c r="Y260" s="26"/>
      <c r="Z260" s="26"/>
      <c r="AA260" s="26"/>
      <c r="AB260" s="237"/>
    </row>
    <row r="261" spans="1:28" x14ac:dyDescent="0.2">
      <c r="A261" s="26"/>
      <c r="B261" s="82"/>
      <c r="C261" s="82"/>
      <c r="D261" s="26"/>
      <c r="E261" s="26"/>
      <c r="F261" s="26"/>
      <c r="G261" s="26"/>
      <c r="H261" s="26"/>
      <c r="I261" s="26"/>
      <c r="J261" s="83"/>
      <c r="K261" s="83"/>
      <c r="L261" s="83"/>
      <c r="M261" s="26"/>
      <c r="N261" s="84"/>
      <c r="O261" s="85"/>
      <c r="P261" s="26"/>
      <c r="Q261" s="26"/>
      <c r="R261" s="26"/>
      <c r="S261" s="26"/>
      <c r="T261" s="26"/>
      <c r="U261" s="26"/>
      <c r="V261" s="237"/>
      <c r="W261" s="26"/>
      <c r="X261" s="26"/>
      <c r="Y261" s="26"/>
      <c r="Z261" s="26"/>
      <c r="AA261" s="26"/>
      <c r="AB261" s="237"/>
    </row>
    <row r="262" spans="1:28" x14ac:dyDescent="0.2">
      <c r="A262" s="26"/>
      <c r="B262" s="82"/>
      <c r="C262" s="82"/>
      <c r="D262" s="26"/>
      <c r="E262" s="26"/>
      <c r="F262" s="26"/>
      <c r="G262" s="26"/>
      <c r="H262" s="26"/>
      <c r="I262" s="26"/>
      <c r="J262" s="83"/>
      <c r="K262" s="83"/>
      <c r="L262" s="83"/>
      <c r="M262" s="26"/>
      <c r="N262" s="84"/>
      <c r="O262" s="85"/>
      <c r="P262" s="26"/>
      <c r="Q262" s="26"/>
      <c r="R262" s="26"/>
      <c r="S262" s="26"/>
      <c r="T262" s="26"/>
      <c r="U262" s="26"/>
      <c r="V262" s="237"/>
      <c r="W262" s="26"/>
      <c r="X262" s="26"/>
      <c r="Y262" s="26"/>
      <c r="Z262" s="26"/>
      <c r="AA262" s="26"/>
      <c r="AB262" s="237"/>
    </row>
    <row r="263" spans="1:28" x14ac:dyDescent="0.2">
      <c r="A263" s="26"/>
      <c r="B263" s="82"/>
      <c r="C263" s="82"/>
      <c r="D263" s="26"/>
      <c r="E263" s="26"/>
      <c r="F263" s="26"/>
      <c r="G263" s="26"/>
      <c r="H263" s="26"/>
      <c r="I263" s="26"/>
      <c r="J263" s="83"/>
      <c r="K263" s="83"/>
      <c r="L263" s="83"/>
      <c r="M263" s="26"/>
      <c r="N263" s="84"/>
      <c r="O263" s="85"/>
      <c r="P263" s="26"/>
      <c r="Q263" s="26"/>
      <c r="R263" s="26"/>
      <c r="S263" s="26"/>
      <c r="T263" s="26"/>
      <c r="U263" s="26"/>
      <c r="V263" s="237"/>
      <c r="W263" s="26"/>
      <c r="X263" s="26"/>
      <c r="Y263" s="26"/>
      <c r="Z263" s="26"/>
      <c r="AA263" s="26"/>
      <c r="AB263" s="237"/>
    </row>
    <row r="264" spans="1:28" x14ac:dyDescent="0.2">
      <c r="A264" s="26"/>
      <c r="B264" s="82"/>
      <c r="C264" s="82"/>
      <c r="D264" s="26"/>
      <c r="E264" s="26"/>
      <c r="F264" s="26"/>
      <c r="G264" s="26"/>
      <c r="H264" s="26"/>
      <c r="I264" s="26"/>
      <c r="J264" s="83"/>
      <c r="K264" s="83"/>
      <c r="L264" s="83"/>
      <c r="M264" s="26"/>
      <c r="N264" s="84"/>
      <c r="O264" s="85"/>
      <c r="P264" s="26"/>
      <c r="Q264" s="26"/>
      <c r="R264" s="26"/>
      <c r="S264" s="26"/>
      <c r="T264" s="26"/>
      <c r="U264" s="26"/>
      <c r="V264" s="237"/>
      <c r="W264" s="26"/>
      <c r="X264" s="26"/>
      <c r="Y264" s="26"/>
      <c r="Z264" s="26"/>
      <c r="AA264" s="26"/>
      <c r="AB264" s="237"/>
    </row>
    <row r="265" spans="1:28" x14ac:dyDescent="0.2">
      <c r="A265" s="26"/>
      <c r="B265" s="82"/>
      <c r="C265" s="82"/>
      <c r="D265" s="26"/>
      <c r="E265" s="26"/>
      <c r="F265" s="26"/>
      <c r="G265" s="26"/>
      <c r="H265" s="26"/>
      <c r="I265" s="26"/>
      <c r="J265" s="83"/>
      <c r="K265" s="83"/>
      <c r="L265" s="83"/>
      <c r="M265" s="26"/>
      <c r="N265" s="84"/>
      <c r="O265" s="85"/>
      <c r="P265" s="26"/>
      <c r="Q265" s="26"/>
      <c r="R265" s="26"/>
      <c r="S265" s="26"/>
      <c r="T265" s="26"/>
      <c r="U265" s="26"/>
      <c r="V265" s="237"/>
      <c r="W265" s="26"/>
      <c r="X265" s="26"/>
      <c r="Y265" s="26"/>
      <c r="Z265" s="26"/>
      <c r="AA265" s="26"/>
      <c r="AB265" s="237"/>
    </row>
    <row r="266" spans="1:28" x14ac:dyDescent="0.2">
      <c r="A266" s="26"/>
      <c r="B266" s="82"/>
      <c r="C266" s="82"/>
      <c r="D266" s="26"/>
      <c r="E266" s="26"/>
      <c r="F266" s="26"/>
      <c r="G266" s="26"/>
      <c r="H266" s="26"/>
      <c r="I266" s="26"/>
      <c r="J266" s="83"/>
      <c r="K266" s="83"/>
      <c r="L266" s="83"/>
      <c r="M266" s="26"/>
      <c r="N266" s="84"/>
      <c r="O266" s="85"/>
      <c r="P266" s="26"/>
      <c r="Q266" s="26"/>
      <c r="R266" s="26"/>
      <c r="S266" s="26"/>
      <c r="T266" s="26"/>
      <c r="U266" s="26"/>
      <c r="V266" s="237"/>
      <c r="W266" s="26"/>
      <c r="X266" s="26"/>
      <c r="Y266" s="26"/>
      <c r="Z266" s="26"/>
      <c r="AA266" s="26"/>
      <c r="AB266" s="237"/>
    </row>
    <row r="267" spans="1:28" x14ac:dyDescent="0.2">
      <c r="A267" s="26"/>
      <c r="B267" s="82"/>
      <c r="C267" s="82"/>
      <c r="D267" s="26"/>
      <c r="E267" s="26"/>
      <c r="F267" s="26"/>
      <c r="G267" s="26"/>
      <c r="H267" s="26"/>
      <c r="I267" s="26"/>
      <c r="J267" s="83"/>
      <c r="K267" s="83"/>
      <c r="L267" s="83"/>
      <c r="M267" s="26"/>
      <c r="N267" s="84"/>
      <c r="O267" s="85"/>
      <c r="P267" s="26"/>
      <c r="Q267" s="26"/>
      <c r="R267" s="26"/>
      <c r="S267" s="26"/>
      <c r="T267" s="26"/>
      <c r="U267" s="26"/>
      <c r="V267" s="237"/>
      <c r="W267" s="26"/>
      <c r="X267" s="26"/>
      <c r="Y267" s="26"/>
      <c r="Z267" s="26"/>
      <c r="AA267" s="26"/>
      <c r="AB267" s="237"/>
    </row>
    <row r="268" spans="1:28" x14ac:dyDescent="0.2">
      <c r="A268" s="26"/>
      <c r="B268" s="82"/>
      <c r="C268" s="82"/>
      <c r="D268" s="26"/>
      <c r="E268" s="26"/>
      <c r="F268" s="26"/>
      <c r="G268" s="26"/>
      <c r="H268" s="26"/>
      <c r="I268" s="26"/>
      <c r="J268" s="83"/>
      <c r="K268" s="83"/>
      <c r="L268" s="83"/>
      <c r="M268" s="26"/>
      <c r="N268" s="84"/>
      <c r="O268" s="85"/>
      <c r="P268" s="26"/>
      <c r="Q268" s="26"/>
      <c r="R268" s="26"/>
      <c r="S268" s="26"/>
      <c r="T268" s="26"/>
      <c r="U268" s="26"/>
      <c r="V268" s="237"/>
      <c r="W268" s="26"/>
      <c r="X268" s="26"/>
      <c r="Y268" s="26"/>
      <c r="Z268" s="26"/>
      <c r="AA268" s="26"/>
      <c r="AB268" s="237"/>
    </row>
    <row r="269" spans="1:28" x14ac:dyDescent="0.2">
      <c r="A269" s="26"/>
      <c r="B269" s="82"/>
      <c r="C269" s="82"/>
      <c r="D269" s="26"/>
      <c r="E269" s="26"/>
      <c r="F269" s="26"/>
      <c r="G269" s="26"/>
      <c r="H269" s="26"/>
      <c r="I269" s="26"/>
      <c r="J269" s="83"/>
      <c r="K269" s="83"/>
      <c r="L269" s="83"/>
      <c r="M269" s="26"/>
      <c r="N269" s="84"/>
      <c r="O269" s="85"/>
      <c r="P269" s="26"/>
      <c r="Q269" s="26"/>
      <c r="R269" s="26"/>
      <c r="S269" s="26"/>
      <c r="T269" s="26"/>
      <c r="U269" s="26"/>
      <c r="V269" s="237"/>
      <c r="W269" s="26"/>
      <c r="X269" s="26"/>
      <c r="Y269" s="26"/>
      <c r="Z269" s="26"/>
      <c r="AA269" s="26"/>
      <c r="AB269" s="237"/>
    </row>
    <row r="270" spans="1:28" x14ac:dyDescent="0.2">
      <c r="A270" s="26"/>
      <c r="B270" s="82"/>
      <c r="C270" s="82"/>
      <c r="D270" s="26"/>
      <c r="E270" s="26"/>
      <c r="F270" s="26"/>
      <c r="G270" s="26"/>
      <c r="H270" s="26"/>
      <c r="I270" s="26"/>
      <c r="J270" s="83"/>
      <c r="K270" s="83"/>
      <c r="L270" s="83"/>
      <c r="M270" s="26"/>
      <c r="N270" s="84"/>
      <c r="O270" s="85"/>
      <c r="P270" s="26"/>
      <c r="Q270" s="26"/>
      <c r="R270" s="26"/>
      <c r="S270" s="26"/>
      <c r="T270" s="26"/>
      <c r="U270" s="26"/>
      <c r="V270" s="237"/>
      <c r="W270" s="26"/>
      <c r="X270" s="26"/>
      <c r="Y270" s="26"/>
      <c r="Z270" s="26"/>
      <c r="AA270" s="26"/>
      <c r="AB270" s="237"/>
    </row>
    <row r="271" spans="1:28" x14ac:dyDescent="0.2">
      <c r="A271" s="26"/>
      <c r="B271" s="82"/>
      <c r="C271" s="82"/>
      <c r="D271" s="26"/>
      <c r="E271" s="26"/>
      <c r="F271" s="26"/>
      <c r="G271" s="26"/>
      <c r="H271" s="26"/>
      <c r="I271" s="26"/>
      <c r="J271" s="83"/>
      <c r="K271" s="83"/>
      <c r="L271" s="83"/>
      <c r="M271" s="26"/>
      <c r="N271" s="84"/>
      <c r="O271" s="85"/>
      <c r="P271" s="26"/>
      <c r="Q271" s="26"/>
      <c r="R271" s="26"/>
      <c r="S271" s="26"/>
      <c r="T271" s="26"/>
      <c r="U271" s="26"/>
      <c r="V271" s="237"/>
      <c r="W271" s="26"/>
      <c r="X271" s="26"/>
      <c r="Y271" s="26"/>
      <c r="Z271" s="26"/>
      <c r="AA271" s="26"/>
      <c r="AB271" s="237"/>
    </row>
    <row r="272" spans="1:28" x14ac:dyDescent="0.2">
      <c r="A272" s="26"/>
      <c r="B272" s="82"/>
      <c r="C272" s="82"/>
      <c r="D272" s="26"/>
      <c r="E272" s="26"/>
      <c r="F272" s="26"/>
      <c r="G272" s="26"/>
      <c r="H272" s="26"/>
      <c r="I272" s="26"/>
      <c r="J272" s="83"/>
      <c r="K272" s="83"/>
      <c r="L272" s="83"/>
      <c r="M272" s="26"/>
      <c r="N272" s="84"/>
      <c r="O272" s="85"/>
      <c r="P272" s="26"/>
      <c r="Q272" s="26"/>
      <c r="R272" s="26"/>
      <c r="S272" s="26"/>
      <c r="T272" s="26"/>
      <c r="U272" s="26"/>
      <c r="V272" s="237"/>
      <c r="W272" s="26"/>
      <c r="X272" s="26"/>
      <c r="Y272" s="26"/>
      <c r="Z272" s="26"/>
      <c r="AA272" s="26"/>
      <c r="AB272" s="237"/>
    </row>
    <row r="273" spans="1:28" x14ac:dyDescent="0.2">
      <c r="A273" s="26"/>
      <c r="B273" s="82"/>
      <c r="C273" s="82"/>
      <c r="D273" s="26"/>
      <c r="E273" s="26"/>
      <c r="F273" s="26"/>
      <c r="G273" s="26"/>
      <c r="H273" s="26"/>
      <c r="I273" s="26"/>
      <c r="J273" s="83"/>
      <c r="K273" s="83"/>
      <c r="L273" s="83"/>
      <c r="M273" s="26"/>
      <c r="N273" s="84"/>
      <c r="O273" s="85"/>
      <c r="P273" s="26"/>
      <c r="Q273" s="26"/>
      <c r="R273" s="26"/>
      <c r="S273" s="26"/>
      <c r="T273" s="26"/>
      <c r="U273" s="26"/>
      <c r="V273" s="237"/>
      <c r="W273" s="26"/>
      <c r="X273" s="26"/>
      <c r="Y273" s="26"/>
      <c r="Z273" s="26"/>
      <c r="AA273" s="26"/>
      <c r="AB273" s="237"/>
    </row>
    <row r="274" spans="1:28" x14ac:dyDescent="0.2">
      <c r="A274" s="26"/>
      <c r="B274" s="82"/>
      <c r="C274" s="82"/>
      <c r="D274" s="26"/>
      <c r="E274" s="26"/>
      <c r="F274" s="26"/>
      <c r="G274" s="26"/>
      <c r="H274" s="26"/>
      <c r="I274" s="26"/>
      <c r="J274" s="83"/>
      <c r="K274" s="83"/>
      <c r="L274" s="83"/>
      <c r="M274" s="26"/>
      <c r="N274" s="84"/>
      <c r="O274" s="85"/>
      <c r="P274" s="26"/>
      <c r="Q274" s="26"/>
      <c r="R274" s="26"/>
      <c r="S274" s="26"/>
      <c r="T274" s="26"/>
      <c r="U274" s="26"/>
      <c r="V274" s="237"/>
      <c r="W274" s="26"/>
      <c r="X274" s="26"/>
      <c r="Y274" s="26"/>
      <c r="Z274" s="26"/>
      <c r="AA274" s="26"/>
      <c r="AB274" s="237"/>
    </row>
    <row r="275" spans="1:28" x14ac:dyDescent="0.2">
      <c r="A275" s="26"/>
      <c r="B275" s="82"/>
      <c r="C275" s="82"/>
      <c r="D275" s="26"/>
      <c r="E275" s="26"/>
      <c r="F275" s="26"/>
      <c r="G275" s="26"/>
      <c r="H275" s="26"/>
      <c r="I275" s="26"/>
      <c r="J275" s="83"/>
      <c r="K275" s="83"/>
      <c r="L275" s="83"/>
      <c r="M275" s="26"/>
      <c r="N275" s="84"/>
      <c r="O275" s="85"/>
      <c r="P275" s="26"/>
      <c r="Q275" s="26"/>
      <c r="R275" s="26"/>
      <c r="S275" s="26"/>
      <c r="T275" s="26"/>
      <c r="U275" s="26"/>
      <c r="V275" s="237"/>
      <c r="W275" s="26"/>
      <c r="X275" s="26"/>
      <c r="Y275" s="26"/>
      <c r="Z275" s="26"/>
      <c r="AA275" s="26"/>
      <c r="AB275" s="237"/>
    </row>
    <row r="276" spans="1:28" x14ac:dyDescent="0.2">
      <c r="A276" s="26"/>
      <c r="B276" s="82"/>
      <c r="C276" s="82"/>
      <c r="D276" s="26"/>
      <c r="E276" s="26"/>
      <c r="F276" s="26"/>
      <c r="G276" s="26"/>
      <c r="H276" s="26"/>
      <c r="I276" s="26"/>
      <c r="J276" s="83"/>
      <c r="K276" s="83"/>
      <c r="L276" s="83"/>
      <c r="M276" s="26"/>
      <c r="N276" s="84"/>
      <c r="O276" s="85"/>
      <c r="P276" s="26"/>
      <c r="Q276" s="26"/>
      <c r="R276" s="26"/>
      <c r="S276" s="26"/>
      <c r="T276" s="26"/>
      <c r="U276" s="26"/>
      <c r="V276" s="237"/>
      <c r="W276" s="26"/>
      <c r="X276" s="26"/>
      <c r="Y276" s="26"/>
      <c r="Z276" s="26"/>
      <c r="AA276" s="26"/>
      <c r="AB276" s="237"/>
    </row>
    <row r="277" spans="1:28" x14ac:dyDescent="0.2">
      <c r="A277" s="26"/>
      <c r="B277" s="82"/>
      <c r="C277" s="82"/>
      <c r="D277" s="26"/>
      <c r="E277" s="26"/>
      <c r="F277" s="26"/>
      <c r="G277" s="26"/>
      <c r="H277" s="26"/>
      <c r="I277" s="26"/>
      <c r="J277" s="83"/>
      <c r="K277" s="83"/>
      <c r="L277" s="83"/>
      <c r="M277" s="26"/>
      <c r="N277" s="84"/>
      <c r="O277" s="85"/>
      <c r="P277" s="26"/>
      <c r="Q277" s="26"/>
      <c r="R277" s="26"/>
      <c r="S277" s="26"/>
      <c r="T277" s="26"/>
      <c r="U277" s="26"/>
      <c r="V277" s="237"/>
      <c r="W277" s="26"/>
      <c r="X277" s="26"/>
      <c r="Y277" s="26"/>
      <c r="Z277" s="26"/>
      <c r="AA277" s="26"/>
      <c r="AB277" s="237"/>
    </row>
    <row r="278" spans="1:28" x14ac:dyDescent="0.2">
      <c r="A278" s="26"/>
      <c r="B278" s="82"/>
      <c r="C278" s="82"/>
      <c r="D278" s="26"/>
      <c r="E278" s="26"/>
      <c r="F278" s="26"/>
      <c r="G278" s="26"/>
      <c r="H278" s="26"/>
      <c r="I278" s="26"/>
      <c r="J278" s="83"/>
      <c r="K278" s="83"/>
      <c r="L278" s="83"/>
      <c r="M278" s="26"/>
      <c r="N278" s="84"/>
      <c r="O278" s="85"/>
      <c r="P278" s="26"/>
      <c r="Q278" s="26"/>
      <c r="R278" s="26"/>
      <c r="S278" s="26"/>
      <c r="T278" s="26"/>
      <c r="U278" s="26"/>
      <c r="V278" s="237"/>
      <c r="W278" s="26"/>
      <c r="X278" s="26"/>
      <c r="Y278" s="26"/>
      <c r="Z278" s="26"/>
      <c r="AA278" s="26"/>
      <c r="AB278" s="237"/>
    </row>
    <row r="279" spans="1:28" x14ac:dyDescent="0.2">
      <c r="A279" s="26"/>
      <c r="B279" s="82"/>
      <c r="C279" s="82"/>
      <c r="D279" s="26"/>
      <c r="E279" s="26"/>
      <c r="F279" s="26"/>
      <c r="G279" s="26"/>
      <c r="H279" s="26"/>
      <c r="I279" s="26"/>
      <c r="J279" s="83"/>
      <c r="K279" s="83"/>
      <c r="L279" s="83"/>
      <c r="M279" s="26"/>
      <c r="N279" s="84"/>
      <c r="O279" s="85"/>
      <c r="P279" s="26"/>
      <c r="Q279" s="26"/>
      <c r="R279" s="26"/>
      <c r="S279" s="26"/>
      <c r="T279" s="26"/>
      <c r="U279" s="26"/>
      <c r="V279" s="237"/>
      <c r="W279" s="26"/>
      <c r="X279" s="26"/>
      <c r="Y279" s="26"/>
      <c r="Z279" s="26"/>
      <c r="AA279" s="26"/>
      <c r="AB279" s="237"/>
    </row>
    <row r="280" spans="1:28" x14ac:dyDescent="0.2">
      <c r="A280" s="26"/>
      <c r="B280" s="82"/>
      <c r="C280" s="82"/>
      <c r="D280" s="26"/>
      <c r="E280" s="26"/>
      <c r="F280" s="26"/>
      <c r="G280" s="26"/>
      <c r="H280" s="26"/>
      <c r="I280" s="26"/>
      <c r="J280" s="83"/>
      <c r="K280" s="83"/>
      <c r="L280" s="83"/>
      <c r="M280" s="26"/>
      <c r="N280" s="84"/>
      <c r="O280" s="85"/>
      <c r="P280" s="26"/>
      <c r="Q280" s="26"/>
      <c r="R280" s="26"/>
      <c r="S280" s="26"/>
      <c r="T280" s="26"/>
      <c r="U280" s="26"/>
      <c r="V280" s="237"/>
      <c r="W280" s="26"/>
      <c r="X280" s="26"/>
      <c r="Y280" s="26"/>
      <c r="Z280" s="26"/>
      <c r="AA280" s="26"/>
      <c r="AB280" s="237"/>
    </row>
    <row r="281" spans="1:28" x14ac:dyDescent="0.2">
      <c r="A281" s="26"/>
      <c r="B281" s="82"/>
      <c r="C281" s="82"/>
      <c r="D281" s="26"/>
      <c r="E281" s="26"/>
      <c r="F281" s="26"/>
      <c r="G281" s="26"/>
      <c r="H281" s="26"/>
      <c r="I281" s="26"/>
      <c r="J281" s="83"/>
      <c r="K281" s="83"/>
      <c r="L281" s="83"/>
      <c r="M281" s="26"/>
      <c r="N281" s="84"/>
      <c r="O281" s="85"/>
      <c r="P281" s="26"/>
      <c r="Q281" s="26"/>
      <c r="R281" s="26"/>
      <c r="S281" s="26"/>
      <c r="T281" s="26"/>
      <c r="U281" s="26"/>
      <c r="V281" s="237"/>
      <c r="W281" s="26"/>
      <c r="X281" s="26"/>
      <c r="Y281" s="26"/>
      <c r="Z281" s="26"/>
      <c r="AA281" s="26"/>
      <c r="AB281" s="237"/>
    </row>
    <row r="282" spans="1:28" x14ac:dyDescent="0.2">
      <c r="A282" s="26"/>
      <c r="B282" s="82"/>
      <c r="C282" s="82"/>
      <c r="D282" s="26"/>
      <c r="E282" s="26"/>
      <c r="F282" s="26"/>
      <c r="G282" s="26"/>
      <c r="H282" s="26"/>
      <c r="I282" s="26"/>
      <c r="J282" s="83"/>
      <c r="K282" s="83"/>
      <c r="L282" s="83"/>
      <c r="M282" s="26"/>
      <c r="N282" s="84"/>
      <c r="O282" s="85"/>
      <c r="P282" s="26"/>
      <c r="Q282" s="26"/>
      <c r="R282" s="26"/>
      <c r="S282" s="26"/>
      <c r="T282" s="26"/>
      <c r="U282" s="26"/>
      <c r="V282" s="237"/>
      <c r="W282" s="26"/>
      <c r="X282" s="26"/>
      <c r="Y282" s="26"/>
      <c r="Z282" s="26"/>
      <c r="AA282" s="26"/>
      <c r="AB282" s="237"/>
    </row>
    <row r="283" spans="1:28" x14ac:dyDescent="0.2">
      <c r="A283" s="26"/>
      <c r="B283" s="82"/>
      <c r="C283" s="82"/>
      <c r="D283" s="26"/>
      <c r="E283" s="26"/>
      <c r="F283" s="26"/>
      <c r="G283" s="26"/>
      <c r="H283" s="26"/>
      <c r="I283" s="26"/>
      <c r="J283" s="83"/>
      <c r="K283" s="83"/>
      <c r="L283" s="83"/>
      <c r="M283" s="26"/>
      <c r="N283" s="84"/>
      <c r="O283" s="85"/>
      <c r="P283" s="26"/>
      <c r="Q283" s="26"/>
      <c r="R283" s="26"/>
      <c r="S283" s="26"/>
      <c r="T283" s="26"/>
      <c r="U283" s="26"/>
      <c r="V283" s="237"/>
      <c r="W283" s="26"/>
      <c r="X283" s="26"/>
      <c r="Y283" s="26"/>
      <c r="Z283" s="26"/>
      <c r="AA283" s="26"/>
      <c r="AB283" s="237"/>
    </row>
    <row r="284" spans="1:28" x14ac:dyDescent="0.2">
      <c r="A284" s="26"/>
      <c r="B284" s="82"/>
      <c r="C284" s="82"/>
      <c r="D284" s="26"/>
      <c r="E284" s="26"/>
      <c r="F284" s="26"/>
      <c r="G284" s="26"/>
      <c r="H284" s="26"/>
      <c r="I284" s="26"/>
      <c r="J284" s="83"/>
      <c r="K284" s="83"/>
      <c r="L284" s="83"/>
      <c r="M284" s="26"/>
      <c r="N284" s="84"/>
      <c r="O284" s="85"/>
      <c r="P284" s="26"/>
      <c r="Q284" s="26"/>
      <c r="R284" s="26"/>
      <c r="S284" s="26"/>
      <c r="T284" s="26"/>
      <c r="U284" s="26"/>
      <c r="V284" s="237"/>
      <c r="W284" s="26"/>
      <c r="X284" s="26"/>
      <c r="Y284" s="26"/>
      <c r="Z284" s="26"/>
      <c r="AA284" s="26"/>
      <c r="AB284" s="237"/>
    </row>
    <row r="285" spans="1:28" x14ac:dyDescent="0.2">
      <c r="A285" s="26"/>
      <c r="B285" s="82"/>
      <c r="C285" s="82"/>
      <c r="D285" s="26"/>
      <c r="E285" s="26"/>
      <c r="F285" s="26"/>
      <c r="G285" s="26"/>
      <c r="H285" s="26"/>
      <c r="I285" s="26"/>
      <c r="J285" s="83"/>
      <c r="K285" s="83"/>
      <c r="L285" s="83"/>
      <c r="M285" s="26"/>
      <c r="N285" s="84"/>
      <c r="O285" s="85"/>
      <c r="P285" s="26"/>
      <c r="Q285" s="26"/>
      <c r="R285" s="26"/>
      <c r="S285" s="26"/>
      <c r="T285" s="26"/>
      <c r="U285" s="26"/>
      <c r="V285" s="237"/>
      <c r="W285" s="26"/>
      <c r="X285" s="26"/>
      <c r="Y285" s="26"/>
      <c r="Z285" s="26"/>
      <c r="AA285" s="26"/>
      <c r="AB285" s="237"/>
    </row>
    <row r="286" spans="1:28" x14ac:dyDescent="0.2">
      <c r="A286" s="26"/>
      <c r="B286" s="82"/>
      <c r="C286" s="82"/>
      <c r="D286" s="26"/>
      <c r="E286" s="26"/>
      <c r="F286" s="26"/>
      <c r="G286" s="26"/>
      <c r="H286" s="26"/>
      <c r="I286" s="26"/>
      <c r="J286" s="83"/>
      <c r="K286" s="83"/>
      <c r="L286" s="83"/>
      <c r="M286" s="26"/>
      <c r="N286" s="84"/>
      <c r="O286" s="85"/>
      <c r="P286" s="26"/>
      <c r="Q286" s="26"/>
      <c r="R286" s="26"/>
      <c r="S286" s="26"/>
      <c r="T286" s="26"/>
      <c r="U286" s="26"/>
      <c r="V286" s="237"/>
      <c r="W286" s="26"/>
      <c r="X286" s="26"/>
      <c r="Y286" s="26"/>
      <c r="Z286" s="26"/>
      <c r="AA286" s="26"/>
      <c r="AB286" s="237"/>
    </row>
    <row r="287" spans="1:28" x14ac:dyDescent="0.2">
      <c r="A287" s="26"/>
      <c r="B287" s="82"/>
      <c r="C287" s="82"/>
      <c r="D287" s="26"/>
      <c r="E287" s="26"/>
      <c r="F287" s="26"/>
      <c r="G287" s="26"/>
      <c r="H287" s="26"/>
      <c r="I287" s="26"/>
      <c r="J287" s="83"/>
      <c r="K287" s="83"/>
      <c r="L287" s="83"/>
      <c r="M287" s="26"/>
      <c r="N287" s="84"/>
      <c r="O287" s="85"/>
      <c r="P287" s="26"/>
      <c r="Q287" s="26"/>
      <c r="R287" s="26"/>
      <c r="S287" s="26"/>
      <c r="T287" s="26"/>
      <c r="U287" s="26"/>
      <c r="V287" s="237"/>
      <c r="W287" s="26"/>
      <c r="X287" s="26"/>
      <c r="Y287" s="26"/>
      <c r="Z287" s="26"/>
      <c r="AA287" s="26"/>
      <c r="AB287" s="237"/>
    </row>
    <row r="288" spans="1:28" x14ac:dyDescent="0.2">
      <c r="A288" s="26"/>
      <c r="B288" s="82"/>
      <c r="C288" s="82"/>
      <c r="D288" s="26"/>
      <c r="E288" s="26"/>
      <c r="F288" s="26"/>
      <c r="G288" s="26"/>
      <c r="H288" s="26"/>
      <c r="I288" s="26"/>
      <c r="J288" s="83"/>
      <c r="K288" s="83"/>
      <c r="L288" s="83"/>
      <c r="M288" s="26"/>
      <c r="N288" s="84"/>
      <c r="O288" s="85"/>
      <c r="P288" s="26"/>
      <c r="Q288" s="26"/>
      <c r="R288" s="26"/>
      <c r="S288" s="26"/>
      <c r="T288" s="26"/>
      <c r="U288" s="26"/>
      <c r="V288" s="237"/>
      <c r="W288" s="26"/>
      <c r="X288" s="26"/>
      <c r="Y288" s="26"/>
      <c r="Z288" s="26"/>
      <c r="AA288" s="26"/>
      <c r="AB288" s="237"/>
    </row>
    <row r="289" spans="1:28" x14ac:dyDescent="0.2">
      <c r="A289" s="26"/>
      <c r="B289" s="82"/>
      <c r="C289" s="82"/>
      <c r="D289" s="26"/>
      <c r="E289" s="26"/>
      <c r="F289" s="26"/>
      <c r="G289" s="26"/>
      <c r="H289" s="26"/>
      <c r="I289" s="26"/>
      <c r="J289" s="83"/>
      <c r="K289" s="83"/>
      <c r="L289" s="83"/>
      <c r="M289" s="26"/>
      <c r="N289" s="84"/>
      <c r="O289" s="85"/>
      <c r="P289" s="26"/>
      <c r="Q289" s="26"/>
      <c r="R289" s="26"/>
      <c r="S289" s="26"/>
      <c r="T289" s="26"/>
      <c r="U289" s="26"/>
      <c r="V289" s="237"/>
      <c r="W289" s="26"/>
      <c r="X289" s="26"/>
      <c r="Y289" s="26"/>
      <c r="Z289" s="26"/>
      <c r="AA289" s="26"/>
      <c r="AB289" s="237"/>
    </row>
    <row r="290" spans="1:28" x14ac:dyDescent="0.2">
      <c r="A290" s="26"/>
      <c r="B290" s="82"/>
      <c r="C290" s="82"/>
      <c r="D290" s="26"/>
      <c r="E290" s="26"/>
      <c r="F290" s="26"/>
      <c r="G290" s="26"/>
      <c r="H290" s="26"/>
      <c r="I290" s="26"/>
      <c r="J290" s="83"/>
      <c r="K290" s="83"/>
      <c r="L290" s="83"/>
      <c r="M290" s="26"/>
      <c r="N290" s="84"/>
      <c r="O290" s="85"/>
      <c r="P290" s="26"/>
      <c r="Q290" s="26"/>
      <c r="R290" s="26"/>
      <c r="S290" s="26"/>
      <c r="T290" s="26"/>
      <c r="U290" s="26"/>
      <c r="V290" s="237"/>
      <c r="W290" s="26"/>
      <c r="X290" s="26"/>
      <c r="Y290" s="26"/>
      <c r="Z290" s="26"/>
      <c r="AA290" s="26"/>
      <c r="AB290" s="237"/>
    </row>
  </sheetData>
  <autoFilter ref="A19:AX19">
    <sortState ref="A22:BA174">
      <sortCondition descending="1" ref="E19"/>
    </sortState>
  </autoFilter>
  <mergeCells count="35">
    <mergeCell ref="W16:AB16"/>
    <mergeCell ref="P16:V16"/>
    <mergeCell ref="P17:P19"/>
    <mergeCell ref="Q17:Q19"/>
    <mergeCell ref="R17:R19"/>
    <mergeCell ref="S17:S19"/>
    <mergeCell ref="T17:T19"/>
    <mergeCell ref="U17:U19"/>
    <mergeCell ref="V17:V19"/>
    <mergeCell ref="W17:W19"/>
    <mergeCell ref="X17:X19"/>
    <mergeCell ref="Y17:Y19"/>
    <mergeCell ref="Z17:Z19"/>
    <mergeCell ref="AA17:AA19"/>
    <mergeCell ref="J1:K1"/>
    <mergeCell ref="F17:F19"/>
    <mergeCell ref="K17:K19"/>
    <mergeCell ref="I17:I19"/>
    <mergeCell ref="L17:L19"/>
    <mergeCell ref="A1:H1"/>
    <mergeCell ref="A3:B3"/>
    <mergeCell ref="A15:H15"/>
    <mergeCell ref="A17:A19"/>
    <mergeCell ref="B17:B19"/>
    <mergeCell ref="H17:H19"/>
    <mergeCell ref="G17:G19"/>
    <mergeCell ref="D17:D19"/>
    <mergeCell ref="C17:C19"/>
    <mergeCell ref="E17:E19"/>
    <mergeCell ref="J17:J19"/>
    <mergeCell ref="O17:O19"/>
    <mergeCell ref="M17:M19"/>
    <mergeCell ref="N17:N19"/>
    <mergeCell ref="AC17:AC19"/>
    <mergeCell ref="AB17:AB19"/>
  </mergeCells>
  <phoneticPr fontId="2" type="noConversion"/>
  <printOptions headings="1" gridLines="1"/>
  <pageMargins left="0.75" right="0.75" top="0.47" bottom="0.54" header="0.26" footer="0.32"/>
  <pageSetup paperSize="8" scale="79" fitToWidth="2" fitToHeight="5" orientation="landscape" r:id="rId1"/>
  <headerFooter alignWithMargins="0">
    <oddHeader>&amp;R&amp;D</oddHeader>
    <oddFooter>&amp;L&amp;Z&amp;F&amp;R&amp;A</oddFooter>
  </headerFooter>
  <colBreaks count="1" manualBreakCount="1">
    <brk id="22" max="17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773"/>
  <sheetViews>
    <sheetView topLeftCell="B1" workbookViewId="0">
      <selection activeCell="K19" sqref="K19:K20"/>
    </sheetView>
  </sheetViews>
  <sheetFormatPr defaultRowHeight="12.75" x14ac:dyDescent="0.2"/>
  <cols>
    <col min="1" max="1" width="12.42578125" customWidth="1"/>
    <col min="2" max="2" width="20.42578125" customWidth="1"/>
    <col min="4" max="5" width="7.5703125" customWidth="1"/>
    <col min="6" max="6" width="52" customWidth="1"/>
    <col min="8" max="8" width="11" customWidth="1"/>
    <col min="9" max="9" width="7.42578125" customWidth="1"/>
    <col min="10" max="10" width="38.7109375" customWidth="1"/>
    <col min="11" max="11" width="19.7109375" customWidth="1"/>
  </cols>
  <sheetData>
    <row r="1" spans="1:25" ht="25.5" x14ac:dyDescent="0.35">
      <c r="A1" s="5" t="s">
        <v>669</v>
      </c>
      <c r="G1" s="329"/>
      <c r="H1" s="368"/>
    </row>
    <row r="2" spans="1:25" x14ac:dyDescent="0.2">
      <c r="G2" s="7"/>
      <c r="H2" s="7"/>
    </row>
    <row r="3" spans="1:25" x14ac:dyDescent="0.2">
      <c r="A3" s="17" t="s">
        <v>664</v>
      </c>
      <c r="B3" s="7"/>
      <c r="C3" s="7"/>
      <c r="D3" s="7"/>
      <c r="E3" s="7"/>
      <c r="F3" s="7"/>
      <c r="G3" s="7"/>
      <c r="H3" s="7"/>
    </row>
    <row r="4" spans="1:25" x14ac:dyDescent="0.2">
      <c r="A4" s="7"/>
      <c r="B4" s="7"/>
      <c r="C4" s="7"/>
      <c r="D4" s="7"/>
      <c r="E4" s="7"/>
      <c r="F4" s="7"/>
      <c r="G4" s="7"/>
      <c r="H4" s="7"/>
    </row>
    <row r="5" spans="1:25" ht="33.75" customHeight="1" x14ac:dyDescent="0.2">
      <c r="A5" s="367" t="s">
        <v>844</v>
      </c>
      <c r="B5" s="315"/>
      <c r="C5" s="315"/>
      <c r="D5" s="315"/>
      <c r="E5" s="315"/>
      <c r="F5" s="315"/>
      <c r="G5" s="7"/>
      <c r="H5" s="369" t="s">
        <v>913</v>
      </c>
      <c r="I5" s="370"/>
      <c r="J5" s="370"/>
      <c r="K5" s="370"/>
      <c r="L5" s="371"/>
    </row>
    <row r="6" spans="1:25" ht="14.25" customHeight="1" x14ac:dyDescent="0.2">
      <c r="A6" s="7"/>
      <c r="B6" s="7"/>
      <c r="C6" s="7"/>
      <c r="D6" s="7"/>
      <c r="E6" s="7"/>
      <c r="F6" s="7"/>
      <c r="G6" s="7"/>
      <c r="H6" s="7"/>
    </row>
    <row r="7" spans="1:25" ht="22.5" x14ac:dyDescent="0.2">
      <c r="A7" s="20" t="s">
        <v>672</v>
      </c>
      <c r="B7" s="21" t="s">
        <v>664</v>
      </c>
      <c r="C7" s="21" t="s">
        <v>673</v>
      </c>
      <c r="D7" s="22" t="s">
        <v>674</v>
      </c>
      <c r="E7" s="23"/>
      <c r="F7" s="20" t="s">
        <v>630</v>
      </c>
      <c r="G7" s="22" t="s">
        <v>150</v>
      </c>
      <c r="H7" s="7"/>
      <c r="I7" s="99" t="s">
        <v>150</v>
      </c>
      <c r="J7" s="100" t="s">
        <v>630</v>
      </c>
      <c r="K7" s="100" t="s">
        <v>513</v>
      </c>
      <c r="L7" s="101" t="s">
        <v>514</v>
      </c>
      <c r="N7" s="25"/>
      <c r="O7" s="25"/>
      <c r="P7" s="25"/>
      <c r="Q7" s="25"/>
      <c r="R7" s="25"/>
      <c r="S7" s="25"/>
      <c r="T7" s="25"/>
      <c r="U7" s="25"/>
      <c r="V7" s="25"/>
      <c r="W7" s="25"/>
      <c r="X7" s="25"/>
      <c r="Y7" s="25"/>
    </row>
    <row r="8" spans="1:25" x14ac:dyDescent="0.2">
      <c r="A8" s="9" t="s">
        <v>235</v>
      </c>
      <c r="B8" s="18" t="s">
        <v>680</v>
      </c>
      <c r="C8" s="18">
        <v>9</v>
      </c>
      <c r="D8" s="10">
        <v>9</v>
      </c>
      <c r="E8" s="18"/>
      <c r="F8" s="9" t="str">
        <f t="shared" ref="F8:F73" si="0">CONCATENATE(J8,K8,L8)</f>
        <v>NO CAPITALNO CAPITAL1</v>
      </c>
      <c r="G8" s="10">
        <f>I8</f>
        <v>1</v>
      </c>
      <c r="H8" s="7"/>
      <c r="I8" s="9">
        <v>1</v>
      </c>
      <c r="J8" s="92" t="s">
        <v>675</v>
      </c>
      <c r="K8" s="92" t="s">
        <v>675</v>
      </c>
      <c r="L8" s="93">
        <v>1</v>
      </c>
      <c r="N8" s="25"/>
      <c r="O8" s="25"/>
      <c r="P8" s="25"/>
      <c r="Q8" s="25"/>
      <c r="R8" s="25"/>
      <c r="S8" s="25"/>
      <c r="T8" s="25"/>
      <c r="U8" s="25"/>
      <c r="V8" s="25"/>
      <c r="W8" s="25"/>
      <c r="X8" s="25"/>
      <c r="Y8" s="25"/>
    </row>
    <row r="9" spans="1:25" x14ac:dyDescent="0.2">
      <c r="A9" s="9" t="s">
        <v>236</v>
      </c>
      <c r="B9" s="18" t="s">
        <v>681</v>
      </c>
      <c r="C9" s="18">
        <v>11</v>
      </c>
      <c r="D9" s="10">
        <v>11</v>
      </c>
      <c r="E9" s="18"/>
      <c r="F9" s="9" t="str">
        <f t="shared" si="0"/>
        <v>MAINTENANCE COMPONENTNO CAPITAL1</v>
      </c>
      <c r="G9" s="10">
        <f>I9</f>
        <v>5</v>
      </c>
      <c r="H9" s="7"/>
      <c r="I9" s="9">
        <v>5</v>
      </c>
      <c r="J9" s="94" t="s">
        <v>515</v>
      </c>
      <c r="K9" s="94" t="s">
        <v>675</v>
      </c>
      <c r="L9" s="95">
        <v>1</v>
      </c>
      <c r="N9" s="25"/>
      <c r="O9" s="25"/>
      <c r="P9" s="25"/>
      <c r="Q9" s="25"/>
      <c r="R9" s="25"/>
      <c r="S9" s="25"/>
      <c r="T9" s="25"/>
      <c r="U9" s="25"/>
      <c r="V9" s="25"/>
      <c r="W9" s="25"/>
      <c r="X9" s="25"/>
      <c r="Y9" s="25"/>
    </row>
    <row r="10" spans="1:25" x14ac:dyDescent="0.2">
      <c r="A10" s="9" t="s">
        <v>237</v>
      </c>
      <c r="B10" s="18" t="s">
        <v>682</v>
      </c>
      <c r="C10" s="18">
        <v>13</v>
      </c>
      <c r="D10" s="10">
        <v>13</v>
      </c>
      <c r="E10" s="18"/>
      <c r="F10" s="9" t="str">
        <f t="shared" si="0"/>
        <v>MERCURY VAPOUR 80WSHARED OR NO POLE1</v>
      </c>
      <c r="G10" s="10">
        <f t="shared" ref="G10:G73" si="1">I10</f>
        <v>10</v>
      </c>
      <c r="H10" s="7"/>
      <c r="I10" s="9">
        <v>10</v>
      </c>
      <c r="J10" s="96" t="s">
        <v>679</v>
      </c>
      <c r="K10" s="96" t="s">
        <v>676</v>
      </c>
      <c r="L10" s="97">
        <v>1</v>
      </c>
      <c r="N10" s="25"/>
      <c r="O10" s="25"/>
      <c r="P10" s="25"/>
      <c r="Q10" s="25"/>
      <c r="R10" s="25"/>
      <c r="S10" s="25"/>
      <c r="T10" s="25"/>
      <c r="U10" s="25"/>
      <c r="V10" s="25"/>
      <c r="W10" s="25"/>
      <c r="X10" s="25"/>
      <c r="Y10" s="25"/>
    </row>
    <row r="11" spans="1:25" x14ac:dyDescent="0.2">
      <c r="A11" s="9" t="s">
        <v>238</v>
      </c>
      <c r="B11" s="18" t="s">
        <v>683</v>
      </c>
      <c r="C11" s="18">
        <v>15</v>
      </c>
      <c r="D11" s="10">
        <v>15</v>
      </c>
      <c r="E11" s="18"/>
      <c r="F11" s="9" t="str">
        <f t="shared" si="0"/>
        <v>MERCURY VAPOUR 250W SHARED OR NO POLE1</v>
      </c>
      <c r="G11" s="10">
        <f t="shared" si="1"/>
        <v>20</v>
      </c>
      <c r="H11" s="7"/>
      <c r="I11" s="9">
        <v>20</v>
      </c>
      <c r="J11" s="96" t="s">
        <v>768</v>
      </c>
      <c r="K11" s="96" t="s">
        <v>676</v>
      </c>
      <c r="L11" s="97">
        <v>1</v>
      </c>
      <c r="N11" s="25"/>
      <c r="O11" s="25"/>
      <c r="P11" s="25"/>
      <c r="Q11" s="25"/>
      <c r="R11" s="25"/>
      <c r="S11" s="25"/>
      <c r="T11" s="25"/>
      <c r="U11" s="25"/>
      <c r="V11" s="25"/>
      <c r="W11" s="25"/>
      <c r="X11" s="25"/>
      <c r="Y11" s="25"/>
    </row>
    <row r="12" spans="1:25" x14ac:dyDescent="0.2">
      <c r="A12" s="9" t="s">
        <v>239</v>
      </c>
      <c r="B12" s="18" t="s">
        <v>684</v>
      </c>
      <c r="C12" s="18">
        <v>20</v>
      </c>
      <c r="D12" s="10">
        <v>29</v>
      </c>
      <c r="E12" s="18"/>
      <c r="F12" s="9" t="str">
        <f t="shared" si="0"/>
        <v>MERCURY VAPOUR 400WSHARED OR NO POLE1</v>
      </c>
      <c r="G12" s="10">
        <f t="shared" si="1"/>
        <v>30</v>
      </c>
      <c r="H12" s="7"/>
      <c r="I12" s="9">
        <v>30</v>
      </c>
      <c r="J12" s="96" t="s">
        <v>771</v>
      </c>
      <c r="K12" s="96" t="s">
        <v>676</v>
      </c>
      <c r="L12" s="97">
        <v>1</v>
      </c>
      <c r="N12" s="25"/>
      <c r="O12" s="25"/>
      <c r="P12" s="25"/>
      <c r="Q12" s="25"/>
      <c r="R12" s="25"/>
      <c r="S12" s="25"/>
      <c r="T12" s="25"/>
      <c r="U12" s="25"/>
      <c r="V12" s="25"/>
      <c r="W12" s="25"/>
      <c r="X12" s="25"/>
      <c r="Y12" s="25"/>
    </row>
    <row r="13" spans="1:25" x14ac:dyDescent="0.2">
      <c r="A13" s="9" t="s">
        <v>240</v>
      </c>
      <c r="B13" s="18" t="s">
        <v>685</v>
      </c>
      <c r="C13" s="18" t="s">
        <v>777</v>
      </c>
      <c r="D13" s="10">
        <v>50</v>
      </c>
      <c r="E13" s="18"/>
      <c r="F13" s="9" t="str">
        <f t="shared" si="0"/>
        <v>HIGH PRESSURE SODIUM 70W (100)SHARED OR NO POLE1</v>
      </c>
      <c r="G13" s="10">
        <f t="shared" si="1"/>
        <v>40</v>
      </c>
      <c r="H13" s="7"/>
      <c r="I13" s="9">
        <v>40</v>
      </c>
      <c r="J13" s="96" t="s">
        <v>707</v>
      </c>
      <c r="K13" s="96" t="s">
        <v>676</v>
      </c>
      <c r="L13" s="97">
        <v>1</v>
      </c>
      <c r="N13" s="25"/>
      <c r="O13" s="25"/>
      <c r="P13" s="25"/>
      <c r="Q13" s="25"/>
      <c r="R13" s="25"/>
      <c r="S13" s="25"/>
      <c r="T13" s="25"/>
      <c r="U13" s="25"/>
      <c r="V13" s="25"/>
      <c r="W13" s="25"/>
      <c r="X13" s="25"/>
      <c r="Y13" s="25"/>
    </row>
    <row r="14" spans="1:25" x14ac:dyDescent="0.2">
      <c r="A14" s="9" t="s">
        <v>241</v>
      </c>
      <c r="B14" s="18" t="s">
        <v>686</v>
      </c>
      <c r="C14" s="18" t="s">
        <v>778</v>
      </c>
      <c r="D14" s="10">
        <v>77</v>
      </c>
      <c r="E14" s="18"/>
      <c r="F14" s="9" t="str">
        <f t="shared" si="0"/>
        <v>HIGH PRESSURE SODIUM 150WSHARED OR NO POLE1</v>
      </c>
      <c r="G14" s="10">
        <f t="shared" si="1"/>
        <v>50</v>
      </c>
      <c r="H14" s="7"/>
      <c r="I14" s="9">
        <v>50</v>
      </c>
      <c r="J14" s="96" t="s">
        <v>712</v>
      </c>
      <c r="K14" s="96" t="s">
        <v>676</v>
      </c>
      <c r="L14" s="97">
        <v>1</v>
      </c>
      <c r="N14" s="25"/>
      <c r="O14" s="25"/>
      <c r="P14" s="25"/>
      <c r="Q14" s="25"/>
      <c r="R14" s="25"/>
      <c r="S14" s="25"/>
      <c r="T14" s="25"/>
      <c r="U14" s="25"/>
      <c r="V14" s="25"/>
      <c r="W14" s="25"/>
      <c r="X14" s="25"/>
      <c r="Y14" s="25"/>
    </row>
    <row r="15" spans="1:25" x14ac:dyDescent="0.2">
      <c r="A15" s="9" t="s">
        <v>242</v>
      </c>
      <c r="B15" s="18" t="s">
        <v>687</v>
      </c>
      <c r="C15" s="18" t="s">
        <v>779</v>
      </c>
      <c r="D15" s="10">
        <v>100</v>
      </c>
      <c r="E15" s="18"/>
      <c r="F15" s="9" t="str">
        <f t="shared" si="0"/>
        <v>HIGH PRESSURE SODIUM 250W (210/220)SHARED OR NO POLE1</v>
      </c>
      <c r="G15" s="10">
        <f t="shared" si="1"/>
        <v>60</v>
      </c>
      <c r="H15" s="7"/>
      <c r="I15" s="9">
        <v>60</v>
      </c>
      <c r="J15" s="96" t="s">
        <v>715</v>
      </c>
      <c r="K15" s="96" t="s">
        <v>676</v>
      </c>
      <c r="L15" s="97">
        <v>1</v>
      </c>
      <c r="N15" s="25"/>
      <c r="O15" s="25"/>
      <c r="P15" s="25"/>
      <c r="Q15" s="25"/>
      <c r="R15" s="25"/>
      <c r="S15" s="25"/>
      <c r="T15" s="25"/>
      <c r="U15" s="25"/>
      <c r="V15" s="25"/>
      <c r="W15" s="25"/>
      <c r="X15" s="25"/>
      <c r="Y15" s="25"/>
    </row>
    <row r="16" spans="1:25" x14ac:dyDescent="0.2">
      <c r="A16" s="9" t="s">
        <v>243</v>
      </c>
      <c r="B16" s="18" t="s">
        <v>780</v>
      </c>
      <c r="C16" s="18" t="s">
        <v>781</v>
      </c>
      <c r="D16" s="10">
        <v>150</v>
      </c>
      <c r="E16" s="18"/>
      <c r="F16" s="9" t="str">
        <f t="shared" si="0"/>
        <v>HIGH PRESSURE SODIUM 400W (310/360)SHARED OR NO POLE1</v>
      </c>
      <c r="G16" s="10">
        <f t="shared" si="1"/>
        <v>70</v>
      </c>
      <c r="H16" s="7"/>
      <c r="I16" s="9">
        <v>70</v>
      </c>
      <c r="J16" s="96" t="s">
        <v>722</v>
      </c>
      <c r="K16" s="96" t="s">
        <v>676</v>
      </c>
      <c r="L16" s="97">
        <v>1</v>
      </c>
      <c r="N16" s="25"/>
      <c r="O16" s="25"/>
      <c r="P16" s="25"/>
      <c r="Q16" s="25"/>
      <c r="R16" s="25"/>
      <c r="S16" s="25"/>
      <c r="T16" s="25"/>
      <c r="U16" s="25"/>
      <c r="V16" s="25"/>
      <c r="W16" s="25"/>
      <c r="X16" s="25"/>
      <c r="Y16" s="25"/>
    </row>
    <row r="17" spans="1:25" x14ac:dyDescent="0.2">
      <c r="A17" s="9" t="s">
        <v>244</v>
      </c>
      <c r="B17" s="18" t="s">
        <v>688</v>
      </c>
      <c r="C17" s="18">
        <v>26</v>
      </c>
      <c r="D17" s="10">
        <v>32</v>
      </c>
      <c r="E17" s="18"/>
      <c r="F17" s="9" t="str">
        <f t="shared" si="0"/>
        <v>HIGH PRESSURE SODIUM 50W TWIN ARCSHARED OR NO POLE1</v>
      </c>
      <c r="G17" s="10">
        <f t="shared" si="1"/>
        <v>80</v>
      </c>
      <c r="H17" s="7"/>
      <c r="I17" s="9">
        <v>80</v>
      </c>
      <c r="J17" s="96" t="s">
        <v>516</v>
      </c>
      <c r="K17" s="96" t="s">
        <v>676</v>
      </c>
      <c r="L17" s="97">
        <v>1</v>
      </c>
      <c r="N17" s="25"/>
      <c r="O17" s="25"/>
      <c r="P17" s="25"/>
      <c r="Q17" s="25"/>
      <c r="R17" s="25"/>
      <c r="S17" s="25"/>
      <c r="T17" s="25"/>
      <c r="U17" s="25"/>
      <c r="V17" s="25"/>
      <c r="W17" s="25"/>
      <c r="X17" s="25"/>
      <c r="Y17" s="25"/>
    </row>
    <row r="18" spans="1:25" x14ac:dyDescent="0.2">
      <c r="A18" s="9" t="s">
        <v>245</v>
      </c>
      <c r="B18" s="18" t="s">
        <v>690</v>
      </c>
      <c r="C18" s="18" t="s">
        <v>689</v>
      </c>
      <c r="D18" s="10">
        <f>2*D17</f>
        <v>64</v>
      </c>
      <c r="E18" s="18"/>
      <c r="F18" s="9" t="str">
        <f t="shared" si="0"/>
        <v>HIGH PRESSURE SODIUM 70W TWIN ARCSHARED OR NO POLE1</v>
      </c>
      <c r="G18" s="10">
        <f t="shared" si="1"/>
        <v>90</v>
      </c>
      <c r="H18" s="7"/>
      <c r="I18" s="9">
        <v>90</v>
      </c>
      <c r="J18" s="96" t="s">
        <v>709</v>
      </c>
      <c r="K18" s="96" t="s">
        <v>676</v>
      </c>
      <c r="L18" s="97">
        <v>1</v>
      </c>
      <c r="N18" s="25"/>
      <c r="O18" s="25"/>
      <c r="P18" s="25"/>
      <c r="Q18" s="25"/>
      <c r="R18" s="25"/>
      <c r="S18" s="25"/>
      <c r="T18" s="25"/>
      <c r="U18" s="25"/>
      <c r="V18" s="25"/>
      <c r="W18" s="25"/>
      <c r="X18" s="25"/>
      <c r="Y18" s="25"/>
    </row>
    <row r="19" spans="1:25" x14ac:dyDescent="0.2">
      <c r="A19" s="9" t="s">
        <v>246</v>
      </c>
      <c r="B19" s="18" t="s">
        <v>782</v>
      </c>
      <c r="C19" s="18" t="s">
        <v>783</v>
      </c>
      <c r="D19" s="10">
        <f>6*D17</f>
        <v>192</v>
      </c>
      <c r="E19" s="18"/>
      <c r="F19" s="9" t="str">
        <f t="shared" si="0"/>
        <v>35W LOW PRESSURE SODIUMSHARED OR NO POLE1</v>
      </c>
      <c r="G19" s="10">
        <f t="shared" si="1"/>
        <v>100</v>
      </c>
      <c r="H19" s="7"/>
      <c r="I19" s="9">
        <v>100</v>
      </c>
      <c r="J19" s="96" t="s">
        <v>517</v>
      </c>
      <c r="K19" s="96" t="s">
        <v>676</v>
      </c>
      <c r="L19" s="97">
        <v>1</v>
      </c>
      <c r="N19" s="25"/>
      <c r="O19" s="25"/>
      <c r="P19" s="25"/>
      <c r="Q19" s="25"/>
      <c r="R19" s="25"/>
      <c r="S19" s="25"/>
      <c r="T19" s="25"/>
      <c r="U19" s="25"/>
      <c r="V19" s="25"/>
      <c r="W19" s="25"/>
      <c r="X19" s="25"/>
      <c r="Y19" s="25"/>
    </row>
    <row r="20" spans="1:25" x14ac:dyDescent="0.2">
      <c r="A20" s="9" t="s">
        <v>247</v>
      </c>
      <c r="B20" s="18" t="s">
        <v>691</v>
      </c>
      <c r="C20" s="18">
        <v>40</v>
      </c>
      <c r="D20" s="10">
        <v>50</v>
      </c>
      <c r="E20" s="18"/>
      <c r="F20" s="9" t="str">
        <f t="shared" si="0"/>
        <v>BULKHEADS ETCSHARED OR NO POLE1</v>
      </c>
      <c r="G20" s="10">
        <f t="shared" si="1"/>
        <v>110</v>
      </c>
      <c r="H20" s="7"/>
      <c r="I20" s="9">
        <v>110</v>
      </c>
      <c r="J20" s="96" t="s">
        <v>744</v>
      </c>
      <c r="K20" s="96" t="s">
        <v>676</v>
      </c>
      <c r="L20" s="97">
        <v>1</v>
      </c>
      <c r="N20" s="25"/>
      <c r="O20" s="25"/>
      <c r="P20" s="25"/>
      <c r="Q20" s="25"/>
      <c r="R20" s="25"/>
      <c r="S20" s="25"/>
      <c r="T20" s="25"/>
      <c r="U20" s="25"/>
      <c r="V20" s="25"/>
      <c r="W20" s="25"/>
      <c r="X20" s="25"/>
      <c r="Y20" s="25"/>
    </row>
    <row r="21" spans="1:25" x14ac:dyDescent="0.2">
      <c r="A21" s="9" t="s">
        <v>248</v>
      </c>
      <c r="B21" s="18" t="s">
        <v>692</v>
      </c>
      <c r="C21" s="18" t="s">
        <v>784</v>
      </c>
      <c r="D21" s="10">
        <f>2*D20</f>
        <v>100</v>
      </c>
      <c r="E21" s="18"/>
      <c r="F21" s="9" t="str">
        <f t="shared" si="0"/>
        <v>METAL HALIDE 1000W FLOODLIGHT SHARED OR NO POLE1</v>
      </c>
      <c r="G21" s="10">
        <f t="shared" si="1"/>
        <v>120</v>
      </c>
      <c r="H21" s="7"/>
      <c r="I21" s="9">
        <v>120</v>
      </c>
      <c r="J21" s="96" t="s">
        <v>733</v>
      </c>
      <c r="K21" s="96" t="s">
        <v>676</v>
      </c>
      <c r="L21" s="97">
        <v>1</v>
      </c>
      <c r="N21" s="25"/>
      <c r="O21" s="25"/>
      <c r="P21" s="25"/>
      <c r="Q21" s="25"/>
      <c r="R21" s="25"/>
      <c r="S21" s="25"/>
      <c r="T21" s="25"/>
      <c r="U21" s="25"/>
      <c r="V21" s="25"/>
      <c r="W21" s="25"/>
      <c r="X21" s="25"/>
      <c r="Y21" s="25"/>
    </row>
    <row r="22" spans="1:25" x14ac:dyDescent="0.2">
      <c r="A22" s="9" t="s">
        <v>249</v>
      </c>
      <c r="B22" s="18" t="s">
        <v>693</v>
      </c>
      <c r="C22" s="18" t="s">
        <v>785</v>
      </c>
      <c r="D22" s="10">
        <f>3*D20</f>
        <v>150</v>
      </c>
      <c r="E22" s="18"/>
      <c r="F22" s="173" t="str">
        <f t="shared" si="0"/>
        <v>HIGH PRESSURE SODIUM 70W TWIN ARCWOOD POLE1</v>
      </c>
      <c r="G22" s="176">
        <f t="shared" si="1"/>
        <v>140</v>
      </c>
      <c r="H22" s="7"/>
      <c r="I22" s="173">
        <v>140</v>
      </c>
      <c r="J22" s="174" t="s">
        <v>709</v>
      </c>
      <c r="K22" s="174" t="s">
        <v>677</v>
      </c>
      <c r="L22" s="175">
        <v>1</v>
      </c>
      <c r="N22" s="219"/>
      <c r="O22" s="219"/>
      <c r="P22" s="25"/>
      <c r="Q22" s="25"/>
      <c r="R22" s="25"/>
      <c r="S22" s="25"/>
      <c r="T22" s="25"/>
      <c r="U22" s="25"/>
      <c r="V22" s="25"/>
      <c r="W22" s="25"/>
      <c r="X22" s="25"/>
      <c r="Y22" s="25"/>
    </row>
    <row r="23" spans="1:25" x14ac:dyDescent="0.2">
      <c r="A23" s="9" t="s">
        <v>250</v>
      </c>
      <c r="B23" s="18" t="s">
        <v>694</v>
      </c>
      <c r="C23" s="18" t="s">
        <v>786</v>
      </c>
      <c r="D23" s="10">
        <f>4*D20</f>
        <v>200</v>
      </c>
      <c r="E23" s="18"/>
      <c r="F23" s="173" t="str">
        <f t="shared" si="0"/>
        <v>HIGH PRESSURE SODIUM 50W TWIN ARCWOOD POLE1</v>
      </c>
      <c r="G23" s="176">
        <f t="shared" si="1"/>
        <v>140</v>
      </c>
      <c r="H23" s="7"/>
      <c r="I23" s="173">
        <v>140</v>
      </c>
      <c r="J23" s="174" t="s">
        <v>516</v>
      </c>
      <c r="K23" s="174" t="s">
        <v>677</v>
      </c>
      <c r="L23" s="175">
        <v>1</v>
      </c>
      <c r="N23" s="219"/>
      <c r="O23" s="219"/>
      <c r="P23" s="25"/>
      <c r="Q23" s="25"/>
      <c r="R23" s="25"/>
      <c r="S23" s="25"/>
      <c r="T23" s="25"/>
      <c r="U23" s="25"/>
      <c r="V23" s="25"/>
      <c r="W23" s="25"/>
      <c r="X23" s="25"/>
      <c r="Y23" s="25"/>
    </row>
    <row r="24" spans="1:25" x14ac:dyDescent="0.2">
      <c r="A24" s="9" t="s">
        <v>251</v>
      </c>
      <c r="B24" s="18" t="s">
        <v>696</v>
      </c>
      <c r="C24" s="18" t="s">
        <v>695</v>
      </c>
      <c r="D24" s="10">
        <f>6*D20</f>
        <v>300</v>
      </c>
      <c r="E24" s="18"/>
      <c r="F24" s="9" t="str">
        <f t="shared" si="0"/>
        <v>35W LOW PRESSURE SODIUMWOOD POLE1</v>
      </c>
      <c r="G24" s="10">
        <f t="shared" si="1"/>
        <v>150</v>
      </c>
      <c r="H24" s="7"/>
      <c r="I24" s="9">
        <v>150</v>
      </c>
      <c r="J24" s="96" t="s">
        <v>517</v>
      </c>
      <c r="K24" s="96" t="s">
        <v>677</v>
      </c>
      <c r="L24" s="97">
        <v>1</v>
      </c>
      <c r="N24" s="219"/>
      <c r="O24" s="219"/>
      <c r="P24" s="25"/>
      <c r="Q24" s="25"/>
      <c r="R24" s="25"/>
      <c r="S24" s="25"/>
      <c r="T24" s="25"/>
      <c r="U24" s="25"/>
      <c r="V24" s="25"/>
      <c r="W24" s="25"/>
      <c r="X24" s="25"/>
      <c r="Y24" s="25"/>
    </row>
    <row r="25" spans="1:25" x14ac:dyDescent="0.2">
      <c r="A25" s="9" t="s">
        <v>252</v>
      </c>
      <c r="B25" s="18" t="s">
        <v>697</v>
      </c>
      <c r="C25" s="18">
        <v>58</v>
      </c>
      <c r="D25" s="10">
        <v>72</v>
      </c>
      <c r="E25" s="18"/>
      <c r="F25" s="173" t="str">
        <f t="shared" si="0"/>
        <v>HIGH PRESSURE SODIUM 70W TWIN ARCSTEEL POLE1</v>
      </c>
      <c r="G25" s="176">
        <f t="shared" si="1"/>
        <v>170</v>
      </c>
      <c r="H25" s="7"/>
      <c r="I25" s="173">
        <v>170</v>
      </c>
      <c r="J25" s="174" t="s">
        <v>709</v>
      </c>
      <c r="K25" s="174" t="s">
        <v>678</v>
      </c>
      <c r="L25" s="175">
        <v>1</v>
      </c>
      <c r="N25" s="219"/>
      <c r="O25" s="219"/>
      <c r="P25" s="25"/>
      <c r="Q25" s="25"/>
      <c r="R25" s="25"/>
      <c r="S25" s="25"/>
      <c r="T25" s="25"/>
      <c r="U25" s="25"/>
      <c r="V25" s="25"/>
      <c r="W25" s="25"/>
      <c r="X25" s="25"/>
      <c r="Y25" s="25"/>
    </row>
    <row r="26" spans="1:25" x14ac:dyDescent="0.2">
      <c r="A26" s="9" t="s">
        <v>253</v>
      </c>
      <c r="B26" s="18" t="s">
        <v>699</v>
      </c>
      <c r="C26" s="18" t="s">
        <v>698</v>
      </c>
      <c r="D26" s="10">
        <f>2*D25</f>
        <v>144</v>
      </c>
      <c r="E26" s="18"/>
      <c r="F26" s="173" t="str">
        <f t="shared" si="0"/>
        <v>HIGH PRESSURE SODIUM 50W TWIN ARCSTEEL POLE1</v>
      </c>
      <c r="G26" s="176">
        <f t="shared" si="1"/>
        <v>170</v>
      </c>
      <c r="H26" s="7"/>
      <c r="I26" s="173">
        <v>170</v>
      </c>
      <c r="J26" s="174" t="s">
        <v>516</v>
      </c>
      <c r="K26" s="174" t="s">
        <v>678</v>
      </c>
      <c r="L26" s="175">
        <v>1</v>
      </c>
      <c r="N26" s="219"/>
      <c r="O26" s="219"/>
      <c r="P26" s="25"/>
      <c r="Q26" s="25"/>
      <c r="R26" s="25"/>
      <c r="S26" s="25"/>
      <c r="T26" s="25"/>
      <c r="U26" s="25"/>
      <c r="V26" s="25"/>
      <c r="W26" s="25"/>
      <c r="X26" s="25"/>
      <c r="Y26" s="25"/>
    </row>
    <row r="27" spans="1:25" x14ac:dyDescent="0.2">
      <c r="A27" s="9" t="s">
        <v>254</v>
      </c>
      <c r="B27" s="18" t="s">
        <v>701</v>
      </c>
      <c r="C27" s="18" t="s">
        <v>700</v>
      </c>
      <c r="D27" s="10">
        <f>4*D25</f>
        <v>288</v>
      </c>
      <c r="E27" s="18"/>
      <c r="F27" s="9" t="str">
        <f t="shared" si="0"/>
        <v>35W LOW PRESSURE SODIUMSTEEL POLE1</v>
      </c>
      <c r="G27" s="10">
        <f t="shared" si="1"/>
        <v>180</v>
      </c>
      <c r="H27" s="7"/>
      <c r="I27" s="9">
        <v>180</v>
      </c>
      <c r="J27" s="96" t="s">
        <v>517</v>
      </c>
      <c r="K27" s="96" t="s">
        <v>678</v>
      </c>
      <c r="L27" s="97">
        <v>1</v>
      </c>
      <c r="N27" s="219"/>
      <c r="O27" s="219"/>
      <c r="P27" s="25"/>
      <c r="Q27" s="25"/>
      <c r="R27" s="25"/>
      <c r="S27" s="25"/>
      <c r="T27" s="25"/>
      <c r="U27" s="25"/>
      <c r="V27" s="25"/>
      <c r="W27" s="25"/>
      <c r="X27" s="25"/>
      <c r="Y27" s="25"/>
    </row>
    <row r="28" spans="1:25" x14ac:dyDescent="0.2">
      <c r="A28" s="9" t="s">
        <v>255</v>
      </c>
      <c r="B28" s="18" t="s">
        <v>787</v>
      </c>
      <c r="C28" s="18" t="s">
        <v>788</v>
      </c>
      <c r="D28" s="10">
        <f>5*D25</f>
        <v>360</v>
      </c>
      <c r="E28" s="18"/>
      <c r="F28" s="9" t="str">
        <f t="shared" si="0"/>
        <v>HIGH PRESSURE SODIUM 600W HIGH MASTSHARED OR NO POLE1</v>
      </c>
      <c r="G28" s="10">
        <f t="shared" si="1"/>
        <v>190</v>
      </c>
      <c r="H28" s="7"/>
      <c r="I28" s="9">
        <v>190</v>
      </c>
      <c r="J28" s="96" t="s">
        <v>731</v>
      </c>
      <c r="K28" s="96" t="s">
        <v>676</v>
      </c>
      <c r="L28" s="97">
        <v>1</v>
      </c>
      <c r="N28" s="25"/>
      <c r="O28" s="25"/>
      <c r="P28" s="25"/>
      <c r="Q28" s="25"/>
      <c r="R28" s="25"/>
      <c r="S28" s="25"/>
      <c r="T28" s="25"/>
      <c r="U28" s="25"/>
      <c r="V28" s="25"/>
      <c r="W28" s="25"/>
      <c r="X28" s="25"/>
      <c r="Y28" s="25"/>
    </row>
    <row r="29" spans="1:25" x14ac:dyDescent="0.2">
      <c r="A29" s="9" t="s">
        <v>256</v>
      </c>
      <c r="B29" s="18" t="s">
        <v>789</v>
      </c>
      <c r="C29" s="18">
        <v>65</v>
      </c>
      <c r="D29" s="10">
        <v>81</v>
      </c>
      <c r="E29" s="18"/>
      <c r="F29" s="9" t="str">
        <f t="shared" si="0"/>
        <v>MERCURY VAPOUR 250W WOOD POLE1</v>
      </c>
      <c r="G29" s="10">
        <f t="shared" si="1"/>
        <v>200</v>
      </c>
      <c r="H29" s="7"/>
      <c r="I29" s="9">
        <v>200</v>
      </c>
      <c r="J29" s="96" t="s">
        <v>768</v>
      </c>
      <c r="K29" s="96" t="s">
        <v>677</v>
      </c>
      <c r="L29" s="97">
        <v>1</v>
      </c>
      <c r="N29" s="25"/>
      <c r="O29" s="25"/>
      <c r="P29" s="25"/>
      <c r="Q29" s="25"/>
      <c r="R29" s="25"/>
      <c r="S29" s="25"/>
      <c r="T29" s="25"/>
      <c r="U29" s="25"/>
      <c r="V29" s="25"/>
      <c r="W29" s="25"/>
      <c r="X29" s="25"/>
      <c r="Y29" s="25"/>
    </row>
    <row r="30" spans="1:25" x14ac:dyDescent="0.2">
      <c r="A30" s="9" t="s">
        <v>257</v>
      </c>
      <c r="B30" s="18" t="s">
        <v>790</v>
      </c>
      <c r="C30" s="18" t="s">
        <v>791</v>
      </c>
      <c r="D30" s="10">
        <f>5*D29</f>
        <v>405</v>
      </c>
      <c r="E30" s="18"/>
      <c r="F30" s="9" t="str">
        <f t="shared" si="0"/>
        <v>MERCURY VAPOUR 400WWOOD POLE1</v>
      </c>
      <c r="G30" s="10">
        <f t="shared" si="1"/>
        <v>210</v>
      </c>
      <c r="H30" s="7"/>
      <c r="I30" s="9">
        <v>210</v>
      </c>
      <c r="J30" s="96" t="s">
        <v>771</v>
      </c>
      <c r="K30" s="96" t="s">
        <v>677</v>
      </c>
      <c r="L30" s="97">
        <v>1</v>
      </c>
      <c r="N30" s="25"/>
      <c r="O30" s="25"/>
      <c r="P30" s="25"/>
      <c r="Q30" s="25"/>
      <c r="R30" s="25"/>
      <c r="S30" s="25"/>
      <c r="T30" s="25"/>
      <c r="U30" s="25"/>
      <c r="V30" s="25"/>
      <c r="W30" s="25"/>
      <c r="X30" s="25"/>
      <c r="Y30" s="25"/>
    </row>
    <row r="31" spans="1:25" x14ac:dyDescent="0.2">
      <c r="A31" s="9" t="s">
        <v>258</v>
      </c>
      <c r="B31" s="18" t="s">
        <v>702</v>
      </c>
      <c r="C31" s="18">
        <v>80</v>
      </c>
      <c r="D31" s="10">
        <v>90</v>
      </c>
      <c r="E31" s="18"/>
      <c r="F31" s="9" t="str">
        <f t="shared" si="0"/>
        <v>HIGH PRESSURE SODIUM 150WWOOD POLE1</v>
      </c>
      <c r="G31" s="10">
        <f t="shared" si="1"/>
        <v>220</v>
      </c>
      <c r="H31" s="7"/>
      <c r="I31" s="9">
        <v>220</v>
      </c>
      <c r="J31" s="96" t="s">
        <v>712</v>
      </c>
      <c r="K31" s="96" t="s">
        <v>677</v>
      </c>
      <c r="L31" s="97">
        <v>1</v>
      </c>
      <c r="N31" s="25"/>
      <c r="O31" s="25"/>
      <c r="P31" s="25"/>
      <c r="Q31" s="25"/>
      <c r="R31" s="25"/>
      <c r="S31" s="25"/>
      <c r="T31" s="25"/>
      <c r="U31" s="25"/>
      <c r="V31" s="25"/>
      <c r="W31" s="25"/>
      <c r="X31" s="25"/>
      <c r="Y31" s="25"/>
    </row>
    <row r="32" spans="1:25" x14ac:dyDescent="0.2">
      <c r="A32" s="9" t="s">
        <v>259</v>
      </c>
      <c r="B32" s="18" t="s">
        <v>703</v>
      </c>
      <c r="C32" s="18" t="s">
        <v>792</v>
      </c>
      <c r="D32" s="10">
        <f>2*D31</f>
        <v>180</v>
      </c>
      <c r="E32" s="18"/>
      <c r="F32" s="9" t="str">
        <f t="shared" si="0"/>
        <v>HIGH PRESSURE SODIUM 250W (210/220)WOOD POLE1</v>
      </c>
      <c r="G32" s="10">
        <f t="shared" si="1"/>
        <v>230</v>
      </c>
      <c r="H32" s="7"/>
      <c r="I32" s="9">
        <v>230</v>
      </c>
      <c r="J32" s="96" t="s">
        <v>715</v>
      </c>
      <c r="K32" s="96" t="s">
        <v>677</v>
      </c>
      <c r="L32" s="97">
        <v>1</v>
      </c>
      <c r="N32" s="25"/>
      <c r="O32" s="25"/>
      <c r="P32" s="25"/>
      <c r="Q32" s="25"/>
      <c r="R32" s="25"/>
      <c r="S32" s="25"/>
      <c r="T32" s="25"/>
      <c r="U32" s="25"/>
      <c r="V32" s="25"/>
      <c r="W32" s="25"/>
      <c r="X32" s="25"/>
      <c r="Y32" s="25"/>
    </row>
    <row r="33" spans="1:25" x14ac:dyDescent="0.2">
      <c r="A33" s="9" t="s">
        <v>260</v>
      </c>
      <c r="B33" s="18" t="s">
        <v>704</v>
      </c>
      <c r="C33" s="18" t="s">
        <v>793</v>
      </c>
      <c r="D33" s="10">
        <f>3*D31</f>
        <v>270</v>
      </c>
      <c r="E33" s="18"/>
      <c r="F33" s="9" t="str">
        <f t="shared" si="0"/>
        <v>HIGH PRESSURE SODIUM 400W (310/360)WOOD POLE1</v>
      </c>
      <c r="G33" s="10">
        <f t="shared" si="1"/>
        <v>240</v>
      </c>
      <c r="H33" s="7"/>
      <c r="I33" s="9">
        <v>240</v>
      </c>
      <c r="J33" s="96" t="s">
        <v>722</v>
      </c>
      <c r="K33" s="96" t="s">
        <v>677</v>
      </c>
      <c r="L33" s="97">
        <v>1</v>
      </c>
      <c r="N33" s="25"/>
      <c r="O33" s="25"/>
      <c r="P33" s="25"/>
      <c r="Q33" s="25"/>
      <c r="R33" s="25"/>
      <c r="S33" s="25"/>
      <c r="T33" s="25"/>
      <c r="U33" s="25"/>
      <c r="V33" s="25"/>
      <c r="W33" s="25"/>
      <c r="X33" s="25"/>
      <c r="Y33" s="25"/>
    </row>
    <row r="34" spans="1:25" x14ac:dyDescent="0.2">
      <c r="A34" s="9" t="s">
        <v>261</v>
      </c>
      <c r="B34" s="18" t="s">
        <v>794</v>
      </c>
      <c r="C34" s="18" t="s">
        <v>795</v>
      </c>
      <c r="D34" s="10">
        <f>4*D31</f>
        <v>360</v>
      </c>
      <c r="E34" s="18"/>
      <c r="F34" s="9" t="str">
        <f t="shared" si="0"/>
        <v>HIGH PRESSURE SODIUM 600W HIGH MASTWOOD POLE1</v>
      </c>
      <c r="G34" s="10">
        <f t="shared" si="1"/>
        <v>250</v>
      </c>
      <c r="H34" s="7"/>
      <c r="I34" s="9">
        <v>250</v>
      </c>
      <c r="J34" s="96" t="s">
        <v>731</v>
      </c>
      <c r="K34" s="96" t="s">
        <v>677</v>
      </c>
      <c r="L34" s="97">
        <v>1</v>
      </c>
      <c r="N34" s="25"/>
      <c r="O34" s="25"/>
      <c r="P34" s="25"/>
      <c r="Q34" s="25"/>
      <c r="R34" s="25"/>
      <c r="S34" s="25"/>
      <c r="T34" s="25"/>
      <c r="U34" s="25"/>
      <c r="V34" s="25"/>
      <c r="W34" s="25"/>
      <c r="X34" s="25"/>
      <c r="Y34" s="25"/>
    </row>
    <row r="35" spans="1:25" x14ac:dyDescent="0.2">
      <c r="A35" s="9" t="s">
        <v>262</v>
      </c>
      <c r="B35" s="18" t="s">
        <v>796</v>
      </c>
      <c r="C35" s="18" t="s">
        <v>797</v>
      </c>
      <c r="D35" s="10">
        <f>5*D31</f>
        <v>450</v>
      </c>
      <c r="E35" s="18"/>
      <c r="F35" s="9" t="str">
        <f t="shared" si="0"/>
        <v>METAL HALIDE/HPS 400W FLOOD (310/360)R/BOUT COLUMN2</v>
      </c>
      <c r="G35" s="10">
        <f t="shared" si="1"/>
        <v>260</v>
      </c>
      <c r="H35" s="7"/>
      <c r="I35" s="9">
        <v>260</v>
      </c>
      <c r="J35" s="96" t="s">
        <v>726</v>
      </c>
      <c r="K35" s="96" t="s">
        <v>518</v>
      </c>
      <c r="L35" s="97">
        <v>2</v>
      </c>
      <c r="N35" s="25"/>
      <c r="O35" s="25"/>
      <c r="P35" s="25"/>
      <c r="Q35" s="25"/>
      <c r="R35" s="25"/>
      <c r="S35" s="25"/>
      <c r="T35" s="25"/>
      <c r="U35" s="25"/>
      <c r="V35" s="25"/>
      <c r="W35" s="25"/>
      <c r="X35" s="25"/>
      <c r="Y35" s="25"/>
    </row>
    <row r="36" spans="1:25" x14ac:dyDescent="0.2">
      <c r="A36" s="9" t="s">
        <v>263</v>
      </c>
      <c r="B36" s="18" t="s">
        <v>798</v>
      </c>
      <c r="C36" s="18" t="s">
        <v>799</v>
      </c>
      <c r="D36" s="10">
        <f>6*D31</f>
        <v>540</v>
      </c>
      <c r="E36" s="18"/>
      <c r="F36" s="9" t="str">
        <f t="shared" si="0"/>
        <v>METAL HALIDE/HPS 400W FLOOD (310/360)R/BOUT COLUMN3</v>
      </c>
      <c r="G36" s="10">
        <f t="shared" si="1"/>
        <v>270</v>
      </c>
      <c r="H36" s="7"/>
      <c r="I36" s="9">
        <v>270</v>
      </c>
      <c r="J36" s="96" t="s">
        <v>726</v>
      </c>
      <c r="K36" s="96" t="s">
        <v>518</v>
      </c>
      <c r="L36" s="97">
        <v>3</v>
      </c>
      <c r="N36" s="25"/>
      <c r="O36" s="25"/>
      <c r="P36" s="25"/>
      <c r="Q36" s="25"/>
      <c r="R36" s="25"/>
      <c r="S36" s="25"/>
      <c r="T36" s="25"/>
      <c r="U36" s="25"/>
      <c r="V36" s="25"/>
      <c r="W36" s="25"/>
      <c r="X36" s="25"/>
      <c r="Y36" s="25"/>
    </row>
    <row r="37" spans="1:25" x14ac:dyDescent="0.2">
      <c r="A37" s="9" t="s">
        <v>264</v>
      </c>
      <c r="B37" s="18" t="s">
        <v>706</v>
      </c>
      <c r="C37" s="18" t="s">
        <v>705</v>
      </c>
      <c r="D37" s="10">
        <v>280</v>
      </c>
      <c r="E37" s="18"/>
      <c r="F37" s="9" t="str">
        <f t="shared" si="0"/>
        <v>METAL HALIDE/HPS 400W FLOOD (310/360)R/BOUT COLUMN4</v>
      </c>
      <c r="G37" s="10">
        <f t="shared" si="1"/>
        <v>280</v>
      </c>
      <c r="H37" s="7"/>
      <c r="I37" s="9">
        <v>280</v>
      </c>
      <c r="J37" s="96" t="s">
        <v>726</v>
      </c>
      <c r="K37" s="96" t="s">
        <v>518</v>
      </c>
      <c r="L37" s="97">
        <v>4</v>
      </c>
      <c r="N37" s="25"/>
      <c r="O37" s="25"/>
      <c r="P37" s="25"/>
      <c r="Q37" s="25"/>
      <c r="R37" s="25"/>
      <c r="S37" s="25"/>
      <c r="T37" s="25"/>
      <c r="U37" s="25"/>
      <c r="V37" s="25"/>
      <c r="W37" s="25"/>
      <c r="X37" s="25"/>
      <c r="Y37" s="25"/>
    </row>
    <row r="38" spans="1:25" x14ac:dyDescent="0.2">
      <c r="A38" s="9" t="s">
        <v>265</v>
      </c>
      <c r="B38" s="18" t="s">
        <v>800</v>
      </c>
      <c r="C38" s="18">
        <v>176</v>
      </c>
      <c r="D38" s="10">
        <v>200</v>
      </c>
      <c r="E38" s="18"/>
      <c r="F38" s="9" t="str">
        <f t="shared" si="0"/>
        <v>MERCURY VAPOUR 250W STEEL POLE1</v>
      </c>
      <c r="G38" s="10">
        <f t="shared" si="1"/>
        <v>290</v>
      </c>
      <c r="H38" s="7"/>
      <c r="I38" s="9">
        <v>290</v>
      </c>
      <c r="J38" s="96" t="s">
        <v>768</v>
      </c>
      <c r="K38" s="96" t="s">
        <v>678</v>
      </c>
      <c r="L38" s="97">
        <v>1</v>
      </c>
      <c r="N38" s="25"/>
      <c r="O38" s="25"/>
      <c r="P38" s="25"/>
      <c r="Q38" s="25"/>
      <c r="R38" s="25"/>
      <c r="S38" s="25"/>
      <c r="T38" s="25"/>
      <c r="U38" s="25"/>
      <c r="V38" s="25"/>
      <c r="W38" s="25"/>
      <c r="X38" s="25"/>
      <c r="Y38" s="25"/>
    </row>
    <row r="39" spans="1:25" x14ac:dyDescent="0.2">
      <c r="A39" s="9" t="s">
        <v>266</v>
      </c>
      <c r="B39" s="18" t="s">
        <v>801</v>
      </c>
      <c r="C39" s="18">
        <v>236</v>
      </c>
      <c r="D39" s="10">
        <v>275</v>
      </c>
      <c r="E39" s="18"/>
      <c r="F39" s="9" t="str">
        <f t="shared" si="0"/>
        <v>MERCURY VAPOUR 400WSTEEL POLE1</v>
      </c>
      <c r="G39" s="10">
        <f t="shared" si="1"/>
        <v>300</v>
      </c>
      <c r="H39" s="7"/>
      <c r="I39" s="9">
        <v>300</v>
      </c>
      <c r="J39" s="96" t="s">
        <v>771</v>
      </c>
      <c r="K39" s="96" t="s">
        <v>678</v>
      </c>
      <c r="L39" s="97">
        <v>1</v>
      </c>
      <c r="N39" s="25"/>
      <c r="O39" s="25"/>
      <c r="P39" s="25"/>
      <c r="Q39" s="25"/>
      <c r="R39" s="25"/>
      <c r="S39" s="25"/>
      <c r="T39" s="25"/>
      <c r="U39" s="25"/>
      <c r="V39" s="25"/>
      <c r="W39" s="25"/>
      <c r="X39" s="25"/>
      <c r="Y39" s="25"/>
    </row>
    <row r="40" spans="1:25" x14ac:dyDescent="0.2">
      <c r="A40" s="9" t="s">
        <v>267</v>
      </c>
      <c r="B40" s="18" t="s">
        <v>708</v>
      </c>
      <c r="C40" s="18">
        <v>50</v>
      </c>
      <c r="D40" s="10">
        <v>60</v>
      </c>
      <c r="E40" s="18"/>
      <c r="F40" s="9" t="str">
        <f t="shared" si="0"/>
        <v>HIGH PRESSURE SODIUM 150WSTEEL POLE1</v>
      </c>
      <c r="G40" s="10">
        <f t="shared" si="1"/>
        <v>310</v>
      </c>
      <c r="H40" s="7"/>
      <c r="I40" s="9">
        <v>310</v>
      </c>
      <c r="J40" s="96" t="s">
        <v>712</v>
      </c>
      <c r="K40" s="96" t="s">
        <v>678</v>
      </c>
      <c r="L40" s="97">
        <v>1</v>
      </c>
      <c r="N40" s="25"/>
      <c r="O40" s="25"/>
      <c r="P40" s="25"/>
      <c r="Q40" s="25"/>
      <c r="R40" s="25"/>
      <c r="S40" s="25"/>
      <c r="T40" s="25"/>
      <c r="U40" s="25"/>
      <c r="V40" s="25"/>
      <c r="W40" s="25"/>
      <c r="X40" s="25"/>
      <c r="Y40" s="25"/>
    </row>
    <row r="41" spans="1:25" x14ac:dyDescent="0.2">
      <c r="A41" s="9" t="s">
        <v>268</v>
      </c>
      <c r="B41" s="18" t="s">
        <v>710</v>
      </c>
      <c r="C41" s="18">
        <v>70</v>
      </c>
      <c r="D41" s="10">
        <v>86</v>
      </c>
      <c r="E41" s="18"/>
      <c r="F41" s="9" t="str">
        <f t="shared" si="0"/>
        <v>HIGH PRESSURE SODIUM 250W (210/220)STEEL POLE1</v>
      </c>
      <c r="G41" s="10">
        <f t="shared" si="1"/>
        <v>320</v>
      </c>
      <c r="H41" s="7"/>
      <c r="I41" s="9">
        <v>320</v>
      </c>
      <c r="J41" s="96" t="s">
        <v>715</v>
      </c>
      <c r="K41" s="96" t="s">
        <v>678</v>
      </c>
      <c r="L41" s="97">
        <v>1</v>
      </c>
      <c r="N41" s="25"/>
      <c r="O41" s="25"/>
      <c r="P41" s="25"/>
      <c r="Q41" s="25"/>
      <c r="R41" s="25"/>
      <c r="S41" s="25"/>
      <c r="T41" s="25"/>
      <c r="U41" s="25"/>
      <c r="V41" s="25"/>
      <c r="W41" s="25"/>
      <c r="X41" s="25"/>
      <c r="Y41" s="25"/>
    </row>
    <row r="42" spans="1:25" x14ac:dyDescent="0.2">
      <c r="A42" s="9" t="s">
        <v>269</v>
      </c>
      <c r="B42" s="18" t="s">
        <v>802</v>
      </c>
      <c r="C42" s="18" t="s">
        <v>803</v>
      </c>
      <c r="D42" s="10">
        <f>2*D41</f>
        <v>172</v>
      </c>
      <c r="E42" s="18"/>
      <c r="F42" s="9" t="str">
        <f t="shared" si="0"/>
        <v>HIGH PRESSURE SODIUM 400W (310/360)STEEL POLE1</v>
      </c>
      <c r="G42" s="10">
        <f t="shared" si="1"/>
        <v>330</v>
      </c>
      <c r="H42" s="7"/>
      <c r="I42" s="9">
        <v>330</v>
      </c>
      <c r="J42" s="96" t="s">
        <v>722</v>
      </c>
      <c r="K42" s="96" t="s">
        <v>678</v>
      </c>
      <c r="L42" s="97">
        <v>1</v>
      </c>
      <c r="N42" s="25"/>
      <c r="O42" s="25"/>
      <c r="P42" s="25"/>
      <c r="Q42" s="25"/>
      <c r="R42" s="25"/>
      <c r="S42" s="25"/>
      <c r="T42" s="25"/>
      <c r="U42" s="25"/>
      <c r="V42" s="25"/>
      <c r="W42" s="25"/>
      <c r="X42" s="25"/>
      <c r="Y42" s="25"/>
    </row>
    <row r="43" spans="1:25" x14ac:dyDescent="0.2">
      <c r="A43" s="9" t="s">
        <v>270</v>
      </c>
      <c r="B43" s="18" t="s">
        <v>804</v>
      </c>
      <c r="C43" s="18" t="s">
        <v>805</v>
      </c>
      <c r="D43" s="10">
        <f>3*D41</f>
        <v>258</v>
      </c>
      <c r="E43" s="18"/>
      <c r="F43" s="9" t="str">
        <f t="shared" si="0"/>
        <v>HIGH PRESSURE SODIUM 600W HIGH MASTSTEEL POLE1</v>
      </c>
      <c r="G43" s="10">
        <f t="shared" si="1"/>
        <v>340</v>
      </c>
      <c r="H43" s="7"/>
      <c r="I43" s="9">
        <v>340</v>
      </c>
      <c r="J43" s="96" t="s">
        <v>731</v>
      </c>
      <c r="K43" s="96" t="s">
        <v>678</v>
      </c>
      <c r="L43" s="97">
        <v>1</v>
      </c>
      <c r="N43" s="25"/>
      <c r="O43" s="25"/>
      <c r="P43" s="25"/>
      <c r="Q43" s="25"/>
      <c r="R43" s="25"/>
      <c r="S43" s="25"/>
      <c r="T43" s="25"/>
      <c r="U43" s="25"/>
      <c r="V43" s="25"/>
      <c r="W43" s="25"/>
      <c r="X43" s="25"/>
      <c r="Y43" s="25"/>
    </row>
    <row r="44" spans="1:25" x14ac:dyDescent="0.2">
      <c r="A44" s="9" t="s">
        <v>271</v>
      </c>
      <c r="B44" s="18" t="s">
        <v>806</v>
      </c>
      <c r="C44" s="18" t="s">
        <v>807</v>
      </c>
      <c r="D44" s="10">
        <f>4*D41</f>
        <v>344</v>
      </c>
      <c r="E44" s="18"/>
      <c r="F44" s="9" t="str">
        <f t="shared" si="0"/>
        <v>HIGH PRESSURE SODIUM 70W (100)WOOD POLE1</v>
      </c>
      <c r="G44" s="10">
        <f t="shared" si="1"/>
        <v>350</v>
      </c>
      <c r="H44" s="7"/>
      <c r="I44" s="9">
        <v>350</v>
      </c>
      <c r="J44" s="96" t="s">
        <v>707</v>
      </c>
      <c r="K44" s="96" t="s">
        <v>677</v>
      </c>
      <c r="L44" s="97">
        <v>1</v>
      </c>
      <c r="N44" s="25"/>
      <c r="O44" s="25"/>
      <c r="P44" s="25"/>
      <c r="Q44" s="25"/>
      <c r="R44" s="25"/>
      <c r="S44" s="25"/>
      <c r="T44" s="25"/>
      <c r="U44" s="25"/>
      <c r="V44" s="25"/>
      <c r="W44" s="25"/>
      <c r="X44" s="25"/>
      <c r="Y44" s="25"/>
    </row>
    <row r="45" spans="1:25" x14ac:dyDescent="0.2">
      <c r="A45" s="9" t="s">
        <v>272</v>
      </c>
      <c r="B45" s="18" t="s">
        <v>808</v>
      </c>
      <c r="C45" s="18" t="s">
        <v>809</v>
      </c>
      <c r="D45" s="10">
        <f>8*D41</f>
        <v>688</v>
      </c>
      <c r="E45" s="18"/>
      <c r="F45" s="9" t="str">
        <f t="shared" si="0"/>
        <v>HIGH PRESSURE SODIUM 70W (100)STEEL POLE1</v>
      </c>
      <c r="G45" s="10">
        <f t="shared" si="1"/>
        <v>360</v>
      </c>
      <c r="H45" s="7"/>
      <c r="I45" s="9">
        <v>360</v>
      </c>
      <c r="J45" s="98" t="s">
        <v>707</v>
      </c>
      <c r="K45" s="98" t="s">
        <v>678</v>
      </c>
      <c r="L45" s="91">
        <v>1</v>
      </c>
      <c r="N45" s="25"/>
      <c r="O45" s="25"/>
      <c r="P45" s="25"/>
      <c r="Q45" s="25"/>
      <c r="R45" s="25"/>
      <c r="S45" s="25"/>
      <c r="T45" s="25"/>
      <c r="U45" s="25"/>
      <c r="V45" s="25"/>
      <c r="W45" s="25"/>
      <c r="X45" s="25"/>
      <c r="Y45" s="25"/>
    </row>
    <row r="46" spans="1:25" x14ac:dyDescent="0.2">
      <c r="A46" s="9" t="s">
        <v>273</v>
      </c>
      <c r="B46" s="18" t="s">
        <v>711</v>
      </c>
      <c r="C46" s="18">
        <v>100</v>
      </c>
      <c r="D46" s="10">
        <v>120</v>
      </c>
      <c r="E46" s="18"/>
      <c r="F46" s="9" t="str">
        <f t="shared" si="0"/>
        <v>MERCURY VAPOUR 250W STEEL POLE2</v>
      </c>
      <c r="G46" s="10">
        <f t="shared" si="1"/>
        <v>370</v>
      </c>
      <c r="H46" s="7"/>
      <c r="I46" s="9">
        <v>370</v>
      </c>
      <c r="J46" s="98" t="s">
        <v>768</v>
      </c>
      <c r="K46" s="98" t="s">
        <v>678</v>
      </c>
      <c r="L46" s="91">
        <v>2</v>
      </c>
      <c r="N46" s="25"/>
      <c r="O46" s="25"/>
      <c r="P46" s="25"/>
      <c r="Q46" s="25"/>
      <c r="R46" s="25"/>
      <c r="S46" s="25"/>
      <c r="T46" s="25"/>
      <c r="U46" s="25"/>
      <c r="V46" s="25"/>
      <c r="W46" s="25"/>
      <c r="X46" s="25"/>
      <c r="Y46" s="25"/>
    </row>
    <row r="47" spans="1:25" x14ac:dyDescent="0.2">
      <c r="A47" s="9" t="s">
        <v>274</v>
      </c>
      <c r="B47" s="18" t="s">
        <v>713</v>
      </c>
      <c r="C47" s="18">
        <v>120</v>
      </c>
      <c r="D47" s="10">
        <v>144</v>
      </c>
      <c r="E47" s="18"/>
      <c r="F47" s="9" t="str">
        <f t="shared" si="0"/>
        <v>MERCURY VAPOUR 400WSTEEL POLE2</v>
      </c>
      <c r="G47" s="10">
        <f t="shared" si="1"/>
        <v>380</v>
      </c>
      <c r="H47" s="7"/>
      <c r="I47" s="9">
        <v>380</v>
      </c>
      <c r="J47" s="98" t="s">
        <v>771</v>
      </c>
      <c r="K47" s="98" t="s">
        <v>678</v>
      </c>
      <c r="L47" s="91">
        <v>2</v>
      </c>
      <c r="N47" s="25"/>
      <c r="O47" s="25"/>
      <c r="P47" s="25"/>
      <c r="Q47" s="25"/>
      <c r="R47" s="25"/>
      <c r="S47" s="25"/>
      <c r="T47" s="25"/>
      <c r="U47" s="25"/>
      <c r="V47" s="25"/>
      <c r="W47" s="25"/>
      <c r="X47" s="25"/>
      <c r="Y47" s="25"/>
    </row>
    <row r="48" spans="1:25" x14ac:dyDescent="0.2">
      <c r="A48" s="9" t="s">
        <v>275</v>
      </c>
      <c r="B48" s="18" t="s">
        <v>714</v>
      </c>
      <c r="C48" s="18">
        <v>150</v>
      </c>
      <c r="D48" s="10">
        <v>173</v>
      </c>
      <c r="E48" s="18"/>
      <c r="F48" s="9" t="str">
        <f t="shared" si="0"/>
        <v>HIGH PRESSURE SODIUM 250W (210/220)STEEL POLE2</v>
      </c>
      <c r="G48" s="10">
        <f t="shared" si="1"/>
        <v>390</v>
      </c>
      <c r="H48" s="7"/>
      <c r="I48" s="9">
        <v>390</v>
      </c>
      <c r="J48" s="98" t="s">
        <v>715</v>
      </c>
      <c r="K48" s="98" t="s">
        <v>678</v>
      </c>
      <c r="L48" s="91">
        <v>2</v>
      </c>
      <c r="N48" s="25"/>
      <c r="O48" s="25"/>
      <c r="P48" s="25"/>
      <c r="Q48" s="25"/>
      <c r="R48" s="25"/>
      <c r="S48" s="25"/>
      <c r="T48" s="25"/>
      <c r="U48" s="25"/>
      <c r="V48" s="25"/>
      <c r="W48" s="25"/>
      <c r="X48" s="25"/>
      <c r="Y48" s="25"/>
    </row>
    <row r="49" spans="1:25" x14ac:dyDescent="0.2">
      <c r="A49" s="9" t="s">
        <v>276</v>
      </c>
      <c r="B49" s="18" t="s">
        <v>716</v>
      </c>
      <c r="C49" s="18">
        <v>220</v>
      </c>
      <c r="D49" s="10">
        <v>245</v>
      </c>
      <c r="E49" s="18"/>
      <c r="F49" s="9" t="str">
        <f t="shared" si="0"/>
        <v>HIGH PRESSURE SODIUM 400W (310/360)STEEL POLE2</v>
      </c>
      <c r="G49" s="10">
        <f t="shared" si="1"/>
        <v>400</v>
      </c>
      <c r="H49" s="7"/>
      <c r="I49" s="9">
        <v>400</v>
      </c>
      <c r="J49" s="98" t="s">
        <v>722</v>
      </c>
      <c r="K49" s="98" t="s">
        <v>678</v>
      </c>
      <c r="L49" s="91">
        <v>2</v>
      </c>
      <c r="N49" s="25"/>
      <c r="O49" s="25"/>
      <c r="P49" s="25"/>
      <c r="Q49" s="25"/>
      <c r="R49" s="25"/>
      <c r="S49" s="25"/>
      <c r="T49" s="25"/>
      <c r="U49" s="25"/>
      <c r="V49" s="25"/>
      <c r="W49" s="25"/>
      <c r="X49" s="25"/>
      <c r="Y49" s="25"/>
    </row>
    <row r="50" spans="1:25" x14ac:dyDescent="0.2">
      <c r="A50" s="9" t="s">
        <v>277</v>
      </c>
      <c r="B50" s="18" t="s">
        <v>718</v>
      </c>
      <c r="C50" s="18">
        <v>250</v>
      </c>
      <c r="D50" s="10">
        <v>273</v>
      </c>
      <c r="E50" s="18"/>
      <c r="F50" s="9" t="str">
        <f t="shared" si="0"/>
        <v>MERCURY VAPOUR 250W STEEL POLE3</v>
      </c>
      <c r="G50" s="10">
        <f t="shared" si="1"/>
        <v>410</v>
      </c>
      <c r="H50" s="7"/>
      <c r="I50" s="9">
        <v>410</v>
      </c>
      <c r="J50" s="98" t="s">
        <v>768</v>
      </c>
      <c r="K50" s="98" t="s">
        <v>678</v>
      </c>
      <c r="L50" s="91">
        <v>3</v>
      </c>
      <c r="N50" s="25"/>
      <c r="O50" s="25"/>
      <c r="P50" s="25"/>
      <c r="Q50" s="25"/>
      <c r="R50" s="25"/>
      <c r="S50" s="25"/>
      <c r="T50" s="25"/>
      <c r="U50" s="25"/>
      <c r="V50" s="25"/>
      <c r="W50" s="25"/>
      <c r="X50" s="25"/>
      <c r="Y50" s="25"/>
    </row>
    <row r="51" spans="1:25" ht="22.5" x14ac:dyDescent="0.2">
      <c r="A51" s="9" t="s">
        <v>278</v>
      </c>
      <c r="B51" s="18" t="s">
        <v>721</v>
      </c>
      <c r="C51" s="18" t="s">
        <v>720</v>
      </c>
      <c r="D51" s="10">
        <f>2*D50</f>
        <v>546</v>
      </c>
      <c r="E51" s="18"/>
      <c r="F51" s="9" t="str">
        <f t="shared" si="0"/>
        <v>MERCURY VAPOUR 400WSTEEL POLE3</v>
      </c>
      <c r="G51" s="10">
        <f t="shared" si="1"/>
        <v>420</v>
      </c>
      <c r="H51" s="7"/>
      <c r="I51" s="9">
        <v>420</v>
      </c>
      <c r="J51" s="98" t="s">
        <v>771</v>
      </c>
      <c r="K51" s="98" t="s">
        <v>678</v>
      </c>
      <c r="L51" s="91">
        <v>3</v>
      </c>
      <c r="N51" s="25"/>
      <c r="O51" s="25"/>
      <c r="P51" s="25"/>
      <c r="Q51" s="25"/>
      <c r="R51" s="25"/>
      <c r="S51" s="25"/>
      <c r="T51" s="25"/>
      <c r="U51" s="25"/>
      <c r="V51" s="25"/>
      <c r="W51" s="25"/>
      <c r="X51" s="25"/>
      <c r="Y51" s="25"/>
    </row>
    <row r="52" spans="1:25" ht="22.5" x14ac:dyDescent="0.2">
      <c r="A52" s="9" t="s">
        <v>279</v>
      </c>
      <c r="B52" s="18" t="s">
        <v>810</v>
      </c>
      <c r="C52" s="18" t="s">
        <v>811</v>
      </c>
      <c r="D52" s="10">
        <f>4*D50</f>
        <v>1092</v>
      </c>
      <c r="E52" s="18"/>
      <c r="F52" s="9" t="str">
        <f t="shared" si="0"/>
        <v>HIGH PRESSURE SODIUM 250W (210/220)STEEL POLE3</v>
      </c>
      <c r="G52" s="10">
        <f t="shared" si="1"/>
        <v>430</v>
      </c>
      <c r="H52" s="7"/>
      <c r="I52" s="9">
        <v>430</v>
      </c>
      <c r="J52" s="98" t="s">
        <v>715</v>
      </c>
      <c r="K52" s="98" t="s">
        <v>678</v>
      </c>
      <c r="L52" s="91">
        <v>3</v>
      </c>
      <c r="N52" s="25"/>
      <c r="O52" s="25"/>
      <c r="P52" s="25"/>
      <c r="Q52" s="25"/>
      <c r="R52" s="25"/>
      <c r="S52" s="25"/>
      <c r="T52" s="25"/>
      <c r="U52" s="25"/>
      <c r="V52" s="25"/>
      <c r="W52" s="25"/>
      <c r="X52" s="25"/>
      <c r="Y52" s="25"/>
    </row>
    <row r="53" spans="1:25" ht="22.5" x14ac:dyDescent="0.2">
      <c r="A53" s="9" t="s">
        <v>280</v>
      </c>
      <c r="B53" s="18" t="s">
        <v>724</v>
      </c>
      <c r="C53" s="18" t="s">
        <v>723</v>
      </c>
      <c r="D53" s="10">
        <v>350</v>
      </c>
      <c r="E53" s="18"/>
      <c r="F53" s="9" t="str">
        <f t="shared" si="0"/>
        <v>HIGH PRESSURE SODIUM 400W (310/360)STEEL POLE3</v>
      </c>
      <c r="G53" s="10">
        <f t="shared" si="1"/>
        <v>440</v>
      </c>
      <c r="H53" s="7"/>
      <c r="I53" s="9">
        <v>440</v>
      </c>
      <c r="J53" s="98" t="s">
        <v>722</v>
      </c>
      <c r="K53" s="98" t="s">
        <v>678</v>
      </c>
      <c r="L53" s="91">
        <v>3</v>
      </c>
      <c r="N53" s="25"/>
      <c r="O53" s="25"/>
      <c r="P53" s="25"/>
      <c r="Q53" s="25"/>
      <c r="R53" s="25"/>
      <c r="S53" s="25"/>
      <c r="T53" s="25"/>
      <c r="U53" s="25"/>
      <c r="V53" s="25"/>
      <c r="W53" s="25"/>
      <c r="X53" s="25"/>
      <c r="Y53" s="25"/>
    </row>
    <row r="54" spans="1:25" ht="22.5" x14ac:dyDescent="0.2">
      <c r="A54" s="9" t="s">
        <v>281</v>
      </c>
      <c r="B54" s="18" t="s">
        <v>812</v>
      </c>
      <c r="C54" s="18" t="s">
        <v>813</v>
      </c>
      <c r="D54" s="10">
        <f>2*D53</f>
        <v>700</v>
      </c>
      <c r="E54" s="18"/>
      <c r="F54" s="9" t="str">
        <f t="shared" si="0"/>
        <v>MERCURY VAPOUR 250W STEEL POLE4</v>
      </c>
      <c r="G54" s="10">
        <f t="shared" si="1"/>
        <v>450</v>
      </c>
      <c r="H54" s="7"/>
      <c r="I54" s="9">
        <v>450</v>
      </c>
      <c r="J54" s="98" t="s">
        <v>768</v>
      </c>
      <c r="K54" s="98" t="s">
        <v>678</v>
      </c>
      <c r="L54" s="91">
        <v>4</v>
      </c>
      <c r="N54" s="25"/>
      <c r="O54" s="25"/>
      <c r="P54" s="25"/>
      <c r="Q54" s="25"/>
      <c r="R54" s="25"/>
      <c r="S54" s="25"/>
      <c r="T54" s="25"/>
      <c r="U54" s="25"/>
      <c r="V54" s="25"/>
      <c r="W54" s="25"/>
      <c r="X54" s="25"/>
      <c r="Y54" s="25"/>
    </row>
    <row r="55" spans="1:25" x14ac:dyDescent="0.2">
      <c r="A55" s="9" t="s">
        <v>284</v>
      </c>
      <c r="B55" s="18" t="s">
        <v>725</v>
      </c>
      <c r="C55" s="18">
        <v>360</v>
      </c>
      <c r="D55" s="10">
        <v>396</v>
      </c>
      <c r="E55" s="18"/>
      <c r="F55" s="9" t="str">
        <f t="shared" si="0"/>
        <v>MERCURY VAPOUR 400W STEEL POLE4</v>
      </c>
      <c r="G55" s="10">
        <f t="shared" si="1"/>
        <v>460</v>
      </c>
      <c r="H55" s="7"/>
      <c r="I55" s="9">
        <v>460</v>
      </c>
      <c r="J55" s="98" t="s">
        <v>519</v>
      </c>
      <c r="K55" s="98" t="s">
        <v>678</v>
      </c>
      <c r="L55" s="91">
        <v>4</v>
      </c>
      <c r="N55" s="25"/>
      <c r="O55" s="25"/>
      <c r="P55" s="25"/>
      <c r="Q55" s="25"/>
      <c r="R55" s="25"/>
      <c r="S55" s="25"/>
      <c r="T55" s="25"/>
      <c r="U55" s="25"/>
      <c r="V55" s="25"/>
      <c r="W55" s="25"/>
      <c r="X55" s="25"/>
      <c r="Y55" s="25"/>
    </row>
    <row r="56" spans="1:25" x14ac:dyDescent="0.2">
      <c r="A56" s="9" t="s">
        <v>285</v>
      </c>
      <c r="B56" s="18" t="s">
        <v>727</v>
      </c>
      <c r="C56" s="18">
        <v>400</v>
      </c>
      <c r="D56" s="10">
        <v>440</v>
      </c>
      <c r="E56" s="18"/>
      <c r="F56" s="9" t="str">
        <f t="shared" si="0"/>
        <v>HIGH PRESSURE SODIUM 250W (210/220)STEEL POLE4</v>
      </c>
      <c r="G56" s="10">
        <f t="shared" si="1"/>
        <v>470</v>
      </c>
      <c r="H56" s="7"/>
      <c r="I56" s="9">
        <v>470</v>
      </c>
      <c r="J56" s="98" t="s">
        <v>715</v>
      </c>
      <c r="K56" s="98" t="s">
        <v>678</v>
      </c>
      <c r="L56" s="91">
        <v>4</v>
      </c>
      <c r="N56" s="25"/>
      <c r="O56" s="25"/>
      <c r="P56" s="25"/>
      <c r="Q56" s="25"/>
      <c r="R56" s="25"/>
      <c r="S56" s="25"/>
      <c r="T56" s="25"/>
      <c r="U56" s="25"/>
      <c r="V56" s="25"/>
      <c r="W56" s="25"/>
      <c r="X56" s="25"/>
      <c r="Y56" s="25"/>
    </row>
    <row r="57" spans="1:25" ht="22.5" x14ac:dyDescent="0.2">
      <c r="A57" s="9" t="s">
        <v>286</v>
      </c>
      <c r="B57" s="18" t="s">
        <v>728</v>
      </c>
      <c r="C57" s="18" t="s">
        <v>814</v>
      </c>
      <c r="D57" s="10">
        <f>2*D56</f>
        <v>880</v>
      </c>
      <c r="E57" s="18"/>
      <c r="F57" s="9" t="str">
        <f t="shared" si="0"/>
        <v>HIGH PRESSURE SODIUM 400W (310/360)STEEL POLE4</v>
      </c>
      <c r="G57" s="10">
        <f t="shared" si="1"/>
        <v>480</v>
      </c>
      <c r="H57" s="7"/>
      <c r="I57" s="9">
        <v>480</v>
      </c>
      <c r="J57" s="98" t="s">
        <v>722</v>
      </c>
      <c r="K57" s="98" t="s">
        <v>678</v>
      </c>
      <c r="L57" s="91">
        <v>4</v>
      </c>
      <c r="N57" s="25"/>
      <c r="O57" s="25"/>
      <c r="P57" s="25"/>
      <c r="Q57" s="25"/>
      <c r="R57" s="25"/>
      <c r="S57" s="25"/>
      <c r="T57" s="25"/>
      <c r="U57" s="25"/>
      <c r="V57" s="25"/>
      <c r="W57" s="25"/>
      <c r="X57" s="25"/>
      <c r="Y57" s="25"/>
    </row>
    <row r="58" spans="1:25" ht="22.5" x14ac:dyDescent="0.2">
      <c r="A58" s="9" t="s">
        <v>287</v>
      </c>
      <c r="B58" s="18" t="s">
        <v>730</v>
      </c>
      <c r="C58" s="18" t="s">
        <v>815</v>
      </c>
      <c r="D58" s="10">
        <f>3*D56</f>
        <v>1320</v>
      </c>
      <c r="E58" s="18"/>
      <c r="F58" s="9" t="str">
        <f t="shared" si="0"/>
        <v>MERCURY VAPOUR 250W R/BOUT COLUMN2</v>
      </c>
      <c r="G58" s="10">
        <f t="shared" si="1"/>
        <v>490</v>
      </c>
      <c r="H58" s="7"/>
      <c r="I58" s="9">
        <v>490</v>
      </c>
      <c r="J58" s="98" t="s">
        <v>768</v>
      </c>
      <c r="K58" s="98" t="s">
        <v>518</v>
      </c>
      <c r="L58" s="91">
        <v>2</v>
      </c>
      <c r="N58" s="25"/>
      <c r="O58" s="25"/>
      <c r="P58" s="25"/>
      <c r="Q58" s="25"/>
      <c r="R58" s="25"/>
      <c r="S58" s="25"/>
      <c r="T58" s="25"/>
      <c r="U58" s="25"/>
      <c r="V58" s="25"/>
      <c r="W58" s="25"/>
      <c r="X58" s="25"/>
      <c r="Y58" s="25"/>
    </row>
    <row r="59" spans="1:25" ht="22.5" x14ac:dyDescent="0.2">
      <c r="A59" s="9" t="s">
        <v>288</v>
      </c>
      <c r="B59" s="18" t="s">
        <v>816</v>
      </c>
      <c r="C59" s="18" t="s">
        <v>817</v>
      </c>
      <c r="D59" s="10">
        <f>4*D56</f>
        <v>1760</v>
      </c>
      <c r="E59" s="18"/>
      <c r="F59" s="9" t="str">
        <f t="shared" si="0"/>
        <v>MERCURY VAPOUR 400WR/BOUT COLUMN2</v>
      </c>
      <c r="G59" s="10">
        <f t="shared" si="1"/>
        <v>500</v>
      </c>
      <c r="H59" s="7"/>
      <c r="I59" s="9">
        <v>500</v>
      </c>
      <c r="J59" s="98" t="s">
        <v>771</v>
      </c>
      <c r="K59" s="98" t="s">
        <v>518</v>
      </c>
      <c r="L59" s="91">
        <v>2</v>
      </c>
      <c r="N59" s="25"/>
      <c r="O59" s="25"/>
      <c r="P59" s="25"/>
      <c r="Q59" s="25"/>
      <c r="R59" s="25"/>
      <c r="S59" s="25"/>
      <c r="T59" s="25"/>
      <c r="U59" s="25"/>
      <c r="V59" s="25"/>
      <c r="W59" s="25"/>
      <c r="X59" s="25"/>
      <c r="Y59" s="25"/>
    </row>
    <row r="60" spans="1:25" ht="33.75" x14ac:dyDescent="0.2">
      <c r="A60" s="9" t="s">
        <v>289</v>
      </c>
      <c r="B60" s="18" t="s">
        <v>732</v>
      </c>
      <c r="C60" s="18" t="s">
        <v>818</v>
      </c>
      <c r="D60" s="10">
        <v>650</v>
      </c>
      <c r="E60" s="18"/>
      <c r="F60" s="9" t="str">
        <f t="shared" si="0"/>
        <v>HIGH PRESSURE SODIUM 250W (210/220)R/BOUT COLUMN2</v>
      </c>
      <c r="G60" s="10">
        <f t="shared" si="1"/>
        <v>510</v>
      </c>
      <c r="H60" s="7"/>
      <c r="I60" s="9">
        <v>510</v>
      </c>
      <c r="J60" s="98" t="s">
        <v>715</v>
      </c>
      <c r="K60" s="98" t="s">
        <v>518</v>
      </c>
      <c r="L60" s="91">
        <v>2</v>
      </c>
      <c r="N60" s="25"/>
      <c r="O60" s="25"/>
      <c r="P60" s="25"/>
      <c r="Q60" s="25"/>
      <c r="R60" s="25"/>
      <c r="S60" s="25"/>
      <c r="T60" s="25"/>
      <c r="U60" s="25"/>
      <c r="V60" s="25"/>
      <c r="W60" s="25"/>
      <c r="X60" s="25"/>
      <c r="Y60" s="25"/>
    </row>
    <row r="61" spans="1:25" ht="22.5" x14ac:dyDescent="0.2">
      <c r="A61" s="9" t="s">
        <v>290</v>
      </c>
      <c r="B61" s="18" t="s">
        <v>89</v>
      </c>
      <c r="C61" s="18" t="s">
        <v>90</v>
      </c>
      <c r="D61" s="10">
        <f>2*D60</f>
        <v>1300</v>
      </c>
      <c r="E61" s="18"/>
      <c r="F61" s="9" t="str">
        <f t="shared" si="0"/>
        <v>HIGH PRESSURE SODIUM 400W (310/360)R/BOUT COLUMN2</v>
      </c>
      <c r="G61" s="10">
        <f t="shared" si="1"/>
        <v>520</v>
      </c>
      <c r="H61" s="7"/>
      <c r="I61" s="9">
        <v>520</v>
      </c>
      <c r="J61" s="98" t="s">
        <v>722</v>
      </c>
      <c r="K61" s="98" t="s">
        <v>518</v>
      </c>
      <c r="L61" s="91">
        <v>2</v>
      </c>
      <c r="N61" s="25"/>
      <c r="O61" s="25"/>
      <c r="P61" s="25"/>
      <c r="Q61" s="25"/>
      <c r="R61" s="25"/>
      <c r="S61" s="25"/>
      <c r="T61" s="25"/>
      <c r="U61" s="25"/>
      <c r="V61" s="25"/>
      <c r="W61" s="25"/>
      <c r="X61" s="25"/>
      <c r="Y61" s="25"/>
    </row>
    <row r="62" spans="1:25" ht="22.5" x14ac:dyDescent="0.2">
      <c r="A62" s="9" t="s">
        <v>291</v>
      </c>
      <c r="B62" s="18" t="s">
        <v>91</v>
      </c>
      <c r="C62" s="18" t="s">
        <v>92</v>
      </c>
      <c r="D62" s="10">
        <f>4*D60</f>
        <v>2600</v>
      </c>
      <c r="E62" s="18"/>
      <c r="F62" s="9" t="str">
        <f t="shared" si="0"/>
        <v>MERCURY VAPOUR 250W R/BOUT COLUMN3</v>
      </c>
      <c r="G62" s="10">
        <f t="shared" si="1"/>
        <v>530</v>
      </c>
      <c r="H62" s="7"/>
      <c r="I62" s="9">
        <v>530</v>
      </c>
      <c r="J62" s="98" t="s">
        <v>768</v>
      </c>
      <c r="K62" s="98" t="s">
        <v>518</v>
      </c>
      <c r="L62" s="91">
        <v>3</v>
      </c>
      <c r="N62" s="25"/>
      <c r="O62" s="25"/>
      <c r="P62" s="25"/>
      <c r="Q62" s="25"/>
      <c r="R62" s="25"/>
      <c r="S62" s="25"/>
      <c r="T62" s="25"/>
      <c r="U62" s="25"/>
      <c r="V62" s="25"/>
      <c r="W62" s="25"/>
      <c r="X62" s="25"/>
      <c r="Y62" s="25"/>
    </row>
    <row r="63" spans="1:25" ht="22.5" x14ac:dyDescent="0.2">
      <c r="A63" s="9" t="s">
        <v>292</v>
      </c>
      <c r="B63" s="18" t="s">
        <v>93</v>
      </c>
      <c r="C63" s="18" t="s">
        <v>94</v>
      </c>
      <c r="D63" s="10">
        <f>6*D60</f>
        <v>3900</v>
      </c>
      <c r="E63" s="18"/>
      <c r="F63" s="9" t="str">
        <f t="shared" si="0"/>
        <v>MERCURY VAPOUR 400WR/BOUT COLUMN3</v>
      </c>
      <c r="G63" s="10">
        <f t="shared" si="1"/>
        <v>540</v>
      </c>
      <c r="H63" s="7"/>
      <c r="I63" s="9">
        <v>540</v>
      </c>
      <c r="J63" s="98" t="s">
        <v>771</v>
      </c>
      <c r="K63" s="98" t="s">
        <v>518</v>
      </c>
      <c r="L63" s="91">
        <v>3</v>
      </c>
      <c r="N63" s="25"/>
      <c r="O63" s="25"/>
      <c r="P63" s="25"/>
      <c r="Q63" s="25"/>
      <c r="R63" s="25"/>
      <c r="S63" s="25"/>
      <c r="T63" s="25"/>
      <c r="U63" s="25"/>
      <c r="V63" s="25"/>
      <c r="W63" s="25"/>
      <c r="X63" s="25"/>
      <c r="Y63" s="25"/>
    </row>
    <row r="64" spans="1:25" x14ac:dyDescent="0.2">
      <c r="A64" s="9" t="s">
        <v>293</v>
      </c>
      <c r="B64" s="18" t="s">
        <v>734</v>
      </c>
      <c r="C64" s="18">
        <v>1000</v>
      </c>
      <c r="D64" s="10">
        <v>1064</v>
      </c>
      <c r="E64" s="18"/>
      <c r="F64" s="9" t="str">
        <f t="shared" si="0"/>
        <v>HIGH PRESSURE SODIUM 250W (210/220)R/BOUT COLUMN3</v>
      </c>
      <c r="G64" s="10">
        <f t="shared" si="1"/>
        <v>550</v>
      </c>
      <c r="H64" s="7"/>
      <c r="I64" s="9">
        <v>550</v>
      </c>
      <c r="J64" s="98" t="s">
        <v>715</v>
      </c>
      <c r="K64" s="98" t="s">
        <v>518</v>
      </c>
      <c r="L64" s="91">
        <v>3</v>
      </c>
      <c r="N64" s="25"/>
      <c r="O64" s="25"/>
      <c r="P64" s="25"/>
      <c r="Q64" s="25"/>
      <c r="R64" s="25"/>
      <c r="S64" s="25"/>
      <c r="T64" s="25"/>
      <c r="U64" s="25"/>
      <c r="V64" s="25"/>
      <c r="W64" s="25"/>
      <c r="X64" s="25"/>
      <c r="Y64" s="25"/>
    </row>
    <row r="65" spans="1:25" ht="22.5" x14ac:dyDescent="0.2">
      <c r="A65" s="9" t="s">
        <v>294</v>
      </c>
      <c r="B65" s="18" t="s">
        <v>95</v>
      </c>
      <c r="C65" s="18" t="s">
        <v>96</v>
      </c>
      <c r="D65" s="10">
        <f>4*D64</f>
        <v>4256</v>
      </c>
      <c r="E65" s="18"/>
      <c r="F65" s="9" t="str">
        <f t="shared" si="0"/>
        <v>HIGH PRESSURE SODIUM 400W (310/360)R/BOUT COLUMN3</v>
      </c>
      <c r="G65" s="10">
        <f t="shared" si="1"/>
        <v>560</v>
      </c>
      <c r="H65" s="7"/>
      <c r="I65" s="9">
        <v>560</v>
      </c>
      <c r="J65" s="98" t="s">
        <v>722</v>
      </c>
      <c r="K65" s="98" t="s">
        <v>518</v>
      </c>
      <c r="L65" s="91">
        <v>3</v>
      </c>
      <c r="N65" s="25"/>
      <c r="O65" s="25"/>
      <c r="P65" s="25"/>
      <c r="Q65" s="25"/>
      <c r="R65" s="25"/>
      <c r="S65" s="25"/>
      <c r="T65" s="25"/>
      <c r="U65" s="25"/>
      <c r="V65" s="25"/>
      <c r="W65" s="25"/>
      <c r="X65" s="25"/>
      <c r="Y65" s="25"/>
    </row>
    <row r="66" spans="1:25" x14ac:dyDescent="0.2">
      <c r="A66" s="9" t="s">
        <v>295</v>
      </c>
      <c r="B66" s="18" t="s">
        <v>735</v>
      </c>
      <c r="C66" s="18">
        <v>30</v>
      </c>
      <c r="D66" s="10">
        <v>30</v>
      </c>
      <c r="E66" s="18"/>
      <c r="F66" s="9" t="str">
        <f t="shared" si="0"/>
        <v>MERCURY VAPOUR 250W R/BOUT COLUMN4</v>
      </c>
      <c r="G66" s="10">
        <f t="shared" si="1"/>
        <v>570</v>
      </c>
      <c r="H66" s="7"/>
      <c r="I66" s="9">
        <v>570</v>
      </c>
      <c r="J66" s="98" t="s">
        <v>768</v>
      </c>
      <c r="K66" s="98" t="s">
        <v>518</v>
      </c>
      <c r="L66" s="91">
        <v>4</v>
      </c>
      <c r="N66" s="25"/>
      <c r="O66" s="25"/>
      <c r="P66" s="25"/>
      <c r="Q66" s="25"/>
      <c r="R66" s="25"/>
      <c r="S66" s="25"/>
      <c r="T66" s="25"/>
      <c r="U66" s="25"/>
      <c r="V66" s="25"/>
      <c r="W66" s="25"/>
      <c r="X66" s="25"/>
      <c r="Y66" s="25"/>
    </row>
    <row r="67" spans="1:25" x14ac:dyDescent="0.2">
      <c r="A67" s="9" t="s">
        <v>296</v>
      </c>
      <c r="B67" s="18" t="s">
        <v>736</v>
      </c>
      <c r="C67" s="18">
        <v>40</v>
      </c>
      <c r="D67" s="10">
        <v>40</v>
      </c>
      <c r="E67" s="18"/>
      <c r="F67" s="9" t="str">
        <f t="shared" si="0"/>
        <v>MERCURY VAPOUR 400WR/BOUT COLUMN4</v>
      </c>
      <c r="G67" s="10">
        <f t="shared" si="1"/>
        <v>580</v>
      </c>
      <c r="H67" s="7"/>
      <c r="I67" s="9">
        <v>580</v>
      </c>
      <c r="J67" s="98" t="s">
        <v>771</v>
      </c>
      <c r="K67" s="98" t="s">
        <v>518</v>
      </c>
      <c r="L67" s="91">
        <v>4</v>
      </c>
      <c r="N67" s="25"/>
      <c r="O67" s="25"/>
      <c r="P67" s="25"/>
      <c r="Q67" s="25"/>
      <c r="R67" s="25"/>
      <c r="S67" s="25"/>
      <c r="T67" s="25"/>
      <c r="U67" s="25"/>
      <c r="V67" s="25"/>
      <c r="W67" s="25"/>
      <c r="X67" s="25"/>
      <c r="Y67" s="25"/>
    </row>
    <row r="68" spans="1:25" x14ac:dyDescent="0.2">
      <c r="A68" s="9" t="s">
        <v>297</v>
      </c>
      <c r="B68" s="18" t="s">
        <v>737</v>
      </c>
      <c r="C68" s="18">
        <v>60</v>
      </c>
      <c r="D68" s="10">
        <v>60</v>
      </c>
      <c r="E68" s="18"/>
      <c r="F68" s="9" t="str">
        <f t="shared" si="0"/>
        <v>HIGH PRESSURE SODIUM 250W (210/220)R/BOUT COLUMN4</v>
      </c>
      <c r="G68" s="10">
        <f t="shared" si="1"/>
        <v>590</v>
      </c>
      <c r="H68" s="7"/>
      <c r="I68" s="9">
        <v>590</v>
      </c>
      <c r="J68" s="98" t="s">
        <v>715</v>
      </c>
      <c r="K68" s="98" t="s">
        <v>518</v>
      </c>
      <c r="L68" s="91">
        <v>4</v>
      </c>
      <c r="N68" s="25"/>
      <c r="O68" s="25"/>
      <c r="P68" s="25"/>
      <c r="Q68" s="25"/>
      <c r="R68" s="25"/>
      <c r="S68" s="25"/>
      <c r="T68" s="25"/>
      <c r="U68" s="25"/>
      <c r="V68" s="25"/>
      <c r="W68" s="25"/>
      <c r="X68" s="25"/>
      <c r="Y68" s="25"/>
    </row>
    <row r="69" spans="1:25" x14ac:dyDescent="0.2">
      <c r="A69" s="9" t="s">
        <v>298</v>
      </c>
      <c r="B69" s="18" t="s">
        <v>738</v>
      </c>
      <c r="C69" s="18">
        <v>75</v>
      </c>
      <c r="D69" s="10">
        <v>75</v>
      </c>
      <c r="E69" s="18"/>
      <c r="F69" s="9" t="str">
        <f t="shared" si="0"/>
        <v>HIGH PRESSURE SODIUM 400W (310/360)R/BOUT COLUMN4</v>
      </c>
      <c r="G69" s="10">
        <f t="shared" si="1"/>
        <v>600</v>
      </c>
      <c r="H69" s="7"/>
      <c r="I69" s="9">
        <v>600</v>
      </c>
      <c r="J69" s="98" t="s">
        <v>722</v>
      </c>
      <c r="K69" s="98" t="s">
        <v>518</v>
      </c>
      <c r="L69" s="91">
        <v>4</v>
      </c>
      <c r="N69" s="25"/>
      <c r="O69" s="25"/>
      <c r="P69" s="25"/>
      <c r="Q69" s="25"/>
      <c r="R69" s="25"/>
      <c r="S69" s="25"/>
      <c r="T69" s="25"/>
      <c r="U69" s="25"/>
      <c r="V69" s="25"/>
      <c r="W69" s="25"/>
      <c r="X69" s="25"/>
      <c r="Y69" s="25"/>
    </row>
    <row r="70" spans="1:25" x14ac:dyDescent="0.2">
      <c r="A70" s="9" t="s">
        <v>299</v>
      </c>
      <c r="B70" s="18" t="s">
        <v>739</v>
      </c>
      <c r="C70" s="18">
        <v>100</v>
      </c>
      <c r="D70" s="10">
        <v>100</v>
      </c>
      <c r="E70" s="18"/>
      <c r="F70" s="9" t="str">
        <f t="shared" si="0"/>
        <v>METAL HALIDE/HPS 250W FLOOD (210/220)SHARED OR NO POLE1</v>
      </c>
      <c r="G70" s="10">
        <f t="shared" si="1"/>
        <v>610</v>
      </c>
      <c r="H70" s="7"/>
      <c r="I70" s="9">
        <v>610</v>
      </c>
      <c r="J70" s="98" t="s">
        <v>717</v>
      </c>
      <c r="K70" s="98" t="s">
        <v>676</v>
      </c>
      <c r="L70" s="91">
        <v>1</v>
      </c>
      <c r="N70" s="25"/>
      <c r="O70" s="25"/>
      <c r="P70" s="25"/>
      <c r="Q70" s="25"/>
      <c r="R70" s="25"/>
      <c r="S70" s="25"/>
      <c r="T70" s="25"/>
      <c r="U70" s="25"/>
      <c r="V70" s="25"/>
      <c r="W70" s="25"/>
      <c r="X70" s="25"/>
      <c r="Y70" s="25"/>
    </row>
    <row r="71" spans="1:25" x14ac:dyDescent="0.2">
      <c r="A71" s="9" t="s">
        <v>300</v>
      </c>
      <c r="B71" s="18" t="s">
        <v>97</v>
      </c>
      <c r="C71" s="18" t="s">
        <v>98</v>
      </c>
      <c r="D71" s="10">
        <f>3*D70</f>
        <v>300</v>
      </c>
      <c r="E71" s="18"/>
      <c r="F71" s="9" t="str">
        <f t="shared" si="0"/>
        <v>METAL HALIDE/HPS 400W FLOOD (310/360)SHARED OR NO POLE1</v>
      </c>
      <c r="G71" s="10">
        <f t="shared" si="1"/>
        <v>620</v>
      </c>
      <c r="H71" s="7"/>
      <c r="I71" s="9">
        <v>620</v>
      </c>
      <c r="J71" s="98" t="s">
        <v>726</v>
      </c>
      <c r="K71" s="98" t="s">
        <v>676</v>
      </c>
      <c r="L71" s="91">
        <v>1</v>
      </c>
      <c r="N71" s="25"/>
      <c r="O71" s="25"/>
      <c r="P71" s="25"/>
      <c r="Q71" s="25"/>
      <c r="R71" s="25"/>
      <c r="S71" s="25"/>
      <c r="T71" s="25"/>
      <c r="U71" s="25"/>
      <c r="V71" s="25"/>
      <c r="W71" s="25"/>
      <c r="X71" s="25"/>
      <c r="Y71" s="25"/>
    </row>
    <row r="72" spans="1:25" x14ac:dyDescent="0.2">
      <c r="A72" s="9" t="s">
        <v>301</v>
      </c>
      <c r="B72" s="18" t="s">
        <v>740</v>
      </c>
      <c r="C72" s="18">
        <v>130</v>
      </c>
      <c r="D72" s="10">
        <v>130</v>
      </c>
      <c r="E72" s="18"/>
      <c r="F72" s="9" t="str">
        <f t="shared" si="0"/>
        <v>METAL HALIDE/HPS 250W FLOOD (210/220)SHARED OR NO POLE1</v>
      </c>
      <c r="G72" s="10">
        <f t="shared" si="1"/>
        <v>630</v>
      </c>
      <c r="H72" s="7"/>
      <c r="I72" s="9">
        <v>630</v>
      </c>
      <c r="J72" s="98" t="s">
        <v>717</v>
      </c>
      <c r="K72" s="98" t="s">
        <v>676</v>
      </c>
      <c r="L72" s="91">
        <v>1</v>
      </c>
      <c r="N72" s="25"/>
      <c r="O72" s="25"/>
      <c r="P72" s="25"/>
      <c r="Q72" s="25"/>
      <c r="R72" s="25"/>
      <c r="S72" s="25"/>
      <c r="T72" s="25"/>
      <c r="U72" s="25"/>
      <c r="V72" s="25"/>
      <c r="W72" s="25"/>
      <c r="X72" s="25"/>
      <c r="Y72" s="25"/>
    </row>
    <row r="73" spans="1:25" x14ac:dyDescent="0.2">
      <c r="A73" s="9" t="s">
        <v>302</v>
      </c>
      <c r="B73" s="18" t="s">
        <v>741</v>
      </c>
      <c r="C73" s="18">
        <v>150</v>
      </c>
      <c r="D73" s="10">
        <v>150</v>
      </c>
      <c r="E73" s="18"/>
      <c r="F73" s="9" t="str">
        <f t="shared" si="0"/>
        <v>METAL HALIDE/HPS 400W FLOOD (310/360)SHARED OR NO POLE1</v>
      </c>
      <c r="G73" s="10">
        <f t="shared" si="1"/>
        <v>640</v>
      </c>
      <c r="H73" s="7"/>
      <c r="I73" s="9">
        <v>640</v>
      </c>
      <c r="J73" s="98" t="s">
        <v>726</v>
      </c>
      <c r="K73" s="98" t="s">
        <v>676</v>
      </c>
      <c r="L73" s="91">
        <v>1</v>
      </c>
      <c r="N73" s="25"/>
      <c r="O73" s="25"/>
      <c r="P73" s="25"/>
      <c r="Q73" s="25"/>
      <c r="R73" s="25"/>
      <c r="S73" s="25"/>
      <c r="T73" s="25"/>
      <c r="U73" s="25"/>
      <c r="V73" s="25"/>
      <c r="W73" s="25"/>
      <c r="X73" s="25"/>
      <c r="Y73" s="25"/>
    </row>
    <row r="74" spans="1:25" x14ac:dyDescent="0.2">
      <c r="A74" s="9" t="s">
        <v>303</v>
      </c>
      <c r="B74" s="18" t="s">
        <v>742</v>
      </c>
      <c r="C74" s="18">
        <v>200</v>
      </c>
      <c r="D74" s="10">
        <v>200</v>
      </c>
      <c r="E74" s="18"/>
      <c r="F74" s="9" t="str">
        <f t="shared" ref="F74:F137" si="2">CONCATENATE(J74,K74,L74)</f>
        <v>METAL HALIDE/HPS 250W FLOOD (210/220)SHARED OR NO POLE2</v>
      </c>
      <c r="G74" s="10">
        <f t="shared" ref="G74:G137" si="3">I74</f>
        <v>650</v>
      </c>
      <c r="H74" s="7"/>
      <c r="I74" s="9">
        <v>650</v>
      </c>
      <c r="J74" s="98" t="s">
        <v>717</v>
      </c>
      <c r="K74" s="98" t="s">
        <v>676</v>
      </c>
      <c r="L74" s="91">
        <v>2</v>
      </c>
      <c r="N74" s="25"/>
      <c r="O74" s="25"/>
      <c r="P74" s="25"/>
      <c r="Q74" s="25"/>
      <c r="R74" s="25"/>
      <c r="S74" s="25"/>
      <c r="T74" s="25"/>
      <c r="U74" s="25"/>
      <c r="V74" s="25"/>
      <c r="W74" s="25"/>
      <c r="X74" s="25"/>
      <c r="Y74" s="25"/>
    </row>
    <row r="75" spans="1:25" x14ac:dyDescent="0.2">
      <c r="A75" s="9" t="s">
        <v>304</v>
      </c>
      <c r="B75" s="18" t="s">
        <v>743</v>
      </c>
      <c r="C75" s="18">
        <v>300</v>
      </c>
      <c r="D75" s="10">
        <v>300</v>
      </c>
      <c r="E75" s="18"/>
      <c r="F75" s="9" t="str">
        <f t="shared" si="2"/>
        <v>METAL HALIDE/HPS 400W FLOOD (310/360)SHARED OR NO POLE2</v>
      </c>
      <c r="G75" s="10">
        <f t="shared" si="3"/>
        <v>660</v>
      </c>
      <c r="H75" s="7"/>
      <c r="I75" s="9">
        <v>660</v>
      </c>
      <c r="J75" s="98" t="s">
        <v>726</v>
      </c>
      <c r="K75" s="98" t="s">
        <v>676</v>
      </c>
      <c r="L75" s="91">
        <v>2</v>
      </c>
      <c r="N75" s="25"/>
      <c r="O75" s="25"/>
      <c r="P75" s="25"/>
      <c r="Q75" s="25"/>
      <c r="R75" s="25"/>
      <c r="S75" s="25"/>
      <c r="T75" s="25"/>
      <c r="U75" s="25"/>
      <c r="V75" s="25"/>
      <c r="W75" s="25"/>
      <c r="X75" s="25"/>
      <c r="Y75" s="25"/>
    </row>
    <row r="76" spans="1:25" x14ac:dyDescent="0.2">
      <c r="A76" s="9" t="s">
        <v>305</v>
      </c>
      <c r="B76" s="18" t="s">
        <v>745</v>
      </c>
      <c r="C76" s="18">
        <v>500</v>
      </c>
      <c r="D76" s="10">
        <v>500</v>
      </c>
      <c r="E76" s="18"/>
      <c r="F76" s="9" t="str">
        <f t="shared" si="2"/>
        <v>METAL HALIDE/HPS 250W FLOOD (210/220)SHARED OR NO POLE2</v>
      </c>
      <c r="G76" s="10">
        <f t="shared" si="3"/>
        <v>670</v>
      </c>
      <c r="H76" s="7"/>
      <c r="I76" s="9">
        <v>670</v>
      </c>
      <c r="J76" s="98" t="s">
        <v>717</v>
      </c>
      <c r="K76" s="98" t="s">
        <v>676</v>
      </c>
      <c r="L76" s="91">
        <v>2</v>
      </c>
      <c r="N76" s="25"/>
      <c r="O76" s="25"/>
      <c r="P76" s="25"/>
      <c r="Q76" s="25"/>
      <c r="R76" s="25"/>
      <c r="S76" s="25"/>
      <c r="T76" s="25"/>
      <c r="U76" s="25"/>
      <c r="V76" s="25"/>
      <c r="W76" s="25"/>
      <c r="X76" s="25"/>
      <c r="Y76" s="25"/>
    </row>
    <row r="77" spans="1:25" x14ac:dyDescent="0.2">
      <c r="A77" s="9" t="s">
        <v>306</v>
      </c>
      <c r="B77" s="18" t="s">
        <v>99</v>
      </c>
      <c r="C77" s="18">
        <v>750</v>
      </c>
      <c r="D77" s="10">
        <v>750</v>
      </c>
      <c r="E77" s="18"/>
      <c r="F77" s="9" t="str">
        <f t="shared" si="2"/>
        <v>METAL HALIDE/HPS 400W FLOOD (310/360)SHARED OR NO POLE2</v>
      </c>
      <c r="G77" s="10">
        <f t="shared" si="3"/>
        <v>680</v>
      </c>
      <c r="H77" s="7"/>
      <c r="I77" s="9">
        <v>680</v>
      </c>
      <c r="J77" s="98" t="s">
        <v>726</v>
      </c>
      <c r="K77" s="98" t="s">
        <v>676</v>
      </c>
      <c r="L77" s="91">
        <v>2</v>
      </c>
      <c r="N77" s="25"/>
      <c r="O77" s="25"/>
      <c r="P77" s="25"/>
      <c r="Q77" s="25"/>
      <c r="R77" s="25"/>
      <c r="S77" s="25"/>
      <c r="T77" s="25"/>
      <c r="U77" s="25"/>
      <c r="V77" s="25"/>
      <c r="W77" s="25"/>
      <c r="X77" s="25"/>
      <c r="Y77" s="25"/>
    </row>
    <row r="78" spans="1:25" x14ac:dyDescent="0.2">
      <c r="A78" s="9" t="s">
        <v>307</v>
      </c>
      <c r="B78" s="18" t="s">
        <v>746</v>
      </c>
      <c r="C78" s="18">
        <v>800</v>
      </c>
      <c r="D78" s="10">
        <v>800</v>
      </c>
      <c r="E78" s="18"/>
      <c r="F78" s="9" t="str">
        <f t="shared" si="2"/>
        <v>HIGH PRESSURE SODIUM 150WSTEEL POLE2</v>
      </c>
      <c r="G78" s="10">
        <f t="shared" si="3"/>
        <v>690</v>
      </c>
      <c r="H78" s="7"/>
      <c r="I78" s="9">
        <v>690</v>
      </c>
      <c r="J78" s="98" t="s">
        <v>712</v>
      </c>
      <c r="K78" s="98" t="s">
        <v>678</v>
      </c>
      <c r="L78" s="91">
        <v>2</v>
      </c>
      <c r="N78" s="25"/>
      <c r="O78" s="25"/>
      <c r="P78" s="25"/>
      <c r="Q78" s="25"/>
      <c r="R78" s="25"/>
      <c r="S78" s="25"/>
      <c r="T78" s="25"/>
      <c r="U78" s="25"/>
      <c r="V78" s="25"/>
      <c r="W78" s="25"/>
      <c r="X78" s="25"/>
      <c r="Y78" s="25"/>
    </row>
    <row r="79" spans="1:25" x14ac:dyDescent="0.2">
      <c r="A79" s="9" t="s">
        <v>308</v>
      </c>
      <c r="B79" s="18" t="s">
        <v>747</v>
      </c>
      <c r="C79" s="18">
        <v>1000</v>
      </c>
      <c r="D79" s="10">
        <v>1000</v>
      </c>
      <c r="E79" s="18"/>
      <c r="F79" s="9" t="str">
        <f t="shared" si="2"/>
        <v>HIGH PRESSURE SODIUM 600W HIGH MASTWOOD POLE2</v>
      </c>
      <c r="G79" s="10">
        <f t="shared" si="3"/>
        <v>700</v>
      </c>
      <c r="H79" s="7"/>
      <c r="I79" s="9">
        <v>700</v>
      </c>
      <c r="J79" s="98" t="s">
        <v>731</v>
      </c>
      <c r="K79" s="98" t="s">
        <v>677</v>
      </c>
      <c r="L79" s="91">
        <v>2</v>
      </c>
      <c r="N79" s="25"/>
      <c r="O79" s="25"/>
      <c r="P79" s="25"/>
      <c r="Q79" s="25"/>
      <c r="R79" s="25"/>
      <c r="S79" s="25"/>
      <c r="T79" s="25"/>
      <c r="U79" s="25"/>
      <c r="V79" s="25"/>
      <c r="W79" s="25"/>
      <c r="X79" s="25"/>
      <c r="Y79" s="25"/>
    </row>
    <row r="80" spans="1:25" x14ac:dyDescent="0.2">
      <c r="A80" s="9" t="s">
        <v>309</v>
      </c>
      <c r="B80" s="18" t="s">
        <v>100</v>
      </c>
      <c r="C80" s="18">
        <v>1440</v>
      </c>
      <c r="D80" s="10">
        <v>1440</v>
      </c>
      <c r="E80" s="18"/>
      <c r="F80" s="9" t="str">
        <f t="shared" si="2"/>
        <v>HIGH PRESSURE SODIUM 150WSTEEL POLE3</v>
      </c>
      <c r="G80" s="10">
        <f t="shared" si="3"/>
        <v>710</v>
      </c>
      <c r="H80" s="7"/>
      <c r="I80" s="9">
        <v>710</v>
      </c>
      <c r="J80" s="98" t="s">
        <v>712</v>
      </c>
      <c r="K80" s="98" t="s">
        <v>678</v>
      </c>
      <c r="L80" s="91">
        <v>3</v>
      </c>
      <c r="N80" s="25"/>
      <c r="O80" s="25"/>
      <c r="P80" s="25"/>
      <c r="Q80" s="25"/>
      <c r="R80" s="25"/>
      <c r="S80" s="25"/>
      <c r="T80" s="25"/>
      <c r="U80" s="25"/>
      <c r="V80" s="25"/>
      <c r="W80" s="25"/>
      <c r="X80" s="25"/>
      <c r="Y80" s="25"/>
    </row>
    <row r="81" spans="1:25" x14ac:dyDescent="0.2">
      <c r="A81" s="9" t="s">
        <v>310</v>
      </c>
      <c r="B81" s="18" t="s">
        <v>748</v>
      </c>
      <c r="C81" s="18">
        <v>1500</v>
      </c>
      <c r="D81" s="10">
        <v>1500</v>
      </c>
      <c r="E81" s="18"/>
      <c r="F81" s="9" t="str">
        <f t="shared" si="2"/>
        <v>HIGH PRESSURE SODIUM 150WSTEEL POLE4</v>
      </c>
      <c r="G81" s="10">
        <f t="shared" si="3"/>
        <v>720</v>
      </c>
      <c r="H81" s="7"/>
      <c r="I81" s="9">
        <v>720</v>
      </c>
      <c r="J81" s="98" t="s">
        <v>712</v>
      </c>
      <c r="K81" s="98" t="s">
        <v>678</v>
      </c>
      <c r="L81" s="91">
        <v>4</v>
      </c>
      <c r="N81" s="25"/>
      <c r="O81" s="25"/>
      <c r="P81" s="25"/>
      <c r="Q81" s="25"/>
      <c r="R81" s="25"/>
      <c r="S81" s="25"/>
      <c r="T81" s="25"/>
      <c r="U81" s="25"/>
      <c r="V81" s="25"/>
      <c r="W81" s="25"/>
      <c r="X81" s="25"/>
      <c r="Y81" s="25"/>
    </row>
    <row r="82" spans="1:25" x14ac:dyDescent="0.2">
      <c r="A82" s="9" t="s">
        <v>311</v>
      </c>
      <c r="B82" s="18" t="s">
        <v>101</v>
      </c>
      <c r="C82" s="18">
        <v>2880</v>
      </c>
      <c r="D82" s="10">
        <v>2880</v>
      </c>
      <c r="E82" s="18"/>
      <c r="F82" s="9" t="str">
        <f t="shared" si="2"/>
        <v>HIGH PRESSURE SODIUM 70W (100)STEEL POLE2</v>
      </c>
      <c r="G82" s="10">
        <f t="shared" si="3"/>
        <v>730</v>
      </c>
      <c r="H82" s="7"/>
      <c r="I82" s="9">
        <v>730</v>
      </c>
      <c r="J82" s="98" t="s">
        <v>707</v>
      </c>
      <c r="K82" s="98" t="s">
        <v>678</v>
      </c>
      <c r="L82" s="91">
        <v>2</v>
      </c>
      <c r="N82" s="25"/>
      <c r="O82" s="25"/>
      <c r="P82" s="25"/>
      <c r="Q82" s="25"/>
      <c r="R82" s="25"/>
      <c r="S82" s="25"/>
      <c r="T82" s="25"/>
      <c r="U82" s="25"/>
      <c r="V82" s="25"/>
      <c r="W82" s="25"/>
      <c r="X82" s="25"/>
      <c r="Y82" s="25"/>
    </row>
    <row r="83" spans="1:25" x14ac:dyDescent="0.2">
      <c r="A83" s="9" t="s">
        <v>312</v>
      </c>
      <c r="B83" s="18" t="s">
        <v>749</v>
      </c>
      <c r="C83" s="18">
        <v>18</v>
      </c>
      <c r="D83" s="10">
        <v>29</v>
      </c>
      <c r="E83" s="18"/>
      <c r="F83" s="9" t="str">
        <f t="shared" si="2"/>
        <v>MERCURY VAPOUR 80WSHARED OR NO POLE2</v>
      </c>
      <c r="G83" s="10">
        <f t="shared" si="3"/>
        <v>740</v>
      </c>
      <c r="H83" s="7"/>
      <c r="I83" s="9">
        <v>740</v>
      </c>
      <c r="J83" s="98" t="s">
        <v>679</v>
      </c>
      <c r="K83" s="98" t="s">
        <v>676</v>
      </c>
      <c r="L83" s="91">
        <v>2</v>
      </c>
      <c r="N83" s="25"/>
      <c r="O83" s="25"/>
      <c r="P83" s="25"/>
      <c r="Q83" s="25"/>
      <c r="R83" s="25"/>
      <c r="S83" s="25"/>
      <c r="T83" s="25"/>
      <c r="U83" s="25"/>
      <c r="V83" s="25"/>
      <c r="W83" s="25"/>
      <c r="X83" s="25"/>
      <c r="Y83" s="25"/>
    </row>
    <row r="84" spans="1:25" x14ac:dyDescent="0.2">
      <c r="A84" s="9" t="s">
        <v>313</v>
      </c>
      <c r="B84" s="18" t="s">
        <v>750</v>
      </c>
      <c r="C84" s="18">
        <v>35</v>
      </c>
      <c r="D84" s="10">
        <v>60</v>
      </c>
      <c r="E84" s="18"/>
      <c r="F84" s="9" t="str">
        <f t="shared" si="2"/>
        <v>HIGH PRESSURE SODIUM 70W (100)SHARED OR NO POLE3</v>
      </c>
      <c r="G84" s="10">
        <f t="shared" si="3"/>
        <v>750</v>
      </c>
      <c r="H84" s="7"/>
      <c r="I84" s="9">
        <v>750</v>
      </c>
      <c r="J84" s="98" t="s">
        <v>707</v>
      </c>
      <c r="K84" s="98" t="s">
        <v>676</v>
      </c>
      <c r="L84" s="91">
        <v>3</v>
      </c>
      <c r="N84" s="25"/>
      <c r="O84" s="25"/>
      <c r="P84" s="25"/>
      <c r="Q84" s="25"/>
      <c r="R84" s="25"/>
      <c r="S84" s="25"/>
      <c r="T84" s="25"/>
      <c r="U84" s="25"/>
      <c r="V84" s="25"/>
      <c r="W84" s="25"/>
      <c r="X84" s="25"/>
      <c r="Y84" s="25"/>
    </row>
    <row r="85" spans="1:25" x14ac:dyDescent="0.2">
      <c r="A85" s="9" t="s">
        <v>314</v>
      </c>
      <c r="B85" s="18" t="s">
        <v>751</v>
      </c>
      <c r="C85" s="18">
        <v>55</v>
      </c>
      <c r="D85" s="10">
        <v>80</v>
      </c>
      <c r="E85" s="18"/>
      <c r="F85" s="9" t="str">
        <f t="shared" si="2"/>
        <v>HIGH PRESSURE SODIUM 250W (210/220)WOOD POLE2</v>
      </c>
      <c r="G85" s="10">
        <f t="shared" si="3"/>
        <v>760</v>
      </c>
      <c r="H85" s="7"/>
      <c r="I85" s="9">
        <v>760</v>
      </c>
      <c r="J85" s="98" t="s">
        <v>715</v>
      </c>
      <c r="K85" s="98" t="s">
        <v>677</v>
      </c>
      <c r="L85" s="91">
        <v>2</v>
      </c>
      <c r="N85" s="25"/>
      <c r="O85" s="25"/>
      <c r="P85" s="25"/>
      <c r="Q85" s="25"/>
      <c r="R85" s="25"/>
      <c r="S85" s="25"/>
      <c r="T85" s="25"/>
      <c r="U85" s="25"/>
      <c r="V85" s="25"/>
      <c r="W85" s="25"/>
      <c r="X85" s="25"/>
      <c r="Y85" s="25"/>
    </row>
    <row r="86" spans="1:25" ht="22.5" x14ac:dyDescent="0.2">
      <c r="A86" s="9" t="s">
        <v>315</v>
      </c>
      <c r="B86" s="18" t="s">
        <v>752</v>
      </c>
      <c r="C86" s="18" t="s">
        <v>102</v>
      </c>
      <c r="D86" s="10">
        <v>120</v>
      </c>
      <c r="E86" s="18"/>
      <c r="F86" s="9" t="str">
        <f t="shared" si="2"/>
        <v>HIGH PRESSURE SODIUM 400W (310/360)WOOD POLE2</v>
      </c>
      <c r="G86" s="10">
        <f t="shared" si="3"/>
        <v>770</v>
      </c>
      <c r="H86" s="7"/>
      <c r="I86" s="9">
        <v>770</v>
      </c>
      <c r="J86" s="98" t="s">
        <v>722</v>
      </c>
      <c r="K86" s="98" t="s">
        <v>677</v>
      </c>
      <c r="L86" s="91">
        <v>2</v>
      </c>
      <c r="N86" s="25"/>
      <c r="O86" s="25"/>
      <c r="P86" s="25"/>
      <c r="Q86" s="25"/>
      <c r="R86" s="25"/>
      <c r="S86" s="25"/>
      <c r="T86" s="25"/>
      <c r="U86" s="25"/>
      <c r="V86" s="25"/>
      <c r="W86" s="25"/>
      <c r="X86" s="25"/>
      <c r="Y86" s="25"/>
    </row>
    <row r="87" spans="1:25" x14ac:dyDescent="0.2">
      <c r="A87" s="9" t="s">
        <v>316</v>
      </c>
      <c r="B87" s="18" t="s">
        <v>753</v>
      </c>
      <c r="C87" s="18">
        <v>135</v>
      </c>
      <c r="D87" s="10">
        <v>170</v>
      </c>
      <c r="E87" s="18"/>
      <c r="F87" s="9" t="str">
        <f t="shared" si="2"/>
        <v>MERCURY VAPOUR 250W WOOD POLE2</v>
      </c>
      <c r="G87" s="10">
        <f t="shared" si="3"/>
        <v>780</v>
      </c>
      <c r="H87" s="7"/>
      <c r="I87" s="9">
        <v>780</v>
      </c>
      <c r="J87" s="98" t="s">
        <v>768</v>
      </c>
      <c r="K87" s="98" t="s">
        <v>677</v>
      </c>
      <c r="L87" s="91">
        <v>2</v>
      </c>
      <c r="N87" s="25"/>
      <c r="O87" s="25"/>
      <c r="P87" s="25"/>
      <c r="Q87" s="25"/>
      <c r="R87" s="25"/>
      <c r="S87" s="25"/>
      <c r="T87" s="25"/>
      <c r="U87" s="25"/>
      <c r="V87" s="25"/>
      <c r="W87" s="25"/>
      <c r="X87" s="25"/>
      <c r="Y87" s="25"/>
    </row>
    <row r="88" spans="1:25" x14ac:dyDescent="0.2">
      <c r="A88" s="9" t="s">
        <v>317</v>
      </c>
      <c r="B88" s="18" t="s">
        <v>754</v>
      </c>
      <c r="C88" s="18">
        <v>150</v>
      </c>
      <c r="D88" s="10">
        <v>186</v>
      </c>
      <c r="E88" s="18"/>
      <c r="F88" s="9" t="str">
        <f t="shared" si="2"/>
        <v>MERCURY VAPOUR 400WWOOD POLE2</v>
      </c>
      <c r="G88" s="10">
        <f t="shared" si="3"/>
        <v>790</v>
      </c>
      <c r="H88" s="7"/>
      <c r="I88" s="9">
        <v>790</v>
      </c>
      <c r="J88" s="98" t="s">
        <v>771</v>
      </c>
      <c r="K88" s="98" t="s">
        <v>677</v>
      </c>
      <c r="L88" s="91">
        <v>2</v>
      </c>
      <c r="N88" s="25"/>
      <c r="O88" s="25"/>
      <c r="P88" s="25"/>
      <c r="Q88" s="25"/>
      <c r="R88" s="25"/>
      <c r="S88" s="25"/>
      <c r="T88" s="25"/>
      <c r="U88" s="25"/>
      <c r="V88" s="25"/>
      <c r="W88" s="25"/>
      <c r="X88" s="25"/>
      <c r="Y88" s="25"/>
    </row>
    <row r="89" spans="1:25" x14ac:dyDescent="0.2">
      <c r="A89" s="9" t="s">
        <v>318</v>
      </c>
      <c r="B89" s="18" t="s">
        <v>103</v>
      </c>
      <c r="C89" s="18">
        <v>160</v>
      </c>
      <c r="D89" s="10">
        <v>194</v>
      </c>
      <c r="E89" s="18"/>
      <c r="F89" s="9" t="str">
        <f t="shared" si="2"/>
        <v>SV 600W HIGH MASTR/BOUT COLUMN6</v>
      </c>
      <c r="G89" s="10">
        <f t="shared" si="3"/>
        <v>800</v>
      </c>
      <c r="H89" s="7"/>
      <c r="I89" s="9">
        <v>800</v>
      </c>
      <c r="J89" s="98" t="s">
        <v>520</v>
      </c>
      <c r="K89" s="98" t="s">
        <v>518</v>
      </c>
      <c r="L89" s="91">
        <v>6</v>
      </c>
      <c r="N89" s="25"/>
      <c r="O89" s="25"/>
      <c r="P89" s="25"/>
      <c r="Q89" s="25"/>
      <c r="R89" s="25"/>
      <c r="S89" s="25"/>
      <c r="T89" s="25"/>
      <c r="U89" s="25"/>
      <c r="V89" s="25"/>
      <c r="W89" s="25"/>
      <c r="X89" s="25"/>
      <c r="Y89" s="25"/>
    </row>
    <row r="90" spans="1:25" x14ac:dyDescent="0.2">
      <c r="A90" s="9" t="s">
        <v>319</v>
      </c>
      <c r="B90" s="18" t="s">
        <v>755</v>
      </c>
      <c r="C90" s="18">
        <v>180</v>
      </c>
      <c r="D90" s="10">
        <v>212</v>
      </c>
      <c r="E90" s="18"/>
      <c r="F90" s="9" t="str">
        <f t="shared" si="2"/>
        <v>MERCURY VAPOUR 80WWOOD POLE1</v>
      </c>
      <c r="G90" s="10">
        <f t="shared" si="3"/>
        <v>810</v>
      </c>
      <c r="H90" s="7"/>
      <c r="I90" s="9">
        <v>810</v>
      </c>
      <c r="J90" s="98" t="s">
        <v>679</v>
      </c>
      <c r="K90" s="98" t="s">
        <v>677</v>
      </c>
      <c r="L90" s="91">
        <v>1</v>
      </c>
      <c r="N90" s="25"/>
      <c r="O90" s="25"/>
      <c r="P90" s="25"/>
      <c r="Q90" s="25"/>
      <c r="R90" s="25"/>
      <c r="S90" s="25"/>
      <c r="T90" s="25"/>
      <c r="U90" s="25"/>
      <c r="V90" s="25"/>
      <c r="W90" s="25"/>
      <c r="X90" s="25"/>
      <c r="Y90" s="25"/>
    </row>
    <row r="91" spans="1:25" x14ac:dyDescent="0.2">
      <c r="A91" s="9" t="s">
        <v>320</v>
      </c>
      <c r="B91" s="18" t="s">
        <v>756</v>
      </c>
      <c r="C91" s="18">
        <v>310</v>
      </c>
      <c r="D91" s="10">
        <v>340</v>
      </c>
      <c r="E91" s="18"/>
      <c r="F91" s="9" t="str">
        <f t="shared" si="2"/>
        <v>MERCURY VAPOUR 80WSHARED OR NO POLE3</v>
      </c>
      <c r="G91" s="10">
        <f t="shared" si="3"/>
        <v>820</v>
      </c>
      <c r="H91" s="7"/>
      <c r="I91" s="9">
        <v>820</v>
      </c>
      <c r="J91" s="98" t="s">
        <v>679</v>
      </c>
      <c r="K91" s="98" t="s">
        <v>676</v>
      </c>
      <c r="L91" s="91">
        <v>3</v>
      </c>
      <c r="N91" s="25"/>
      <c r="O91" s="25"/>
      <c r="P91" s="25"/>
      <c r="Q91" s="25"/>
      <c r="R91" s="25"/>
      <c r="S91" s="25"/>
      <c r="T91" s="25"/>
      <c r="U91" s="25"/>
      <c r="V91" s="25"/>
      <c r="W91" s="25"/>
      <c r="X91" s="25"/>
      <c r="Y91" s="25"/>
    </row>
    <row r="92" spans="1:25" ht="22.5" x14ac:dyDescent="0.2">
      <c r="A92" s="9" t="s">
        <v>321</v>
      </c>
      <c r="B92" s="18" t="s">
        <v>104</v>
      </c>
      <c r="C92" s="18">
        <v>150</v>
      </c>
      <c r="D92" s="10">
        <v>173</v>
      </c>
      <c r="E92" s="18"/>
      <c r="F92" s="9" t="str">
        <f t="shared" si="2"/>
        <v>MERCURY VAPOUR 80WSHARED OR NO POLE4</v>
      </c>
      <c r="G92" s="10">
        <f t="shared" si="3"/>
        <v>830</v>
      </c>
      <c r="H92" s="7"/>
      <c r="I92" s="9">
        <v>830</v>
      </c>
      <c r="J92" s="98" t="s">
        <v>679</v>
      </c>
      <c r="K92" s="98" t="s">
        <v>676</v>
      </c>
      <c r="L92" s="91">
        <v>4</v>
      </c>
      <c r="N92" s="25"/>
      <c r="O92" s="25"/>
      <c r="P92" s="25"/>
      <c r="Q92" s="25"/>
      <c r="R92" s="25"/>
      <c r="S92" s="25"/>
      <c r="T92" s="25"/>
      <c r="U92" s="25"/>
      <c r="V92" s="25"/>
      <c r="W92" s="25"/>
      <c r="X92" s="25"/>
      <c r="Y92" s="25"/>
    </row>
    <row r="93" spans="1:25" ht="22.5" x14ac:dyDescent="0.2">
      <c r="A93" s="9" t="s">
        <v>322</v>
      </c>
      <c r="B93" s="18" t="s">
        <v>105</v>
      </c>
      <c r="C93" s="18">
        <v>250</v>
      </c>
      <c r="D93" s="10">
        <v>286</v>
      </c>
      <c r="E93" s="18"/>
      <c r="F93" s="9" t="str">
        <f t="shared" si="2"/>
        <v>METAL HALIDE 1000W FLOODLIGHT R/BOUT COLUMN3</v>
      </c>
      <c r="G93" s="10">
        <f t="shared" si="3"/>
        <v>840</v>
      </c>
      <c r="H93" s="7"/>
      <c r="I93" s="9">
        <v>840</v>
      </c>
      <c r="J93" s="98" t="s">
        <v>733</v>
      </c>
      <c r="K93" s="98" t="s">
        <v>518</v>
      </c>
      <c r="L93" s="91">
        <v>3</v>
      </c>
      <c r="N93" s="25"/>
      <c r="O93" s="25"/>
      <c r="P93" s="25"/>
      <c r="Q93" s="25"/>
      <c r="R93" s="25"/>
      <c r="S93" s="25"/>
      <c r="T93" s="25"/>
      <c r="U93" s="25"/>
      <c r="V93" s="25"/>
      <c r="W93" s="25"/>
      <c r="X93" s="25"/>
      <c r="Y93" s="25"/>
    </row>
    <row r="94" spans="1:25" ht="22.5" x14ac:dyDescent="0.2">
      <c r="A94" s="9" t="s">
        <v>323</v>
      </c>
      <c r="B94" s="18" t="s">
        <v>106</v>
      </c>
      <c r="C94" s="18">
        <v>400</v>
      </c>
      <c r="D94" s="10">
        <v>449</v>
      </c>
      <c r="E94" s="18"/>
      <c r="F94" s="9" t="str">
        <f t="shared" si="2"/>
        <v>METAL HALIDE 1000W FLOODLIGHT R/BOUT COLUMN2</v>
      </c>
      <c r="G94" s="10">
        <f t="shared" si="3"/>
        <v>850</v>
      </c>
      <c r="H94" s="7"/>
      <c r="I94" s="9">
        <v>850</v>
      </c>
      <c r="J94" s="98" t="s">
        <v>733</v>
      </c>
      <c r="K94" s="98" t="s">
        <v>518</v>
      </c>
      <c r="L94" s="91">
        <v>2</v>
      </c>
      <c r="N94" s="25"/>
      <c r="O94" s="25"/>
      <c r="P94" s="25"/>
      <c r="Q94" s="25"/>
      <c r="R94" s="25"/>
      <c r="S94" s="25"/>
      <c r="T94" s="25"/>
      <c r="U94" s="25"/>
      <c r="V94" s="25"/>
      <c r="W94" s="25"/>
      <c r="X94" s="25"/>
      <c r="Y94" s="25"/>
    </row>
    <row r="95" spans="1:25" ht="22.5" x14ac:dyDescent="0.2">
      <c r="A95" s="9" t="s">
        <v>324</v>
      </c>
      <c r="B95" s="18" t="s">
        <v>757</v>
      </c>
      <c r="C95" s="18">
        <v>70</v>
      </c>
      <c r="D95" s="10">
        <v>81.5</v>
      </c>
      <c r="E95" s="18"/>
      <c r="F95" s="9" t="str">
        <f t="shared" si="2"/>
        <v>HIGH PRESSURE SODIUM 2X250 W OR 2X400 W FLOODR/BOUT COLUMN3</v>
      </c>
      <c r="G95" s="10">
        <f t="shared" si="3"/>
        <v>860</v>
      </c>
      <c r="H95" s="7"/>
      <c r="I95" s="9">
        <v>860</v>
      </c>
      <c r="J95" s="98" t="s">
        <v>719</v>
      </c>
      <c r="K95" s="98" t="s">
        <v>518</v>
      </c>
      <c r="L95" s="91">
        <v>3</v>
      </c>
      <c r="N95" s="25"/>
      <c r="O95" s="25"/>
      <c r="P95" s="25"/>
      <c r="Q95" s="25"/>
      <c r="R95" s="25"/>
      <c r="S95" s="25"/>
      <c r="T95" s="25"/>
      <c r="U95" s="25"/>
      <c r="V95" s="25"/>
      <c r="W95" s="25"/>
      <c r="X95" s="25"/>
      <c r="Y95" s="25"/>
    </row>
    <row r="96" spans="1:25" ht="22.5" x14ac:dyDescent="0.2">
      <c r="A96" s="9" t="s">
        <v>325</v>
      </c>
      <c r="B96" s="18" t="s">
        <v>758</v>
      </c>
      <c r="C96" s="18">
        <v>100</v>
      </c>
      <c r="D96" s="10">
        <v>110</v>
      </c>
      <c r="E96" s="18"/>
      <c r="F96" s="9" t="str">
        <f t="shared" si="2"/>
        <v>HIGH PRESSURE SODIUM 2X250 W OR 2X400 W FLOODR/BOUT COLUMN4</v>
      </c>
      <c r="G96" s="10">
        <f t="shared" si="3"/>
        <v>870</v>
      </c>
      <c r="H96" s="7"/>
      <c r="I96" s="9">
        <v>870</v>
      </c>
      <c r="J96" s="98" t="s">
        <v>719</v>
      </c>
      <c r="K96" s="98" t="s">
        <v>518</v>
      </c>
      <c r="L96" s="91">
        <v>4</v>
      </c>
      <c r="N96" s="25"/>
      <c r="O96" s="25"/>
      <c r="P96" s="25"/>
      <c r="Q96" s="25"/>
      <c r="R96" s="25"/>
      <c r="S96" s="25"/>
      <c r="T96" s="25"/>
      <c r="U96" s="25"/>
      <c r="V96" s="25"/>
      <c r="W96" s="25"/>
      <c r="X96" s="25"/>
      <c r="Y96" s="25"/>
    </row>
    <row r="97" spans="1:25" ht="22.5" x14ac:dyDescent="0.2">
      <c r="A97" s="9" t="s">
        <v>326</v>
      </c>
      <c r="B97" s="18" t="s">
        <v>759</v>
      </c>
      <c r="C97" s="18">
        <v>150</v>
      </c>
      <c r="D97" s="10">
        <v>168</v>
      </c>
      <c r="E97" s="18"/>
      <c r="F97" s="9" t="str">
        <f t="shared" si="2"/>
        <v>HIGH PRESSURE SODIUM 70W (100)STEEL POLE4</v>
      </c>
      <c r="G97" s="10">
        <f t="shared" si="3"/>
        <v>880</v>
      </c>
      <c r="H97" s="7"/>
      <c r="I97" s="9">
        <v>880</v>
      </c>
      <c r="J97" s="98" t="s">
        <v>707</v>
      </c>
      <c r="K97" s="98" t="s">
        <v>678</v>
      </c>
      <c r="L97" s="91">
        <v>4</v>
      </c>
      <c r="N97" s="25"/>
      <c r="O97" s="25"/>
      <c r="P97" s="25"/>
      <c r="Q97" s="25"/>
      <c r="R97" s="25"/>
      <c r="S97" s="25"/>
      <c r="T97" s="25"/>
      <c r="U97" s="25"/>
      <c r="V97" s="25"/>
      <c r="W97" s="25"/>
      <c r="X97" s="25"/>
      <c r="Y97" s="25"/>
    </row>
    <row r="98" spans="1:25" ht="22.5" x14ac:dyDescent="0.2">
      <c r="A98" s="9" t="s">
        <v>327</v>
      </c>
      <c r="B98" s="18" t="s">
        <v>107</v>
      </c>
      <c r="C98" s="18" t="s">
        <v>108</v>
      </c>
      <c r="D98" s="10">
        <f>4*D97</f>
        <v>672</v>
      </c>
      <c r="E98" s="18"/>
      <c r="F98" s="9" t="str">
        <f t="shared" si="2"/>
        <v>HIGH PRESSURE SODIUM 70W (100)SHARED OR NO POLE2</v>
      </c>
      <c r="G98" s="10">
        <f t="shared" si="3"/>
        <v>890</v>
      </c>
      <c r="H98" s="7"/>
      <c r="I98" s="9">
        <v>890</v>
      </c>
      <c r="J98" s="98" t="s">
        <v>707</v>
      </c>
      <c r="K98" s="98" t="s">
        <v>676</v>
      </c>
      <c r="L98" s="91">
        <v>2</v>
      </c>
      <c r="N98" s="25"/>
      <c r="O98" s="25"/>
      <c r="P98" s="25"/>
      <c r="Q98" s="25"/>
      <c r="R98" s="25"/>
      <c r="S98" s="25"/>
      <c r="T98" s="25"/>
      <c r="U98" s="25"/>
      <c r="V98" s="25"/>
      <c r="W98" s="25"/>
      <c r="X98" s="25"/>
      <c r="Y98" s="25"/>
    </row>
    <row r="99" spans="1:25" ht="22.5" x14ac:dyDescent="0.2">
      <c r="A99" s="9" t="s">
        <v>328</v>
      </c>
      <c r="B99" s="18" t="s">
        <v>109</v>
      </c>
      <c r="C99" s="18">
        <v>175</v>
      </c>
      <c r="D99" s="10">
        <v>191</v>
      </c>
      <c r="E99" s="18"/>
      <c r="F99" s="9" t="str">
        <f t="shared" si="2"/>
        <v>METAL HALIDE/HPS 400W FLOOD (310/360)WOOD POLE2</v>
      </c>
      <c r="G99" s="10">
        <f t="shared" si="3"/>
        <v>900</v>
      </c>
      <c r="H99" s="7"/>
      <c r="I99" s="9">
        <v>900</v>
      </c>
      <c r="J99" s="98" t="s">
        <v>726</v>
      </c>
      <c r="K99" s="98" t="s">
        <v>677</v>
      </c>
      <c r="L99" s="91">
        <v>2</v>
      </c>
      <c r="N99" s="25"/>
      <c r="O99" s="25"/>
      <c r="P99" s="25"/>
      <c r="Q99" s="25"/>
      <c r="R99" s="25"/>
      <c r="S99" s="25"/>
      <c r="T99" s="25"/>
      <c r="U99" s="25"/>
      <c r="V99" s="25"/>
      <c r="W99" s="25"/>
      <c r="X99" s="25"/>
      <c r="Y99" s="25"/>
    </row>
    <row r="100" spans="1:25" ht="22.5" x14ac:dyDescent="0.2">
      <c r="A100" s="9" t="s">
        <v>329</v>
      </c>
      <c r="B100" s="18" t="s">
        <v>760</v>
      </c>
      <c r="C100" s="18">
        <v>250</v>
      </c>
      <c r="D100" s="10">
        <v>268</v>
      </c>
      <c r="E100" s="18"/>
      <c r="F100" s="9" t="str">
        <f t="shared" si="2"/>
        <v>HIGH PRESSURE SODIUM 70W (100)WOOD POLE2</v>
      </c>
      <c r="G100" s="10">
        <f t="shared" si="3"/>
        <v>910</v>
      </c>
      <c r="H100" s="7"/>
      <c r="I100" s="9">
        <v>910</v>
      </c>
      <c r="J100" s="98" t="s">
        <v>707</v>
      </c>
      <c r="K100" s="98" t="s">
        <v>677</v>
      </c>
      <c r="L100" s="91">
        <v>2</v>
      </c>
      <c r="N100" s="25"/>
      <c r="O100" s="25"/>
      <c r="P100" s="25"/>
      <c r="Q100" s="25"/>
      <c r="R100" s="25"/>
      <c r="S100" s="25"/>
      <c r="T100" s="25"/>
      <c r="U100" s="25"/>
      <c r="V100" s="25"/>
      <c r="W100" s="25"/>
      <c r="X100" s="25"/>
      <c r="Y100" s="25"/>
    </row>
    <row r="101" spans="1:25" ht="22.5" x14ac:dyDescent="0.2">
      <c r="A101" s="9" t="s">
        <v>330</v>
      </c>
      <c r="B101" s="18" t="s">
        <v>761</v>
      </c>
      <c r="C101" s="18">
        <v>400</v>
      </c>
      <c r="D101" s="10">
        <v>425</v>
      </c>
      <c r="E101" s="18"/>
      <c r="F101" s="9" t="str">
        <f t="shared" si="2"/>
        <v>HIGH PRESSURE SODIUM 70W (100)SHARED OR NO POLE4</v>
      </c>
      <c r="G101" s="10">
        <f t="shared" si="3"/>
        <v>920</v>
      </c>
      <c r="H101" s="7"/>
      <c r="I101" s="9">
        <v>920</v>
      </c>
      <c r="J101" s="98" t="s">
        <v>707</v>
      </c>
      <c r="K101" s="98" t="s">
        <v>676</v>
      </c>
      <c r="L101" s="91">
        <v>4</v>
      </c>
      <c r="N101" s="25"/>
      <c r="O101" s="25"/>
      <c r="P101" s="25"/>
      <c r="Q101" s="25"/>
      <c r="R101" s="25"/>
      <c r="S101" s="25"/>
      <c r="T101" s="25"/>
      <c r="U101" s="25"/>
      <c r="V101" s="25"/>
      <c r="W101" s="25"/>
      <c r="X101" s="25"/>
      <c r="Y101" s="25"/>
    </row>
    <row r="102" spans="1:25" ht="22.5" x14ac:dyDescent="0.2">
      <c r="A102" s="9" t="s">
        <v>331</v>
      </c>
      <c r="B102" s="18" t="s">
        <v>110</v>
      </c>
      <c r="C102" s="18" t="s">
        <v>814</v>
      </c>
      <c r="D102" s="10">
        <f>2*D101</f>
        <v>850</v>
      </c>
      <c r="E102" s="18"/>
      <c r="F102" s="9" t="str">
        <f t="shared" si="2"/>
        <v>HIGH PRESSURE SODIUM 250W (210/220)WOOD POLE3</v>
      </c>
      <c r="G102" s="10">
        <f t="shared" si="3"/>
        <v>930</v>
      </c>
      <c r="H102" s="7"/>
      <c r="I102" s="9">
        <v>930</v>
      </c>
      <c r="J102" s="98" t="s">
        <v>715</v>
      </c>
      <c r="K102" s="98" t="s">
        <v>677</v>
      </c>
      <c r="L102" s="91">
        <v>3</v>
      </c>
      <c r="N102" s="25"/>
      <c r="O102" s="25"/>
      <c r="P102" s="25"/>
      <c r="Q102" s="25"/>
      <c r="R102" s="25"/>
      <c r="S102" s="25"/>
      <c r="T102" s="25"/>
      <c r="U102" s="25"/>
      <c r="V102" s="25"/>
      <c r="W102" s="25"/>
      <c r="X102" s="25"/>
      <c r="Y102" s="25"/>
    </row>
    <row r="103" spans="1:25" ht="22.5" x14ac:dyDescent="0.2">
      <c r="A103" s="9" t="s">
        <v>332</v>
      </c>
      <c r="B103" s="18" t="s">
        <v>762</v>
      </c>
      <c r="C103" s="18">
        <v>500</v>
      </c>
      <c r="D103" s="10">
        <v>525</v>
      </c>
      <c r="E103" s="18"/>
      <c r="F103" s="9" t="str">
        <f t="shared" si="2"/>
        <v>MERCURY VAPOUR 250W SHARED OR NO POLE2</v>
      </c>
      <c r="G103" s="10">
        <f t="shared" si="3"/>
        <v>940</v>
      </c>
      <c r="H103" s="7"/>
      <c r="I103" s="9">
        <v>940</v>
      </c>
      <c r="J103" s="98" t="s">
        <v>768</v>
      </c>
      <c r="K103" s="98" t="s">
        <v>676</v>
      </c>
      <c r="L103" s="91">
        <v>2</v>
      </c>
      <c r="N103" s="25"/>
      <c r="O103" s="25"/>
      <c r="P103" s="25"/>
      <c r="Q103" s="25"/>
      <c r="R103" s="25"/>
      <c r="S103" s="25"/>
      <c r="T103" s="25"/>
      <c r="U103" s="25"/>
      <c r="V103" s="25"/>
      <c r="W103" s="25"/>
      <c r="X103" s="25"/>
      <c r="Y103" s="25"/>
    </row>
    <row r="104" spans="1:25" ht="22.5" x14ac:dyDescent="0.2">
      <c r="A104" s="9" t="s">
        <v>333</v>
      </c>
      <c r="B104" s="18" t="s">
        <v>763</v>
      </c>
      <c r="C104" s="18">
        <v>1000</v>
      </c>
      <c r="D104" s="10">
        <v>1040</v>
      </c>
      <c r="E104" s="18"/>
      <c r="F104" s="9" t="str">
        <f t="shared" si="2"/>
        <v>MERCURY VAPOUR 400WSHARED OR NO POLE2</v>
      </c>
      <c r="G104" s="10">
        <f t="shared" si="3"/>
        <v>950</v>
      </c>
      <c r="H104" s="7"/>
      <c r="I104" s="9">
        <v>950</v>
      </c>
      <c r="J104" s="98" t="s">
        <v>771</v>
      </c>
      <c r="K104" s="98" t="s">
        <v>676</v>
      </c>
      <c r="L104" s="91">
        <v>2</v>
      </c>
      <c r="N104" s="25"/>
      <c r="O104" s="25"/>
      <c r="P104" s="25"/>
      <c r="Q104" s="25"/>
      <c r="R104" s="25"/>
      <c r="S104" s="25"/>
      <c r="T104" s="25"/>
      <c r="U104" s="25"/>
      <c r="V104" s="25"/>
      <c r="W104" s="25"/>
      <c r="X104" s="25"/>
      <c r="Y104" s="25"/>
    </row>
    <row r="105" spans="1:25" ht="22.5" x14ac:dyDescent="0.2">
      <c r="A105" s="9" t="s">
        <v>334</v>
      </c>
      <c r="B105" s="18" t="s">
        <v>111</v>
      </c>
      <c r="C105" s="18">
        <v>1500</v>
      </c>
      <c r="D105" s="10">
        <v>1560</v>
      </c>
      <c r="E105" s="18"/>
      <c r="F105" s="9" t="str">
        <f t="shared" si="2"/>
        <v>HIGH PRESSURE SODIUM 250W (210/220)SHARED OR NO POLE2</v>
      </c>
      <c r="G105" s="10">
        <f t="shared" si="3"/>
        <v>960</v>
      </c>
      <c r="H105" s="7"/>
      <c r="I105" s="9">
        <v>960</v>
      </c>
      <c r="J105" s="98" t="s">
        <v>715</v>
      </c>
      <c r="K105" s="98" t="s">
        <v>676</v>
      </c>
      <c r="L105" s="91">
        <v>2</v>
      </c>
      <c r="N105" s="25"/>
      <c r="O105" s="25"/>
      <c r="P105" s="25"/>
      <c r="Q105" s="25"/>
      <c r="R105" s="25"/>
      <c r="S105" s="25"/>
      <c r="T105" s="25"/>
      <c r="U105" s="25"/>
      <c r="V105" s="25"/>
      <c r="W105" s="25"/>
      <c r="X105" s="25"/>
      <c r="Y105" s="25"/>
    </row>
    <row r="106" spans="1:25" ht="22.5" x14ac:dyDescent="0.2">
      <c r="A106" s="9" t="s">
        <v>335</v>
      </c>
      <c r="B106" s="18" t="s">
        <v>112</v>
      </c>
      <c r="C106" s="18">
        <v>2000</v>
      </c>
      <c r="D106" s="10">
        <v>2070</v>
      </c>
      <c r="E106" s="18"/>
      <c r="F106" s="9" t="str">
        <f t="shared" si="2"/>
        <v>HIGH PRESSURE SODIUM 250W (210/220)SHARED OR NO POLE4</v>
      </c>
      <c r="G106" s="10">
        <f t="shared" si="3"/>
        <v>970</v>
      </c>
      <c r="H106" s="7"/>
      <c r="I106" s="9">
        <v>970</v>
      </c>
      <c r="J106" s="98" t="s">
        <v>715</v>
      </c>
      <c r="K106" s="98" t="s">
        <v>676</v>
      </c>
      <c r="L106" s="91">
        <v>4</v>
      </c>
      <c r="N106" s="25"/>
      <c r="O106" s="25"/>
      <c r="P106" s="25"/>
      <c r="Q106" s="25"/>
      <c r="R106" s="25"/>
      <c r="S106" s="25"/>
      <c r="T106" s="25"/>
      <c r="U106" s="25"/>
      <c r="V106" s="25"/>
      <c r="W106" s="25"/>
      <c r="X106" s="25"/>
      <c r="Y106" s="25"/>
    </row>
    <row r="107" spans="1:25" ht="22.5" x14ac:dyDescent="0.2">
      <c r="A107" s="9" t="s">
        <v>336</v>
      </c>
      <c r="B107" s="18" t="s">
        <v>113</v>
      </c>
      <c r="C107" s="18">
        <v>3745</v>
      </c>
      <c r="D107" s="10">
        <v>3745</v>
      </c>
      <c r="E107" s="18"/>
      <c r="F107" s="9" t="str">
        <f t="shared" si="2"/>
        <v>HIGH PRESSURE SODIUM 150WWOOD POLE2</v>
      </c>
      <c r="G107" s="10">
        <f t="shared" si="3"/>
        <v>980</v>
      </c>
      <c r="H107" s="7"/>
      <c r="I107" s="9">
        <v>980</v>
      </c>
      <c r="J107" s="98" t="s">
        <v>712</v>
      </c>
      <c r="K107" s="98" t="s">
        <v>677</v>
      </c>
      <c r="L107" s="91">
        <v>2</v>
      </c>
      <c r="N107" s="25"/>
      <c r="O107" s="25"/>
      <c r="P107" s="25"/>
      <c r="Q107" s="25"/>
      <c r="R107" s="25"/>
      <c r="S107" s="25"/>
      <c r="T107" s="25"/>
      <c r="U107" s="25"/>
      <c r="V107" s="25"/>
      <c r="W107" s="25"/>
      <c r="X107" s="25"/>
      <c r="Y107" s="25"/>
    </row>
    <row r="108" spans="1:25" x14ac:dyDescent="0.2">
      <c r="A108" s="9" t="s">
        <v>337</v>
      </c>
      <c r="B108" s="18" t="s">
        <v>764</v>
      </c>
      <c r="C108" s="18">
        <v>50</v>
      </c>
      <c r="D108" s="10">
        <v>65</v>
      </c>
      <c r="E108" s="18"/>
      <c r="F108" s="9" t="str">
        <f t="shared" si="2"/>
        <v>MERCURY VAPOUR 80WSTEEL POLE1</v>
      </c>
      <c r="G108" s="10">
        <f t="shared" si="3"/>
        <v>990</v>
      </c>
      <c r="H108" s="7"/>
      <c r="I108" s="9">
        <v>990</v>
      </c>
      <c r="J108" s="98" t="s">
        <v>679</v>
      </c>
      <c r="K108" s="98" t="s">
        <v>678</v>
      </c>
      <c r="L108" s="91">
        <v>1</v>
      </c>
      <c r="N108" s="25"/>
      <c r="O108" s="25"/>
      <c r="P108" s="25"/>
      <c r="Q108" s="25"/>
      <c r="R108" s="25"/>
      <c r="S108" s="25"/>
      <c r="T108" s="25"/>
      <c r="U108" s="25"/>
      <c r="V108" s="25"/>
      <c r="W108" s="25"/>
      <c r="X108" s="25"/>
      <c r="Y108" s="25"/>
    </row>
    <row r="109" spans="1:25" x14ac:dyDescent="0.2">
      <c r="A109" s="9" t="s">
        <v>338</v>
      </c>
      <c r="B109" s="18" t="s">
        <v>765</v>
      </c>
      <c r="C109" s="18">
        <v>80</v>
      </c>
      <c r="D109" s="10">
        <v>95.8</v>
      </c>
      <c r="E109" s="18"/>
      <c r="F109" s="9" t="str">
        <f t="shared" si="2"/>
        <v>MERCURY VAPOUR 80WSTEEL POLE2</v>
      </c>
      <c r="G109" s="10">
        <f t="shared" si="3"/>
        <v>1000</v>
      </c>
      <c r="H109" s="7"/>
      <c r="I109" s="9">
        <v>1000</v>
      </c>
      <c r="J109" s="98" t="s">
        <v>679</v>
      </c>
      <c r="K109" s="98" t="s">
        <v>678</v>
      </c>
      <c r="L109" s="91">
        <v>2</v>
      </c>
      <c r="N109" s="25"/>
      <c r="O109" s="25"/>
      <c r="P109" s="25"/>
      <c r="Q109" s="25"/>
      <c r="R109" s="25"/>
      <c r="S109" s="25"/>
      <c r="T109" s="25"/>
      <c r="U109" s="25"/>
      <c r="V109" s="25"/>
      <c r="W109" s="25"/>
      <c r="X109" s="25"/>
      <c r="Y109" s="25"/>
    </row>
    <row r="110" spans="1:25" x14ac:dyDescent="0.2">
      <c r="A110" s="9" t="s">
        <v>339</v>
      </c>
      <c r="B110" s="18" t="s">
        <v>114</v>
      </c>
      <c r="C110" s="18" t="s">
        <v>792</v>
      </c>
      <c r="D110" s="10">
        <f>2*+D109</f>
        <v>191.6</v>
      </c>
      <c r="E110" s="18"/>
      <c r="F110" s="9" t="str">
        <f t="shared" si="2"/>
        <v>HIGH PRESSURE SODIUM 150WSHARED OR NO POLE2</v>
      </c>
      <c r="G110" s="10">
        <f t="shared" si="3"/>
        <v>1010</v>
      </c>
      <c r="H110" s="7"/>
      <c r="I110" s="9">
        <v>1010</v>
      </c>
      <c r="J110" s="98" t="s">
        <v>712</v>
      </c>
      <c r="K110" s="98" t="s">
        <v>676</v>
      </c>
      <c r="L110" s="91">
        <v>2</v>
      </c>
      <c r="N110" s="25"/>
      <c r="O110" s="25"/>
      <c r="P110" s="25"/>
      <c r="Q110" s="25"/>
      <c r="R110" s="25"/>
      <c r="S110" s="25"/>
      <c r="T110" s="25"/>
      <c r="U110" s="25"/>
      <c r="V110" s="25"/>
      <c r="W110" s="25"/>
      <c r="X110" s="25"/>
      <c r="Y110" s="25"/>
    </row>
    <row r="111" spans="1:25" x14ac:dyDescent="0.2">
      <c r="A111" s="9" t="s">
        <v>340</v>
      </c>
      <c r="B111" s="18" t="s">
        <v>115</v>
      </c>
      <c r="C111" s="18" t="s">
        <v>793</v>
      </c>
      <c r="D111" s="10">
        <f>3*D109</f>
        <v>287.39999999999998</v>
      </c>
      <c r="E111" s="18"/>
      <c r="F111" s="9" t="str">
        <f t="shared" si="2"/>
        <v>HIGH PRESSURE SODIUM 250W (210/220)SHARED OR NO POLE3</v>
      </c>
      <c r="G111" s="10">
        <f t="shared" si="3"/>
        <v>1020</v>
      </c>
      <c r="H111" s="7"/>
      <c r="I111" s="9">
        <v>1020</v>
      </c>
      <c r="J111" s="98" t="s">
        <v>715</v>
      </c>
      <c r="K111" s="98" t="s">
        <v>676</v>
      </c>
      <c r="L111" s="91">
        <v>3</v>
      </c>
      <c r="N111" s="25"/>
      <c r="O111" s="25"/>
      <c r="P111" s="25"/>
      <c r="Q111" s="25"/>
      <c r="R111" s="25"/>
      <c r="S111" s="25"/>
      <c r="T111" s="25"/>
      <c r="U111" s="25"/>
      <c r="V111" s="25"/>
      <c r="W111" s="25"/>
      <c r="X111" s="25"/>
      <c r="Y111" s="25"/>
    </row>
    <row r="112" spans="1:25" x14ac:dyDescent="0.2">
      <c r="A112" s="9" t="s">
        <v>341</v>
      </c>
      <c r="B112" s="18" t="s">
        <v>116</v>
      </c>
      <c r="C112" s="18" t="s">
        <v>795</v>
      </c>
      <c r="D112" s="10">
        <f>4*D109</f>
        <v>383.2</v>
      </c>
      <c r="E112" s="18"/>
      <c r="F112" s="9" t="str">
        <f t="shared" si="2"/>
        <v>HIGH PRESSURE SODIUM 400W (310/360)SHARED OR NO POLE2</v>
      </c>
      <c r="G112" s="10">
        <f t="shared" si="3"/>
        <v>1030</v>
      </c>
      <c r="H112" s="7"/>
      <c r="I112" s="9">
        <v>1030</v>
      </c>
      <c r="J112" s="98" t="s">
        <v>722</v>
      </c>
      <c r="K112" s="98" t="s">
        <v>676</v>
      </c>
      <c r="L112" s="91">
        <v>2</v>
      </c>
      <c r="N112" s="25"/>
      <c r="O112" s="25"/>
      <c r="P112" s="25"/>
      <c r="Q112" s="25"/>
      <c r="R112" s="25"/>
      <c r="S112" s="25"/>
      <c r="T112" s="25"/>
      <c r="U112" s="25"/>
      <c r="V112" s="25"/>
      <c r="W112" s="25"/>
      <c r="X112" s="25"/>
      <c r="Y112" s="25"/>
    </row>
    <row r="113" spans="1:25" x14ac:dyDescent="0.2">
      <c r="A113" s="9" t="s">
        <v>342</v>
      </c>
      <c r="B113" s="18" t="s">
        <v>117</v>
      </c>
      <c r="C113" s="18" t="s">
        <v>799</v>
      </c>
      <c r="D113" s="10">
        <f>6*D109</f>
        <v>574.79999999999995</v>
      </c>
      <c r="E113" s="18"/>
      <c r="F113" s="9" t="str">
        <f t="shared" si="2"/>
        <v>METAL HALIDE 1000W FLOODLIGHT SHARED OR NO POLE2</v>
      </c>
      <c r="G113" s="10">
        <f t="shared" si="3"/>
        <v>1040</v>
      </c>
      <c r="H113" s="7"/>
      <c r="I113" s="9">
        <v>1040</v>
      </c>
      <c r="J113" s="98" t="s">
        <v>733</v>
      </c>
      <c r="K113" s="98" t="s">
        <v>676</v>
      </c>
      <c r="L113" s="91">
        <v>2</v>
      </c>
      <c r="N113" s="25"/>
      <c r="O113" s="25"/>
      <c r="P113" s="25"/>
      <c r="Q113" s="25"/>
      <c r="R113" s="25"/>
      <c r="S113" s="25"/>
      <c r="T113" s="25"/>
      <c r="U113" s="25"/>
      <c r="V113" s="25"/>
      <c r="W113" s="25"/>
      <c r="X113" s="25"/>
      <c r="Y113" s="25"/>
    </row>
    <row r="114" spans="1:25" x14ac:dyDescent="0.2">
      <c r="A114" s="9" t="s">
        <v>343</v>
      </c>
      <c r="B114" s="18" t="s">
        <v>118</v>
      </c>
      <c r="C114" s="18" t="s">
        <v>119</v>
      </c>
      <c r="D114" s="10">
        <f>7*D109</f>
        <v>670.6</v>
      </c>
      <c r="E114" s="18"/>
      <c r="F114" s="9" t="str">
        <f t="shared" si="2"/>
        <v>METAL HALIDE 1000W FLOODLIGHT R/BOUT COLUMN4</v>
      </c>
      <c r="G114" s="10">
        <f t="shared" si="3"/>
        <v>1050</v>
      </c>
      <c r="H114" s="7"/>
      <c r="I114" s="9">
        <v>1050</v>
      </c>
      <c r="J114" s="98" t="s">
        <v>733</v>
      </c>
      <c r="K114" s="98" t="s">
        <v>518</v>
      </c>
      <c r="L114" s="91">
        <v>4</v>
      </c>
      <c r="N114" s="25"/>
      <c r="O114" s="25"/>
      <c r="P114" s="25"/>
      <c r="Q114" s="25"/>
      <c r="R114" s="25"/>
      <c r="S114" s="25"/>
      <c r="T114" s="25"/>
      <c r="U114" s="25"/>
      <c r="V114" s="25"/>
      <c r="W114" s="25"/>
      <c r="X114" s="25"/>
      <c r="Y114" s="25"/>
    </row>
    <row r="115" spans="1:25" x14ac:dyDescent="0.2">
      <c r="A115" s="9" t="s">
        <v>344</v>
      </c>
      <c r="B115" s="18" t="s">
        <v>766</v>
      </c>
      <c r="C115" s="18">
        <v>125</v>
      </c>
      <c r="D115" s="10">
        <v>142</v>
      </c>
      <c r="E115" s="18"/>
      <c r="F115" s="9" t="str">
        <f t="shared" si="2"/>
        <v>HIGH PRESSURE SODIUM 400W (310/360)WOOD POLE4</v>
      </c>
      <c r="G115" s="10">
        <f t="shared" si="3"/>
        <v>1060</v>
      </c>
      <c r="H115" s="7"/>
      <c r="I115" s="9">
        <v>1060</v>
      </c>
      <c r="J115" s="98" t="s">
        <v>722</v>
      </c>
      <c r="K115" s="98" t="s">
        <v>677</v>
      </c>
      <c r="L115" s="91">
        <v>4</v>
      </c>
      <c r="N115" s="25"/>
      <c r="O115" s="25"/>
      <c r="P115" s="25"/>
      <c r="Q115" s="25"/>
      <c r="R115" s="25"/>
      <c r="S115" s="25"/>
      <c r="T115" s="25"/>
      <c r="U115" s="25"/>
      <c r="V115" s="25"/>
      <c r="W115" s="25"/>
      <c r="X115" s="25"/>
      <c r="Y115" s="25"/>
    </row>
    <row r="116" spans="1:25" x14ac:dyDescent="0.2">
      <c r="A116" s="9" t="s">
        <v>345</v>
      </c>
      <c r="B116" s="18" t="s">
        <v>123</v>
      </c>
      <c r="C116" s="18" t="s">
        <v>705</v>
      </c>
      <c r="D116" s="10">
        <f>2*D115</f>
        <v>284</v>
      </c>
      <c r="E116" s="18"/>
      <c r="F116" s="9" t="str">
        <f t="shared" si="2"/>
        <v>METAL HALIDE/HPS 250W FLOOD (210/220)WOOD POLE1</v>
      </c>
      <c r="G116" s="10">
        <f t="shared" si="3"/>
        <v>1070</v>
      </c>
      <c r="H116" s="7"/>
      <c r="I116" s="9">
        <v>1070</v>
      </c>
      <c r="J116" s="98" t="s">
        <v>717</v>
      </c>
      <c r="K116" s="98" t="s">
        <v>677</v>
      </c>
      <c r="L116" s="91">
        <v>1</v>
      </c>
      <c r="N116" s="25"/>
      <c r="O116" s="25"/>
      <c r="P116" s="25"/>
      <c r="Q116" s="25"/>
      <c r="R116" s="25"/>
      <c r="S116" s="25"/>
      <c r="T116" s="25"/>
      <c r="U116" s="25"/>
      <c r="V116" s="25"/>
      <c r="W116" s="25"/>
      <c r="X116" s="25"/>
      <c r="Y116" s="25"/>
    </row>
    <row r="117" spans="1:25" x14ac:dyDescent="0.2">
      <c r="A117" s="9" t="s">
        <v>346</v>
      </c>
      <c r="B117" s="18" t="s">
        <v>124</v>
      </c>
      <c r="C117" s="18" t="s">
        <v>125</v>
      </c>
      <c r="D117" s="10">
        <f>3*D115</f>
        <v>426</v>
      </c>
      <c r="E117" s="18"/>
      <c r="F117" s="9" t="str">
        <f t="shared" si="2"/>
        <v>METAL HALIDE/HPS 400W FLOOD (310/360)WOOD POLE1</v>
      </c>
      <c r="G117" s="10">
        <f t="shared" si="3"/>
        <v>1100</v>
      </c>
      <c r="H117" s="7"/>
      <c r="I117" s="9">
        <v>1100</v>
      </c>
      <c r="J117" s="98" t="s">
        <v>726</v>
      </c>
      <c r="K117" s="98" t="s">
        <v>677</v>
      </c>
      <c r="L117" s="91">
        <v>1</v>
      </c>
      <c r="N117" s="25"/>
      <c r="O117" s="25"/>
      <c r="P117" s="25"/>
      <c r="Q117" s="25"/>
      <c r="R117" s="25"/>
      <c r="S117" s="25"/>
      <c r="T117" s="25"/>
      <c r="U117" s="25"/>
      <c r="V117" s="25"/>
      <c r="W117" s="25"/>
      <c r="X117" s="25"/>
      <c r="Y117" s="25"/>
    </row>
    <row r="118" spans="1:25" x14ac:dyDescent="0.2">
      <c r="A118" s="9" t="s">
        <v>347</v>
      </c>
      <c r="B118" s="18" t="s">
        <v>126</v>
      </c>
      <c r="C118" s="18" t="s">
        <v>127</v>
      </c>
      <c r="D118" s="10">
        <f>6*D115</f>
        <v>852</v>
      </c>
      <c r="E118" s="18"/>
      <c r="F118" s="184" t="str">
        <f t="shared" si="2"/>
        <v>METAL HALIDE/HPS 400W FLOOD (310/360)SHARED OR NO POLE2</v>
      </c>
      <c r="G118" s="185">
        <f t="shared" si="3"/>
        <v>1080</v>
      </c>
      <c r="H118" s="186"/>
      <c r="I118" s="184">
        <v>1080</v>
      </c>
      <c r="J118" s="98" t="s">
        <v>726</v>
      </c>
      <c r="K118" s="98" t="s">
        <v>676</v>
      </c>
      <c r="L118" s="187">
        <v>2</v>
      </c>
      <c r="N118" s="25"/>
      <c r="O118" s="25"/>
      <c r="P118" s="25"/>
      <c r="Q118" s="25"/>
      <c r="R118" s="25"/>
      <c r="S118" s="25"/>
      <c r="T118" s="25"/>
      <c r="U118" s="25"/>
      <c r="V118" s="25"/>
      <c r="W118" s="25"/>
      <c r="X118" s="25"/>
      <c r="Y118" s="25"/>
    </row>
    <row r="119" spans="1:25" x14ac:dyDescent="0.2">
      <c r="A119" s="9" t="s">
        <v>348</v>
      </c>
      <c r="B119" s="18" t="s">
        <v>767</v>
      </c>
      <c r="C119" s="18">
        <v>160</v>
      </c>
      <c r="D119" s="10">
        <v>175</v>
      </c>
      <c r="E119" s="18"/>
      <c r="F119" s="9" t="str">
        <f t="shared" si="2"/>
        <v>METAL HALIDE/HPS 400W FLOOD (310/360)WOOD POLE1</v>
      </c>
      <c r="G119" s="10">
        <f t="shared" si="3"/>
        <v>1100</v>
      </c>
      <c r="H119" s="7"/>
      <c r="I119" s="9">
        <v>1100</v>
      </c>
      <c r="J119" s="98" t="s">
        <v>726</v>
      </c>
      <c r="K119" s="98" t="s">
        <v>677</v>
      </c>
      <c r="L119" s="91">
        <v>1</v>
      </c>
      <c r="N119" s="25"/>
      <c r="O119" s="25"/>
      <c r="P119" s="25"/>
      <c r="Q119" s="25"/>
      <c r="R119" s="25"/>
      <c r="S119" s="25"/>
      <c r="T119" s="25"/>
      <c r="U119" s="25"/>
      <c r="V119" s="25"/>
      <c r="W119" s="25"/>
      <c r="X119" s="25"/>
      <c r="Y119" s="25"/>
    </row>
    <row r="120" spans="1:25" x14ac:dyDescent="0.2">
      <c r="A120" s="9" t="s">
        <v>349</v>
      </c>
      <c r="B120" s="18" t="s">
        <v>128</v>
      </c>
      <c r="C120" s="18" t="s">
        <v>129</v>
      </c>
      <c r="D120" s="10">
        <f>2*D119</f>
        <v>350</v>
      </c>
      <c r="E120" s="18"/>
      <c r="F120" s="9" t="str">
        <f t="shared" si="2"/>
        <v>METAL HALIDE 1000W FLOODLIGHT WOOD POLE1</v>
      </c>
      <c r="G120" s="10">
        <f t="shared" si="3"/>
        <v>1110</v>
      </c>
      <c r="H120" s="7"/>
      <c r="I120" s="9">
        <v>1110</v>
      </c>
      <c r="J120" s="98" t="s">
        <v>733</v>
      </c>
      <c r="K120" s="98" t="s">
        <v>677</v>
      </c>
      <c r="L120" s="91">
        <v>1</v>
      </c>
      <c r="N120" s="25"/>
      <c r="O120" s="25"/>
      <c r="P120" s="25"/>
      <c r="Q120" s="25"/>
      <c r="R120" s="25"/>
      <c r="S120" s="25"/>
      <c r="T120" s="25"/>
      <c r="U120" s="25"/>
      <c r="V120" s="25"/>
      <c r="W120" s="25"/>
      <c r="X120" s="25"/>
      <c r="Y120" s="25"/>
    </row>
    <row r="121" spans="1:25" x14ac:dyDescent="0.2">
      <c r="A121" s="9" t="s">
        <v>350</v>
      </c>
      <c r="B121" s="18" t="s">
        <v>130</v>
      </c>
      <c r="C121" s="18" t="s">
        <v>131</v>
      </c>
      <c r="D121" s="10">
        <f>3*D119</f>
        <v>525</v>
      </c>
      <c r="E121" s="18"/>
      <c r="F121" s="9" t="str">
        <f t="shared" si="2"/>
        <v>METAL HALIDE/HPS 250W FLOOD (210/220)STEEL POLE1</v>
      </c>
      <c r="G121" s="10">
        <f t="shared" si="3"/>
        <v>1120</v>
      </c>
      <c r="H121" s="7"/>
      <c r="I121" s="9">
        <v>1120</v>
      </c>
      <c r="J121" s="98" t="s">
        <v>717</v>
      </c>
      <c r="K121" s="98" t="s">
        <v>678</v>
      </c>
      <c r="L121" s="91">
        <v>1</v>
      </c>
      <c r="N121" s="25"/>
      <c r="O121" s="25"/>
      <c r="P121" s="25"/>
      <c r="Q121" s="25"/>
      <c r="R121" s="25"/>
      <c r="S121" s="25"/>
      <c r="T121" s="25"/>
      <c r="U121" s="25"/>
      <c r="V121" s="25"/>
      <c r="W121" s="25"/>
      <c r="X121" s="25"/>
      <c r="Y121" s="25"/>
    </row>
    <row r="122" spans="1:25" x14ac:dyDescent="0.2">
      <c r="A122" s="9" t="s">
        <v>351</v>
      </c>
      <c r="B122" s="18" t="s">
        <v>132</v>
      </c>
      <c r="C122" s="18" t="s">
        <v>133</v>
      </c>
      <c r="D122" s="10">
        <f>6*D119</f>
        <v>1050</v>
      </c>
      <c r="E122" s="18"/>
      <c r="F122" s="9" t="str">
        <f t="shared" si="2"/>
        <v>METAL HALIDE/HPS 400W FLOOD (310/360)STEEL POLE2</v>
      </c>
      <c r="G122" s="10">
        <f t="shared" si="3"/>
        <v>1130</v>
      </c>
      <c r="H122" s="7"/>
      <c r="I122" s="9">
        <v>1130</v>
      </c>
      <c r="J122" s="98" t="s">
        <v>726</v>
      </c>
      <c r="K122" s="98" t="s">
        <v>678</v>
      </c>
      <c r="L122" s="91">
        <v>2</v>
      </c>
      <c r="N122" s="25"/>
      <c r="O122" s="25"/>
      <c r="P122" s="25"/>
      <c r="Q122" s="25"/>
      <c r="R122" s="25"/>
      <c r="S122" s="25"/>
      <c r="T122" s="25"/>
      <c r="U122" s="25"/>
      <c r="V122" s="25"/>
      <c r="W122" s="25"/>
      <c r="X122" s="25"/>
      <c r="Y122" s="25"/>
    </row>
    <row r="123" spans="1:25" x14ac:dyDescent="0.2">
      <c r="A123" s="9" t="s">
        <v>352</v>
      </c>
      <c r="B123" s="18" t="s">
        <v>134</v>
      </c>
      <c r="C123" s="18" t="s">
        <v>135</v>
      </c>
      <c r="D123" s="10">
        <f>9*D119</f>
        <v>1575</v>
      </c>
      <c r="E123" s="18"/>
      <c r="F123" s="9" t="str">
        <f t="shared" si="2"/>
        <v>METAL HALIDE/HPS 250W FLOOD (210/220)STEEL POLE2</v>
      </c>
      <c r="G123" s="10">
        <f t="shared" si="3"/>
        <v>1140</v>
      </c>
      <c r="H123" s="7"/>
      <c r="I123" s="9">
        <v>1140</v>
      </c>
      <c r="J123" s="98" t="s">
        <v>717</v>
      </c>
      <c r="K123" s="98" t="s">
        <v>678</v>
      </c>
      <c r="L123" s="91">
        <v>2</v>
      </c>
      <c r="N123" s="25"/>
      <c r="O123" s="25"/>
      <c r="P123" s="25"/>
      <c r="Q123" s="25"/>
      <c r="R123" s="25"/>
      <c r="S123" s="25"/>
      <c r="T123" s="25"/>
      <c r="U123" s="25"/>
      <c r="V123" s="25"/>
      <c r="W123" s="25"/>
      <c r="X123" s="25"/>
      <c r="Y123" s="25"/>
    </row>
    <row r="124" spans="1:25" x14ac:dyDescent="0.2">
      <c r="A124" s="9" t="s">
        <v>353</v>
      </c>
      <c r="B124" s="18" t="s">
        <v>769</v>
      </c>
      <c r="C124" s="18">
        <v>175</v>
      </c>
      <c r="D124" s="10">
        <v>195</v>
      </c>
      <c r="E124" s="18"/>
      <c r="F124" s="9" t="str">
        <f t="shared" si="2"/>
        <v>METAL HALIDE/HPS 250W FLOOD (210/220)STEEL POLE3</v>
      </c>
      <c r="G124" s="10">
        <f t="shared" si="3"/>
        <v>1150</v>
      </c>
      <c r="H124" s="7"/>
      <c r="I124" s="9">
        <v>1150</v>
      </c>
      <c r="J124" s="98" t="s">
        <v>717</v>
      </c>
      <c r="K124" s="98" t="s">
        <v>678</v>
      </c>
      <c r="L124" s="91">
        <v>3</v>
      </c>
      <c r="N124" s="25"/>
      <c r="O124" s="25"/>
      <c r="P124" s="25"/>
      <c r="Q124" s="25"/>
      <c r="R124" s="25"/>
      <c r="S124" s="25"/>
      <c r="T124" s="25"/>
      <c r="U124" s="25"/>
      <c r="V124" s="25"/>
      <c r="W124" s="25"/>
      <c r="X124" s="25"/>
      <c r="Y124" s="25"/>
    </row>
    <row r="125" spans="1:25" x14ac:dyDescent="0.2">
      <c r="A125" s="9" t="s">
        <v>354</v>
      </c>
      <c r="B125" s="18" t="s">
        <v>136</v>
      </c>
      <c r="C125" s="18" t="s">
        <v>137</v>
      </c>
      <c r="D125" s="10">
        <f>2*D124</f>
        <v>390</v>
      </c>
      <c r="E125" s="18"/>
      <c r="F125" s="9" t="str">
        <f t="shared" si="2"/>
        <v>METAL HALIDE/HPS 250W FLOOD (210/220)WOOD POLE2</v>
      </c>
      <c r="G125" s="10">
        <f t="shared" si="3"/>
        <v>1160</v>
      </c>
      <c r="H125" s="7"/>
      <c r="I125" s="9">
        <v>1160</v>
      </c>
      <c r="J125" s="98" t="s">
        <v>717</v>
      </c>
      <c r="K125" s="98" t="s">
        <v>677</v>
      </c>
      <c r="L125" s="91">
        <v>2</v>
      </c>
      <c r="N125" s="25"/>
      <c r="O125" s="25"/>
      <c r="P125" s="25"/>
      <c r="Q125" s="25"/>
      <c r="R125" s="25"/>
      <c r="S125" s="25"/>
      <c r="T125" s="25"/>
      <c r="U125" s="25"/>
      <c r="V125" s="25"/>
      <c r="W125" s="25"/>
      <c r="X125" s="25"/>
      <c r="Y125" s="25"/>
    </row>
    <row r="126" spans="1:25" x14ac:dyDescent="0.2">
      <c r="A126" s="9" t="s">
        <v>355</v>
      </c>
      <c r="B126" s="18" t="s">
        <v>770</v>
      </c>
      <c r="C126" s="18">
        <v>250</v>
      </c>
      <c r="D126" s="10">
        <v>270</v>
      </c>
      <c r="E126" s="18"/>
      <c r="F126" s="9" t="str">
        <f t="shared" si="2"/>
        <v>METAL HALIDE/HPS 400W FLOOD (310/360)STEEL POLE1</v>
      </c>
      <c r="G126" s="10">
        <f t="shared" si="3"/>
        <v>1170</v>
      </c>
      <c r="H126" s="7"/>
      <c r="I126" s="9">
        <v>1170</v>
      </c>
      <c r="J126" s="98" t="s">
        <v>726</v>
      </c>
      <c r="K126" s="98" t="s">
        <v>678</v>
      </c>
      <c r="L126" s="91">
        <v>1</v>
      </c>
      <c r="N126" s="25"/>
      <c r="O126" s="25"/>
      <c r="P126" s="25"/>
      <c r="Q126" s="25"/>
      <c r="R126" s="25"/>
      <c r="S126" s="25"/>
      <c r="T126" s="25"/>
      <c r="U126" s="25"/>
      <c r="V126" s="25"/>
      <c r="W126" s="25"/>
      <c r="X126" s="25"/>
      <c r="Y126" s="25"/>
    </row>
    <row r="127" spans="1:25" x14ac:dyDescent="0.2">
      <c r="A127" s="9" t="s">
        <v>356</v>
      </c>
      <c r="B127" s="18" t="s">
        <v>138</v>
      </c>
      <c r="C127" s="18" t="s">
        <v>720</v>
      </c>
      <c r="D127" s="10">
        <f>2*D126</f>
        <v>540</v>
      </c>
      <c r="E127" s="18"/>
      <c r="F127" s="9" t="str">
        <f t="shared" si="2"/>
        <v>HIGH PRESSURE SODIUM 70W TWIN ARCSHARED OR NO POLE2</v>
      </c>
      <c r="G127" s="10">
        <f t="shared" si="3"/>
        <v>1180</v>
      </c>
      <c r="H127" s="7"/>
      <c r="I127" s="9">
        <v>1180</v>
      </c>
      <c r="J127" s="98" t="s">
        <v>709</v>
      </c>
      <c r="K127" s="98" t="s">
        <v>676</v>
      </c>
      <c r="L127" s="91">
        <v>2</v>
      </c>
      <c r="N127" s="25"/>
      <c r="O127" s="25"/>
      <c r="P127" s="25"/>
      <c r="Q127" s="25"/>
      <c r="R127" s="25"/>
      <c r="S127" s="25"/>
      <c r="T127" s="25"/>
      <c r="U127" s="25"/>
      <c r="V127" s="25"/>
      <c r="W127" s="25"/>
      <c r="X127" s="25"/>
      <c r="Y127" s="25"/>
    </row>
    <row r="128" spans="1:25" x14ac:dyDescent="0.2">
      <c r="A128" s="9" t="s">
        <v>357</v>
      </c>
      <c r="B128" s="18" t="s">
        <v>139</v>
      </c>
      <c r="C128" s="18" t="s">
        <v>140</v>
      </c>
      <c r="D128" s="10">
        <f>3*D126</f>
        <v>810</v>
      </c>
      <c r="E128" s="18"/>
      <c r="F128" s="9" t="str">
        <f t="shared" si="2"/>
        <v>HIGH PRESSURE SODIUM 70W TWIN ARCSHARED OR NO POLE3</v>
      </c>
      <c r="G128" s="10">
        <f t="shared" si="3"/>
        <v>1190</v>
      </c>
      <c r="H128" s="7"/>
      <c r="I128" s="9">
        <v>1190</v>
      </c>
      <c r="J128" s="98" t="s">
        <v>709</v>
      </c>
      <c r="K128" s="98" t="s">
        <v>676</v>
      </c>
      <c r="L128" s="91">
        <v>3</v>
      </c>
      <c r="N128" s="25"/>
      <c r="O128" s="25"/>
      <c r="P128" s="25"/>
      <c r="Q128" s="25"/>
      <c r="R128" s="25"/>
      <c r="S128" s="25"/>
      <c r="T128" s="25"/>
      <c r="U128" s="25"/>
      <c r="V128" s="25"/>
      <c r="W128" s="25"/>
      <c r="X128" s="25"/>
      <c r="Y128" s="25"/>
    </row>
    <row r="129" spans="1:25" x14ac:dyDescent="0.2">
      <c r="A129" s="9" t="s">
        <v>358</v>
      </c>
      <c r="B129" s="18" t="s">
        <v>772</v>
      </c>
      <c r="C129" s="18">
        <v>400</v>
      </c>
      <c r="D129" s="10">
        <v>430</v>
      </c>
      <c r="E129" s="18"/>
      <c r="F129" s="9" t="str">
        <f t="shared" si="2"/>
        <v>HIGH PRESSURE SODIUM 70W TWIN ARCSHARED OR NO POLE4</v>
      </c>
      <c r="G129" s="10">
        <f t="shared" si="3"/>
        <v>1200</v>
      </c>
      <c r="H129" s="7"/>
      <c r="I129" s="9">
        <v>1200</v>
      </c>
      <c r="J129" s="98" t="s">
        <v>709</v>
      </c>
      <c r="K129" s="98" t="s">
        <v>676</v>
      </c>
      <c r="L129" s="91">
        <v>4</v>
      </c>
      <c r="N129" s="25"/>
      <c r="O129" s="25"/>
      <c r="P129" s="25"/>
      <c r="Q129" s="25"/>
      <c r="R129" s="25"/>
      <c r="S129" s="25"/>
      <c r="T129" s="25"/>
      <c r="U129" s="25"/>
      <c r="V129" s="25"/>
      <c r="W129" s="25"/>
      <c r="X129" s="25"/>
      <c r="Y129" s="25"/>
    </row>
    <row r="130" spans="1:25" x14ac:dyDescent="0.2">
      <c r="A130" s="9" t="s">
        <v>359</v>
      </c>
      <c r="B130" s="18" t="s">
        <v>141</v>
      </c>
      <c r="C130" s="18" t="s">
        <v>814</v>
      </c>
      <c r="D130" s="10">
        <f>2*D129</f>
        <v>860</v>
      </c>
      <c r="E130" s="18"/>
      <c r="F130" s="9" t="str">
        <f t="shared" si="2"/>
        <v>HIGH PRESSURE SODIUM 70W TWIN ARCWOOD POLE2</v>
      </c>
      <c r="G130" s="10">
        <f t="shared" si="3"/>
        <v>1210</v>
      </c>
      <c r="H130" s="7"/>
      <c r="I130" s="9">
        <v>1210</v>
      </c>
      <c r="J130" s="98" t="s">
        <v>709</v>
      </c>
      <c r="K130" s="98" t="s">
        <v>677</v>
      </c>
      <c r="L130" s="91">
        <v>2</v>
      </c>
      <c r="N130" s="25"/>
      <c r="O130" s="25"/>
      <c r="P130" s="25"/>
      <c r="Q130" s="25"/>
      <c r="R130" s="25"/>
      <c r="S130" s="25"/>
      <c r="T130" s="25"/>
      <c r="U130" s="25"/>
      <c r="V130" s="25"/>
      <c r="W130" s="25"/>
      <c r="X130" s="25"/>
      <c r="Y130" s="25"/>
    </row>
    <row r="131" spans="1:25" x14ac:dyDescent="0.2">
      <c r="A131" s="9" t="s">
        <v>360</v>
      </c>
      <c r="B131" s="18" t="s">
        <v>142</v>
      </c>
      <c r="C131" s="18" t="s">
        <v>815</v>
      </c>
      <c r="D131" s="10">
        <f>3*D129</f>
        <v>1290</v>
      </c>
      <c r="E131" s="18"/>
      <c r="F131" s="9" t="str">
        <f t="shared" si="2"/>
        <v>HIGH PRESSURE SODIUM 70W TWIN ARCSTEEL POLE2</v>
      </c>
      <c r="G131" s="10">
        <f t="shared" si="3"/>
        <v>1220</v>
      </c>
      <c r="H131" s="7"/>
      <c r="I131" s="9">
        <v>1220</v>
      </c>
      <c r="J131" s="98" t="s">
        <v>709</v>
      </c>
      <c r="K131" s="98" t="s">
        <v>678</v>
      </c>
      <c r="L131" s="91">
        <v>2</v>
      </c>
      <c r="N131" s="25"/>
      <c r="O131" s="25"/>
      <c r="P131" s="25"/>
      <c r="Q131" s="25"/>
      <c r="R131" s="25"/>
      <c r="S131" s="25"/>
      <c r="T131" s="25"/>
      <c r="U131" s="25"/>
      <c r="V131" s="25"/>
      <c r="W131" s="25"/>
      <c r="X131" s="25"/>
      <c r="Y131" s="25"/>
    </row>
    <row r="132" spans="1:25" x14ac:dyDescent="0.2">
      <c r="A132" s="9" t="s">
        <v>361</v>
      </c>
      <c r="B132" s="18" t="s">
        <v>773</v>
      </c>
      <c r="C132" s="18">
        <v>500</v>
      </c>
      <c r="D132" s="10">
        <v>530</v>
      </c>
      <c r="E132" s="18"/>
      <c r="F132" s="9" t="str">
        <f t="shared" si="2"/>
        <v>HIGH PRESSURE SODIUM 70W TWIN ARCSTEEL POLE3</v>
      </c>
      <c r="G132" s="10">
        <f t="shared" si="3"/>
        <v>1230</v>
      </c>
      <c r="H132" s="7"/>
      <c r="I132" s="9">
        <v>1230</v>
      </c>
      <c r="J132" s="98" t="s">
        <v>709</v>
      </c>
      <c r="K132" s="98" t="s">
        <v>678</v>
      </c>
      <c r="L132" s="91">
        <v>3</v>
      </c>
      <c r="N132" s="25"/>
      <c r="O132" s="25"/>
      <c r="P132" s="25"/>
      <c r="Q132" s="25"/>
      <c r="R132" s="25"/>
      <c r="S132" s="25"/>
      <c r="T132" s="25"/>
      <c r="U132" s="25"/>
      <c r="V132" s="25"/>
      <c r="W132" s="25"/>
      <c r="X132" s="25"/>
      <c r="Y132" s="25"/>
    </row>
    <row r="133" spans="1:25" x14ac:dyDescent="0.2">
      <c r="A133" s="9" t="s">
        <v>362</v>
      </c>
      <c r="B133" s="18" t="s">
        <v>774</v>
      </c>
      <c r="C133" s="18">
        <v>700</v>
      </c>
      <c r="D133" s="10">
        <v>740</v>
      </c>
      <c r="E133" s="18"/>
      <c r="F133" s="9" t="str">
        <f t="shared" si="2"/>
        <v>HIGH PRESSURE SODIUM 70W TWIN ARCSTEEL POLE4</v>
      </c>
      <c r="G133" s="10">
        <f t="shared" si="3"/>
        <v>1240</v>
      </c>
      <c r="H133" s="7"/>
      <c r="I133" s="9">
        <v>1240</v>
      </c>
      <c r="J133" s="98" t="s">
        <v>709</v>
      </c>
      <c r="K133" s="98" t="s">
        <v>678</v>
      </c>
      <c r="L133" s="91">
        <v>4</v>
      </c>
      <c r="N133" s="25"/>
      <c r="O133" s="25"/>
      <c r="P133" s="25"/>
      <c r="Q133" s="25"/>
      <c r="R133" s="25"/>
      <c r="S133" s="25"/>
      <c r="T133" s="25"/>
      <c r="U133" s="25"/>
      <c r="V133" s="25"/>
      <c r="W133" s="25"/>
      <c r="X133" s="25"/>
      <c r="Y133" s="25"/>
    </row>
    <row r="134" spans="1:25" x14ac:dyDescent="0.2">
      <c r="A134" s="9" t="s">
        <v>365</v>
      </c>
      <c r="B134" s="18" t="s">
        <v>143</v>
      </c>
      <c r="C134" s="18" t="s">
        <v>144</v>
      </c>
      <c r="D134" s="10">
        <f>2*D133</f>
        <v>1480</v>
      </c>
      <c r="E134" s="18"/>
      <c r="F134" s="9" t="str">
        <f t="shared" si="2"/>
        <v>METAL HALIDE/HPS 400W FLOOD (310/360)WOOD POLE3</v>
      </c>
      <c r="G134" s="10">
        <f t="shared" si="3"/>
        <v>1250</v>
      </c>
      <c r="H134" s="7"/>
      <c r="I134" s="9">
        <v>1250</v>
      </c>
      <c r="J134" s="98" t="s">
        <v>726</v>
      </c>
      <c r="K134" s="98" t="s">
        <v>677</v>
      </c>
      <c r="L134" s="91">
        <v>3</v>
      </c>
      <c r="N134" s="25"/>
      <c r="O134" s="25"/>
      <c r="P134" s="25"/>
      <c r="Q134" s="25"/>
      <c r="R134" s="25"/>
      <c r="S134" s="25"/>
      <c r="T134" s="25"/>
      <c r="U134" s="25"/>
      <c r="V134" s="25"/>
      <c r="W134" s="25"/>
      <c r="X134" s="25"/>
      <c r="Y134" s="25"/>
    </row>
    <row r="135" spans="1:25" x14ac:dyDescent="0.2">
      <c r="A135" s="9" t="s">
        <v>366</v>
      </c>
      <c r="B135" s="18" t="s">
        <v>145</v>
      </c>
      <c r="C135" s="18">
        <v>800</v>
      </c>
      <c r="D135" s="10">
        <v>850</v>
      </c>
      <c r="E135" s="18"/>
      <c r="F135" s="9" t="str">
        <f t="shared" si="2"/>
        <v>MERCURY VAPOUR 80WWOOD POLE2</v>
      </c>
      <c r="G135" s="10">
        <f t="shared" si="3"/>
        <v>1260</v>
      </c>
      <c r="H135" s="7"/>
      <c r="I135" s="9">
        <v>1260</v>
      </c>
      <c r="J135" s="98" t="s">
        <v>679</v>
      </c>
      <c r="K135" s="98" t="s">
        <v>677</v>
      </c>
      <c r="L135" s="91">
        <v>2</v>
      </c>
      <c r="N135" s="25"/>
      <c r="O135" s="25"/>
      <c r="P135" s="25"/>
      <c r="Q135" s="25"/>
      <c r="R135" s="25"/>
      <c r="S135" s="25"/>
      <c r="T135" s="25"/>
      <c r="U135" s="25"/>
      <c r="V135" s="25"/>
      <c r="W135" s="25"/>
      <c r="X135" s="25"/>
      <c r="Y135" s="25"/>
    </row>
    <row r="136" spans="1:25" x14ac:dyDescent="0.2">
      <c r="A136" s="9" t="s">
        <v>367</v>
      </c>
      <c r="B136" s="18" t="s">
        <v>775</v>
      </c>
      <c r="C136" s="18">
        <v>1000</v>
      </c>
      <c r="D136" s="10">
        <v>1040</v>
      </c>
      <c r="E136" s="18"/>
      <c r="F136" s="9" t="str">
        <f t="shared" si="2"/>
        <v>METAL HALIDE 250W BOSTON 3STEEL POLE1</v>
      </c>
      <c r="G136" s="10">
        <f t="shared" si="3"/>
        <v>1270</v>
      </c>
      <c r="H136" s="7"/>
      <c r="I136" s="9">
        <v>1270</v>
      </c>
      <c r="J136" s="98" t="s">
        <v>521</v>
      </c>
      <c r="K136" s="98" t="s">
        <v>678</v>
      </c>
      <c r="L136" s="91">
        <v>1</v>
      </c>
      <c r="N136" s="25"/>
      <c r="O136" s="25"/>
      <c r="P136" s="25"/>
      <c r="Q136" s="25"/>
      <c r="R136" s="25"/>
      <c r="S136" s="25"/>
      <c r="T136" s="25"/>
      <c r="U136" s="25"/>
      <c r="V136" s="25"/>
      <c r="W136" s="25"/>
      <c r="X136" s="25"/>
      <c r="Y136" s="25"/>
    </row>
    <row r="137" spans="1:25" x14ac:dyDescent="0.2">
      <c r="A137" s="9" t="s">
        <v>368</v>
      </c>
      <c r="B137" s="18" t="s">
        <v>146</v>
      </c>
      <c r="C137" s="18" t="s">
        <v>96</v>
      </c>
      <c r="D137" s="10">
        <f>4*D136</f>
        <v>4160</v>
      </c>
      <c r="E137" s="18"/>
      <c r="F137" s="9" t="str">
        <f t="shared" si="2"/>
        <v>METAL HALIDE 250W BOSTON 3STEEL POLE2</v>
      </c>
      <c r="G137" s="10">
        <f t="shared" si="3"/>
        <v>1280</v>
      </c>
      <c r="H137" s="7"/>
      <c r="I137" s="9">
        <v>1280</v>
      </c>
      <c r="J137" s="98" t="s">
        <v>521</v>
      </c>
      <c r="K137" s="98" t="s">
        <v>678</v>
      </c>
      <c r="L137" s="91">
        <v>2</v>
      </c>
      <c r="N137" s="25"/>
      <c r="O137" s="25"/>
      <c r="P137" s="25"/>
      <c r="Q137" s="25"/>
      <c r="R137" s="25"/>
      <c r="S137" s="25"/>
      <c r="T137" s="25"/>
      <c r="U137" s="25"/>
      <c r="V137" s="25"/>
      <c r="W137" s="25"/>
      <c r="X137" s="25"/>
      <c r="Y137" s="25"/>
    </row>
    <row r="138" spans="1:25" x14ac:dyDescent="0.2">
      <c r="A138" s="9" t="s">
        <v>369</v>
      </c>
      <c r="B138" s="18" t="s">
        <v>147</v>
      </c>
      <c r="C138" s="18" t="s">
        <v>148</v>
      </c>
      <c r="D138" s="10">
        <f>6*D136</f>
        <v>6240</v>
      </c>
      <c r="E138" s="18"/>
      <c r="F138" s="9" t="str">
        <f t="shared" ref="F138:F199" si="4">CONCATENATE(J138,K138,L138)</f>
        <v>METAL HALIDE 250W BOSTON 3STEEL POLE4</v>
      </c>
      <c r="G138" s="10">
        <f t="shared" ref="G138:G199" si="5">I138</f>
        <v>1290</v>
      </c>
      <c r="H138" s="7"/>
      <c r="I138" s="9">
        <v>1290</v>
      </c>
      <c r="J138" s="98" t="s">
        <v>521</v>
      </c>
      <c r="K138" s="98" t="s">
        <v>678</v>
      </c>
      <c r="L138" s="91">
        <v>4</v>
      </c>
      <c r="N138" s="25"/>
      <c r="O138" s="25"/>
      <c r="P138" s="25"/>
      <c r="Q138" s="25"/>
      <c r="R138" s="25"/>
      <c r="S138" s="25"/>
      <c r="T138" s="25"/>
      <c r="U138" s="25"/>
      <c r="V138" s="25"/>
      <c r="W138" s="25"/>
      <c r="X138" s="25"/>
      <c r="Y138" s="25"/>
    </row>
    <row r="139" spans="1:25" x14ac:dyDescent="0.2">
      <c r="A139" s="9" t="s">
        <v>370</v>
      </c>
      <c r="B139" s="18" t="s">
        <v>149</v>
      </c>
      <c r="C139" s="18">
        <v>1625</v>
      </c>
      <c r="D139" s="10">
        <v>1690</v>
      </c>
      <c r="E139" s="18"/>
      <c r="F139" s="9" t="str">
        <f t="shared" si="4"/>
        <v>HIGH PRESSURE SODIUM DECORATIVE 150WSTEEL POLE1</v>
      </c>
      <c r="G139" s="10">
        <f t="shared" si="5"/>
        <v>1300</v>
      </c>
      <c r="H139" s="7"/>
      <c r="I139" s="9">
        <v>1300</v>
      </c>
      <c r="J139" s="98" t="s">
        <v>522</v>
      </c>
      <c r="K139" s="98" t="s">
        <v>678</v>
      </c>
      <c r="L139" s="91">
        <v>1</v>
      </c>
      <c r="N139" s="25"/>
      <c r="O139" s="25"/>
      <c r="P139" s="25"/>
      <c r="Q139" s="25"/>
      <c r="R139" s="25"/>
      <c r="S139" s="25"/>
      <c r="T139" s="25"/>
      <c r="U139" s="25"/>
      <c r="V139" s="25"/>
      <c r="W139" s="25"/>
      <c r="X139" s="25"/>
      <c r="Y139" s="25"/>
    </row>
    <row r="140" spans="1:25" x14ac:dyDescent="0.2">
      <c r="A140" s="9" t="s">
        <v>283</v>
      </c>
      <c r="B140" s="18" t="s">
        <v>82</v>
      </c>
      <c r="C140" s="18">
        <v>42</v>
      </c>
      <c r="D140" s="10">
        <v>46.4</v>
      </c>
      <c r="E140" s="18"/>
      <c r="F140" s="9" t="str">
        <f t="shared" si="4"/>
        <v>HIGH PRESSURE SODIUM DECORATIVE 150WSTEEL POLE2</v>
      </c>
      <c r="G140" s="10">
        <f t="shared" si="5"/>
        <v>1310</v>
      </c>
      <c r="H140" s="7"/>
      <c r="I140" s="9">
        <v>1310</v>
      </c>
      <c r="J140" s="98" t="s">
        <v>522</v>
      </c>
      <c r="K140" s="98" t="s">
        <v>678</v>
      </c>
      <c r="L140" s="91">
        <v>2</v>
      </c>
      <c r="N140" s="25"/>
      <c r="O140" s="25"/>
      <c r="P140" s="25"/>
      <c r="Q140" s="25"/>
      <c r="R140" s="25"/>
      <c r="S140" s="25"/>
      <c r="T140" s="25"/>
      <c r="U140" s="25"/>
      <c r="V140" s="25"/>
      <c r="W140" s="25"/>
      <c r="X140" s="25"/>
      <c r="Y140" s="25"/>
    </row>
    <row r="141" spans="1:25" x14ac:dyDescent="0.2">
      <c r="A141" s="180" t="s">
        <v>458</v>
      </c>
      <c r="B141" s="179" t="s">
        <v>459</v>
      </c>
      <c r="C141" s="179">
        <v>32</v>
      </c>
      <c r="D141" s="181">
        <v>36.6</v>
      </c>
      <c r="E141" s="18"/>
      <c r="F141" s="9" t="str">
        <f t="shared" si="4"/>
        <v>HIGH PRESSURE SODIUM DECORATIVE 150WSTEEL POLE4</v>
      </c>
      <c r="G141" s="10">
        <f t="shared" si="5"/>
        <v>1320</v>
      </c>
      <c r="H141" s="7"/>
      <c r="I141" s="9">
        <v>1320</v>
      </c>
      <c r="J141" s="98" t="s">
        <v>522</v>
      </c>
      <c r="K141" s="98" t="s">
        <v>678</v>
      </c>
      <c r="L141" s="91">
        <v>4</v>
      </c>
      <c r="N141" s="25"/>
      <c r="O141" s="25"/>
      <c r="P141" s="25"/>
      <c r="Q141" s="25"/>
      <c r="R141" s="25"/>
      <c r="S141" s="25"/>
      <c r="T141" s="25"/>
      <c r="U141" s="25"/>
      <c r="V141" s="25"/>
      <c r="W141" s="25"/>
      <c r="X141" s="25"/>
      <c r="Y141" s="25"/>
    </row>
    <row r="142" spans="1:25" ht="22.5" x14ac:dyDescent="0.2">
      <c r="A142" s="86" t="s">
        <v>74</v>
      </c>
      <c r="B142" s="23" t="s">
        <v>83</v>
      </c>
      <c r="C142" s="23" t="s">
        <v>85</v>
      </c>
      <c r="D142" s="115">
        <v>30.2</v>
      </c>
      <c r="E142" s="18"/>
      <c r="F142" s="9" t="str">
        <f t="shared" si="4"/>
        <v>HIGH PRESSURE SODIUM DECORATIVE 250W (210/220)STEEL POLE1</v>
      </c>
      <c r="G142" s="10">
        <f t="shared" si="5"/>
        <v>1330</v>
      </c>
      <c r="H142" s="7"/>
      <c r="I142" s="9">
        <v>1330</v>
      </c>
      <c r="J142" s="98" t="s">
        <v>523</v>
      </c>
      <c r="K142" s="98" t="s">
        <v>678</v>
      </c>
      <c r="L142" s="91">
        <v>1</v>
      </c>
      <c r="N142" s="25"/>
      <c r="O142" s="25"/>
      <c r="P142" s="25"/>
      <c r="Q142" s="25"/>
      <c r="R142" s="25"/>
      <c r="S142" s="25"/>
      <c r="T142" s="25"/>
      <c r="U142" s="25"/>
      <c r="V142" s="25"/>
      <c r="W142" s="25"/>
      <c r="X142" s="25"/>
      <c r="Y142" s="25"/>
    </row>
    <row r="143" spans="1:25" ht="22.5" x14ac:dyDescent="0.2">
      <c r="A143" s="116" t="s">
        <v>75</v>
      </c>
      <c r="B143" s="117" t="s">
        <v>84</v>
      </c>
      <c r="C143" s="117" t="s">
        <v>86</v>
      </c>
      <c r="D143" s="118">
        <v>47</v>
      </c>
      <c r="E143" s="7"/>
      <c r="F143" s="9" t="str">
        <f t="shared" si="4"/>
        <v>HIGH PRESSURE SODIUM DECORATIVE 250W (210/220)STEEL POLE2</v>
      </c>
      <c r="G143" s="10">
        <f t="shared" si="5"/>
        <v>1340</v>
      </c>
      <c r="H143" s="7"/>
      <c r="I143" s="9">
        <v>1340</v>
      </c>
      <c r="J143" s="98" t="s">
        <v>523</v>
      </c>
      <c r="K143" s="98" t="s">
        <v>678</v>
      </c>
      <c r="L143" s="91">
        <v>2</v>
      </c>
      <c r="N143" s="25"/>
      <c r="O143" s="25"/>
      <c r="P143" s="25"/>
      <c r="Q143" s="25"/>
      <c r="R143" s="25"/>
      <c r="S143" s="25"/>
      <c r="T143" s="25"/>
      <c r="U143" s="25"/>
      <c r="V143" s="25"/>
      <c r="W143" s="25"/>
      <c r="X143" s="25"/>
      <c r="Y143" s="25"/>
    </row>
    <row r="144" spans="1:25" ht="22.5" x14ac:dyDescent="0.2">
      <c r="A144" s="7"/>
      <c r="B144" s="7"/>
      <c r="C144" s="7"/>
      <c r="D144" s="7"/>
      <c r="E144" s="7"/>
      <c r="F144" s="9" t="str">
        <f t="shared" si="4"/>
        <v>HIGH PRESSURE SODIUM DECORATIVE 250W (210/220)STEEL POLE4</v>
      </c>
      <c r="G144" s="10">
        <f t="shared" si="5"/>
        <v>1350</v>
      </c>
      <c r="H144" s="7"/>
      <c r="I144" s="9">
        <v>1350</v>
      </c>
      <c r="J144" s="98" t="s">
        <v>523</v>
      </c>
      <c r="K144" s="98" t="s">
        <v>678</v>
      </c>
      <c r="L144" s="91">
        <v>4</v>
      </c>
      <c r="N144" s="25"/>
      <c r="O144" s="25"/>
      <c r="P144" s="25"/>
      <c r="Q144" s="25"/>
      <c r="R144" s="25"/>
      <c r="S144" s="25"/>
      <c r="T144" s="25"/>
      <c r="U144" s="25"/>
      <c r="V144" s="25"/>
      <c r="W144" s="25"/>
      <c r="X144" s="25"/>
      <c r="Y144" s="25"/>
    </row>
    <row r="145" spans="1:25" x14ac:dyDescent="0.2">
      <c r="A145" s="7"/>
      <c r="B145" s="7"/>
      <c r="C145" s="7"/>
      <c r="D145" s="7"/>
      <c r="E145" s="7"/>
      <c r="F145" s="9" t="str">
        <f t="shared" si="4"/>
        <v>HIGH PRESSURE SODIUM 150WR/BOUT COLUMN3</v>
      </c>
      <c r="G145" s="10">
        <f t="shared" si="5"/>
        <v>1360</v>
      </c>
      <c r="H145" s="7"/>
      <c r="I145" s="9">
        <v>1360</v>
      </c>
      <c r="J145" s="98" t="s">
        <v>712</v>
      </c>
      <c r="K145" s="98" t="s">
        <v>518</v>
      </c>
      <c r="L145" s="91">
        <v>3</v>
      </c>
      <c r="N145" s="25"/>
      <c r="O145" s="25"/>
      <c r="P145" s="25"/>
      <c r="Q145" s="25"/>
      <c r="R145" s="25"/>
      <c r="S145" s="25"/>
      <c r="T145" s="25"/>
      <c r="U145" s="25"/>
      <c r="V145" s="25"/>
      <c r="W145" s="25"/>
      <c r="X145" s="25"/>
      <c r="Y145" s="25"/>
    </row>
    <row r="146" spans="1:25" x14ac:dyDescent="0.2">
      <c r="A146" s="7"/>
      <c r="B146" s="7"/>
      <c r="C146" s="7"/>
      <c r="D146" s="7"/>
      <c r="E146" s="7"/>
      <c r="F146" s="9" t="str">
        <f t="shared" si="4"/>
        <v>HIGH PRESSURE SODIUM 150WR/BOUT COLUMN4</v>
      </c>
      <c r="G146" s="10">
        <f t="shared" si="5"/>
        <v>1370</v>
      </c>
      <c r="H146" s="7"/>
      <c r="I146" s="9">
        <v>1370</v>
      </c>
      <c r="J146" s="98" t="s">
        <v>712</v>
      </c>
      <c r="K146" s="98" t="s">
        <v>518</v>
      </c>
      <c r="L146" s="91">
        <v>4</v>
      </c>
      <c r="N146" s="25"/>
      <c r="O146" s="25"/>
      <c r="P146" s="25"/>
      <c r="Q146" s="25"/>
      <c r="R146" s="25"/>
      <c r="S146" s="25"/>
      <c r="T146" s="25"/>
      <c r="U146" s="25"/>
      <c r="V146" s="25"/>
      <c r="W146" s="25"/>
      <c r="X146" s="25"/>
      <c r="Y146" s="25"/>
    </row>
    <row r="147" spans="1:25" x14ac:dyDescent="0.2">
      <c r="A147" s="7"/>
      <c r="B147" s="7"/>
      <c r="C147" s="7"/>
      <c r="D147" s="7"/>
      <c r="E147" s="7"/>
      <c r="F147" s="9" t="str">
        <f t="shared" si="4"/>
        <v>METAL HALIDE/HPS 250W FLOOD (210/220)R/BOUT COLUMN3</v>
      </c>
      <c r="G147" s="10">
        <f t="shared" si="5"/>
        <v>1380</v>
      </c>
      <c r="H147" s="7"/>
      <c r="I147" s="9">
        <v>1380</v>
      </c>
      <c r="J147" s="98" t="s">
        <v>717</v>
      </c>
      <c r="K147" s="98" t="s">
        <v>518</v>
      </c>
      <c r="L147" s="91">
        <v>3</v>
      </c>
      <c r="N147" s="25"/>
      <c r="O147" s="25"/>
      <c r="P147" s="25"/>
      <c r="Q147" s="25"/>
      <c r="R147" s="25"/>
      <c r="S147" s="25"/>
      <c r="T147" s="25"/>
      <c r="U147" s="25"/>
      <c r="V147" s="25"/>
      <c r="W147" s="25"/>
      <c r="X147" s="25"/>
      <c r="Y147" s="25"/>
    </row>
    <row r="148" spans="1:25" x14ac:dyDescent="0.2">
      <c r="A148" s="7"/>
      <c r="B148" s="7"/>
      <c r="C148" s="7"/>
      <c r="D148" s="7"/>
      <c r="E148" s="7"/>
      <c r="F148" s="9" t="str">
        <f t="shared" si="4"/>
        <v>METAL HALIDE/HPS 250W FLOOD (210/220)R/BOUT COLUMN4</v>
      </c>
      <c r="G148" s="10">
        <f t="shared" si="5"/>
        <v>1450</v>
      </c>
      <c r="H148" s="7"/>
      <c r="I148" s="9">
        <v>1450</v>
      </c>
      <c r="J148" s="98" t="s">
        <v>717</v>
      </c>
      <c r="K148" s="98" t="s">
        <v>518</v>
      </c>
      <c r="L148" s="91">
        <v>4</v>
      </c>
      <c r="N148" s="25"/>
      <c r="O148" s="25"/>
      <c r="P148" s="25"/>
      <c r="Q148" s="25"/>
      <c r="R148" s="25"/>
      <c r="S148" s="25"/>
      <c r="T148" s="25"/>
      <c r="U148" s="25"/>
      <c r="V148" s="25"/>
      <c r="W148" s="25"/>
      <c r="X148" s="25"/>
      <c r="Y148" s="25"/>
    </row>
    <row r="149" spans="1:25" x14ac:dyDescent="0.2">
      <c r="A149" s="7"/>
      <c r="B149" s="7"/>
      <c r="C149" s="7"/>
      <c r="D149" s="7"/>
      <c r="E149" s="7"/>
      <c r="F149" s="9" t="str">
        <f t="shared" si="4"/>
        <v>MERCURY VAPOUR 80WSTEEL POLE3</v>
      </c>
      <c r="G149" s="10">
        <f t="shared" si="5"/>
        <v>1460</v>
      </c>
      <c r="H149" s="7"/>
      <c r="I149" s="9">
        <v>1460</v>
      </c>
      <c r="J149" s="98" t="s">
        <v>679</v>
      </c>
      <c r="K149" s="98" t="s">
        <v>678</v>
      </c>
      <c r="L149" s="91">
        <v>3</v>
      </c>
      <c r="N149" s="25"/>
      <c r="O149" s="25"/>
      <c r="P149" s="25"/>
      <c r="Q149" s="25"/>
      <c r="R149" s="25"/>
      <c r="S149" s="25"/>
      <c r="T149" s="25"/>
      <c r="U149" s="25"/>
      <c r="V149" s="25"/>
      <c r="W149" s="25"/>
      <c r="X149" s="25"/>
      <c r="Y149" s="25"/>
    </row>
    <row r="150" spans="1:25" x14ac:dyDescent="0.2">
      <c r="A150" s="7"/>
      <c r="B150" s="7"/>
      <c r="C150" s="7"/>
      <c r="D150" s="7"/>
      <c r="E150" s="7"/>
      <c r="F150" s="9" t="str">
        <f t="shared" si="4"/>
        <v>HIGH PRESSURE SODIUM 3X400 W POST TOPR/BOUT COLUMN1</v>
      </c>
      <c r="G150" s="10">
        <f t="shared" si="5"/>
        <v>1470</v>
      </c>
      <c r="H150" s="7"/>
      <c r="I150" s="9">
        <v>1470</v>
      </c>
      <c r="J150" s="98" t="s">
        <v>729</v>
      </c>
      <c r="K150" s="98" t="s">
        <v>518</v>
      </c>
      <c r="L150" s="91">
        <v>1</v>
      </c>
      <c r="N150" s="25"/>
      <c r="O150" s="25"/>
      <c r="P150" s="25"/>
      <c r="Q150" s="25"/>
      <c r="R150" s="25"/>
      <c r="S150" s="25"/>
      <c r="T150" s="25"/>
      <c r="U150" s="25"/>
      <c r="V150" s="25"/>
      <c r="W150" s="25"/>
      <c r="X150" s="25"/>
      <c r="Y150" s="25"/>
    </row>
    <row r="151" spans="1:25" x14ac:dyDescent="0.2">
      <c r="A151" s="7"/>
      <c r="B151" s="7"/>
      <c r="C151" s="7"/>
      <c r="D151" s="7"/>
      <c r="E151" s="7"/>
      <c r="F151" s="9" t="str">
        <f t="shared" si="4"/>
        <v>HIGH PRESSURE SODIUM 1X400 W POST TOPR/BOUT COLUMN1</v>
      </c>
      <c r="G151" s="10">
        <f t="shared" si="5"/>
        <v>1480</v>
      </c>
      <c r="H151" s="7"/>
      <c r="I151" s="9">
        <v>1480</v>
      </c>
      <c r="J151" s="98" t="s">
        <v>524</v>
      </c>
      <c r="K151" s="98" t="s">
        <v>518</v>
      </c>
      <c r="L151" s="91">
        <v>1</v>
      </c>
      <c r="N151" s="25"/>
      <c r="O151" s="25"/>
      <c r="P151" s="25"/>
      <c r="Q151" s="25"/>
      <c r="R151" s="25"/>
      <c r="S151" s="25"/>
      <c r="T151" s="25"/>
      <c r="U151" s="25"/>
      <c r="V151" s="25"/>
      <c r="W151" s="25"/>
      <c r="X151" s="25"/>
      <c r="Y151" s="25"/>
    </row>
    <row r="152" spans="1:25" ht="22.5" x14ac:dyDescent="0.2">
      <c r="A152" s="7"/>
      <c r="B152" s="7"/>
      <c r="C152" s="7"/>
      <c r="D152" s="7"/>
      <c r="E152" s="7"/>
      <c r="F152" s="9" t="str">
        <f t="shared" si="4"/>
        <v>HIGH PRESSURE SODIUM 2X250 W OR 2X400 W FLOODR/BOUT COLUMN2</v>
      </c>
      <c r="G152" s="10">
        <f t="shared" si="5"/>
        <v>1490</v>
      </c>
      <c r="H152" s="7"/>
      <c r="I152" s="9">
        <v>1490</v>
      </c>
      <c r="J152" s="98" t="s">
        <v>719</v>
      </c>
      <c r="K152" s="98" t="s">
        <v>518</v>
      </c>
      <c r="L152" s="91">
        <v>2</v>
      </c>
      <c r="N152" s="25"/>
      <c r="O152" s="25"/>
      <c r="P152" s="25"/>
      <c r="Q152" s="25"/>
      <c r="R152" s="25"/>
      <c r="S152" s="25"/>
      <c r="T152" s="25"/>
      <c r="U152" s="25"/>
      <c r="V152" s="25"/>
      <c r="W152" s="25"/>
      <c r="X152" s="25"/>
      <c r="Y152" s="25"/>
    </row>
    <row r="153" spans="1:25" x14ac:dyDescent="0.2">
      <c r="A153" s="7"/>
      <c r="B153" s="7"/>
      <c r="C153" s="7"/>
      <c r="D153" s="7"/>
      <c r="E153" s="7"/>
      <c r="F153" s="9" t="str">
        <f t="shared" si="4"/>
        <v>MERCURY VAPOUR 80WSTEEL POLE4</v>
      </c>
      <c r="G153" s="10">
        <f t="shared" si="5"/>
        <v>1500</v>
      </c>
      <c r="H153" s="7"/>
      <c r="I153" s="9">
        <v>1500</v>
      </c>
      <c r="J153" s="98" t="s">
        <v>679</v>
      </c>
      <c r="K153" s="98" t="s">
        <v>678</v>
      </c>
      <c r="L153" s="91">
        <v>4</v>
      </c>
      <c r="N153" s="25"/>
      <c r="O153" s="25"/>
      <c r="P153" s="25"/>
      <c r="Q153" s="25"/>
      <c r="R153" s="25"/>
      <c r="S153" s="25"/>
      <c r="T153" s="25"/>
      <c r="U153" s="25"/>
      <c r="V153" s="25"/>
      <c r="W153" s="25"/>
      <c r="X153" s="25"/>
      <c r="Y153" s="25"/>
    </row>
    <row r="154" spans="1:25" x14ac:dyDescent="0.2">
      <c r="A154" s="7"/>
      <c r="B154" s="7"/>
      <c r="C154" s="7"/>
      <c r="D154" s="7"/>
      <c r="E154" s="7"/>
      <c r="F154" s="9" t="str">
        <f t="shared" si="4"/>
        <v>KENSINGTON 80 WSTEEL POLE1</v>
      </c>
      <c r="G154" s="10">
        <f t="shared" si="5"/>
        <v>1600</v>
      </c>
      <c r="H154" s="7"/>
      <c r="I154" s="9">
        <v>1600</v>
      </c>
      <c r="J154" s="98" t="s">
        <v>525</v>
      </c>
      <c r="K154" s="98" t="s">
        <v>678</v>
      </c>
      <c r="L154" s="91">
        <v>1</v>
      </c>
      <c r="N154" s="25"/>
      <c r="O154" s="25"/>
      <c r="P154" s="25"/>
      <c r="Q154" s="25"/>
      <c r="R154" s="25"/>
      <c r="S154" s="25"/>
      <c r="T154" s="25"/>
      <c r="U154" s="25"/>
      <c r="V154" s="25"/>
      <c r="W154" s="25"/>
      <c r="X154" s="25"/>
      <c r="Y154" s="25"/>
    </row>
    <row r="155" spans="1:25" x14ac:dyDescent="0.2">
      <c r="A155" s="7"/>
      <c r="B155" s="7"/>
      <c r="C155" s="7"/>
      <c r="D155" s="7"/>
      <c r="E155" s="7"/>
      <c r="F155" s="9" t="str">
        <f t="shared" si="4"/>
        <v>NOSTALGIA 80 WSTEEL POLE1</v>
      </c>
      <c r="G155" s="10">
        <f t="shared" si="5"/>
        <v>1610</v>
      </c>
      <c r="H155" s="7"/>
      <c r="I155" s="9">
        <v>1610</v>
      </c>
      <c r="J155" s="98" t="s">
        <v>526</v>
      </c>
      <c r="K155" s="98" t="s">
        <v>678</v>
      </c>
      <c r="L155" s="91">
        <v>1</v>
      </c>
      <c r="N155" s="25"/>
      <c r="O155" s="25"/>
      <c r="P155" s="25"/>
      <c r="Q155" s="25"/>
      <c r="R155" s="25"/>
      <c r="S155" s="25"/>
      <c r="T155" s="25"/>
      <c r="U155" s="25"/>
      <c r="V155" s="25"/>
      <c r="W155" s="25"/>
      <c r="X155" s="25"/>
      <c r="Y155" s="25"/>
    </row>
    <row r="156" spans="1:25" x14ac:dyDescent="0.2">
      <c r="A156" s="7"/>
      <c r="B156" s="7"/>
      <c r="C156" s="7"/>
      <c r="D156" s="7"/>
      <c r="E156" s="7"/>
      <c r="F156" s="9" t="str">
        <f t="shared" si="4"/>
        <v>REXEL OPTISPAN MINOR CFL57SHARED OR NO POLE1</v>
      </c>
      <c r="G156" s="10">
        <f t="shared" si="5"/>
        <v>7090</v>
      </c>
      <c r="H156" s="7"/>
      <c r="I156" s="9">
        <v>7090</v>
      </c>
      <c r="J156" s="98" t="s">
        <v>527</v>
      </c>
      <c r="K156" s="98" t="s">
        <v>676</v>
      </c>
      <c r="L156" s="91">
        <v>1</v>
      </c>
      <c r="N156" s="25"/>
      <c r="O156" s="25"/>
      <c r="P156" s="25"/>
      <c r="Q156" s="25"/>
      <c r="R156" s="25"/>
      <c r="S156" s="25"/>
      <c r="T156" s="25"/>
      <c r="U156" s="25"/>
      <c r="V156" s="25"/>
      <c r="W156" s="25"/>
      <c r="X156" s="25"/>
      <c r="Y156" s="25"/>
    </row>
    <row r="157" spans="1:25" x14ac:dyDescent="0.2">
      <c r="A157" s="7"/>
      <c r="B157" s="7"/>
      <c r="C157" s="7"/>
      <c r="D157" s="7"/>
      <c r="E157" s="7"/>
      <c r="F157" s="9" t="str">
        <f t="shared" si="4"/>
        <v>REXEL OPTISPAN MINOR CFL57WOOD POLE1</v>
      </c>
      <c r="G157" s="10">
        <f t="shared" si="5"/>
        <v>7140</v>
      </c>
      <c r="H157" s="7"/>
      <c r="I157" s="9">
        <v>7140</v>
      </c>
      <c r="J157" s="98" t="s">
        <v>527</v>
      </c>
      <c r="K157" s="98" t="s">
        <v>677</v>
      </c>
      <c r="L157" s="91">
        <v>1</v>
      </c>
      <c r="N157" s="25"/>
      <c r="O157" s="25"/>
      <c r="P157" s="25"/>
      <c r="Q157" s="25"/>
      <c r="R157" s="25"/>
      <c r="S157" s="25"/>
      <c r="T157" s="25"/>
      <c r="U157" s="25"/>
      <c r="V157" s="25"/>
      <c r="W157" s="25"/>
      <c r="X157" s="25"/>
      <c r="Y157" s="25"/>
    </row>
    <row r="158" spans="1:25" x14ac:dyDescent="0.2">
      <c r="A158" s="7"/>
      <c r="B158" s="7"/>
      <c r="C158" s="7"/>
      <c r="D158" s="7"/>
      <c r="E158" s="7"/>
      <c r="F158" s="9" t="str">
        <f t="shared" si="4"/>
        <v>REXEL OPTISPAN MINOR CFL57STEEL POLE1</v>
      </c>
      <c r="G158" s="10">
        <f t="shared" si="5"/>
        <v>7170</v>
      </c>
      <c r="H158" s="7"/>
      <c r="I158" s="9">
        <v>7170</v>
      </c>
      <c r="J158" s="98" t="s">
        <v>527</v>
      </c>
      <c r="K158" s="98" t="s">
        <v>678</v>
      </c>
      <c r="L158" s="91">
        <v>1</v>
      </c>
      <c r="N158" s="25"/>
      <c r="O158" s="25"/>
      <c r="P158" s="25"/>
      <c r="Q158" s="25"/>
      <c r="R158" s="25"/>
      <c r="S158" s="25"/>
      <c r="T158" s="25"/>
      <c r="U158" s="25"/>
      <c r="V158" s="25"/>
      <c r="W158" s="25"/>
      <c r="X158" s="25"/>
      <c r="Y158" s="25"/>
    </row>
    <row r="159" spans="1:25" x14ac:dyDescent="0.2">
      <c r="A159" s="7"/>
      <c r="B159" s="7"/>
      <c r="C159" s="7"/>
      <c r="D159" s="7"/>
      <c r="E159" s="7"/>
      <c r="F159" s="9" t="str">
        <f t="shared" si="4"/>
        <v>REXEL OPTISPAN MINOR 70 HPSSHARED OR NO POLE1</v>
      </c>
      <c r="G159" s="10">
        <f t="shared" si="5"/>
        <v>8090</v>
      </c>
      <c r="H159" s="7"/>
      <c r="I159" s="9">
        <v>8090</v>
      </c>
      <c r="J159" s="98" t="s">
        <v>528</v>
      </c>
      <c r="K159" s="98" t="s">
        <v>676</v>
      </c>
      <c r="L159" s="91">
        <v>1</v>
      </c>
      <c r="N159" s="25"/>
      <c r="O159" s="25"/>
      <c r="P159" s="25"/>
      <c r="Q159" s="25"/>
      <c r="R159" s="25"/>
      <c r="S159" s="25"/>
      <c r="T159" s="25"/>
      <c r="U159" s="25"/>
      <c r="V159" s="25"/>
      <c r="W159" s="25"/>
      <c r="X159" s="25"/>
      <c r="Y159" s="25"/>
    </row>
    <row r="160" spans="1:25" x14ac:dyDescent="0.2">
      <c r="A160" s="7"/>
      <c r="B160" s="7"/>
      <c r="C160" s="7"/>
      <c r="D160" s="7"/>
      <c r="E160" s="7"/>
      <c r="F160" s="9" t="str">
        <f t="shared" si="4"/>
        <v>REXEL OPTISPAN MINOR 70 HPSWOOD POLE1</v>
      </c>
      <c r="G160" s="10">
        <f t="shared" si="5"/>
        <v>8140</v>
      </c>
      <c r="H160" s="7"/>
      <c r="I160" s="9">
        <v>8140</v>
      </c>
      <c r="J160" s="98" t="s">
        <v>528</v>
      </c>
      <c r="K160" s="98" t="s">
        <v>677</v>
      </c>
      <c r="L160" s="91">
        <v>1</v>
      </c>
      <c r="N160" s="25"/>
      <c r="O160" s="25"/>
      <c r="P160" s="25"/>
      <c r="Q160" s="25"/>
      <c r="R160" s="25"/>
      <c r="S160" s="25"/>
      <c r="T160" s="25"/>
      <c r="U160" s="25"/>
      <c r="V160" s="25"/>
      <c r="W160" s="25"/>
      <c r="X160" s="25"/>
      <c r="Y160" s="25"/>
    </row>
    <row r="161" spans="1:36" x14ac:dyDescent="0.2">
      <c r="A161" s="7"/>
      <c r="B161" s="7"/>
      <c r="C161" s="7"/>
      <c r="D161" s="7"/>
      <c r="E161" s="7"/>
      <c r="F161" s="9" t="str">
        <f t="shared" si="4"/>
        <v>REXEL OPTISPAN MINOR 70 HPSSTEEL POLE1</v>
      </c>
      <c r="G161" s="10">
        <f t="shared" si="5"/>
        <v>8170</v>
      </c>
      <c r="H161" s="7"/>
      <c r="I161" s="9">
        <v>8170</v>
      </c>
      <c r="J161" s="98" t="s">
        <v>528</v>
      </c>
      <c r="K161" s="98" t="s">
        <v>678</v>
      </c>
      <c r="L161" s="91">
        <v>1</v>
      </c>
      <c r="N161" s="25"/>
      <c r="O161" s="25"/>
      <c r="P161" s="25"/>
      <c r="Q161" s="25"/>
      <c r="R161" s="25"/>
      <c r="S161" s="25"/>
      <c r="T161" s="25"/>
      <c r="U161" s="25"/>
      <c r="V161" s="25"/>
      <c r="W161" s="25"/>
      <c r="X161" s="25"/>
      <c r="Y161" s="25"/>
    </row>
    <row r="162" spans="1:36" x14ac:dyDescent="0.2">
      <c r="A162" s="7"/>
      <c r="B162" s="7"/>
      <c r="C162" s="7"/>
      <c r="D162" s="7"/>
      <c r="E162" s="7"/>
      <c r="F162" s="9" t="str">
        <f t="shared" si="4"/>
        <v>2000 W MH FLOODLIGHT SHARED OR NO POLE1</v>
      </c>
      <c r="G162" s="10">
        <f t="shared" si="5"/>
        <v>8180</v>
      </c>
      <c r="H162" s="7"/>
      <c r="I162" s="9">
        <v>8180</v>
      </c>
      <c r="J162" s="98" t="s">
        <v>401</v>
      </c>
      <c r="K162" s="98" t="s">
        <v>676</v>
      </c>
      <c r="L162" s="10">
        <v>1</v>
      </c>
      <c r="N162" s="25"/>
      <c r="O162" s="25"/>
      <c r="P162" s="25"/>
      <c r="Q162" s="25"/>
      <c r="R162" s="25"/>
      <c r="S162" s="25"/>
      <c r="T162" s="25"/>
      <c r="U162" s="25"/>
      <c r="V162" s="25"/>
      <c r="W162" s="25"/>
      <c r="X162" s="25"/>
      <c r="Y162" s="25"/>
    </row>
    <row r="163" spans="1:36" x14ac:dyDescent="0.2">
      <c r="A163" s="7"/>
      <c r="B163" s="7"/>
      <c r="C163" s="7"/>
      <c r="D163" s="7"/>
      <c r="E163" s="7"/>
      <c r="F163" s="9" t="str">
        <f t="shared" si="4"/>
        <v>2000 W MH FLOODLIGHT SHARED OR NO POLE1</v>
      </c>
      <c r="G163" s="10">
        <f t="shared" si="5"/>
        <v>8190</v>
      </c>
      <c r="H163" s="7"/>
      <c r="I163" s="9">
        <v>8190</v>
      </c>
      <c r="J163" s="98" t="s">
        <v>401</v>
      </c>
      <c r="K163" s="98" t="s">
        <v>676</v>
      </c>
      <c r="L163" s="10">
        <v>1</v>
      </c>
      <c r="N163" s="25"/>
      <c r="O163" s="25"/>
      <c r="P163" s="25"/>
      <c r="Q163" s="25"/>
      <c r="R163" s="25"/>
      <c r="S163" s="25"/>
      <c r="T163" s="25"/>
      <c r="U163" s="25"/>
      <c r="V163" s="25"/>
      <c r="W163" s="25"/>
      <c r="X163" s="25"/>
      <c r="Y163" s="25"/>
    </row>
    <row r="164" spans="1:36" x14ac:dyDescent="0.2">
      <c r="A164" s="7"/>
      <c r="B164" s="7"/>
      <c r="C164" s="7"/>
      <c r="D164" s="7"/>
      <c r="E164" s="7"/>
      <c r="F164" s="9" t="str">
        <f t="shared" si="4"/>
        <v>2000 W MH FLOODLIGHT SHARED OR NO POLE1</v>
      </c>
      <c r="G164" s="10">
        <f t="shared" si="5"/>
        <v>8200</v>
      </c>
      <c r="H164" s="7"/>
      <c r="I164" s="9">
        <v>8200</v>
      </c>
      <c r="J164" s="98" t="s">
        <v>401</v>
      </c>
      <c r="K164" s="98" t="s">
        <v>676</v>
      </c>
      <c r="L164" s="10">
        <v>1</v>
      </c>
      <c r="N164" s="25"/>
      <c r="O164" s="25"/>
      <c r="P164" s="25"/>
      <c r="Q164" s="25"/>
      <c r="R164" s="25"/>
      <c r="S164" s="25"/>
      <c r="T164" s="25"/>
      <c r="U164" s="25"/>
      <c r="V164" s="25"/>
      <c r="W164" s="25"/>
      <c r="X164" s="25"/>
      <c r="Y164" s="25"/>
    </row>
    <row r="165" spans="1:36" x14ac:dyDescent="0.2">
      <c r="A165" s="7"/>
      <c r="B165" s="7"/>
      <c r="C165" s="7"/>
      <c r="D165" s="7"/>
      <c r="E165" s="7"/>
      <c r="F165" s="9" t="str">
        <f t="shared" si="4"/>
        <v>COMPACT FLUORESCENT 42WSHARED OR NO POLE1</v>
      </c>
      <c r="G165" s="10">
        <f t="shared" si="5"/>
        <v>1620</v>
      </c>
      <c r="H165" s="7"/>
      <c r="I165" s="9">
        <v>1620</v>
      </c>
      <c r="J165" s="18" t="s">
        <v>73</v>
      </c>
      <c r="K165" s="98" t="s">
        <v>676</v>
      </c>
      <c r="L165" s="10">
        <v>1</v>
      </c>
      <c r="M165" s="6"/>
      <c r="N165" s="7"/>
      <c r="O165" s="7"/>
      <c r="P165" s="7"/>
      <c r="Q165" s="7"/>
      <c r="R165" s="7"/>
      <c r="S165" s="7"/>
      <c r="T165" s="7"/>
      <c r="U165" s="7"/>
      <c r="V165" s="7"/>
      <c r="W165" s="7"/>
      <c r="X165" s="7"/>
      <c r="Y165" s="7"/>
      <c r="Z165" s="6"/>
      <c r="AA165" s="6"/>
      <c r="AB165" s="6"/>
      <c r="AC165" s="6"/>
      <c r="AD165" s="6"/>
      <c r="AE165" s="6"/>
      <c r="AF165" s="6"/>
      <c r="AG165" s="6"/>
      <c r="AH165" s="6"/>
      <c r="AI165" s="6"/>
      <c r="AJ165" s="6"/>
    </row>
    <row r="166" spans="1:36" x14ac:dyDescent="0.2">
      <c r="A166" s="7"/>
      <c r="B166" s="7"/>
      <c r="C166" s="7"/>
      <c r="D166" s="7"/>
      <c r="E166" s="7"/>
      <c r="F166" s="9" t="str">
        <f t="shared" si="4"/>
        <v>COMPACT FLUORESCENT 42WSHARED OR NO POLE2</v>
      </c>
      <c r="G166" s="10">
        <f t="shared" si="5"/>
        <v>1630</v>
      </c>
      <c r="H166" s="7"/>
      <c r="I166" s="9">
        <v>1630</v>
      </c>
      <c r="J166" s="18" t="s">
        <v>73</v>
      </c>
      <c r="K166" s="98" t="s">
        <v>676</v>
      </c>
      <c r="L166" s="10">
        <v>2</v>
      </c>
      <c r="M166" s="6"/>
      <c r="N166" s="7"/>
      <c r="O166" s="7"/>
      <c r="P166" s="7"/>
      <c r="Q166" s="7"/>
      <c r="R166" s="7"/>
      <c r="S166" s="7"/>
      <c r="T166" s="7"/>
      <c r="U166" s="7"/>
      <c r="V166" s="7"/>
      <c r="W166" s="7"/>
      <c r="X166" s="7"/>
      <c r="Y166" s="7"/>
      <c r="Z166" s="6"/>
      <c r="AA166" s="6"/>
      <c r="AB166" s="6"/>
      <c r="AC166" s="6"/>
      <c r="AD166" s="6"/>
      <c r="AE166" s="6"/>
      <c r="AF166" s="6"/>
      <c r="AG166" s="6"/>
      <c r="AH166" s="6"/>
      <c r="AI166" s="6"/>
      <c r="AJ166" s="6"/>
    </row>
    <row r="167" spans="1:36" x14ac:dyDescent="0.2">
      <c r="A167" s="7"/>
      <c r="B167" s="7"/>
      <c r="C167" s="7"/>
      <c r="D167" s="7"/>
      <c r="E167" s="7"/>
      <c r="F167" s="9" t="str">
        <f t="shared" si="4"/>
        <v>COMPACT FLUORESCENT 42WSHARED OR NO POLE3</v>
      </c>
      <c r="G167" s="10">
        <f t="shared" si="5"/>
        <v>1640</v>
      </c>
      <c r="H167" s="7"/>
      <c r="I167" s="9">
        <v>1640</v>
      </c>
      <c r="J167" s="18" t="s">
        <v>73</v>
      </c>
      <c r="K167" s="98" t="s">
        <v>676</v>
      </c>
      <c r="L167" s="10">
        <v>3</v>
      </c>
      <c r="M167" s="6"/>
      <c r="N167" s="7"/>
      <c r="O167" s="7"/>
      <c r="P167" s="7"/>
      <c r="Q167" s="7"/>
      <c r="R167" s="7"/>
      <c r="S167" s="7"/>
      <c r="T167" s="7"/>
      <c r="U167" s="7"/>
      <c r="V167" s="7"/>
      <c r="W167" s="7"/>
      <c r="X167" s="7"/>
      <c r="Y167" s="7"/>
      <c r="Z167" s="6"/>
      <c r="AA167" s="6"/>
      <c r="AB167" s="6"/>
      <c r="AC167" s="6"/>
      <c r="AD167" s="6"/>
      <c r="AE167" s="6"/>
      <c r="AF167" s="6"/>
      <c r="AG167" s="6"/>
      <c r="AH167" s="6"/>
      <c r="AI167" s="6"/>
      <c r="AJ167" s="6"/>
    </row>
    <row r="168" spans="1:36" x14ac:dyDescent="0.2">
      <c r="A168" s="7"/>
      <c r="B168" s="7"/>
      <c r="C168" s="7"/>
      <c r="D168" s="7"/>
      <c r="E168" s="7"/>
      <c r="F168" s="9" t="str">
        <f t="shared" si="4"/>
        <v>COMPACT FLUORESCENT 42WSHARED OR NO POLE4</v>
      </c>
      <c r="G168" s="10">
        <f t="shared" si="5"/>
        <v>1650</v>
      </c>
      <c r="H168" s="7"/>
      <c r="I168" s="9">
        <v>1650</v>
      </c>
      <c r="J168" s="18" t="s">
        <v>73</v>
      </c>
      <c r="K168" s="98" t="s">
        <v>676</v>
      </c>
      <c r="L168" s="10">
        <v>4</v>
      </c>
      <c r="M168" s="6"/>
      <c r="N168" s="7"/>
      <c r="O168" s="7"/>
      <c r="P168" s="7"/>
      <c r="Q168" s="7"/>
      <c r="R168" s="7"/>
      <c r="S168" s="7"/>
      <c r="T168" s="7"/>
      <c r="U168" s="7"/>
      <c r="V168" s="7"/>
      <c r="W168" s="7"/>
      <c r="X168" s="7"/>
      <c r="Y168" s="7"/>
      <c r="Z168" s="6"/>
      <c r="AA168" s="6"/>
      <c r="AB168" s="6"/>
      <c r="AC168" s="6"/>
      <c r="AD168" s="6"/>
      <c r="AE168" s="6"/>
      <c r="AF168" s="6"/>
      <c r="AG168" s="6"/>
      <c r="AH168" s="6"/>
      <c r="AI168" s="6"/>
      <c r="AJ168" s="6"/>
    </row>
    <row r="169" spans="1:36" x14ac:dyDescent="0.2">
      <c r="A169" s="7"/>
      <c r="B169" s="7"/>
      <c r="C169" s="7"/>
      <c r="D169" s="7"/>
      <c r="E169" s="7"/>
      <c r="F169" s="9" t="str">
        <f t="shared" si="4"/>
        <v>COMPACT FLUORESCENT 42WWOOD POLE1</v>
      </c>
      <c r="G169" s="10">
        <f t="shared" si="5"/>
        <v>1660</v>
      </c>
      <c r="H169" s="7"/>
      <c r="I169" s="9">
        <v>1660</v>
      </c>
      <c r="J169" s="18" t="s">
        <v>73</v>
      </c>
      <c r="K169" s="98" t="s">
        <v>677</v>
      </c>
      <c r="L169" s="10">
        <v>1</v>
      </c>
      <c r="M169" s="6"/>
      <c r="N169" s="7"/>
      <c r="O169" s="7"/>
      <c r="P169" s="7"/>
      <c r="Q169" s="7"/>
      <c r="R169" s="7"/>
      <c r="S169" s="7"/>
      <c r="T169" s="7"/>
      <c r="U169" s="7"/>
      <c r="V169" s="7"/>
      <c r="W169" s="7"/>
      <c r="X169" s="7"/>
      <c r="Y169" s="7"/>
      <c r="Z169" s="6"/>
      <c r="AA169" s="6"/>
      <c r="AB169" s="6"/>
      <c r="AC169" s="6"/>
      <c r="AD169" s="6"/>
      <c r="AE169" s="6"/>
      <c r="AF169" s="6"/>
      <c r="AG169" s="6"/>
      <c r="AH169" s="6"/>
      <c r="AI169" s="6"/>
      <c r="AJ169" s="6"/>
    </row>
    <row r="170" spans="1:36" x14ac:dyDescent="0.2">
      <c r="A170" s="7"/>
      <c r="B170" s="7"/>
      <c r="C170" s="7"/>
      <c r="D170" s="7"/>
      <c r="E170" s="7"/>
      <c r="F170" s="9" t="str">
        <f t="shared" si="4"/>
        <v>COMPACT FLUORESCENT 42WWOOD POLE2</v>
      </c>
      <c r="G170" s="10">
        <f t="shared" si="5"/>
        <v>1670</v>
      </c>
      <c r="H170" s="7"/>
      <c r="I170" s="9">
        <v>1670</v>
      </c>
      <c r="J170" s="18" t="s">
        <v>73</v>
      </c>
      <c r="K170" s="98" t="s">
        <v>677</v>
      </c>
      <c r="L170" s="10">
        <v>2</v>
      </c>
      <c r="M170" s="6"/>
      <c r="N170" s="7"/>
      <c r="O170" s="7"/>
      <c r="P170" s="7"/>
      <c r="Q170" s="7"/>
      <c r="R170" s="7"/>
      <c r="S170" s="7"/>
      <c r="T170" s="7"/>
      <c r="U170" s="7"/>
      <c r="V170" s="7"/>
      <c r="W170" s="7"/>
      <c r="X170" s="7"/>
      <c r="Y170" s="7"/>
      <c r="Z170" s="6"/>
      <c r="AA170" s="6"/>
      <c r="AB170" s="6"/>
      <c r="AC170" s="6"/>
      <c r="AD170" s="6"/>
      <c r="AE170" s="6"/>
      <c r="AF170" s="6"/>
      <c r="AG170" s="6"/>
      <c r="AH170" s="6"/>
      <c r="AI170" s="6"/>
      <c r="AJ170" s="6"/>
    </row>
    <row r="171" spans="1:36" x14ac:dyDescent="0.2">
      <c r="A171" s="7"/>
      <c r="B171" s="7"/>
      <c r="C171" s="7"/>
      <c r="D171" s="7"/>
      <c r="E171" s="7"/>
      <c r="F171" s="9" t="str">
        <f t="shared" si="4"/>
        <v>COMPACT FLUORESCENT 42WWOOD POLE3</v>
      </c>
      <c r="G171" s="10">
        <f t="shared" si="5"/>
        <v>1680</v>
      </c>
      <c r="H171" s="7"/>
      <c r="I171" s="9">
        <v>1680</v>
      </c>
      <c r="J171" s="18" t="s">
        <v>73</v>
      </c>
      <c r="K171" s="98" t="s">
        <v>677</v>
      </c>
      <c r="L171" s="10">
        <v>3</v>
      </c>
      <c r="M171" s="6"/>
      <c r="N171" s="7"/>
      <c r="O171" s="7"/>
      <c r="P171" s="7"/>
      <c r="Q171" s="7"/>
      <c r="R171" s="7"/>
      <c r="S171" s="7"/>
      <c r="T171" s="7"/>
      <c r="U171" s="7"/>
      <c r="V171" s="7"/>
      <c r="W171" s="7"/>
      <c r="X171" s="7"/>
      <c r="Y171" s="7"/>
      <c r="Z171" s="6"/>
      <c r="AA171" s="6"/>
      <c r="AB171" s="6"/>
      <c r="AC171" s="6"/>
      <c r="AD171" s="6"/>
      <c r="AE171" s="6"/>
      <c r="AF171" s="6"/>
      <c r="AG171" s="6"/>
      <c r="AH171" s="6"/>
      <c r="AI171" s="6"/>
      <c r="AJ171" s="6"/>
    </row>
    <row r="172" spans="1:36" x14ac:dyDescent="0.2">
      <c r="A172" s="7"/>
      <c r="B172" s="7"/>
      <c r="C172" s="7"/>
      <c r="D172" s="7"/>
      <c r="E172" s="7"/>
      <c r="F172" s="9" t="str">
        <f t="shared" si="4"/>
        <v>COMPACT FLUORESCENT 42WWOOD POLE4</v>
      </c>
      <c r="G172" s="10">
        <f t="shared" si="5"/>
        <v>1690</v>
      </c>
      <c r="H172" s="7"/>
      <c r="I172" s="9">
        <v>1690</v>
      </c>
      <c r="J172" s="18" t="s">
        <v>73</v>
      </c>
      <c r="K172" s="98" t="s">
        <v>677</v>
      </c>
      <c r="L172" s="10">
        <v>4</v>
      </c>
      <c r="M172" s="6"/>
      <c r="N172" s="7"/>
      <c r="O172" s="7"/>
      <c r="P172" s="7"/>
      <c r="Q172" s="7"/>
      <c r="R172" s="7"/>
      <c r="S172" s="7"/>
      <c r="T172" s="7"/>
      <c r="U172" s="7"/>
      <c r="V172" s="7"/>
      <c r="W172" s="7"/>
      <c r="X172" s="7"/>
      <c r="Y172" s="7"/>
      <c r="Z172" s="6"/>
      <c r="AA172" s="6"/>
      <c r="AB172" s="6"/>
      <c r="AC172" s="6"/>
      <c r="AD172" s="6"/>
      <c r="AE172" s="6"/>
      <c r="AF172" s="6"/>
      <c r="AG172" s="6"/>
      <c r="AH172" s="6"/>
      <c r="AI172" s="6"/>
      <c r="AJ172" s="6"/>
    </row>
    <row r="173" spans="1:36" x14ac:dyDescent="0.2">
      <c r="A173" s="7"/>
      <c r="B173" s="7"/>
      <c r="C173" s="7"/>
      <c r="D173" s="7"/>
      <c r="E173" s="7"/>
      <c r="F173" s="9" t="str">
        <f t="shared" si="4"/>
        <v>COMPACT FLUORESCENT 42WSTEEL POLE1</v>
      </c>
      <c r="G173" s="10">
        <f t="shared" si="5"/>
        <v>1700</v>
      </c>
      <c r="H173" s="7"/>
      <c r="I173" s="9">
        <v>1700</v>
      </c>
      <c r="J173" s="18" t="s">
        <v>73</v>
      </c>
      <c r="K173" s="98" t="s">
        <v>678</v>
      </c>
      <c r="L173" s="10">
        <v>1</v>
      </c>
      <c r="M173" s="6"/>
      <c r="N173" s="7"/>
      <c r="O173" s="7"/>
      <c r="P173" s="7"/>
      <c r="Q173" s="7"/>
      <c r="R173" s="7"/>
      <c r="S173" s="7"/>
      <c r="T173" s="7"/>
      <c r="U173" s="7"/>
      <c r="V173" s="7"/>
      <c r="W173" s="7"/>
      <c r="X173" s="7"/>
      <c r="Y173" s="7"/>
      <c r="Z173" s="6"/>
      <c r="AA173" s="6"/>
      <c r="AB173" s="6"/>
      <c r="AC173" s="6"/>
      <c r="AD173" s="6"/>
      <c r="AE173" s="6"/>
      <c r="AF173" s="6"/>
      <c r="AG173" s="6"/>
      <c r="AH173" s="6"/>
      <c r="AI173" s="6"/>
      <c r="AJ173" s="6"/>
    </row>
    <row r="174" spans="1:36" x14ac:dyDescent="0.2">
      <c r="A174" s="7"/>
      <c r="B174" s="7"/>
      <c r="C174" s="7"/>
      <c r="D174" s="7"/>
      <c r="E174" s="7"/>
      <c r="F174" s="9" t="str">
        <f t="shared" si="4"/>
        <v>COMPACT FLUORESCENT 42WSTEEL POLE2</v>
      </c>
      <c r="G174" s="10">
        <f t="shared" si="5"/>
        <v>1710</v>
      </c>
      <c r="H174" s="7"/>
      <c r="I174" s="9">
        <v>1710</v>
      </c>
      <c r="J174" s="18" t="s">
        <v>73</v>
      </c>
      <c r="K174" s="98" t="s">
        <v>678</v>
      </c>
      <c r="L174" s="10">
        <v>2</v>
      </c>
      <c r="M174" s="6"/>
      <c r="N174" s="7"/>
      <c r="O174" s="7"/>
      <c r="P174" s="7"/>
      <c r="Q174" s="7"/>
      <c r="R174" s="7"/>
      <c r="S174" s="7"/>
      <c r="T174" s="7"/>
      <c r="U174" s="7"/>
      <c r="V174" s="7"/>
      <c r="W174" s="7"/>
      <c r="X174" s="7"/>
      <c r="Y174" s="7"/>
      <c r="Z174" s="6"/>
      <c r="AA174" s="6"/>
      <c r="AB174" s="6"/>
      <c r="AC174" s="6"/>
      <c r="AD174" s="6"/>
      <c r="AE174" s="6"/>
      <c r="AF174" s="6"/>
      <c r="AG174" s="6"/>
      <c r="AH174" s="6"/>
      <c r="AI174" s="6"/>
      <c r="AJ174" s="6"/>
    </row>
    <row r="175" spans="1:36" x14ac:dyDescent="0.2">
      <c r="A175" s="7"/>
      <c r="B175" s="7"/>
      <c r="C175" s="7"/>
      <c r="D175" s="7"/>
      <c r="E175" s="7"/>
      <c r="F175" s="9" t="str">
        <f t="shared" si="4"/>
        <v>COMPACT FLUORESCENT 42WSTEEL POLE3</v>
      </c>
      <c r="G175" s="10">
        <f t="shared" si="5"/>
        <v>1720</v>
      </c>
      <c r="H175" s="7"/>
      <c r="I175" s="9">
        <v>1720</v>
      </c>
      <c r="J175" s="18" t="s">
        <v>73</v>
      </c>
      <c r="K175" s="98" t="s">
        <v>678</v>
      </c>
      <c r="L175" s="10">
        <v>3</v>
      </c>
      <c r="M175" s="6"/>
      <c r="N175" s="7"/>
      <c r="O175" s="7"/>
      <c r="P175" s="7"/>
      <c r="Q175" s="7"/>
      <c r="R175" s="7"/>
      <c r="S175" s="7"/>
      <c r="T175" s="7"/>
      <c r="U175" s="7"/>
      <c r="V175" s="7"/>
      <c r="W175" s="7"/>
      <c r="X175" s="7"/>
      <c r="Y175" s="7"/>
      <c r="Z175" s="6"/>
      <c r="AA175" s="6"/>
      <c r="AB175" s="6"/>
      <c r="AC175" s="6"/>
      <c r="AD175" s="6"/>
      <c r="AE175" s="6"/>
      <c r="AF175" s="6"/>
      <c r="AG175" s="6"/>
      <c r="AH175" s="6"/>
      <c r="AI175" s="6"/>
      <c r="AJ175" s="6"/>
    </row>
    <row r="176" spans="1:36" x14ac:dyDescent="0.2">
      <c r="A176" s="7"/>
      <c r="B176" s="7"/>
      <c r="C176" s="7"/>
      <c r="D176" s="7"/>
      <c r="E176" s="7"/>
      <c r="F176" s="9" t="str">
        <f t="shared" si="4"/>
        <v>COMPACT FLUORESCENT 42WSTEEL POLE4</v>
      </c>
      <c r="G176" s="10">
        <f t="shared" si="5"/>
        <v>1730</v>
      </c>
      <c r="H176" s="7"/>
      <c r="I176" s="9">
        <v>1730</v>
      </c>
      <c r="J176" s="18" t="s">
        <v>73</v>
      </c>
      <c r="K176" s="98" t="s">
        <v>678</v>
      </c>
      <c r="L176" s="10">
        <v>4</v>
      </c>
      <c r="M176" s="6"/>
      <c r="N176" s="7"/>
      <c r="O176" s="7"/>
      <c r="P176" s="7"/>
      <c r="Q176" s="7"/>
      <c r="R176" s="7"/>
      <c r="S176" s="7"/>
      <c r="T176" s="7"/>
      <c r="U176" s="7"/>
      <c r="V176" s="7"/>
      <c r="W176" s="7"/>
      <c r="X176" s="7"/>
      <c r="Y176" s="7"/>
      <c r="Z176" s="6"/>
      <c r="AA176" s="6"/>
      <c r="AB176" s="6"/>
      <c r="AC176" s="6"/>
      <c r="AD176" s="6"/>
      <c r="AE176" s="6"/>
      <c r="AF176" s="6"/>
      <c r="AG176" s="6"/>
      <c r="AH176" s="6"/>
      <c r="AI176" s="6"/>
      <c r="AJ176" s="6"/>
    </row>
    <row r="177" spans="1:36" x14ac:dyDescent="0.2">
      <c r="A177" s="7"/>
      <c r="B177" s="7"/>
      <c r="C177" s="7"/>
      <c r="D177" s="7"/>
      <c r="E177" s="7"/>
      <c r="F177" s="180" t="str">
        <f t="shared" si="4"/>
        <v>COMPACT FLUORESCENT 32WSHARED OR NO POLE1</v>
      </c>
      <c r="G177" s="181">
        <f t="shared" si="5"/>
        <v>1980</v>
      </c>
      <c r="H177" s="7"/>
      <c r="I177" s="180">
        <v>1980</v>
      </c>
      <c r="J177" s="179" t="s">
        <v>456</v>
      </c>
      <c r="K177" s="182" t="s">
        <v>676</v>
      </c>
      <c r="L177" s="181">
        <v>1</v>
      </c>
      <c r="M177" s="6"/>
      <c r="N177" s="7"/>
      <c r="O177" s="7"/>
      <c r="P177" s="7"/>
      <c r="Q177" s="7"/>
      <c r="R177" s="7"/>
      <c r="S177" s="7"/>
      <c r="T177" s="7"/>
      <c r="U177" s="7"/>
      <c r="V177" s="7"/>
      <c r="W177" s="7"/>
      <c r="X177" s="7"/>
      <c r="Y177" s="7"/>
      <c r="Z177" s="6"/>
      <c r="AA177" s="6"/>
      <c r="AB177" s="6"/>
      <c r="AC177" s="6"/>
      <c r="AD177" s="6"/>
      <c r="AE177" s="6"/>
      <c r="AF177" s="6"/>
      <c r="AG177" s="6"/>
      <c r="AH177" s="6"/>
      <c r="AI177" s="6"/>
      <c r="AJ177" s="6"/>
    </row>
    <row r="178" spans="1:36" x14ac:dyDescent="0.2">
      <c r="A178" s="7"/>
      <c r="B178" s="7"/>
      <c r="C178" s="7"/>
      <c r="D178" s="7"/>
      <c r="E178" s="7"/>
      <c r="F178" s="180" t="str">
        <f t="shared" si="4"/>
        <v>COMPACT FLUORESCENT 32WSHARED OR NO POLE2</v>
      </c>
      <c r="G178" s="181">
        <f t="shared" si="5"/>
        <v>1990</v>
      </c>
      <c r="H178" s="7"/>
      <c r="I178" s="180">
        <v>1990</v>
      </c>
      <c r="J178" s="179" t="s">
        <v>456</v>
      </c>
      <c r="K178" s="182" t="s">
        <v>676</v>
      </c>
      <c r="L178" s="181">
        <v>2</v>
      </c>
      <c r="M178" s="6"/>
      <c r="N178" s="7"/>
      <c r="O178" s="7"/>
      <c r="P178" s="7"/>
      <c r="Q178" s="7"/>
      <c r="R178" s="7"/>
      <c r="S178" s="7"/>
      <c r="T178" s="7"/>
      <c r="U178" s="7"/>
      <c r="V178" s="7"/>
      <c r="W178" s="7"/>
      <c r="X178" s="7"/>
      <c r="Y178" s="7"/>
      <c r="Z178" s="6"/>
      <c r="AA178" s="6"/>
      <c r="AB178" s="6"/>
      <c r="AC178" s="6"/>
      <c r="AD178" s="6"/>
      <c r="AE178" s="6"/>
      <c r="AF178" s="6"/>
      <c r="AG178" s="6"/>
      <c r="AH178" s="6"/>
      <c r="AI178" s="6"/>
      <c r="AJ178" s="6"/>
    </row>
    <row r="179" spans="1:36" x14ac:dyDescent="0.2">
      <c r="A179" s="7"/>
      <c r="B179" s="7"/>
      <c r="C179" s="7"/>
      <c r="D179" s="7"/>
      <c r="E179" s="7"/>
      <c r="F179" s="180" t="str">
        <f t="shared" si="4"/>
        <v>COMPACT FLUORESCENT 32WSHARED OR NO POLE3</v>
      </c>
      <c r="G179" s="181">
        <f t="shared" si="5"/>
        <v>2000</v>
      </c>
      <c r="H179" s="7"/>
      <c r="I179" s="180">
        <v>2000</v>
      </c>
      <c r="J179" s="179" t="s">
        <v>456</v>
      </c>
      <c r="K179" s="182" t="s">
        <v>676</v>
      </c>
      <c r="L179" s="181">
        <v>3</v>
      </c>
      <c r="M179" s="6"/>
      <c r="N179" s="7"/>
      <c r="O179" s="7"/>
      <c r="P179" s="7"/>
      <c r="Q179" s="7"/>
      <c r="R179" s="7"/>
      <c r="S179" s="7"/>
      <c r="T179" s="7"/>
      <c r="U179" s="7"/>
      <c r="V179" s="7"/>
      <c r="W179" s="7"/>
      <c r="X179" s="7"/>
      <c r="Y179" s="7"/>
      <c r="Z179" s="6"/>
      <c r="AA179" s="6"/>
      <c r="AB179" s="6"/>
      <c r="AC179" s="6"/>
      <c r="AD179" s="6"/>
      <c r="AE179" s="6"/>
      <c r="AF179" s="6"/>
      <c r="AG179" s="6"/>
      <c r="AH179" s="6"/>
      <c r="AI179" s="6"/>
      <c r="AJ179" s="6"/>
    </row>
    <row r="180" spans="1:36" x14ac:dyDescent="0.2">
      <c r="A180" s="7"/>
      <c r="B180" s="7"/>
      <c r="C180" s="7"/>
      <c r="D180" s="7"/>
      <c r="E180" s="7"/>
      <c r="F180" s="180" t="str">
        <f t="shared" si="4"/>
        <v>COMPACT FLUORESCENT 32WSHARED OR NO POLE4</v>
      </c>
      <c r="G180" s="181">
        <f t="shared" si="5"/>
        <v>2010</v>
      </c>
      <c r="H180" s="7"/>
      <c r="I180" s="180">
        <v>2010</v>
      </c>
      <c r="J180" s="179" t="s">
        <v>456</v>
      </c>
      <c r="K180" s="182" t="s">
        <v>676</v>
      </c>
      <c r="L180" s="181">
        <v>4</v>
      </c>
      <c r="M180" s="6"/>
      <c r="N180" s="7"/>
      <c r="O180" s="7"/>
      <c r="P180" s="7"/>
      <c r="Q180" s="7"/>
      <c r="R180" s="7"/>
      <c r="S180" s="7"/>
      <c r="T180" s="7"/>
      <c r="U180" s="7"/>
      <c r="V180" s="7"/>
      <c r="W180" s="7"/>
      <c r="X180" s="7"/>
      <c r="Y180" s="7"/>
      <c r="Z180" s="6"/>
      <c r="AA180" s="6"/>
      <c r="AB180" s="6"/>
      <c r="AC180" s="6"/>
      <c r="AD180" s="6"/>
      <c r="AE180" s="6"/>
      <c r="AF180" s="6"/>
      <c r="AG180" s="6"/>
      <c r="AH180" s="6"/>
      <c r="AI180" s="6"/>
      <c r="AJ180" s="6"/>
    </row>
    <row r="181" spans="1:36" x14ac:dyDescent="0.2">
      <c r="A181" s="7"/>
      <c r="B181" s="7"/>
      <c r="C181" s="7"/>
      <c r="D181" s="7"/>
      <c r="E181" s="7"/>
      <c r="F181" s="180" t="str">
        <f t="shared" si="4"/>
        <v>COMPACT FLUORESCENT 32WWOOD POLE1</v>
      </c>
      <c r="G181" s="181">
        <f t="shared" si="5"/>
        <v>2020</v>
      </c>
      <c r="H181" s="7"/>
      <c r="I181" s="180">
        <v>2020</v>
      </c>
      <c r="J181" s="179" t="s">
        <v>456</v>
      </c>
      <c r="K181" s="182" t="s">
        <v>677</v>
      </c>
      <c r="L181" s="181">
        <v>1</v>
      </c>
      <c r="M181" s="6"/>
      <c r="N181" s="7"/>
      <c r="O181" s="7"/>
      <c r="P181" s="7"/>
      <c r="Q181" s="7"/>
      <c r="R181" s="7"/>
      <c r="S181" s="7"/>
      <c r="T181" s="7"/>
      <c r="U181" s="7"/>
      <c r="V181" s="7"/>
      <c r="W181" s="7"/>
      <c r="X181" s="7"/>
      <c r="Y181" s="7"/>
      <c r="Z181" s="6"/>
      <c r="AA181" s="6"/>
      <c r="AB181" s="6"/>
      <c r="AC181" s="6"/>
      <c r="AD181" s="6"/>
      <c r="AE181" s="6"/>
      <c r="AF181" s="6"/>
      <c r="AG181" s="6"/>
      <c r="AH181" s="6"/>
      <c r="AI181" s="6"/>
      <c r="AJ181" s="6"/>
    </row>
    <row r="182" spans="1:36" x14ac:dyDescent="0.2">
      <c r="A182" s="7"/>
      <c r="B182" s="7"/>
      <c r="C182" s="7"/>
      <c r="D182" s="7"/>
      <c r="E182" s="7"/>
      <c r="F182" s="180" t="str">
        <f t="shared" si="4"/>
        <v>COMPACT FLUORESCENT 32WWOOD POLE2</v>
      </c>
      <c r="G182" s="181">
        <f t="shared" si="5"/>
        <v>2030</v>
      </c>
      <c r="H182" s="7"/>
      <c r="I182" s="180">
        <v>2030</v>
      </c>
      <c r="J182" s="179" t="s">
        <v>456</v>
      </c>
      <c r="K182" s="182" t="s">
        <v>677</v>
      </c>
      <c r="L182" s="181">
        <v>2</v>
      </c>
      <c r="M182" s="6"/>
      <c r="N182" s="7"/>
      <c r="O182" s="7"/>
      <c r="P182" s="7"/>
      <c r="Q182" s="7"/>
      <c r="R182" s="7"/>
      <c r="S182" s="7"/>
      <c r="T182" s="7"/>
      <c r="U182" s="7"/>
      <c r="V182" s="7"/>
      <c r="W182" s="7"/>
      <c r="X182" s="7"/>
      <c r="Y182" s="7"/>
      <c r="Z182" s="6"/>
      <c r="AA182" s="6"/>
      <c r="AB182" s="6"/>
      <c r="AC182" s="6"/>
      <c r="AD182" s="6"/>
      <c r="AE182" s="6"/>
      <c r="AF182" s="6"/>
      <c r="AG182" s="6"/>
      <c r="AH182" s="6"/>
      <c r="AI182" s="6"/>
      <c r="AJ182" s="6"/>
    </row>
    <row r="183" spans="1:36" x14ac:dyDescent="0.2">
      <c r="A183" s="7"/>
      <c r="B183" s="7"/>
      <c r="C183" s="7"/>
      <c r="D183" s="7"/>
      <c r="E183" s="7"/>
      <c r="F183" s="180" t="str">
        <f t="shared" si="4"/>
        <v>COMPACT FLUORESCENT 32WWOOD POLE3</v>
      </c>
      <c r="G183" s="181">
        <f t="shared" si="5"/>
        <v>2040</v>
      </c>
      <c r="H183" s="7"/>
      <c r="I183" s="180">
        <v>2040</v>
      </c>
      <c r="J183" s="179" t="s">
        <v>456</v>
      </c>
      <c r="K183" s="182" t="s">
        <v>677</v>
      </c>
      <c r="L183" s="181">
        <v>3</v>
      </c>
      <c r="M183" s="6"/>
      <c r="N183" s="7"/>
      <c r="O183" s="7"/>
      <c r="P183" s="7"/>
      <c r="Q183" s="7"/>
      <c r="R183" s="7"/>
      <c r="S183" s="7"/>
      <c r="T183" s="7"/>
      <c r="U183" s="7"/>
      <c r="V183" s="7"/>
      <c r="W183" s="7"/>
      <c r="X183" s="7"/>
      <c r="Y183" s="7"/>
      <c r="Z183" s="6"/>
      <c r="AA183" s="6"/>
      <c r="AB183" s="6"/>
      <c r="AC183" s="6"/>
      <c r="AD183" s="6"/>
      <c r="AE183" s="6"/>
      <c r="AF183" s="6"/>
      <c r="AG183" s="6"/>
      <c r="AH183" s="6"/>
      <c r="AI183" s="6"/>
      <c r="AJ183" s="6"/>
    </row>
    <row r="184" spans="1:36" x14ac:dyDescent="0.2">
      <c r="A184" s="7"/>
      <c r="B184" s="7"/>
      <c r="C184" s="7"/>
      <c r="D184" s="7"/>
      <c r="E184" s="7"/>
      <c r="F184" s="180" t="str">
        <f t="shared" si="4"/>
        <v>COMPACT FLUORESCENT 32WWOOD POLE4</v>
      </c>
      <c r="G184" s="181">
        <f t="shared" si="5"/>
        <v>2050</v>
      </c>
      <c r="H184" s="7"/>
      <c r="I184" s="180">
        <v>2050</v>
      </c>
      <c r="J184" s="179" t="s">
        <v>456</v>
      </c>
      <c r="K184" s="182" t="s">
        <v>677</v>
      </c>
      <c r="L184" s="181">
        <v>4</v>
      </c>
      <c r="M184" s="6"/>
      <c r="N184" s="7"/>
      <c r="O184" s="7"/>
      <c r="P184" s="7"/>
      <c r="Q184" s="7"/>
      <c r="R184" s="7"/>
      <c r="S184" s="7"/>
      <c r="T184" s="7"/>
      <c r="U184" s="7"/>
      <c r="V184" s="7"/>
      <c r="W184" s="7"/>
      <c r="X184" s="7"/>
      <c r="Y184" s="7"/>
      <c r="Z184" s="6"/>
      <c r="AA184" s="6"/>
      <c r="AB184" s="6"/>
      <c r="AC184" s="6"/>
      <c r="AD184" s="6"/>
      <c r="AE184" s="6"/>
      <c r="AF184" s="6"/>
      <c r="AG184" s="6"/>
      <c r="AH184" s="6"/>
      <c r="AI184" s="6"/>
      <c r="AJ184" s="6"/>
    </row>
    <row r="185" spans="1:36" x14ac:dyDescent="0.2">
      <c r="A185" s="7"/>
      <c r="B185" s="7"/>
      <c r="C185" s="7"/>
      <c r="D185" s="7"/>
      <c r="E185" s="7"/>
      <c r="F185" s="180" t="str">
        <f t="shared" si="4"/>
        <v>COMPACT FLUORESCENT 32WSTEEL POLE1</v>
      </c>
      <c r="G185" s="181">
        <f t="shared" si="5"/>
        <v>2060</v>
      </c>
      <c r="H185" s="7"/>
      <c r="I185" s="180">
        <v>2060</v>
      </c>
      <c r="J185" s="179" t="s">
        <v>456</v>
      </c>
      <c r="K185" s="182" t="s">
        <v>678</v>
      </c>
      <c r="L185" s="181">
        <v>1</v>
      </c>
      <c r="M185" s="6"/>
      <c r="N185" s="7"/>
      <c r="O185" s="7"/>
      <c r="P185" s="7"/>
      <c r="Q185" s="7"/>
      <c r="R185" s="7"/>
      <c r="S185" s="7"/>
      <c r="T185" s="7"/>
      <c r="U185" s="7"/>
      <c r="V185" s="7"/>
      <c r="W185" s="7"/>
      <c r="X185" s="7"/>
      <c r="Y185" s="7"/>
      <c r="Z185" s="6"/>
      <c r="AA185" s="6"/>
      <c r="AB185" s="6"/>
      <c r="AC185" s="6"/>
      <c r="AD185" s="6"/>
      <c r="AE185" s="6"/>
      <c r="AF185" s="6"/>
      <c r="AG185" s="6"/>
      <c r="AH185" s="6"/>
      <c r="AI185" s="6"/>
      <c r="AJ185" s="6"/>
    </row>
    <row r="186" spans="1:36" x14ac:dyDescent="0.2">
      <c r="A186" s="7"/>
      <c r="B186" s="7"/>
      <c r="C186" s="7"/>
      <c r="D186" s="7"/>
      <c r="E186" s="7"/>
      <c r="F186" s="180" t="str">
        <f t="shared" si="4"/>
        <v>COMPACT FLUORESCENT 32WSTEEL POLE2</v>
      </c>
      <c r="G186" s="181">
        <f t="shared" si="5"/>
        <v>2070</v>
      </c>
      <c r="H186" s="7"/>
      <c r="I186" s="180">
        <v>2070</v>
      </c>
      <c r="J186" s="179" t="s">
        <v>456</v>
      </c>
      <c r="K186" s="182" t="s">
        <v>678</v>
      </c>
      <c r="L186" s="181">
        <v>2</v>
      </c>
      <c r="M186" s="6"/>
      <c r="N186" s="7"/>
      <c r="O186" s="7"/>
      <c r="P186" s="7"/>
      <c r="Q186" s="7"/>
      <c r="R186" s="7"/>
      <c r="S186" s="7"/>
      <c r="T186" s="7"/>
      <c r="U186" s="7"/>
      <c r="V186" s="7"/>
      <c r="W186" s="7"/>
      <c r="X186" s="7"/>
      <c r="Y186" s="7"/>
      <c r="Z186" s="6"/>
      <c r="AA186" s="6"/>
      <c r="AB186" s="6"/>
      <c r="AC186" s="6"/>
      <c r="AD186" s="6"/>
      <c r="AE186" s="6"/>
      <c r="AF186" s="6"/>
      <c r="AG186" s="6"/>
      <c r="AH186" s="6"/>
      <c r="AI186" s="6"/>
      <c r="AJ186" s="6"/>
    </row>
    <row r="187" spans="1:36" x14ac:dyDescent="0.2">
      <c r="A187" s="7"/>
      <c r="B187" s="7"/>
      <c r="C187" s="7"/>
      <c r="D187" s="7"/>
      <c r="E187" s="7"/>
      <c r="F187" s="180" t="str">
        <f t="shared" si="4"/>
        <v>COMPACT FLUORESCENT 32WSTEEL POLE3</v>
      </c>
      <c r="G187" s="181">
        <f t="shared" si="5"/>
        <v>2080</v>
      </c>
      <c r="H187" s="7"/>
      <c r="I187" s="180">
        <v>2080</v>
      </c>
      <c r="J187" s="179" t="s">
        <v>456</v>
      </c>
      <c r="K187" s="182" t="s">
        <v>678</v>
      </c>
      <c r="L187" s="181">
        <v>3</v>
      </c>
      <c r="M187" s="6"/>
      <c r="N187" s="7"/>
      <c r="O187" s="7"/>
      <c r="P187" s="7"/>
      <c r="Q187" s="7"/>
      <c r="R187" s="7"/>
      <c r="S187" s="7"/>
      <c r="T187" s="7"/>
      <c r="U187" s="7"/>
      <c r="V187" s="7"/>
      <c r="W187" s="7"/>
      <c r="X187" s="7"/>
      <c r="Y187" s="7"/>
      <c r="Z187" s="6"/>
      <c r="AA187" s="6"/>
      <c r="AB187" s="6"/>
      <c r="AC187" s="6"/>
      <c r="AD187" s="6"/>
      <c r="AE187" s="6"/>
      <c r="AF187" s="6"/>
      <c r="AG187" s="6"/>
      <c r="AH187" s="6"/>
      <c r="AI187" s="6"/>
      <c r="AJ187" s="6"/>
    </row>
    <row r="188" spans="1:36" x14ac:dyDescent="0.2">
      <c r="A188" s="7"/>
      <c r="B188" s="7"/>
      <c r="C188" s="7"/>
      <c r="D188" s="7"/>
      <c r="E188" s="7"/>
      <c r="F188" s="180" t="str">
        <f t="shared" si="4"/>
        <v>COMPACT FLUORESCENT 32WSTEEL POLE4</v>
      </c>
      <c r="G188" s="181">
        <f t="shared" si="5"/>
        <v>2090</v>
      </c>
      <c r="H188" s="7"/>
      <c r="I188" s="180">
        <v>2090</v>
      </c>
      <c r="J188" s="179" t="s">
        <v>456</v>
      </c>
      <c r="K188" s="182" t="s">
        <v>678</v>
      </c>
      <c r="L188" s="181">
        <v>4</v>
      </c>
      <c r="M188" s="6"/>
      <c r="N188" s="7"/>
      <c r="O188" s="7"/>
      <c r="P188" s="7"/>
      <c r="Q188" s="7"/>
      <c r="R188" s="7"/>
      <c r="S188" s="7"/>
      <c r="T188" s="7"/>
      <c r="U188" s="7"/>
      <c r="V188" s="7"/>
      <c r="W188" s="7"/>
      <c r="X188" s="7"/>
      <c r="Y188" s="7"/>
      <c r="Z188" s="6"/>
      <c r="AA188" s="6"/>
      <c r="AB188" s="6"/>
      <c r="AC188" s="6"/>
      <c r="AD188" s="6"/>
      <c r="AE188" s="6"/>
      <c r="AF188" s="6"/>
      <c r="AG188" s="6"/>
      <c r="AH188" s="6"/>
      <c r="AI188" s="6"/>
      <c r="AJ188" s="6"/>
    </row>
    <row r="189" spans="1:36" x14ac:dyDescent="0.2">
      <c r="A189" s="7"/>
      <c r="B189" s="7"/>
      <c r="C189" s="7"/>
      <c r="D189" s="7"/>
      <c r="E189" s="7"/>
      <c r="F189" s="9" t="str">
        <f t="shared" si="4"/>
        <v>T5 2x14WSHARED OR NO POLE1</v>
      </c>
      <c r="G189" s="10">
        <f t="shared" si="5"/>
        <v>1740</v>
      </c>
      <c r="H189" s="7"/>
      <c r="I189" s="9">
        <v>1740</v>
      </c>
      <c r="J189" s="18" t="s">
        <v>83</v>
      </c>
      <c r="K189" s="98" t="s">
        <v>676</v>
      </c>
      <c r="L189" s="10">
        <v>1</v>
      </c>
      <c r="M189" s="6"/>
      <c r="N189" s="7"/>
      <c r="O189" s="7"/>
      <c r="P189" s="7"/>
      <c r="Q189" s="7"/>
      <c r="R189" s="7"/>
      <c r="S189" s="7"/>
      <c r="T189" s="7"/>
      <c r="U189" s="7"/>
      <c r="V189" s="7"/>
      <c r="W189" s="7"/>
      <c r="X189" s="7"/>
      <c r="Y189" s="7"/>
      <c r="Z189" s="6"/>
      <c r="AA189" s="6"/>
      <c r="AB189" s="6"/>
      <c r="AC189" s="6"/>
      <c r="AD189" s="6"/>
      <c r="AE189" s="6"/>
      <c r="AF189" s="6"/>
      <c r="AG189" s="6"/>
      <c r="AH189" s="6"/>
      <c r="AI189" s="6"/>
      <c r="AJ189" s="6"/>
    </row>
    <row r="190" spans="1:36" x14ac:dyDescent="0.2">
      <c r="A190" s="7"/>
      <c r="B190" s="7"/>
      <c r="C190" s="7"/>
      <c r="D190" s="7"/>
      <c r="E190" s="7"/>
      <c r="F190" s="9" t="str">
        <f t="shared" si="4"/>
        <v>T5 2x14WSHARED OR NO POLE2</v>
      </c>
      <c r="G190" s="10">
        <f t="shared" si="5"/>
        <v>1750</v>
      </c>
      <c r="H190" s="7"/>
      <c r="I190" s="9">
        <v>1750</v>
      </c>
      <c r="J190" s="18" t="s">
        <v>83</v>
      </c>
      <c r="K190" s="98" t="s">
        <v>676</v>
      </c>
      <c r="L190" s="10">
        <v>2</v>
      </c>
      <c r="M190" s="6"/>
      <c r="N190" s="7"/>
      <c r="O190" s="7"/>
      <c r="P190" s="7"/>
      <c r="Q190" s="7"/>
      <c r="R190" s="7"/>
      <c r="S190" s="7"/>
      <c r="T190" s="7"/>
      <c r="U190" s="7"/>
      <c r="V190" s="7"/>
      <c r="W190" s="7"/>
      <c r="X190" s="7"/>
      <c r="Y190" s="7"/>
      <c r="Z190" s="6"/>
      <c r="AA190" s="6"/>
      <c r="AB190" s="6"/>
      <c r="AC190" s="6"/>
      <c r="AD190" s="6"/>
      <c r="AE190" s="6"/>
      <c r="AF190" s="6"/>
      <c r="AG190" s="6"/>
      <c r="AH190" s="6"/>
      <c r="AI190" s="6"/>
      <c r="AJ190" s="6"/>
    </row>
    <row r="191" spans="1:36" x14ac:dyDescent="0.2">
      <c r="A191" s="7"/>
      <c r="B191" s="7"/>
      <c r="C191" s="7"/>
      <c r="D191" s="7"/>
      <c r="E191" s="7"/>
      <c r="F191" s="9" t="str">
        <f t="shared" si="4"/>
        <v>T5 2x14WSHARED OR NO POLE3</v>
      </c>
      <c r="G191" s="10">
        <f t="shared" si="5"/>
        <v>1760</v>
      </c>
      <c r="H191" s="7"/>
      <c r="I191" s="9">
        <v>1760</v>
      </c>
      <c r="J191" s="18" t="s">
        <v>83</v>
      </c>
      <c r="K191" s="98" t="s">
        <v>676</v>
      </c>
      <c r="L191" s="10">
        <v>3</v>
      </c>
      <c r="M191" s="6"/>
      <c r="N191" s="7"/>
      <c r="O191" s="7"/>
      <c r="P191" s="7"/>
      <c r="Q191" s="7"/>
      <c r="R191" s="7"/>
      <c r="S191" s="7"/>
      <c r="T191" s="7"/>
      <c r="U191" s="7"/>
      <c r="V191" s="7"/>
      <c r="W191" s="7"/>
      <c r="X191" s="7"/>
      <c r="Y191" s="7"/>
      <c r="Z191" s="6"/>
      <c r="AA191" s="6"/>
      <c r="AB191" s="6"/>
      <c r="AC191" s="6"/>
      <c r="AD191" s="6"/>
      <c r="AE191" s="6"/>
      <c r="AF191" s="6"/>
      <c r="AG191" s="6"/>
      <c r="AH191" s="6"/>
      <c r="AI191" s="6"/>
      <c r="AJ191" s="6"/>
    </row>
    <row r="192" spans="1:36" x14ac:dyDescent="0.2">
      <c r="A192" s="7"/>
      <c r="B192" s="7"/>
      <c r="C192" s="7"/>
      <c r="D192" s="7"/>
      <c r="E192" s="7"/>
      <c r="F192" s="9" t="str">
        <f t="shared" si="4"/>
        <v>T5 2x14WSHARED OR NO POLE4</v>
      </c>
      <c r="G192" s="10">
        <f t="shared" si="5"/>
        <v>1770</v>
      </c>
      <c r="H192" s="7"/>
      <c r="I192" s="9">
        <v>1770</v>
      </c>
      <c r="J192" s="18" t="s">
        <v>83</v>
      </c>
      <c r="K192" s="98" t="s">
        <v>676</v>
      </c>
      <c r="L192" s="10">
        <v>4</v>
      </c>
      <c r="M192" s="6"/>
      <c r="N192" s="7"/>
      <c r="O192" s="7"/>
      <c r="P192" s="7"/>
      <c r="Q192" s="7"/>
      <c r="R192" s="7"/>
      <c r="S192" s="7"/>
      <c r="T192" s="7"/>
      <c r="U192" s="7"/>
      <c r="V192" s="7"/>
      <c r="W192" s="7"/>
      <c r="X192" s="7"/>
      <c r="Y192" s="7"/>
      <c r="Z192" s="6"/>
      <c r="AA192" s="6"/>
      <c r="AB192" s="6"/>
      <c r="AC192" s="6"/>
      <c r="AD192" s="6"/>
      <c r="AE192" s="6"/>
      <c r="AF192" s="6"/>
      <c r="AG192" s="6"/>
      <c r="AH192" s="6"/>
      <c r="AI192" s="6"/>
      <c r="AJ192" s="6"/>
    </row>
    <row r="193" spans="1:36" x14ac:dyDescent="0.2">
      <c r="A193" s="7"/>
      <c r="B193" s="7"/>
      <c r="C193" s="7"/>
      <c r="D193" s="7"/>
      <c r="E193" s="7"/>
      <c r="F193" s="9" t="str">
        <f t="shared" si="4"/>
        <v>T5 2x14WWOOD POLE1</v>
      </c>
      <c r="G193" s="10">
        <f t="shared" si="5"/>
        <v>1780</v>
      </c>
      <c r="H193" s="7"/>
      <c r="I193" s="9">
        <v>1780</v>
      </c>
      <c r="J193" s="18" t="s">
        <v>83</v>
      </c>
      <c r="K193" s="98" t="s">
        <v>677</v>
      </c>
      <c r="L193" s="10">
        <v>1</v>
      </c>
      <c r="M193" s="6"/>
      <c r="N193" s="7"/>
      <c r="O193" s="7"/>
      <c r="P193" s="7"/>
      <c r="Q193" s="7"/>
      <c r="R193" s="7"/>
      <c r="S193" s="7"/>
      <c r="T193" s="7"/>
      <c r="U193" s="7"/>
      <c r="V193" s="7"/>
      <c r="W193" s="7"/>
      <c r="X193" s="7"/>
      <c r="Y193" s="7"/>
      <c r="Z193" s="6"/>
      <c r="AA193" s="6"/>
      <c r="AB193" s="6"/>
      <c r="AC193" s="6"/>
      <c r="AD193" s="6"/>
      <c r="AE193" s="6"/>
      <c r="AF193" s="6"/>
      <c r="AG193" s="6"/>
      <c r="AH193" s="6"/>
      <c r="AI193" s="6"/>
      <c r="AJ193" s="6"/>
    </row>
    <row r="194" spans="1:36" x14ac:dyDescent="0.2">
      <c r="A194" s="7"/>
      <c r="B194" s="7"/>
      <c r="C194" s="7"/>
      <c r="D194" s="7"/>
      <c r="E194" s="7"/>
      <c r="F194" s="9" t="str">
        <f t="shared" si="4"/>
        <v>T5 2x14WWOOD POLE2</v>
      </c>
      <c r="G194" s="10">
        <f t="shared" si="5"/>
        <v>1790</v>
      </c>
      <c r="H194" s="7"/>
      <c r="I194" s="9">
        <v>1790</v>
      </c>
      <c r="J194" s="18" t="s">
        <v>83</v>
      </c>
      <c r="K194" s="98" t="s">
        <v>677</v>
      </c>
      <c r="L194" s="10">
        <v>2</v>
      </c>
      <c r="M194" s="6"/>
      <c r="N194" s="7"/>
      <c r="O194" s="7"/>
      <c r="P194" s="7"/>
      <c r="Q194" s="7"/>
      <c r="R194" s="7"/>
      <c r="S194" s="7"/>
      <c r="T194" s="7"/>
      <c r="U194" s="7"/>
      <c r="V194" s="7"/>
      <c r="W194" s="7"/>
      <c r="X194" s="7"/>
      <c r="Y194" s="7"/>
      <c r="Z194" s="6"/>
      <c r="AA194" s="6"/>
      <c r="AB194" s="6"/>
      <c r="AC194" s="6"/>
      <c r="AD194" s="6"/>
      <c r="AE194" s="6"/>
      <c r="AF194" s="6"/>
      <c r="AG194" s="6"/>
      <c r="AH194" s="6"/>
      <c r="AI194" s="6"/>
      <c r="AJ194" s="6"/>
    </row>
    <row r="195" spans="1:36" x14ac:dyDescent="0.2">
      <c r="A195" s="7"/>
      <c r="B195" s="7"/>
      <c r="C195" s="7"/>
      <c r="D195" s="7"/>
      <c r="E195" s="7"/>
      <c r="F195" s="9" t="str">
        <f t="shared" si="4"/>
        <v>T5 2x14WWOOD POLE3</v>
      </c>
      <c r="G195" s="10">
        <f t="shared" si="5"/>
        <v>1800</v>
      </c>
      <c r="H195" s="7"/>
      <c r="I195" s="9">
        <v>1800</v>
      </c>
      <c r="J195" s="18" t="s">
        <v>83</v>
      </c>
      <c r="K195" s="98" t="s">
        <v>677</v>
      </c>
      <c r="L195" s="10">
        <v>3</v>
      </c>
      <c r="M195" s="6"/>
      <c r="N195" s="7"/>
      <c r="O195" s="7"/>
      <c r="P195" s="7"/>
      <c r="Q195" s="7"/>
      <c r="R195" s="7"/>
      <c r="S195" s="7"/>
      <c r="T195" s="7"/>
      <c r="U195" s="7"/>
      <c r="V195" s="7"/>
      <c r="W195" s="7"/>
      <c r="X195" s="7"/>
      <c r="Y195" s="7"/>
      <c r="Z195" s="6"/>
      <c r="AA195" s="6"/>
      <c r="AB195" s="6"/>
      <c r="AC195" s="6"/>
      <c r="AD195" s="6"/>
      <c r="AE195" s="6"/>
      <c r="AF195" s="6"/>
      <c r="AG195" s="6"/>
      <c r="AH195" s="6"/>
      <c r="AI195" s="6"/>
      <c r="AJ195" s="6"/>
    </row>
    <row r="196" spans="1:36" x14ac:dyDescent="0.2">
      <c r="A196" s="7"/>
      <c r="B196" s="7"/>
      <c r="C196" s="7"/>
      <c r="D196" s="7"/>
      <c r="E196" s="7"/>
      <c r="F196" s="9" t="str">
        <f t="shared" si="4"/>
        <v>T5 2x14WWOOD POLE4</v>
      </c>
      <c r="G196" s="10">
        <f t="shared" si="5"/>
        <v>1810</v>
      </c>
      <c r="H196" s="7"/>
      <c r="I196" s="9">
        <v>1810</v>
      </c>
      <c r="J196" s="18" t="s">
        <v>83</v>
      </c>
      <c r="K196" s="98" t="s">
        <v>677</v>
      </c>
      <c r="L196" s="10">
        <v>4</v>
      </c>
      <c r="M196" s="6"/>
      <c r="N196" s="7"/>
      <c r="O196" s="7"/>
      <c r="P196" s="7"/>
      <c r="Q196" s="7"/>
      <c r="R196" s="7"/>
      <c r="S196" s="7"/>
      <c r="T196" s="7"/>
      <c r="U196" s="7"/>
      <c r="V196" s="7"/>
      <c r="W196" s="7"/>
      <c r="X196" s="7"/>
      <c r="Y196" s="7"/>
      <c r="Z196" s="6"/>
      <c r="AA196" s="6"/>
      <c r="AB196" s="6"/>
      <c r="AC196" s="6"/>
      <c r="AD196" s="6"/>
      <c r="AE196" s="6"/>
      <c r="AF196" s="6"/>
      <c r="AG196" s="6"/>
      <c r="AH196" s="6"/>
      <c r="AI196" s="6"/>
      <c r="AJ196" s="6"/>
    </row>
    <row r="197" spans="1:36" x14ac:dyDescent="0.2">
      <c r="A197" s="7"/>
      <c r="B197" s="7"/>
      <c r="C197" s="7"/>
      <c r="D197" s="7"/>
      <c r="E197" s="7"/>
      <c r="F197" s="9" t="str">
        <f t="shared" si="4"/>
        <v>T5 2x14WSTEEL POLE1</v>
      </c>
      <c r="G197" s="10">
        <f t="shared" si="5"/>
        <v>1820</v>
      </c>
      <c r="H197" s="7"/>
      <c r="I197" s="9">
        <v>1820</v>
      </c>
      <c r="J197" s="18" t="s">
        <v>83</v>
      </c>
      <c r="K197" s="98" t="s">
        <v>678</v>
      </c>
      <c r="L197" s="10">
        <v>1</v>
      </c>
      <c r="M197" s="6"/>
      <c r="N197" s="7"/>
      <c r="O197" s="7"/>
      <c r="P197" s="7"/>
      <c r="Q197" s="7"/>
      <c r="R197" s="7"/>
      <c r="S197" s="7"/>
      <c r="T197" s="7"/>
      <c r="U197" s="7"/>
      <c r="V197" s="7"/>
      <c r="W197" s="7"/>
      <c r="X197" s="7"/>
      <c r="Y197" s="7"/>
      <c r="Z197" s="6"/>
      <c r="AA197" s="6"/>
      <c r="AB197" s="6"/>
      <c r="AC197" s="6"/>
      <c r="AD197" s="6"/>
      <c r="AE197" s="6"/>
      <c r="AF197" s="6"/>
      <c r="AG197" s="6"/>
      <c r="AH197" s="6"/>
      <c r="AI197" s="6"/>
      <c r="AJ197" s="6"/>
    </row>
    <row r="198" spans="1:36" x14ac:dyDescent="0.2">
      <c r="A198" s="7"/>
      <c r="B198" s="7"/>
      <c r="C198" s="7"/>
      <c r="D198" s="7"/>
      <c r="E198" s="7"/>
      <c r="F198" s="9" t="str">
        <f t="shared" si="4"/>
        <v>T5 2x14WSTEEL POLE2</v>
      </c>
      <c r="G198" s="10">
        <f t="shared" si="5"/>
        <v>1830</v>
      </c>
      <c r="H198" s="7"/>
      <c r="I198" s="9">
        <v>1830</v>
      </c>
      <c r="J198" s="18" t="s">
        <v>83</v>
      </c>
      <c r="K198" s="98" t="s">
        <v>678</v>
      </c>
      <c r="L198" s="10">
        <v>2</v>
      </c>
      <c r="M198" s="6"/>
      <c r="N198" s="7"/>
      <c r="O198" s="7"/>
      <c r="P198" s="7"/>
      <c r="Q198" s="7"/>
      <c r="R198" s="7"/>
      <c r="S198" s="7"/>
      <c r="T198" s="7"/>
      <c r="U198" s="7"/>
      <c r="V198" s="7"/>
      <c r="W198" s="7"/>
      <c r="X198" s="7"/>
      <c r="Y198" s="7"/>
      <c r="Z198" s="6"/>
      <c r="AA198" s="6"/>
      <c r="AB198" s="6"/>
      <c r="AC198" s="6"/>
      <c r="AD198" s="6"/>
      <c r="AE198" s="6"/>
      <c r="AF198" s="6"/>
      <c r="AG198" s="6"/>
      <c r="AH198" s="6"/>
      <c r="AI198" s="6"/>
      <c r="AJ198" s="6"/>
    </row>
    <row r="199" spans="1:36" x14ac:dyDescent="0.2">
      <c r="A199" s="7"/>
      <c r="B199" s="7"/>
      <c r="C199" s="7"/>
      <c r="D199" s="7"/>
      <c r="E199" s="7"/>
      <c r="F199" s="9" t="str">
        <f t="shared" si="4"/>
        <v>T5 2x14WSTEEL POLE3</v>
      </c>
      <c r="G199" s="10">
        <f t="shared" si="5"/>
        <v>1840</v>
      </c>
      <c r="H199" s="7"/>
      <c r="I199" s="9">
        <v>1840</v>
      </c>
      <c r="J199" s="18" t="s">
        <v>83</v>
      </c>
      <c r="K199" s="98" t="s">
        <v>678</v>
      </c>
      <c r="L199" s="10">
        <v>3</v>
      </c>
      <c r="M199" s="6"/>
      <c r="N199" s="7"/>
      <c r="O199" s="7"/>
      <c r="P199" s="7"/>
      <c r="Q199" s="7"/>
      <c r="R199" s="7"/>
      <c r="S199" s="7"/>
      <c r="T199" s="7"/>
      <c r="U199" s="7"/>
      <c r="V199" s="7"/>
      <c r="W199" s="7"/>
      <c r="X199" s="7"/>
      <c r="Y199" s="7"/>
      <c r="Z199" s="6"/>
      <c r="AA199" s="6"/>
      <c r="AB199" s="6"/>
      <c r="AC199" s="6"/>
      <c r="AD199" s="6"/>
      <c r="AE199" s="6"/>
      <c r="AF199" s="6"/>
      <c r="AG199" s="6"/>
      <c r="AH199" s="6"/>
      <c r="AI199" s="6"/>
      <c r="AJ199" s="6"/>
    </row>
    <row r="200" spans="1:36" x14ac:dyDescent="0.2">
      <c r="A200" s="7"/>
      <c r="B200" s="7"/>
      <c r="C200" s="7"/>
      <c r="D200" s="7"/>
      <c r="E200" s="7"/>
      <c r="F200" s="9" t="str">
        <f t="shared" ref="F200:F212" si="6">CONCATENATE(J200,K200,L200)</f>
        <v>T5 2x14WSTEEL POLE4</v>
      </c>
      <c r="G200" s="10">
        <f t="shared" ref="G200:G212" si="7">I200</f>
        <v>1850</v>
      </c>
      <c r="H200" s="7"/>
      <c r="I200" s="9">
        <v>1850</v>
      </c>
      <c r="J200" s="18" t="s">
        <v>83</v>
      </c>
      <c r="K200" s="98" t="s">
        <v>678</v>
      </c>
      <c r="L200" s="10">
        <v>4</v>
      </c>
      <c r="M200" s="6"/>
      <c r="N200" s="7"/>
      <c r="O200" s="7"/>
      <c r="P200" s="7"/>
      <c r="Q200" s="7"/>
      <c r="R200" s="7"/>
      <c r="S200" s="7"/>
      <c r="T200" s="7"/>
      <c r="U200" s="7"/>
      <c r="V200" s="7"/>
      <c r="W200" s="7"/>
      <c r="X200" s="7"/>
      <c r="Y200" s="7"/>
      <c r="Z200" s="6"/>
      <c r="AA200" s="6"/>
      <c r="AB200" s="6"/>
      <c r="AC200" s="6"/>
      <c r="AD200" s="6"/>
      <c r="AE200" s="6"/>
      <c r="AF200" s="6"/>
      <c r="AG200" s="6"/>
      <c r="AH200" s="6"/>
      <c r="AI200" s="6"/>
      <c r="AJ200" s="6"/>
    </row>
    <row r="201" spans="1:36" x14ac:dyDescent="0.2">
      <c r="A201" s="7"/>
      <c r="B201" s="7"/>
      <c r="C201" s="7"/>
      <c r="D201" s="7"/>
      <c r="E201" s="7"/>
      <c r="F201" s="9" t="str">
        <f t="shared" si="6"/>
        <v>T5 2x24WSHARED OR NO POLE1</v>
      </c>
      <c r="G201" s="10">
        <f t="shared" si="7"/>
        <v>1860</v>
      </c>
      <c r="H201" s="18"/>
      <c r="I201" s="9">
        <v>1860</v>
      </c>
      <c r="J201" s="18" t="s">
        <v>84</v>
      </c>
      <c r="K201" s="98" t="s">
        <v>676</v>
      </c>
      <c r="L201" s="10">
        <v>1</v>
      </c>
      <c r="M201" s="6"/>
      <c r="N201" s="7"/>
      <c r="O201" s="7"/>
      <c r="P201" s="7"/>
      <c r="Q201" s="7"/>
      <c r="R201" s="7"/>
      <c r="S201" s="7"/>
      <c r="T201" s="7"/>
      <c r="U201" s="7"/>
      <c r="V201" s="7"/>
      <c r="W201" s="7"/>
      <c r="X201" s="7"/>
      <c r="Y201" s="7"/>
      <c r="Z201" s="6"/>
      <c r="AA201" s="6"/>
      <c r="AB201" s="6"/>
      <c r="AC201" s="6"/>
      <c r="AD201" s="6"/>
      <c r="AE201" s="6"/>
      <c r="AF201" s="6"/>
      <c r="AG201" s="6"/>
      <c r="AH201" s="6"/>
      <c r="AI201" s="6"/>
      <c r="AJ201" s="6"/>
    </row>
    <row r="202" spans="1:36" x14ac:dyDescent="0.2">
      <c r="A202" s="7"/>
      <c r="B202" s="7"/>
      <c r="C202" s="7"/>
      <c r="D202" s="7"/>
      <c r="E202" s="7"/>
      <c r="F202" s="9" t="str">
        <f t="shared" si="6"/>
        <v>T5 2x24WSHARED OR NO POLE2</v>
      </c>
      <c r="G202" s="10">
        <f t="shared" si="7"/>
        <v>1870</v>
      </c>
      <c r="H202" s="7"/>
      <c r="I202" s="9">
        <v>1870</v>
      </c>
      <c r="J202" s="18" t="s">
        <v>84</v>
      </c>
      <c r="K202" s="98" t="s">
        <v>676</v>
      </c>
      <c r="L202" s="10">
        <v>2</v>
      </c>
      <c r="M202" s="6"/>
      <c r="N202" s="7"/>
      <c r="O202" s="7"/>
      <c r="P202" s="7"/>
      <c r="Q202" s="7"/>
      <c r="R202" s="7"/>
      <c r="S202" s="7"/>
      <c r="T202" s="7"/>
      <c r="U202" s="7"/>
      <c r="V202" s="7"/>
      <c r="W202" s="7"/>
      <c r="X202" s="7"/>
      <c r="Y202" s="7"/>
      <c r="Z202" s="6"/>
      <c r="AA202" s="6"/>
      <c r="AB202" s="6"/>
      <c r="AC202" s="6"/>
      <c r="AD202" s="6"/>
      <c r="AE202" s="6"/>
      <c r="AF202" s="6"/>
      <c r="AG202" s="6"/>
      <c r="AH202" s="6"/>
      <c r="AI202" s="6"/>
      <c r="AJ202" s="6"/>
    </row>
    <row r="203" spans="1:36" x14ac:dyDescent="0.2">
      <c r="A203" s="7"/>
      <c r="B203" s="7"/>
      <c r="C203" s="7"/>
      <c r="D203" s="7"/>
      <c r="E203" s="7"/>
      <c r="F203" s="9" t="str">
        <f t="shared" si="6"/>
        <v>T5 2x24WSHARED OR NO POLE3</v>
      </c>
      <c r="G203" s="10">
        <f t="shared" si="7"/>
        <v>1880</v>
      </c>
      <c r="H203" s="7"/>
      <c r="I203" s="9">
        <v>1880</v>
      </c>
      <c r="J203" s="18" t="s">
        <v>84</v>
      </c>
      <c r="K203" s="98" t="s">
        <v>676</v>
      </c>
      <c r="L203" s="10">
        <v>3</v>
      </c>
      <c r="M203" s="6"/>
      <c r="N203" s="7"/>
      <c r="O203" s="7"/>
      <c r="P203" s="7"/>
      <c r="Q203" s="7"/>
      <c r="R203" s="7"/>
      <c r="S203" s="7"/>
      <c r="T203" s="7"/>
      <c r="U203" s="7"/>
      <c r="V203" s="7"/>
      <c r="W203" s="7"/>
      <c r="X203" s="7"/>
      <c r="Y203" s="7"/>
      <c r="Z203" s="6"/>
      <c r="AA203" s="6"/>
      <c r="AB203" s="6"/>
      <c r="AC203" s="6"/>
      <c r="AD203" s="6"/>
      <c r="AE203" s="6"/>
      <c r="AF203" s="6"/>
      <c r="AG203" s="6"/>
      <c r="AH203" s="6"/>
      <c r="AI203" s="6"/>
      <c r="AJ203" s="6"/>
    </row>
    <row r="204" spans="1:36" x14ac:dyDescent="0.2">
      <c r="A204" s="7"/>
      <c r="B204" s="7"/>
      <c r="C204" s="7"/>
      <c r="D204" s="7"/>
      <c r="E204" s="7"/>
      <c r="F204" s="9" t="str">
        <f t="shared" si="6"/>
        <v>T5 2x24WSHARED OR NO POLE4</v>
      </c>
      <c r="G204" s="10">
        <f t="shared" si="7"/>
        <v>1890</v>
      </c>
      <c r="H204" s="7"/>
      <c r="I204" s="9">
        <v>1890</v>
      </c>
      <c r="J204" s="18" t="s">
        <v>84</v>
      </c>
      <c r="K204" s="98" t="s">
        <v>676</v>
      </c>
      <c r="L204" s="10">
        <v>4</v>
      </c>
      <c r="M204" s="6"/>
      <c r="N204" s="7"/>
      <c r="O204" s="7"/>
      <c r="P204" s="7"/>
      <c r="Q204" s="7"/>
      <c r="R204" s="7"/>
      <c r="S204" s="7"/>
      <c r="T204" s="7"/>
      <c r="U204" s="7"/>
      <c r="V204" s="7"/>
      <c r="W204" s="7"/>
      <c r="X204" s="7"/>
      <c r="Y204" s="7"/>
      <c r="Z204" s="6"/>
      <c r="AA204" s="6"/>
      <c r="AB204" s="6"/>
      <c r="AC204" s="6"/>
      <c r="AD204" s="6"/>
      <c r="AE204" s="6"/>
      <c r="AF204" s="6"/>
      <c r="AG204" s="6"/>
      <c r="AH204" s="6"/>
      <c r="AI204" s="6"/>
      <c r="AJ204" s="6"/>
    </row>
    <row r="205" spans="1:36" x14ac:dyDescent="0.2">
      <c r="A205" s="7"/>
      <c r="B205" s="7"/>
      <c r="C205" s="7"/>
      <c r="D205" s="7"/>
      <c r="E205" s="7"/>
      <c r="F205" s="9" t="str">
        <f t="shared" si="6"/>
        <v>T5 2x24WWOOD POLE1</v>
      </c>
      <c r="G205" s="10">
        <f t="shared" si="7"/>
        <v>1900</v>
      </c>
      <c r="H205" s="7"/>
      <c r="I205" s="9">
        <v>1900</v>
      </c>
      <c r="J205" s="18" t="s">
        <v>84</v>
      </c>
      <c r="K205" s="98" t="s">
        <v>677</v>
      </c>
      <c r="L205" s="10">
        <v>1</v>
      </c>
      <c r="M205" s="6"/>
      <c r="N205" s="7"/>
      <c r="O205" s="7"/>
      <c r="P205" s="7"/>
      <c r="Q205" s="7"/>
      <c r="R205" s="7"/>
      <c r="S205" s="7"/>
      <c r="T205" s="7"/>
      <c r="U205" s="7"/>
      <c r="V205" s="7"/>
      <c r="W205" s="7"/>
      <c r="X205" s="7"/>
      <c r="Y205" s="7"/>
      <c r="Z205" s="6"/>
      <c r="AA205" s="6"/>
      <c r="AB205" s="6"/>
      <c r="AC205" s="6"/>
      <c r="AD205" s="6"/>
      <c r="AE205" s="6"/>
      <c r="AF205" s="6"/>
      <c r="AG205" s="6"/>
      <c r="AH205" s="6"/>
      <c r="AI205" s="6"/>
      <c r="AJ205" s="6"/>
    </row>
    <row r="206" spans="1:36" x14ac:dyDescent="0.2">
      <c r="A206" s="7"/>
      <c r="B206" s="7"/>
      <c r="C206" s="7"/>
      <c r="D206" s="7"/>
      <c r="E206" s="7"/>
      <c r="F206" s="9" t="str">
        <f t="shared" si="6"/>
        <v>T5 2x24WWOOD POLE2</v>
      </c>
      <c r="G206" s="10">
        <f t="shared" si="7"/>
        <v>1910</v>
      </c>
      <c r="H206" s="7"/>
      <c r="I206" s="9">
        <v>1910</v>
      </c>
      <c r="J206" s="18" t="s">
        <v>84</v>
      </c>
      <c r="K206" s="98" t="s">
        <v>677</v>
      </c>
      <c r="L206" s="10">
        <v>2</v>
      </c>
      <c r="M206" s="6"/>
      <c r="N206" s="7"/>
      <c r="O206" s="7"/>
      <c r="P206" s="7"/>
      <c r="Q206" s="7"/>
      <c r="R206" s="7"/>
      <c r="S206" s="7"/>
      <c r="T206" s="7"/>
      <c r="U206" s="7"/>
      <c r="V206" s="7"/>
      <c r="W206" s="7"/>
      <c r="X206" s="7"/>
      <c r="Y206" s="7"/>
      <c r="Z206" s="6"/>
      <c r="AA206" s="6"/>
      <c r="AB206" s="6"/>
      <c r="AC206" s="6"/>
      <c r="AD206" s="6"/>
      <c r="AE206" s="6"/>
      <c r="AF206" s="6"/>
      <c r="AG206" s="6"/>
      <c r="AH206" s="6"/>
      <c r="AI206" s="6"/>
      <c r="AJ206" s="6"/>
    </row>
    <row r="207" spans="1:36" x14ac:dyDescent="0.2">
      <c r="A207" s="7"/>
      <c r="B207" s="7"/>
      <c r="C207" s="7"/>
      <c r="D207" s="7"/>
      <c r="E207" s="7"/>
      <c r="F207" s="9" t="str">
        <f t="shared" si="6"/>
        <v>T5 2x24WWOOD POLE3</v>
      </c>
      <c r="G207" s="10">
        <f t="shared" si="7"/>
        <v>1920</v>
      </c>
      <c r="H207" s="7"/>
      <c r="I207" s="9">
        <v>1920</v>
      </c>
      <c r="J207" s="18" t="s">
        <v>84</v>
      </c>
      <c r="K207" s="98" t="s">
        <v>677</v>
      </c>
      <c r="L207" s="10">
        <v>3</v>
      </c>
      <c r="M207" s="6"/>
      <c r="N207" s="7"/>
      <c r="O207" s="7"/>
      <c r="P207" s="7"/>
      <c r="Q207" s="7"/>
      <c r="R207" s="7"/>
      <c r="S207" s="7"/>
      <c r="T207" s="7"/>
      <c r="U207" s="7"/>
      <c r="V207" s="7"/>
      <c r="W207" s="7"/>
      <c r="X207" s="7"/>
      <c r="Y207" s="7"/>
      <c r="Z207" s="6"/>
      <c r="AA207" s="6"/>
      <c r="AB207" s="6"/>
      <c r="AC207" s="6"/>
      <c r="AD207" s="6"/>
      <c r="AE207" s="6"/>
      <c r="AF207" s="6"/>
      <c r="AG207" s="6"/>
      <c r="AH207" s="6"/>
      <c r="AI207" s="6"/>
      <c r="AJ207" s="6"/>
    </row>
    <row r="208" spans="1:36" x14ac:dyDescent="0.2">
      <c r="A208" s="7"/>
      <c r="B208" s="7"/>
      <c r="C208" s="7"/>
      <c r="D208" s="7"/>
      <c r="E208" s="7"/>
      <c r="F208" s="9" t="str">
        <f t="shared" si="6"/>
        <v>T5 2x24WWOOD POLE4</v>
      </c>
      <c r="G208" s="10">
        <f t="shared" si="7"/>
        <v>1930</v>
      </c>
      <c r="H208" s="7"/>
      <c r="I208" s="9">
        <v>1930</v>
      </c>
      <c r="J208" s="18" t="s">
        <v>84</v>
      </c>
      <c r="K208" s="98" t="s">
        <v>677</v>
      </c>
      <c r="L208" s="10">
        <v>4</v>
      </c>
      <c r="M208" s="6"/>
      <c r="N208" s="7"/>
      <c r="O208" s="7"/>
      <c r="P208" s="7"/>
      <c r="Q208" s="7"/>
      <c r="R208" s="7"/>
      <c r="S208" s="7"/>
      <c r="T208" s="7"/>
      <c r="U208" s="7"/>
      <c r="V208" s="7"/>
      <c r="W208" s="7"/>
      <c r="X208" s="7"/>
      <c r="Y208" s="7"/>
      <c r="Z208" s="6"/>
      <c r="AA208" s="6"/>
      <c r="AB208" s="6"/>
      <c r="AC208" s="6"/>
      <c r="AD208" s="6"/>
      <c r="AE208" s="6"/>
      <c r="AF208" s="6"/>
      <c r="AG208" s="6"/>
      <c r="AH208" s="6"/>
      <c r="AI208" s="6"/>
      <c r="AJ208" s="6"/>
    </row>
    <row r="209" spans="1:36" x14ac:dyDescent="0.2">
      <c r="A209" s="7"/>
      <c r="B209" s="7"/>
      <c r="C209" s="7"/>
      <c r="D209" s="7"/>
      <c r="E209" s="7"/>
      <c r="F209" s="9" t="str">
        <f t="shared" si="6"/>
        <v>T5 2x24WSTEEL POLE1</v>
      </c>
      <c r="G209" s="10">
        <f t="shared" si="7"/>
        <v>1940</v>
      </c>
      <c r="H209" s="7"/>
      <c r="I209" s="9">
        <v>1940</v>
      </c>
      <c r="J209" s="18" t="s">
        <v>84</v>
      </c>
      <c r="K209" s="98" t="s">
        <v>678</v>
      </c>
      <c r="L209" s="10">
        <v>1</v>
      </c>
      <c r="M209" s="6"/>
      <c r="N209" s="7"/>
      <c r="O209" s="7"/>
      <c r="P209" s="7"/>
      <c r="Q209" s="7"/>
      <c r="R209" s="7"/>
      <c r="S209" s="7"/>
      <c r="T209" s="7"/>
      <c r="U209" s="7"/>
      <c r="V209" s="7"/>
      <c r="W209" s="7"/>
      <c r="X209" s="7"/>
      <c r="Y209" s="7"/>
      <c r="Z209" s="6"/>
      <c r="AA209" s="6"/>
      <c r="AB209" s="6"/>
      <c r="AC209" s="6"/>
      <c r="AD209" s="6"/>
      <c r="AE209" s="6"/>
      <c r="AF209" s="6"/>
      <c r="AG209" s="6"/>
      <c r="AH209" s="6"/>
      <c r="AI209" s="6"/>
      <c r="AJ209" s="6"/>
    </row>
    <row r="210" spans="1:36" x14ac:dyDescent="0.2">
      <c r="A210" s="7"/>
      <c r="B210" s="7"/>
      <c r="C210" s="7"/>
      <c r="D210" s="7"/>
      <c r="E210" s="7"/>
      <c r="F210" s="9" t="str">
        <f t="shared" si="6"/>
        <v>T5 2x24WSTEEL POLE2</v>
      </c>
      <c r="G210" s="10">
        <f t="shared" si="7"/>
        <v>1950</v>
      </c>
      <c r="H210" s="7"/>
      <c r="I210" s="9">
        <v>1950</v>
      </c>
      <c r="J210" s="18" t="s">
        <v>84</v>
      </c>
      <c r="K210" s="98" t="s">
        <v>678</v>
      </c>
      <c r="L210" s="10">
        <v>2</v>
      </c>
      <c r="M210" s="6"/>
      <c r="N210" s="7"/>
      <c r="O210" s="7"/>
      <c r="P210" s="7"/>
      <c r="Q210" s="7"/>
      <c r="R210" s="7"/>
      <c r="S210" s="7"/>
      <c r="T210" s="7"/>
      <c r="U210" s="7"/>
      <c r="V210" s="7"/>
      <c r="W210" s="7"/>
      <c r="X210" s="7"/>
      <c r="Y210" s="7"/>
      <c r="Z210" s="6"/>
      <c r="AA210" s="6"/>
      <c r="AB210" s="6"/>
      <c r="AC210" s="6"/>
      <c r="AD210" s="6"/>
      <c r="AE210" s="6"/>
      <c r="AF210" s="6"/>
      <c r="AG210" s="6"/>
      <c r="AH210" s="6"/>
      <c r="AI210" s="6"/>
      <c r="AJ210" s="6"/>
    </row>
    <row r="211" spans="1:36" x14ac:dyDescent="0.2">
      <c r="A211" s="7"/>
      <c r="B211" s="7"/>
      <c r="C211" s="7"/>
      <c r="D211" s="7"/>
      <c r="E211" s="7"/>
      <c r="F211" s="9" t="str">
        <f t="shared" si="6"/>
        <v>T5 2x24WSTEEL POLE3</v>
      </c>
      <c r="G211" s="10">
        <f t="shared" si="7"/>
        <v>1960</v>
      </c>
      <c r="H211" s="7"/>
      <c r="I211" s="9">
        <v>1960</v>
      </c>
      <c r="J211" s="18" t="s">
        <v>84</v>
      </c>
      <c r="K211" s="98" t="s">
        <v>678</v>
      </c>
      <c r="L211" s="10">
        <v>3</v>
      </c>
      <c r="M211" s="6"/>
      <c r="N211" s="7"/>
      <c r="O211" s="7"/>
      <c r="P211" s="7"/>
      <c r="Q211" s="7"/>
      <c r="R211" s="7"/>
      <c r="S211" s="7"/>
      <c r="T211" s="7"/>
      <c r="U211" s="7"/>
      <c r="V211" s="7"/>
      <c r="W211" s="7"/>
      <c r="X211" s="7"/>
      <c r="Y211" s="7"/>
      <c r="Z211" s="6"/>
      <c r="AA211" s="6"/>
      <c r="AB211" s="6"/>
      <c r="AC211" s="6"/>
      <c r="AD211" s="6"/>
      <c r="AE211" s="6"/>
      <c r="AF211" s="6"/>
      <c r="AG211" s="6"/>
      <c r="AH211" s="6"/>
      <c r="AI211" s="6"/>
      <c r="AJ211" s="6"/>
    </row>
    <row r="212" spans="1:36" x14ac:dyDescent="0.2">
      <c r="A212" s="7"/>
      <c r="B212" s="7"/>
      <c r="C212" s="7"/>
      <c r="D212" s="7"/>
      <c r="E212" s="7"/>
      <c r="F212" s="11" t="str">
        <f t="shared" si="6"/>
        <v>T5 2x24WSTEEL POLE4</v>
      </c>
      <c r="G212" s="12">
        <f t="shared" si="7"/>
        <v>1970</v>
      </c>
      <c r="H212" s="7"/>
      <c r="I212" s="11">
        <v>1970</v>
      </c>
      <c r="J212" s="19" t="s">
        <v>84</v>
      </c>
      <c r="K212" s="90" t="s">
        <v>678</v>
      </c>
      <c r="L212" s="12">
        <v>4</v>
      </c>
      <c r="M212" s="6"/>
      <c r="N212" s="7"/>
      <c r="O212" s="7"/>
      <c r="P212" s="7"/>
      <c r="Q212" s="7"/>
      <c r="R212" s="7"/>
      <c r="S212" s="7"/>
      <c r="T212" s="7"/>
      <c r="U212" s="7"/>
      <c r="V212" s="7"/>
      <c r="W212" s="7"/>
      <c r="X212" s="7"/>
      <c r="Y212" s="7"/>
      <c r="Z212" s="6"/>
      <c r="AA212" s="6"/>
      <c r="AB212" s="6"/>
      <c r="AC212" s="6"/>
      <c r="AD212" s="6"/>
      <c r="AE212" s="6"/>
      <c r="AF212" s="6"/>
      <c r="AG212" s="6"/>
      <c r="AH212" s="6"/>
      <c r="AI212" s="6"/>
      <c r="AJ212" s="6"/>
    </row>
    <row r="213" spans="1:36" x14ac:dyDescent="0.2">
      <c r="A213" s="7"/>
      <c r="B213" s="7"/>
      <c r="C213" s="7"/>
      <c r="D213" s="7"/>
      <c r="E213" s="7"/>
      <c r="F213" s="7"/>
      <c r="G213" s="7"/>
      <c r="H213" s="7"/>
      <c r="I213" s="7"/>
      <c r="J213" s="7"/>
      <c r="K213" s="7"/>
      <c r="L213" s="7"/>
      <c r="M213" s="6"/>
      <c r="N213" s="7"/>
      <c r="O213" s="7"/>
      <c r="P213" s="7"/>
      <c r="Q213" s="7"/>
      <c r="R213" s="7"/>
      <c r="S213" s="7"/>
      <c r="T213" s="7"/>
      <c r="U213" s="7"/>
      <c r="V213" s="7"/>
      <c r="W213" s="7"/>
      <c r="X213" s="7"/>
      <c r="Y213" s="7"/>
      <c r="Z213" s="6"/>
      <c r="AA213" s="6"/>
      <c r="AB213" s="6"/>
      <c r="AC213" s="6"/>
      <c r="AD213" s="6"/>
      <c r="AE213" s="6"/>
      <c r="AF213" s="6"/>
      <c r="AG213" s="6"/>
      <c r="AH213" s="6"/>
      <c r="AI213" s="6"/>
      <c r="AJ213" s="6"/>
    </row>
    <row r="214" spans="1:36" x14ac:dyDescent="0.2">
      <c r="A214" s="7"/>
      <c r="B214" s="7"/>
      <c r="C214" s="7"/>
      <c r="D214" s="7"/>
      <c r="E214" s="7"/>
      <c r="F214" s="7"/>
      <c r="G214" s="7"/>
      <c r="H214" s="7"/>
      <c r="I214" s="7"/>
      <c r="J214" s="7"/>
      <c r="K214" s="7"/>
      <c r="L214" s="7"/>
      <c r="M214" s="6"/>
      <c r="N214" s="7"/>
      <c r="O214" s="7"/>
      <c r="P214" s="7"/>
      <c r="Q214" s="7"/>
      <c r="R214" s="7"/>
      <c r="S214" s="7"/>
      <c r="T214" s="7"/>
      <c r="U214" s="7"/>
      <c r="V214" s="7"/>
      <c r="W214" s="7"/>
      <c r="X214" s="7"/>
      <c r="Y214" s="7"/>
      <c r="Z214" s="6"/>
      <c r="AA214" s="6"/>
      <c r="AB214" s="6"/>
      <c r="AC214" s="6"/>
      <c r="AD214" s="6"/>
      <c r="AE214" s="6"/>
      <c r="AF214" s="6"/>
      <c r="AG214" s="6"/>
      <c r="AH214" s="6"/>
      <c r="AI214" s="6"/>
      <c r="AJ214" s="6"/>
    </row>
    <row r="215" spans="1:36" x14ac:dyDescent="0.2">
      <c r="A215" s="7"/>
      <c r="B215" s="7"/>
      <c r="C215" s="7"/>
      <c r="D215" s="7"/>
      <c r="E215" s="7"/>
      <c r="F215" s="7"/>
      <c r="G215" s="7"/>
      <c r="H215" s="7"/>
      <c r="I215" s="7"/>
      <c r="J215" s="7"/>
      <c r="K215" s="7"/>
      <c r="L215" s="7"/>
      <c r="M215" s="6"/>
      <c r="N215" s="7"/>
      <c r="O215" s="7"/>
      <c r="P215" s="7"/>
      <c r="Q215" s="7"/>
      <c r="R215" s="7"/>
      <c r="S215" s="7"/>
      <c r="T215" s="7"/>
      <c r="U215" s="7"/>
      <c r="V215" s="7"/>
      <c r="W215" s="7"/>
      <c r="X215" s="7"/>
      <c r="Y215" s="7"/>
      <c r="Z215" s="6"/>
      <c r="AA215" s="6"/>
      <c r="AB215" s="6"/>
      <c r="AC215" s="6"/>
      <c r="AD215" s="6"/>
      <c r="AE215" s="6"/>
      <c r="AF215" s="6"/>
      <c r="AG215" s="6"/>
      <c r="AH215" s="6"/>
      <c r="AI215" s="6"/>
      <c r="AJ215" s="6"/>
    </row>
    <row r="216" spans="1:36" x14ac:dyDescent="0.2">
      <c r="A216" s="7"/>
      <c r="B216" s="7"/>
      <c r="C216" s="7"/>
      <c r="D216" s="7"/>
      <c r="E216" s="7"/>
      <c r="F216" s="7"/>
      <c r="G216" s="7"/>
      <c r="H216" s="7"/>
      <c r="I216" s="7"/>
      <c r="J216" s="7"/>
      <c r="K216" s="7"/>
      <c r="L216" s="7"/>
      <c r="M216" s="6"/>
      <c r="N216" s="7"/>
      <c r="O216" s="7"/>
      <c r="P216" s="7"/>
      <c r="Q216" s="7"/>
      <c r="R216" s="7"/>
      <c r="S216" s="7"/>
      <c r="T216" s="7"/>
      <c r="U216" s="7"/>
      <c r="V216" s="7"/>
      <c r="W216" s="7"/>
      <c r="X216" s="7"/>
      <c r="Y216" s="7"/>
      <c r="Z216" s="6"/>
      <c r="AA216" s="6"/>
      <c r="AB216" s="6"/>
      <c r="AC216" s="6"/>
      <c r="AD216" s="6"/>
      <c r="AE216" s="6"/>
      <c r="AF216" s="6"/>
      <c r="AG216" s="6"/>
      <c r="AH216" s="6"/>
      <c r="AI216" s="6"/>
      <c r="AJ216" s="6"/>
    </row>
    <row r="217" spans="1:36" x14ac:dyDescent="0.2">
      <c r="A217" s="7"/>
      <c r="B217" s="7"/>
      <c r="C217" s="7"/>
      <c r="D217" s="7"/>
      <c r="E217" s="7"/>
      <c r="F217" s="7"/>
      <c r="G217" s="7"/>
      <c r="H217" s="7"/>
      <c r="I217" s="7"/>
      <c r="J217" s="7"/>
      <c r="K217" s="7"/>
      <c r="L217" s="7"/>
      <c r="M217" s="6"/>
      <c r="N217" s="7"/>
      <c r="O217" s="7"/>
      <c r="P217" s="7"/>
      <c r="Q217" s="7"/>
      <c r="R217" s="7"/>
      <c r="S217" s="7"/>
      <c r="T217" s="7"/>
      <c r="U217" s="7"/>
      <c r="V217" s="7"/>
      <c r="W217" s="7"/>
      <c r="X217" s="7"/>
      <c r="Y217" s="7"/>
      <c r="Z217" s="6"/>
      <c r="AA217" s="6"/>
      <c r="AB217" s="6"/>
      <c r="AC217" s="6"/>
      <c r="AD217" s="6"/>
      <c r="AE217" s="6"/>
      <c r="AF217" s="6"/>
      <c r="AG217" s="6"/>
      <c r="AH217" s="6"/>
      <c r="AI217" s="6"/>
      <c r="AJ217" s="6"/>
    </row>
    <row r="218" spans="1:36" x14ac:dyDescent="0.2">
      <c r="A218" s="7"/>
      <c r="B218" s="7"/>
      <c r="C218" s="7"/>
      <c r="D218" s="7"/>
      <c r="E218" s="7"/>
      <c r="F218" s="7"/>
      <c r="G218" s="7"/>
      <c r="H218" s="7"/>
      <c r="I218" s="7"/>
      <c r="J218" s="7"/>
      <c r="K218" s="7"/>
      <c r="L218" s="7"/>
      <c r="M218" s="6"/>
      <c r="N218" s="7"/>
      <c r="O218" s="7"/>
      <c r="P218" s="7"/>
      <c r="Q218" s="7"/>
      <c r="R218" s="7"/>
      <c r="S218" s="7"/>
      <c r="T218" s="7"/>
      <c r="U218" s="7"/>
      <c r="V218" s="7"/>
      <c r="W218" s="7"/>
      <c r="X218" s="7"/>
      <c r="Y218" s="7"/>
      <c r="Z218" s="6"/>
      <c r="AA218" s="6"/>
      <c r="AB218" s="6"/>
      <c r="AC218" s="6"/>
      <c r="AD218" s="6"/>
      <c r="AE218" s="6"/>
      <c r="AF218" s="6"/>
      <c r="AG218" s="6"/>
      <c r="AH218" s="6"/>
      <c r="AI218" s="6"/>
      <c r="AJ218" s="6"/>
    </row>
    <row r="219" spans="1:36" x14ac:dyDescent="0.2">
      <c r="A219" s="7"/>
      <c r="B219" s="7"/>
      <c r="C219" s="7"/>
      <c r="D219" s="7"/>
      <c r="E219" s="7"/>
      <c r="F219" s="7"/>
      <c r="G219" s="7"/>
      <c r="H219" s="7"/>
      <c r="I219" s="7"/>
      <c r="J219" s="7"/>
      <c r="K219" s="7"/>
      <c r="L219" s="7"/>
      <c r="M219" s="6"/>
      <c r="N219" s="7"/>
      <c r="O219" s="7"/>
      <c r="P219" s="7"/>
      <c r="Q219" s="7"/>
      <c r="R219" s="7"/>
      <c r="S219" s="7"/>
      <c r="T219" s="7"/>
      <c r="U219" s="7"/>
      <c r="V219" s="7"/>
      <c r="W219" s="7"/>
      <c r="X219" s="7"/>
      <c r="Y219" s="7"/>
      <c r="Z219" s="6"/>
      <c r="AA219" s="6"/>
      <c r="AB219" s="6"/>
      <c r="AC219" s="6"/>
      <c r="AD219" s="6"/>
      <c r="AE219" s="6"/>
      <c r="AF219" s="6"/>
      <c r="AG219" s="6"/>
      <c r="AH219" s="6"/>
      <c r="AI219" s="6"/>
      <c r="AJ219" s="6"/>
    </row>
    <row r="220" spans="1:36" x14ac:dyDescent="0.2">
      <c r="A220" s="7"/>
      <c r="B220" s="7"/>
      <c r="C220" s="7"/>
      <c r="D220" s="7"/>
      <c r="E220" s="7"/>
      <c r="F220" s="7"/>
      <c r="G220" s="7"/>
      <c r="H220" s="7"/>
      <c r="I220" s="7"/>
      <c r="J220" s="7"/>
      <c r="K220" s="7"/>
      <c r="L220" s="7"/>
      <c r="M220" s="6"/>
      <c r="N220" s="7"/>
      <c r="O220" s="7"/>
      <c r="P220" s="7"/>
      <c r="Q220" s="7"/>
      <c r="R220" s="7"/>
      <c r="S220" s="7"/>
      <c r="T220" s="7"/>
      <c r="U220" s="7"/>
      <c r="V220" s="7"/>
      <c r="W220" s="7"/>
      <c r="X220" s="7"/>
      <c r="Y220" s="7"/>
      <c r="Z220" s="6"/>
      <c r="AA220" s="6"/>
      <c r="AB220" s="6"/>
      <c r="AC220" s="6"/>
      <c r="AD220" s="6"/>
      <c r="AE220" s="6"/>
      <c r="AF220" s="6"/>
      <c r="AG220" s="6"/>
      <c r="AH220" s="6"/>
      <c r="AI220" s="6"/>
      <c r="AJ220" s="6"/>
    </row>
    <row r="221" spans="1:36" x14ac:dyDescent="0.2">
      <c r="A221" s="7"/>
      <c r="B221" s="7"/>
      <c r="C221" s="7"/>
      <c r="D221" s="7"/>
      <c r="E221" s="7"/>
      <c r="F221" s="7"/>
      <c r="G221" s="7"/>
      <c r="H221" s="7"/>
      <c r="I221" s="7"/>
      <c r="J221" s="7"/>
      <c r="K221" s="7"/>
      <c r="L221" s="7"/>
      <c r="M221" s="6"/>
      <c r="N221" s="7"/>
      <c r="O221" s="7"/>
      <c r="P221" s="7"/>
      <c r="Q221" s="7"/>
      <c r="R221" s="7"/>
      <c r="S221" s="7"/>
      <c r="T221" s="7"/>
      <c r="U221" s="7"/>
      <c r="V221" s="7"/>
      <c r="W221" s="7"/>
      <c r="X221" s="7"/>
      <c r="Y221" s="7"/>
      <c r="Z221" s="6"/>
      <c r="AA221" s="6"/>
      <c r="AB221" s="6"/>
      <c r="AC221" s="6"/>
      <c r="AD221" s="6"/>
      <c r="AE221" s="6"/>
      <c r="AF221" s="6"/>
      <c r="AG221" s="6"/>
      <c r="AH221" s="6"/>
      <c r="AI221" s="6"/>
      <c r="AJ221" s="6"/>
    </row>
    <row r="222" spans="1:36" x14ac:dyDescent="0.2">
      <c r="A222" s="7"/>
      <c r="B222" s="7"/>
      <c r="C222" s="7"/>
      <c r="D222" s="7"/>
      <c r="E222" s="7"/>
      <c r="F222" s="7"/>
      <c r="G222" s="6"/>
      <c r="H222" s="6"/>
      <c r="I222" s="7"/>
      <c r="J222" s="7"/>
      <c r="K222" s="7"/>
      <c r="L222" s="7"/>
      <c r="M222" s="6"/>
      <c r="N222" s="7"/>
      <c r="O222" s="7"/>
      <c r="P222" s="7"/>
      <c r="Q222" s="7"/>
      <c r="R222" s="7"/>
      <c r="S222" s="7"/>
      <c r="T222" s="7"/>
      <c r="U222" s="7"/>
      <c r="V222" s="7"/>
      <c r="W222" s="7"/>
      <c r="X222" s="7"/>
      <c r="Y222" s="7"/>
      <c r="Z222" s="6"/>
      <c r="AA222" s="6"/>
      <c r="AB222" s="6"/>
      <c r="AC222" s="6"/>
      <c r="AD222" s="6"/>
      <c r="AE222" s="6"/>
      <c r="AF222" s="6"/>
      <c r="AG222" s="6"/>
      <c r="AH222" s="6"/>
      <c r="AI222" s="6"/>
      <c r="AJ222" s="6"/>
    </row>
    <row r="223" spans="1:36" x14ac:dyDescent="0.2">
      <c r="A223" s="7"/>
      <c r="B223" s="7"/>
      <c r="C223" s="7"/>
      <c r="D223" s="7"/>
      <c r="E223" s="7"/>
      <c r="F223" s="7"/>
      <c r="G223" s="6"/>
      <c r="H223" s="6"/>
      <c r="I223" s="7"/>
      <c r="J223" s="7"/>
      <c r="K223" s="7"/>
      <c r="L223" s="7"/>
      <c r="M223" s="6"/>
      <c r="N223" s="7"/>
      <c r="O223" s="7"/>
      <c r="P223" s="7"/>
      <c r="Q223" s="7"/>
      <c r="R223" s="7"/>
      <c r="S223" s="7"/>
      <c r="T223" s="7"/>
      <c r="U223" s="7"/>
      <c r="V223" s="7"/>
      <c r="W223" s="7"/>
      <c r="X223" s="7"/>
      <c r="Y223" s="7"/>
      <c r="Z223" s="6"/>
      <c r="AA223" s="6"/>
      <c r="AB223" s="6"/>
      <c r="AC223" s="6"/>
      <c r="AD223" s="6"/>
      <c r="AE223" s="6"/>
      <c r="AF223" s="6"/>
      <c r="AG223" s="6"/>
      <c r="AH223" s="6"/>
      <c r="AI223" s="6"/>
      <c r="AJ223" s="6"/>
    </row>
    <row r="224" spans="1:36" x14ac:dyDescent="0.2">
      <c r="A224" s="7"/>
      <c r="B224" s="7"/>
      <c r="C224" s="7"/>
      <c r="D224" s="7"/>
      <c r="E224" s="7"/>
      <c r="F224" s="7"/>
      <c r="G224" s="6"/>
      <c r="H224" s="6"/>
      <c r="I224" s="7"/>
      <c r="J224" s="7"/>
      <c r="K224" s="7"/>
      <c r="L224" s="7"/>
      <c r="M224" s="6"/>
      <c r="N224" s="7"/>
      <c r="O224" s="7"/>
      <c r="P224" s="7"/>
      <c r="Q224" s="7"/>
      <c r="R224" s="7"/>
      <c r="S224" s="7"/>
      <c r="T224" s="7"/>
      <c r="U224" s="7"/>
      <c r="V224" s="7"/>
      <c r="W224" s="7"/>
      <c r="X224" s="7"/>
      <c r="Y224" s="7"/>
      <c r="Z224" s="6"/>
      <c r="AA224" s="6"/>
      <c r="AB224" s="6"/>
      <c r="AC224" s="6"/>
      <c r="AD224" s="6"/>
      <c r="AE224" s="6"/>
      <c r="AF224" s="6"/>
      <c r="AG224" s="6"/>
      <c r="AH224" s="6"/>
      <c r="AI224" s="6"/>
      <c r="AJ224" s="6"/>
    </row>
    <row r="225" spans="1:36" x14ac:dyDescent="0.2">
      <c r="A225" s="7"/>
      <c r="B225" s="7"/>
      <c r="C225" s="7"/>
      <c r="D225" s="7"/>
      <c r="E225" s="7"/>
      <c r="F225" s="7"/>
      <c r="G225" s="6"/>
      <c r="H225" s="6"/>
      <c r="I225" s="7"/>
      <c r="J225" s="7"/>
      <c r="K225" s="7"/>
      <c r="L225" s="7"/>
      <c r="M225" s="6"/>
      <c r="N225" s="7"/>
      <c r="O225" s="7"/>
      <c r="P225" s="7"/>
      <c r="Q225" s="7"/>
      <c r="R225" s="7"/>
      <c r="S225" s="7"/>
      <c r="T225" s="7"/>
      <c r="U225" s="7"/>
      <c r="V225" s="7"/>
      <c r="W225" s="7"/>
      <c r="X225" s="7"/>
      <c r="Y225" s="7"/>
      <c r="Z225" s="6"/>
      <c r="AA225" s="6"/>
      <c r="AB225" s="6"/>
      <c r="AC225" s="6"/>
      <c r="AD225" s="6"/>
      <c r="AE225" s="6"/>
      <c r="AF225" s="6"/>
      <c r="AG225" s="6"/>
      <c r="AH225" s="6"/>
      <c r="AI225" s="6"/>
      <c r="AJ225" s="6"/>
    </row>
    <row r="226" spans="1:36" x14ac:dyDescent="0.2">
      <c r="A226" s="7"/>
      <c r="B226" s="7"/>
      <c r="C226" s="7"/>
      <c r="D226" s="7"/>
      <c r="E226" s="7"/>
      <c r="F226" s="7"/>
      <c r="G226" s="6"/>
      <c r="H226" s="6"/>
      <c r="I226" s="7"/>
      <c r="J226" s="7"/>
      <c r="K226" s="7"/>
      <c r="L226" s="7"/>
      <c r="M226" s="6"/>
      <c r="N226" s="7"/>
      <c r="O226" s="7"/>
      <c r="P226" s="7"/>
      <c r="Q226" s="7"/>
      <c r="R226" s="7"/>
      <c r="S226" s="7"/>
      <c r="T226" s="7"/>
      <c r="U226" s="7"/>
      <c r="V226" s="7"/>
      <c r="W226" s="7"/>
      <c r="X226" s="7"/>
      <c r="Y226" s="7"/>
      <c r="Z226" s="6"/>
      <c r="AA226" s="6"/>
      <c r="AB226" s="6"/>
      <c r="AC226" s="6"/>
      <c r="AD226" s="6"/>
      <c r="AE226" s="6"/>
      <c r="AF226" s="6"/>
      <c r="AG226" s="6"/>
      <c r="AH226" s="6"/>
      <c r="AI226" s="6"/>
      <c r="AJ226" s="6"/>
    </row>
    <row r="227" spans="1:36" x14ac:dyDescent="0.2">
      <c r="A227" s="7"/>
      <c r="B227" s="7"/>
      <c r="C227" s="7"/>
      <c r="D227" s="7"/>
      <c r="E227" s="7"/>
      <c r="F227" s="7"/>
      <c r="G227" s="6"/>
      <c r="H227" s="6"/>
      <c r="I227" s="7"/>
      <c r="J227" s="7"/>
      <c r="K227" s="7"/>
      <c r="L227" s="7"/>
      <c r="M227" s="6"/>
      <c r="N227" s="7"/>
      <c r="O227" s="7"/>
      <c r="P227" s="7"/>
      <c r="Q227" s="7"/>
      <c r="R227" s="7"/>
      <c r="S227" s="7"/>
      <c r="T227" s="7"/>
      <c r="U227" s="7"/>
      <c r="V227" s="7"/>
      <c r="W227" s="7"/>
      <c r="X227" s="7"/>
      <c r="Y227" s="7"/>
      <c r="Z227" s="6"/>
      <c r="AA227" s="6"/>
      <c r="AB227" s="6"/>
      <c r="AC227" s="6"/>
      <c r="AD227" s="6"/>
      <c r="AE227" s="6"/>
      <c r="AF227" s="6"/>
      <c r="AG227" s="6"/>
      <c r="AH227" s="6"/>
      <c r="AI227" s="6"/>
      <c r="AJ227" s="6"/>
    </row>
    <row r="228" spans="1:36" x14ac:dyDescent="0.2">
      <c r="A228" s="7"/>
      <c r="B228" s="7"/>
      <c r="C228" s="7"/>
      <c r="D228" s="7"/>
      <c r="E228" s="7"/>
      <c r="F228" s="7"/>
      <c r="G228" s="6"/>
      <c r="H228" s="6"/>
      <c r="I228" s="7"/>
      <c r="J228" s="7"/>
      <c r="K228" s="7"/>
      <c r="L228" s="7"/>
      <c r="M228" s="6"/>
      <c r="N228" s="7"/>
      <c r="O228" s="7"/>
      <c r="P228" s="7"/>
      <c r="Q228" s="7"/>
      <c r="R228" s="7"/>
      <c r="S228" s="7"/>
      <c r="T228" s="7"/>
      <c r="U228" s="7"/>
      <c r="V228" s="7"/>
      <c r="W228" s="7"/>
      <c r="X228" s="7"/>
      <c r="Y228" s="7"/>
      <c r="Z228" s="6"/>
      <c r="AA228" s="6"/>
      <c r="AB228" s="6"/>
      <c r="AC228" s="6"/>
      <c r="AD228" s="6"/>
      <c r="AE228" s="6"/>
      <c r="AF228" s="6"/>
      <c r="AG228" s="6"/>
      <c r="AH228" s="6"/>
      <c r="AI228" s="6"/>
      <c r="AJ228" s="6"/>
    </row>
    <row r="229" spans="1:36" x14ac:dyDescent="0.2">
      <c r="A229" s="7"/>
      <c r="B229" s="7"/>
      <c r="C229" s="7"/>
      <c r="D229" s="7"/>
      <c r="E229" s="7"/>
      <c r="F229" s="7"/>
      <c r="G229" s="6"/>
      <c r="H229" s="6"/>
      <c r="I229" s="7"/>
      <c r="J229" s="7"/>
      <c r="K229" s="7"/>
      <c r="L229" s="7"/>
      <c r="M229" s="6"/>
      <c r="N229" s="7"/>
      <c r="O229" s="7"/>
      <c r="P229" s="7"/>
      <c r="Q229" s="7"/>
      <c r="R229" s="7"/>
      <c r="S229" s="7"/>
      <c r="T229" s="7"/>
      <c r="U229" s="7"/>
      <c r="V229" s="7"/>
      <c r="W229" s="7"/>
      <c r="X229" s="7"/>
      <c r="Y229" s="7"/>
      <c r="Z229" s="6"/>
      <c r="AA229" s="6"/>
      <c r="AB229" s="6"/>
      <c r="AC229" s="6"/>
      <c r="AD229" s="6"/>
      <c r="AE229" s="6"/>
      <c r="AF229" s="6"/>
      <c r="AG229" s="6"/>
      <c r="AH229" s="6"/>
      <c r="AI229" s="6"/>
      <c r="AJ229" s="6"/>
    </row>
    <row r="230" spans="1:36" x14ac:dyDescent="0.2">
      <c r="A230" s="7"/>
      <c r="B230" s="7"/>
      <c r="C230" s="7"/>
      <c r="D230" s="7"/>
      <c r="E230" s="7"/>
      <c r="F230" s="7"/>
      <c r="G230" s="6"/>
      <c r="H230" s="6"/>
      <c r="I230" s="7"/>
      <c r="J230" s="7"/>
      <c r="K230" s="7"/>
      <c r="L230" s="7"/>
      <c r="M230" s="6"/>
      <c r="N230" s="7"/>
      <c r="O230" s="7"/>
      <c r="P230" s="7"/>
      <c r="Q230" s="7"/>
      <c r="R230" s="7"/>
      <c r="S230" s="7"/>
      <c r="T230" s="7"/>
      <c r="U230" s="7"/>
      <c r="V230" s="7"/>
      <c r="W230" s="7"/>
      <c r="X230" s="7"/>
      <c r="Y230" s="7"/>
      <c r="Z230" s="6"/>
      <c r="AA230" s="6"/>
      <c r="AB230" s="6"/>
      <c r="AC230" s="6"/>
      <c r="AD230" s="6"/>
      <c r="AE230" s="6"/>
      <c r="AF230" s="6"/>
      <c r="AG230" s="6"/>
      <c r="AH230" s="6"/>
      <c r="AI230" s="6"/>
      <c r="AJ230" s="6"/>
    </row>
    <row r="231" spans="1:36" x14ac:dyDescent="0.2">
      <c r="A231" s="7"/>
      <c r="B231" s="7"/>
      <c r="C231" s="7"/>
      <c r="D231" s="7"/>
      <c r="E231" s="7"/>
      <c r="F231" s="7"/>
      <c r="G231" s="6"/>
      <c r="H231" s="6"/>
      <c r="I231" s="7"/>
      <c r="J231" s="7"/>
      <c r="K231" s="7"/>
      <c r="L231" s="7"/>
      <c r="M231" s="6"/>
      <c r="N231" s="7"/>
      <c r="O231" s="7"/>
      <c r="P231" s="7"/>
      <c r="Q231" s="7"/>
      <c r="R231" s="7"/>
      <c r="S231" s="7"/>
      <c r="T231" s="7"/>
      <c r="U231" s="7"/>
      <c r="V231" s="7"/>
      <c r="W231" s="7"/>
      <c r="X231" s="7"/>
      <c r="Y231" s="7"/>
      <c r="Z231" s="6"/>
      <c r="AA231" s="6"/>
      <c r="AB231" s="6"/>
      <c r="AC231" s="6"/>
      <c r="AD231" s="6"/>
      <c r="AE231" s="6"/>
      <c r="AF231" s="6"/>
      <c r="AG231" s="6"/>
      <c r="AH231" s="6"/>
      <c r="AI231" s="6"/>
      <c r="AJ231" s="6"/>
    </row>
    <row r="232" spans="1:36" x14ac:dyDescent="0.2">
      <c r="A232" s="7"/>
      <c r="B232" s="7"/>
      <c r="C232" s="7"/>
      <c r="D232" s="7"/>
      <c r="E232" s="7"/>
      <c r="F232" s="7"/>
      <c r="G232" s="6"/>
      <c r="H232" s="6"/>
      <c r="I232" s="7"/>
      <c r="J232" s="7"/>
      <c r="K232" s="7"/>
      <c r="L232" s="7"/>
      <c r="M232" s="6"/>
      <c r="N232" s="7"/>
      <c r="O232" s="7"/>
      <c r="P232" s="7"/>
      <c r="Q232" s="7"/>
      <c r="R232" s="7"/>
      <c r="S232" s="7"/>
      <c r="T232" s="7"/>
      <c r="U232" s="7"/>
      <c r="V232" s="7"/>
      <c r="W232" s="7"/>
      <c r="X232" s="7"/>
      <c r="Y232" s="7"/>
      <c r="Z232" s="6"/>
      <c r="AA232" s="6"/>
      <c r="AB232" s="6"/>
      <c r="AC232" s="6"/>
      <c r="AD232" s="6"/>
      <c r="AE232" s="6"/>
      <c r="AF232" s="6"/>
      <c r="AG232" s="6"/>
      <c r="AH232" s="6"/>
      <c r="AI232" s="6"/>
      <c r="AJ232" s="6"/>
    </row>
    <row r="233" spans="1:36" x14ac:dyDescent="0.2">
      <c r="A233" s="7"/>
      <c r="B233" s="7"/>
      <c r="C233" s="7"/>
      <c r="D233" s="7"/>
      <c r="E233" s="7"/>
      <c r="F233" s="7"/>
      <c r="G233" s="6"/>
      <c r="H233" s="6"/>
      <c r="I233" s="7"/>
      <c r="J233" s="7"/>
      <c r="K233" s="7"/>
      <c r="L233" s="7"/>
      <c r="M233" s="6"/>
      <c r="N233" s="7"/>
      <c r="O233" s="7"/>
      <c r="P233" s="7"/>
      <c r="Q233" s="7"/>
      <c r="R233" s="7"/>
      <c r="S233" s="7"/>
      <c r="T233" s="7"/>
      <c r="U233" s="7"/>
      <c r="V233" s="7"/>
      <c r="W233" s="7"/>
      <c r="X233" s="7"/>
      <c r="Y233" s="7"/>
      <c r="Z233" s="6"/>
      <c r="AA233" s="6"/>
      <c r="AB233" s="6"/>
      <c r="AC233" s="6"/>
      <c r="AD233" s="6"/>
      <c r="AE233" s="6"/>
      <c r="AF233" s="6"/>
      <c r="AG233" s="6"/>
      <c r="AH233" s="6"/>
      <c r="AI233" s="6"/>
      <c r="AJ233" s="6"/>
    </row>
    <row r="234" spans="1:36" x14ac:dyDescent="0.2">
      <c r="A234" s="7"/>
      <c r="B234" s="7"/>
      <c r="C234" s="7"/>
      <c r="D234" s="7"/>
      <c r="E234" s="7"/>
      <c r="F234" s="7"/>
      <c r="G234" s="6"/>
      <c r="H234" s="6"/>
      <c r="I234" s="7"/>
      <c r="J234" s="7"/>
      <c r="K234" s="7"/>
      <c r="L234" s="7"/>
      <c r="M234" s="6"/>
      <c r="N234" s="7"/>
      <c r="O234" s="7"/>
      <c r="P234" s="7"/>
      <c r="Q234" s="7"/>
      <c r="R234" s="7"/>
      <c r="S234" s="7"/>
      <c r="T234" s="7"/>
      <c r="U234" s="7"/>
      <c r="V234" s="7"/>
      <c r="W234" s="7"/>
      <c r="X234" s="7"/>
      <c r="Y234" s="7"/>
      <c r="Z234" s="6"/>
      <c r="AA234" s="6"/>
      <c r="AB234" s="6"/>
      <c r="AC234" s="6"/>
      <c r="AD234" s="6"/>
      <c r="AE234" s="6"/>
      <c r="AF234" s="6"/>
      <c r="AG234" s="6"/>
      <c r="AH234" s="6"/>
      <c r="AI234" s="6"/>
      <c r="AJ234" s="6"/>
    </row>
    <row r="235" spans="1:36" x14ac:dyDescent="0.2">
      <c r="A235" s="7"/>
      <c r="B235" s="7"/>
      <c r="C235" s="7"/>
      <c r="D235" s="7"/>
      <c r="E235" s="7"/>
      <c r="F235" s="7"/>
      <c r="G235" s="6"/>
      <c r="H235" s="6"/>
      <c r="I235" s="7"/>
      <c r="J235" s="7"/>
      <c r="K235" s="7"/>
      <c r="L235" s="7"/>
      <c r="M235" s="6"/>
      <c r="N235" s="7"/>
      <c r="O235" s="7"/>
      <c r="P235" s="7"/>
      <c r="Q235" s="7"/>
      <c r="R235" s="7"/>
      <c r="S235" s="7"/>
      <c r="T235" s="7"/>
      <c r="U235" s="7"/>
      <c r="V235" s="7"/>
      <c r="W235" s="7"/>
      <c r="X235" s="7"/>
      <c r="Y235" s="7"/>
      <c r="Z235" s="6"/>
      <c r="AA235" s="6"/>
      <c r="AB235" s="6"/>
      <c r="AC235" s="6"/>
      <c r="AD235" s="6"/>
      <c r="AE235" s="6"/>
      <c r="AF235" s="6"/>
      <c r="AG235" s="6"/>
      <c r="AH235" s="6"/>
      <c r="AI235" s="6"/>
      <c r="AJ235" s="6"/>
    </row>
    <row r="236" spans="1:36" x14ac:dyDescent="0.2">
      <c r="A236" s="7"/>
      <c r="B236" s="7"/>
      <c r="C236" s="7"/>
      <c r="D236" s="7"/>
      <c r="E236" s="7"/>
      <c r="F236" s="7"/>
      <c r="G236" s="6"/>
      <c r="H236" s="6"/>
      <c r="I236" s="7"/>
      <c r="J236" s="7"/>
      <c r="K236" s="7"/>
      <c r="L236" s="7"/>
      <c r="M236" s="6"/>
      <c r="N236" s="7"/>
      <c r="O236" s="7"/>
      <c r="P236" s="7"/>
      <c r="Q236" s="7"/>
      <c r="R236" s="7"/>
      <c r="S236" s="7"/>
      <c r="T236" s="7"/>
      <c r="U236" s="7"/>
      <c r="V236" s="7"/>
      <c r="W236" s="7"/>
      <c r="X236" s="7"/>
      <c r="Y236" s="7"/>
      <c r="Z236" s="6"/>
      <c r="AA236" s="6"/>
      <c r="AB236" s="6"/>
      <c r="AC236" s="6"/>
      <c r="AD236" s="6"/>
      <c r="AE236" s="6"/>
      <c r="AF236" s="6"/>
      <c r="AG236" s="6"/>
      <c r="AH236" s="6"/>
      <c r="AI236" s="6"/>
      <c r="AJ236" s="6"/>
    </row>
    <row r="237" spans="1:36" x14ac:dyDescent="0.2">
      <c r="A237" s="7"/>
      <c r="B237" s="7"/>
      <c r="C237" s="7"/>
      <c r="D237" s="7"/>
      <c r="E237" s="7"/>
      <c r="F237" s="7"/>
      <c r="G237" s="6"/>
      <c r="H237" s="6"/>
      <c r="I237" s="7"/>
      <c r="J237" s="7"/>
      <c r="K237" s="7"/>
      <c r="L237" s="7"/>
      <c r="M237" s="6"/>
      <c r="N237" s="7"/>
      <c r="O237" s="7"/>
      <c r="P237" s="7"/>
      <c r="Q237" s="7"/>
      <c r="R237" s="7"/>
      <c r="S237" s="7"/>
      <c r="T237" s="7"/>
      <c r="U237" s="7"/>
      <c r="V237" s="7"/>
      <c r="W237" s="7"/>
      <c r="X237" s="7"/>
      <c r="Y237" s="7"/>
      <c r="Z237" s="6"/>
      <c r="AA237" s="6"/>
      <c r="AB237" s="6"/>
      <c r="AC237" s="6"/>
      <c r="AD237" s="6"/>
      <c r="AE237" s="6"/>
      <c r="AF237" s="6"/>
      <c r="AG237" s="6"/>
      <c r="AH237" s="6"/>
      <c r="AI237" s="6"/>
      <c r="AJ237" s="6"/>
    </row>
    <row r="238" spans="1:36" x14ac:dyDescent="0.2">
      <c r="A238" s="7"/>
      <c r="B238" s="7"/>
      <c r="C238" s="7"/>
      <c r="D238" s="7"/>
      <c r="E238" s="7"/>
      <c r="F238" s="7"/>
      <c r="G238" s="6"/>
      <c r="H238" s="6"/>
      <c r="I238" s="7"/>
      <c r="J238" s="7"/>
      <c r="K238" s="7"/>
      <c r="L238" s="7"/>
      <c r="M238" s="6"/>
      <c r="N238" s="7"/>
      <c r="O238" s="7"/>
      <c r="P238" s="7"/>
      <c r="Q238" s="7"/>
      <c r="R238" s="7"/>
      <c r="S238" s="7"/>
      <c r="T238" s="7"/>
      <c r="U238" s="7"/>
      <c r="V238" s="7"/>
      <c r="W238" s="7"/>
      <c r="X238" s="7"/>
      <c r="Y238" s="7"/>
      <c r="Z238" s="6"/>
      <c r="AA238" s="6"/>
      <c r="AB238" s="6"/>
      <c r="AC238" s="6"/>
      <c r="AD238" s="6"/>
      <c r="AE238" s="6"/>
      <c r="AF238" s="6"/>
      <c r="AG238" s="6"/>
      <c r="AH238" s="6"/>
      <c r="AI238" s="6"/>
      <c r="AJ238" s="6"/>
    </row>
    <row r="239" spans="1:36" x14ac:dyDescent="0.2">
      <c r="A239" s="7"/>
      <c r="B239" s="7"/>
      <c r="C239" s="7"/>
      <c r="D239" s="7"/>
      <c r="E239" s="7"/>
      <c r="F239" s="7"/>
      <c r="G239" s="6"/>
      <c r="H239" s="6"/>
      <c r="I239" s="7"/>
      <c r="J239" s="7"/>
      <c r="K239" s="7"/>
      <c r="L239" s="7"/>
      <c r="M239" s="6"/>
      <c r="N239" s="7"/>
      <c r="O239" s="7"/>
      <c r="P239" s="7"/>
      <c r="Q239" s="7"/>
      <c r="R239" s="7"/>
      <c r="S239" s="7"/>
      <c r="T239" s="7"/>
      <c r="U239" s="7"/>
      <c r="V239" s="7"/>
      <c r="W239" s="7"/>
      <c r="X239" s="7"/>
      <c r="Y239" s="7"/>
      <c r="Z239" s="6"/>
      <c r="AA239" s="6"/>
      <c r="AB239" s="6"/>
      <c r="AC239" s="6"/>
      <c r="AD239" s="6"/>
      <c r="AE239" s="6"/>
      <c r="AF239" s="6"/>
      <c r="AG239" s="6"/>
      <c r="AH239" s="6"/>
      <c r="AI239" s="6"/>
      <c r="AJ239" s="6"/>
    </row>
    <row r="240" spans="1:36" x14ac:dyDescent="0.2">
      <c r="A240" s="7"/>
      <c r="B240" s="7"/>
      <c r="C240" s="7"/>
      <c r="D240" s="7"/>
      <c r="E240" s="7"/>
      <c r="F240" s="7"/>
      <c r="G240" s="6"/>
      <c r="H240" s="6"/>
      <c r="I240" s="7"/>
      <c r="J240" s="7"/>
      <c r="K240" s="7"/>
      <c r="L240" s="7"/>
      <c r="M240" s="6"/>
      <c r="N240" s="7"/>
      <c r="O240" s="7"/>
      <c r="P240" s="7"/>
      <c r="Q240" s="7"/>
      <c r="R240" s="7"/>
      <c r="S240" s="7"/>
      <c r="T240" s="7"/>
      <c r="U240" s="7"/>
      <c r="V240" s="7"/>
      <c r="W240" s="7"/>
      <c r="X240" s="7"/>
      <c r="Y240" s="7"/>
      <c r="Z240" s="6"/>
      <c r="AA240" s="6"/>
      <c r="AB240" s="6"/>
      <c r="AC240" s="6"/>
      <c r="AD240" s="6"/>
      <c r="AE240" s="6"/>
      <c r="AF240" s="6"/>
      <c r="AG240" s="6"/>
      <c r="AH240" s="6"/>
      <c r="AI240" s="6"/>
      <c r="AJ240" s="6"/>
    </row>
    <row r="241" spans="1:36" x14ac:dyDescent="0.2">
      <c r="A241" s="7"/>
      <c r="B241" s="7"/>
      <c r="C241" s="7"/>
      <c r="D241" s="7"/>
      <c r="E241" s="7"/>
      <c r="F241" s="7"/>
      <c r="G241" s="6"/>
      <c r="H241" s="6"/>
      <c r="I241" s="7"/>
      <c r="J241" s="7"/>
      <c r="K241" s="7"/>
      <c r="L241" s="7"/>
      <c r="M241" s="6"/>
      <c r="N241" s="7"/>
      <c r="O241" s="7"/>
      <c r="P241" s="7"/>
      <c r="Q241" s="7"/>
      <c r="R241" s="7"/>
      <c r="S241" s="7"/>
      <c r="T241" s="7"/>
      <c r="U241" s="7"/>
      <c r="V241" s="7"/>
      <c r="W241" s="7"/>
      <c r="X241" s="7"/>
      <c r="Y241" s="7"/>
      <c r="Z241" s="6"/>
      <c r="AA241" s="6"/>
      <c r="AB241" s="6"/>
      <c r="AC241" s="6"/>
      <c r="AD241" s="6"/>
      <c r="AE241" s="6"/>
      <c r="AF241" s="6"/>
      <c r="AG241" s="6"/>
      <c r="AH241" s="6"/>
      <c r="AI241" s="6"/>
      <c r="AJ241" s="6"/>
    </row>
    <row r="242" spans="1:36" x14ac:dyDescent="0.2">
      <c r="A242" s="7"/>
      <c r="B242" s="7"/>
      <c r="C242" s="7"/>
      <c r="D242" s="7"/>
      <c r="E242" s="7"/>
      <c r="F242" s="7"/>
      <c r="G242" s="6"/>
      <c r="H242" s="6"/>
      <c r="I242" s="7"/>
      <c r="J242" s="7"/>
      <c r="K242" s="7"/>
      <c r="L242" s="7"/>
      <c r="M242" s="6"/>
      <c r="N242" s="7"/>
      <c r="O242" s="7"/>
      <c r="P242" s="7"/>
      <c r="Q242" s="7"/>
      <c r="R242" s="7"/>
      <c r="S242" s="7"/>
      <c r="T242" s="7"/>
      <c r="U242" s="7"/>
      <c r="V242" s="7"/>
      <c r="W242" s="7"/>
      <c r="X242" s="7"/>
      <c r="Y242" s="7"/>
      <c r="Z242" s="6"/>
      <c r="AA242" s="6"/>
      <c r="AB242" s="6"/>
      <c r="AC242" s="6"/>
      <c r="AD242" s="6"/>
      <c r="AE242" s="6"/>
      <c r="AF242" s="6"/>
      <c r="AG242" s="6"/>
      <c r="AH242" s="6"/>
      <c r="AI242" s="6"/>
      <c r="AJ242" s="6"/>
    </row>
    <row r="243" spans="1:36" x14ac:dyDescent="0.2">
      <c r="A243" s="7"/>
      <c r="B243" s="7"/>
      <c r="C243" s="7"/>
      <c r="D243" s="7"/>
      <c r="E243" s="7"/>
      <c r="F243" s="7"/>
      <c r="G243" s="6"/>
      <c r="H243" s="6"/>
      <c r="I243" s="7"/>
      <c r="J243" s="7"/>
      <c r="K243" s="7"/>
      <c r="L243" s="7"/>
      <c r="M243" s="6"/>
      <c r="N243" s="7"/>
      <c r="O243" s="7"/>
      <c r="P243" s="7"/>
      <c r="Q243" s="7"/>
      <c r="R243" s="7"/>
      <c r="S243" s="7"/>
      <c r="T243" s="7"/>
      <c r="U243" s="7"/>
      <c r="V243" s="7"/>
      <c r="W243" s="7"/>
      <c r="X243" s="7"/>
      <c r="Y243" s="7"/>
      <c r="Z243" s="6"/>
      <c r="AA243" s="6"/>
      <c r="AB243" s="6"/>
      <c r="AC243" s="6"/>
      <c r="AD243" s="6"/>
      <c r="AE243" s="6"/>
      <c r="AF243" s="6"/>
      <c r="AG243" s="6"/>
      <c r="AH243" s="6"/>
      <c r="AI243" s="6"/>
      <c r="AJ243" s="6"/>
    </row>
    <row r="244" spans="1:36" x14ac:dyDescent="0.2">
      <c r="A244" s="7"/>
      <c r="B244" s="7"/>
      <c r="C244" s="7"/>
      <c r="D244" s="7"/>
      <c r="E244" s="7"/>
      <c r="F244" s="7"/>
      <c r="G244" s="6"/>
      <c r="H244" s="6"/>
      <c r="I244" s="7"/>
      <c r="J244" s="7"/>
      <c r="K244" s="7"/>
      <c r="L244" s="7"/>
      <c r="M244" s="6"/>
      <c r="N244" s="7"/>
      <c r="O244" s="7"/>
      <c r="P244" s="7"/>
      <c r="Q244" s="7"/>
      <c r="R244" s="7"/>
      <c r="S244" s="7"/>
      <c r="T244" s="7"/>
      <c r="U244" s="7"/>
      <c r="V244" s="7"/>
      <c r="W244" s="7"/>
      <c r="X244" s="7"/>
      <c r="Y244" s="7"/>
      <c r="Z244" s="6"/>
      <c r="AA244" s="6"/>
      <c r="AB244" s="6"/>
      <c r="AC244" s="6"/>
      <c r="AD244" s="6"/>
      <c r="AE244" s="6"/>
      <c r="AF244" s="6"/>
      <c r="AG244" s="6"/>
      <c r="AH244" s="6"/>
      <c r="AI244" s="6"/>
      <c r="AJ244" s="6"/>
    </row>
    <row r="245" spans="1:36" x14ac:dyDescent="0.2">
      <c r="A245" s="7"/>
      <c r="B245" s="7"/>
      <c r="C245" s="7"/>
      <c r="D245" s="7"/>
      <c r="E245" s="7"/>
      <c r="F245" s="7"/>
      <c r="G245" s="6"/>
      <c r="H245" s="6"/>
      <c r="I245" s="7"/>
      <c r="J245" s="7"/>
      <c r="K245" s="7"/>
      <c r="L245" s="7"/>
      <c r="M245" s="6"/>
      <c r="N245" s="7"/>
      <c r="O245" s="7"/>
      <c r="P245" s="7"/>
      <c r="Q245" s="7"/>
      <c r="R245" s="7"/>
      <c r="S245" s="7"/>
      <c r="T245" s="7"/>
      <c r="U245" s="7"/>
      <c r="V245" s="7"/>
      <c r="W245" s="7"/>
      <c r="X245" s="7"/>
      <c r="Y245" s="7"/>
      <c r="Z245" s="6"/>
      <c r="AA245" s="6"/>
      <c r="AB245" s="6"/>
      <c r="AC245" s="6"/>
      <c r="AD245" s="6"/>
      <c r="AE245" s="6"/>
      <c r="AF245" s="6"/>
      <c r="AG245" s="6"/>
      <c r="AH245" s="6"/>
      <c r="AI245" s="6"/>
      <c r="AJ245" s="6"/>
    </row>
    <row r="246" spans="1:36" x14ac:dyDescent="0.2">
      <c r="A246" s="7"/>
      <c r="B246" s="7"/>
      <c r="C246" s="7"/>
      <c r="D246" s="7"/>
      <c r="E246" s="7"/>
      <c r="F246" s="7"/>
      <c r="G246" s="6"/>
      <c r="H246" s="6"/>
      <c r="I246" s="7"/>
      <c r="J246" s="7"/>
      <c r="K246" s="7"/>
      <c r="L246" s="7"/>
      <c r="M246" s="6"/>
      <c r="N246" s="7"/>
      <c r="O246" s="7"/>
      <c r="P246" s="7"/>
      <c r="Q246" s="7"/>
      <c r="R246" s="7"/>
      <c r="S246" s="7"/>
      <c r="T246" s="7"/>
      <c r="U246" s="7"/>
      <c r="V246" s="7"/>
      <c r="W246" s="7"/>
      <c r="X246" s="7"/>
      <c r="Y246" s="7"/>
      <c r="Z246" s="6"/>
      <c r="AA246" s="6"/>
      <c r="AB246" s="6"/>
      <c r="AC246" s="6"/>
      <c r="AD246" s="6"/>
      <c r="AE246" s="6"/>
      <c r="AF246" s="6"/>
      <c r="AG246" s="6"/>
      <c r="AH246" s="6"/>
      <c r="AI246" s="6"/>
      <c r="AJ246" s="6"/>
    </row>
    <row r="247" spans="1:36" x14ac:dyDescent="0.2">
      <c r="A247" s="7"/>
      <c r="B247" s="7"/>
      <c r="C247" s="7"/>
      <c r="D247" s="7"/>
      <c r="E247" s="7"/>
      <c r="F247" s="7"/>
      <c r="G247" s="6"/>
      <c r="H247" s="6"/>
      <c r="I247" s="7"/>
      <c r="J247" s="7"/>
      <c r="K247" s="7"/>
      <c r="L247" s="7"/>
      <c r="M247" s="6"/>
      <c r="N247" s="7"/>
      <c r="O247" s="7"/>
      <c r="P247" s="7"/>
      <c r="Q247" s="7"/>
      <c r="R247" s="7"/>
      <c r="S247" s="7"/>
      <c r="T247" s="7"/>
      <c r="U247" s="7"/>
      <c r="V247" s="7"/>
      <c r="W247" s="7"/>
      <c r="X247" s="7"/>
      <c r="Y247" s="7"/>
      <c r="Z247" s="6"/>
      <c r="AA247" s="6"/>
      <c r="AB247" s="6"/>
      <c r="AC247" s="6"/>
      <c r="AD247" s="6"/>
      <c r="AE247" s="6"/>
      <c r="AF247" s="6"/>
      <c r="AG247" s="6"/>
      <c r="AH247" s="6"/>
      <c r="AI247" s="6"/>
      <c r="AJ247" s="6"/>
    </row>
    <row r="248" spans="1:36" x14ac:dyDescent="0.2">
      <c r="A248" s="7"/>
      <c r="B248" s="7"/>
      <c r="C248" s="7"/>
      <c r="D248" s="7"/>
      <c r="E248" s="7"/>
      <c r="F248" s="7"/>
      <c r="G248" s="6"/>
      <c r="H248" s="6"/>
      <c r="I248" s="7"/>
      <c r="J248" s="7"/>
      <c r="K248" s="7"/>
      <c r="L248" s="7"/>
      <c r="M248" s="6"/>
      <c r="N248" s="7"/>
      <c r="O248" s="7"/>
      <c r="P248" s="7"/>
      <c r="Q248" s="7"/>
      <c r="R248" s="7"/>
      <c r="S248" s="7"/>
      <c r="T248" s="7"/>
      <c r="U248" s="7"/>
      <c r="V248" s="7"/>
      <c r="W248" s="7"/>
      <c r="X248" s="7"/>
      <c r="Y248" s="7"/>
      <c r="Z248" s="6"/>
      <c r="AA248" s="6"/>
      <c r="AB248" s="6"/>
      <c r="AC248" s="6"/>
      <c r="AD248" s="6"/>
      <c r="AE248" s="6"/>
      <c r="AF248" s="6"/>
      <c r="AG248" s="6"/>
      <c r="AH248" s="6"/>
      <c r="AI248" s="6"/>
      <c r="AJ248" s="6"/>
    </row>
    <row r="249" spans="1:36" x14ac:dyDescent="0.2">
      <c r="A249" s="7"/>
      <c r="B249" s="7"/>
      <c r="C249" s="7"/>
      <c r="D249" s="7"/>
      <c r="E249" s="7"/>
      <c r="F249" s="7"/>
      <c r="G249" s="6"/>
      <c r="H249" s="6"/>
      <c r="I249" s="7"/>
      <c r="J249" s="7"/>
      <c r="K249" s="7"/>
      <c r="L249" s="7"/>
      <c r="M249" s="6"/>
      <c r="N249" s="7"/>
      <c r="O249" s="7"/>
      <c r="P249" s="7"/>
      <c r="Q249" s="7"/>
      <c r="R249" s="7"/>
      <c r="S249" s="7"/>
      <c r="T249" s="7"/>
      <c r="U249" s="7"/>
      <c r="V249" s="7"/>
      <c r="W249" s="7"/>
      <c r="X249" s="7"/>
      <c r="Y249" s="7"/>
      <c r="Z249" s="6"/>
      <c r="AA249" s="6"/>
      <c r="AB249" s="6"/>
      <c r="AC249" s="6"/>
      <c r="AD249" s="6"/>
      <c r="AE249" s="6"/>
      <c r="AF249" s="6"/>
      <c r="AG249" s="6"/>
      <c r="AH249" s="6"/>
      <c r="AI249" s="6"/>
      <c r="AJ249" s="6"/>
    </row>
    <row r="250" spans="1:36" x14ac:dyDescent="0.2">
      <c r="A250" s="7"/>
      <c r="B250" s="7"/>
      <c r="C250" s="7"/>
      <c r="D250" s="7"/>
      <c r="E250" s="7"/>
      <c r="F250" s="7"/>
      <c r="G250" s="6"/>
      <c r="H250" s="6"/>
      <c r="I250" s="7"/>
      <c r="J250" s="7"/>
      <c r="K250" s="7"/>
      <c r="L250" s="7"/>
      <c r="M250" s="6"/>
      <c r="N250" s="7"/>
      <c r="O250" s="7"/>
      <c r="P250" s="7"/>
      <c r="Q250" s="7"/>
      <c r="R250" s="7"/>
      <c r="S250" s="7"/>
      <c r="T250" s="7"/>
      <c r="U250" s="7"/>
      <c r="V250" s="7"/>
      <c r="W250" s="7"/>
      <c r="X250" s="7"/>
      <c r="Y250" s="7"/>
      <c r="Z250" s="6"/>
      <c r="AA250" s="6"/>
      <c r="AB250" s="6"/>
      <c r="AC250" s="6"/>
      <c r="AD250" s="6"/>
      <c r="AE250" s="6"/>
      <c r="AF250" s="6"/>
      <c r="AG250" s="6"/>
      <c r="AH250" s="6"/>
      <c r="AI250" s="6"/>
      <c r="AJ250" s="6"/>
    </row>
    <row r="251" spans="1:36" x14ac:dyDescent="0.2">
      <c r="A251" s="7"/>
      <c r="B251" s="7"/>
      <c r="C251" s="7"/>
      <c r="D251" s="7"/>
      <c r="E251" s="7"/>
      <c r="F251" s="7"/>
      <c r="G251" s="6"/>
      <c r="H251" s="6"/>
      <c r="I251" s="7"/>
      <c r="J251" s="7"/>
      <c r="K251" s="7"/>
      <c r="L251" s="7"/>
      <c r="M251" s="6"/>
      <c r="N251" s="7"/>
      <c r="O251" s="7"/>
      <c r="P251" s="7"/>
      <c r="Q251" s="7"/>
      <c r="R251" s="7"/>
      <c r="S251" s="7"/>
      <c r="T251" s="7"/>
      <c r="U251" s="7"/>
      <c r="V251" s="7"/>
      <c r="W251" s="7"/>
      <c r="X251" s="7"/>
      <c r="Y251" s="7"/>
      <c r="Z251" s="6"/>
      <c r="AA251" s="6"/>
      <c r="AB251" s="6"/>
      <c r="AC251" s="6"/>
      <c r="AD251" s="6"/>
      <c r="AE251" s="6"/>
      <c r="AF251" s="6"/>
      <c r="AG251" s="6"/>
      <c r="AH251" s="6"/>
      <c r="AI251" s="6"/>
      <c r="AJ251" s="6"/>
    </row>
    <row r="252" spans="1:36" x14ac:dyDescent="0.2">
      <c r="A252" s="7"/>
      <c r="B252" s="7"/>
      <c r="C252" s="7"/>
      <c r="D252" s="7"/>
      <c r="E252" s="7"/>
      <c r="F252" s="7"/>
      <c r="G252" s="6"/>
      <c r="H252" s="6"/>
      <c r="I252" s="7"/>
      <c r="J252" s="7"/>
      <c r="K252" s="7"/>
      <c r="L252" s="7"/>
      <c r="M252" s="6"/>
      <c r="N252" s="7"/>
      <c r="O252" s="7"/>
      <c r="P252" s="7"/>
      <c r="Q252" s="7"/>
      <c r="R252" s="7"/>
      <c r="S252" s="7"/>
      <c r="T252" s="7"/>
      <c r="U252" s="7"/>
      <c r="V252" s="7"/>
      <c r="W252" s="7"/>
      <c r="X252" s="7"/>
      <c r="Y252" s="7"/>
      <c r="Z252" s="6"/>
      <c r="AA252" s="6"/>
      <c r="AB252" s="6"/>
      <c r="AC252" s="6"/>
      <c r="AD252" s="6"/>
      <c r="AE252" s="6"/>
      <c r="AF252" s="6"/>
      <c r="AG252" s="6"/>
      <c r="AH252" s="6"/>
      <c r="AI252" s="6"/>
      <c r="AJ252" s="6"/>
    </row>
    <row r="253" spans="1:36" x14ac:dyDescent="0.2">
      <c r="A253" s="7"/>
      <c r="B253" s="7"/>
      <c r="C253" s="7"/>
      <c r="D253" s="7"/>
      <c r="E253" s="7"/>
      <c r="F253" s="7"/>
      <c r="G253" s="6"/>
      <c r="H253" s="6"/>
      <c r="I253" s="7"/>
      <c r="J253" s="7"/>
      <c r="K253" s="7"/>
      <c r="L253" s="7"/>
      <c r="M253" s="6"/>
      <c r="N253" s="7"/>
      <c r="O253" s="7"/>
      <c r="P253" s="7"/>
      <c r="Q253" s="7"/>
      <c r="R253" s="7"/>
      <c r="S253" s="7"/>
      <c r="T253" s="7"/>
      <c r="U253" s="7"/>
      <c r="V253" s="7"/>
      <c r="W253" s="7"/>
      <c r="X253" s="7"/>
      <c r="Y253" s="7"/>
      <c r="Z253" s="6"/>
      <c r="AA253" s="6"/>
      <c r="AB253" s="6"/>
      <c r="AC253" s="6"/>
      <c r="AD253" s="6"/>
      <c r="AE253" s="6"/>
      <c r="AF253" s="6"/>
      <c r="AG253" s="6"/>
      <c r="AH253" s="6"/>
      <c r="AI253" s="6"/>
      <c r="AJ253" s="6"/>
    </row>
    <row r="254" spans="1:36" x14ac:dyDescent="0.2">
      <c r="A254" s="7"/>
      <c r="B254" s="7"/>
      <c r="C254" s="7"/>
      <c r="D254" s="7"/>
      <c r="E254" s="7"/>
      <c r="F254" s="7"/>
      <c r="G254" s="6"/>
      <c r="H254" s="6"/>
      <c r="I254" s="7"/>
      <c r="J254" s="7"/>
      <c r="K254" s="7"/>
      <c r="L254" s="7"/>
      <c r="M254" s="6"/>
      <c r="N254" s="7"/>
      <c r="O254" s="7"/>
      <c r="P254" s="7"/>
      <c r="Q254" s="7"/>
      <c r="R254" s="7"/>
      <c r="S254" s="7"/>
      <c r="T254" s="7"/>
      <c r="U254" s="7"/>
      <c r="V254" s="7"/>
      <c r="W254" s="7"/>
      <c r="X254" s="7"/>
      <c r="Y254" s="7"/>
      <c r="Z254" s="6"/>
      <c r="AA254" s="6"/>
      <c r="AB254" s="6"/>
      <c r="AC254" s="6"/>
      <c r="AD254" s="6"/>
      <c r="AE254" s="6"/>
      <c r="AF254" s="6"/>
      <c r="AG254" s="6"/>
      <c r="AH254" s="6"/>
      <c r="AI254" s="6"/>
      <c r="AJ254" s="6"/>
    </row>
    <row r="255" spans="1:36" x14ac:dyDescent="0.2">
      <c r="A255" s="7"/>
      <c r="B255" s="7"/>
      <c r="C255" s="7"/>
      <c r="D255" s="7"/>
      <c r="E255" s="7"/>
      <c r="F255" s="7"/>
      <c r="G255" s="6"/>
      <c r="H255" s="6"/>
      <c r="I255" s="7"/>
      <c r="J255" s="7"/>
      <c r="K255" s="7"/>
      <c r="L255" s="7"/>
      <c r="M255" s="6"/>
      <c r="N255" s="7"/>
      <c r="O255" s="7"/>
      <c r="P255" s="7"/>
      <c r="Q255" s="7"/>
      <c r="R255" s="7"/>
      <c r="S255" s="7"/>
      <c r="T255" s="7"/>
      <c r="U255" s="7"/>
      <c r="V255" s="7"/>
      <c r="W255" s="7"/>
      <c r="X255" s="7"/>
      <c r="Y255" s="7"/>
      <c r="Z255" s="6"/>
      <c r="AA255" s="6"/>
      <c r="AB255" s="6"/>
      <c r="AC255" s="6"/>
      <c r="AD255" s="6"/>
      <c r="AE255" s="6"/>
      <c r="AF255" s="6"/>
      <c r="AG255" s="6"/>
      <c r="AH255" s="6"/>
      <c r="AI255" s="6"/>
      <c r="AJ255" s="6"/>
    </row>
    <row r="256" spans="1:36" x14ac:dyDescent="0.2">
      <c r="A256" s="7"/>
      <c r="B256" s="7"/>
      <c r="C256" s="7"/>
      <c r="D256" s="7"/>
      <c r="E256" s="7"/>
      <c r="F256" s="7"/>
      <c r="G256" s="6"/>
      <c r="H256" s="6"/>
      <c r="I256" s="7"/>
      <c r="J256" s="7"/>
      <c r="K256" s="7"/>
      <c r="L256" s="7"/>
      <c r="M256" s="6"/>
      <c r="N256" s="7"/>
      <c r="O256" s="7"/>
      <c r="P256" s="7"/>
      <c r="Q256" s="7"/>
      <c r="R256" s="7"/>
      <c r="S256" s="7"/>
      <c r="T256" s="7"/>
      <c r="U256" s="7"/>
      <c r="V256" s="7"/>
      <c r="W256" s="7"/>
      <c r="X256" s="7"/>
      <c r="Y256" s="7"/>
      <c r="Z256" s="6"/>
      <c r="AA256" s="6"/>
      <c r="AB256" s="6"/>
      <c r="AC256" s="6"/>
      <c r="AD256" s="6"/>
      <c r="AE256" s="6"/>
      <c r="AF256" s="6"/>
      <c r="AG256" s="6"/>
      <c r="AH256" s="6"/>
      <c r="AI256" s="6"/>
      <c r="AJ256" s="6"/>
    </row>
    <row r="257" spans="1:36" x14ac:dyDescent="0.2">
      <c r="A257" s="7"/>
      <c r="B257" s="7"/>
      <c r="C257" s="7"/>
      <c r="D257" s="7"/>
      <c r="E257" s="7"/>
      <c r="F257" s="7"/>
      <c r="G257" s="6"/>
      <c r="H257" s="6"/>
      <c r="I257" s="7"/>
      <c r="J257" s="7"/>
      <c r="K257" s="7"/>
      <c r="L257" s="7"/>
      <c r="M257" s="6"/>
      <c r="N257" s="7"/>
      <c r="O257" s="7"/>
      <c r="P257" s="7"/>
      <c r="Q257" s="7"/>
      <c r="R257" s="7"/>
      <c r="S257" s="7"/>
      <c r="T257" s="7"/>
      <c r="U257" s="7"/>
      <c r="V257" s="7"/>
      <c r="W257" s="7"/>
      <c r="X257" s="7"/>
      <c r="Y257" s="7"/>
      <c r="Z257" s="6"/>
      <c r="AA257" s="6"/>
      <c r="AB257" s="6"/>
      <c r="AC257" s="6"/>
      <c r="AD257" s="6"/>
      <c r="AE257" s="6"/>
      <c r="AF257" s="6"/>
      <c r="AG257" s="6"/>
      <c r="AH257" s="6"/>
      <c r="AI257" s="6"/>
      <c r="AJ257" s="6"/>
    </row>
    <row r="258" spans="1:36" x14ac:dyDescent="0.2">
      <c r="A258" s="7"/>
      <c r="B258" s="7"/>
      <c r="C258" s="7"/>
      <c r="D258" s="7"/>
      <c r="E258" s="7"/>
      <c r="F258" s="7"/>
      <c r="G258" s="6"/>
      <c r="H258" s="6"/>
      <c r="I258" s="7"/>
      <c r="J258" s="7"/>
      <c r="K258" s="7"/>
      <c r="L258" s="7"/>
      <c r="M258" s="6"/>
      <c r="N258" s="7"/>
      <c r="O258" s="7"/>
      <c r="P258" s="7"/>
      <c r="Q258" s="7"/>
      <c r="R258" s="7"/>
      <c r="S258" s="7"/>
      <c r="T258" s="7"/>
      <c r="U258" s="7"/>
      <c r="V258" s="7"/>
      <c r="W258" s="7"/>
      <c r="X258" s="7"/>
      <c r="Y258" s="7"/>
      <c r="Z258" s="6"/>
      <c r="AA258" s="6"/>
      <c r="AB258" s="6"/>
      <c r="AC258" s="6"/>
      <c r="AD258" s="6"/>
      <c r="AE258" s="6"/>
      <c r="AF258" s="6"/>
      <c r="AG258" s="6"/>
      <c r="AH258" s="6"/>
      <c r="AI258" s="6"/>
      <c r="AJ258" s="6"/>
    </row>
    <row r="259" spans="1:36" x14ac:dyDescent="0.2">
      <c r="A259" s="7"/>
      <c r="B259" s="7"/>
      <c r="C259" s="7"/>
      <c r="D259" s="7"/>
      <c r="E259" s="7"/>
      <c r="F259" s="7"/>
      <c r="G259" s="6"/>
      <c r="H259" s="6"/>
      <c r="I259" s="7"/>
      <c r="J259" s="7"/>
      <c r="K259" s="7"/>
      <c r="L259" s="7"/>
      <c r="M259" s="6"/>
      <c r="N259" s="7"/>
      <c r="O259" s="7"/>
      <c r="P259" s="7"/>
      <c r="Q259" s="7"/>
      <c r="R259" s="7"/>
      <c r="S259" s="7"/>
      <c r="T259" s="7"/>
      <c r="U259" s="7"/>
      <c r="V259" s="7"/>
      <c r="W259" s="7"/>
      <c r="X259" s="7"/>
      <c r="Y259" s="7"/>
      <c r="Z259" s="6"/>
      <c r="AA259" s="6"/>
      <c r="AB259" s="6"/>
      <c r="AC259" s="6"/>
      <c r="AD259" s="6"/>
      <c r="AE259" s="6"/>
      <c r="AF259" s="6"/>
      <c r="AG259" s="6"/>
      <c r="AH259" s="6"/>
      <c r="AI259" s="6"/>
      <c r="AJ259" s="6"/>
    </row>
    <row r="260" spans="1:36" x14ac:dyDescent="0.2">
      <c r="A260" s="7"/>
      <c r="B260" s="7"/>
      <c r="C260" s="7"/>
      <c r="D260" s="7"/>
      <c r="E260" s="7"/>
      <c r="F260" s="7"/>
      <c r="G260" s="6"/>
      <c r="H260" s="6"/>
      <c r="I260" s="7"/>
      <c r="J260" s="7"/>
      <c r="K260" s="7"/>
      <c r="L260" s="7"/>
      <c r="M260" s="6"/>
      <c r="N260" s="7"/>
      <c r="O260" s="7"/>
      <c r="P260" s="7"/>
      <c r="Q260" s="7"/>
      <c r="R260" s="7"/>
      <c r="S260" s="7"/>
      <c r="T260" s="7"/>
      <c r="U260" s="7"/>
      <c r="V260" s="7"/>
      <c r="W260" s="7"/>
      <c r="X260" s="7"/>
      <c r="Y260" s="7"/>
      <c r="Z260" s="6"/>
      <c r="AA260" s="6"/>
      <c r="AB260" s="6"/>
      <c r="AC260" s="6"/>
      <c r="AD260" s="6"/>
      <c r="AE260" s="6"/>
      <c r="AF260" s="6"/>
      <c r="AG260" s="6"/>
      <c r="AH260" s="6"/>
      <c r="AI260" s="6"/>
      <c r="AJ260" s="6"/>
    </row>
    <row r="261" spans="1:36" x14ac:dyDescent="0.2">
      <c r="A261" s="7"/>
      <c r="B261" s="7"/>
      <c r="C261" s="7"/>
      <c r="D261" s="7"/>
      <c r="E261" s="7"/>
      <c r="F261" s="7"/>
      <c r="G261" s="6"/>
      <c r="H261" s="6"/>
      <c r="I261" s="7"/>
      <c r="J261" s="7"/>
      <c r="K261" s="7"/>
      <c r="L261" s="7"/>
      <c r="M261" s="6"/>
      <c r="N261" s="7"/>
      <c r="O261" s="7"/>
      <c r="P261" s="7"/>
      <c r="Q261" s="7"/>
      <c r="R261" s="7"/>
      <c r="S261" s="7"/>
      <c r="T261" s="7"/>
      <c r="U261" s="7"/>
      <c r="V261" s="7"/>
      <c r="W261" s="7"/>
      <c r="X261" s="7"/>
      <c r="Y261" s="7"/>
      <c r="Z261" s="6"/>
      <c r="AA261" s="6"/>
      <c r="AB261" s="6"/>
      <c r="AC261" s="6"/>
      <c r="AD261" s="6"/>
      <c r="AE261" s="6"/>
      <c r="AF261" s="6"/>
      <c r="AG261" s="6"/>
      <c r="AH261" s="6"/>
      <c r="AI261" s="6"/>
      <c r="AJ261" s="6"/>
    </row>
    <row r="262" spans="1:36" x14ac:dyDescent="0.2">
      <c r="A262" s="7"/>
      <c r="B262" s="7"/>
      <c r="C262" s="7"/>
      <c r="D262" s="7"/>
      <c r="E262" s="7"/>
      <c r="F262" s="7"/>
      <c r="G262" s="6"/>
      <c r="H262" s="6"/>
      <c r="I262" s="7"/>
      <c r="J262" s="7"/>
      <c r="K262" s="7"/>
      <c r="L262" s="7"/>
      <c r="M262" s="6"/>
      <c r="N262" s="7"/>
      <c r="O262" s="7"/>
      <c r="P262" s="7"/>
      <c r="Q262" s="7"/>
      <c r="R262" s="7"/>
      <c r="S262" s="7"/>
      <c r="T262" s="7"/>
      <c r="U262" s="7"/>
      <c r="V262" s="7"/>
      <c r="W262" s="7"/>
      <c r="X262" s="7"/>
      <c r="Y262" s="7"/>
      <c r="Z262" s="6"/>
      <c r="AA262" s="6"/>
      <c r="AB262" s="6"/>
      <c r="AC262" s="6"/>
      <c r="AD262" s="6"/>
      <c r="AE262" s="6"/>
      <c r="AF262" s="6"/>
      <c r="AG262" s="6"/>
      <c r="AH262" s="6"/>
      <c r="AI262" s="6"/>
      <c r="AJ262" s="6"/>
    </row>
    <row r="263" spans="1:36" x14ac:dyDescent="0.2">
      <c r="A263" s="7"/>
      <c r="B263" s="7"/>
      <c r="C263" s="7"/>
      <c r="D263" s="7"/>
      <c r="E263" s="7"/>
      <c r="F263" s="7"/>
      <c r="G263" s="6"/>
      <c r="H263" s="6"/>
      <c r="I263" s="7"/>
      <c r="J263" s="7"/>
      <c r="K263" s="7"/>
      <c r="L263" s="7"/>
      <c r="M263" s="6"/>
      <c r="N263" s="7"/>
      <c r="O263" s="7"/>
      <c r="P263" s="7"/>
      <c r="Q263" s="7"/>
      <c r="R263" s="7"/>
      <c r="S263" s="7"/>
      <c r="T263" s="7"/>
      <c r="U263" s="7"/>
      <c r="V263" s="7"/>
      <c r="W263" s="7"/>
      <c r="X263" s="7"/>
      <c r="Y263" s="7"/>
      <c r="Z263" s="6"/>
      <c r="AA263" s="6"/>
      <c r="AB263" s="6"/>
      <c r="AC263" s="6"/>
      <c r="AD263" s="6"/>
      <c r="AE263" s="6"/>
      <c r="AF263" s="6"/>
      <c r="AG263" s="6"/>
      <c r="AH263" s="6"/>
      <c r="AI263" s="6"/>
      <c r="AJ263" s="6"/>
    </row>
    <row r="264" spans="1:36" x14ac:dyDescent="0.2">
      <c r="A264" s="7"/>
      <c r="B264" s="7"/>
      <c r="C264" s="7"/>
      <c r="D264" s="7"/>
      <c r="E264" s="7"/>
      <c r="F264" s="7"/>
      <c r="G264" s="6"/>
      <c r="H264" s="6"/>
      <c r="I264" s="7"/>
      <c r="J264" s="7"/>
      <c r="K264" s="7"/>
      <c r="L264" s="7"/>
      <c r="M264" s="6"/>
      <c r="N264" s="7"/>
      <c r="O264" s="7"/>
      <c r="P264" s="7"/>
      <c r="Q264" s="7"/>
      <c r="R264" s="7"/>
      <c r="S264" s="7"/>
      <c r="T264" s="7"/>
      <c r="U264" s="7"/>
      <c r="V264" s="7"/>
      <c r="W264" s="7"/>
      <c r="X264" s="7"/>
      <c r="Y264" s="7"/>
      <c r="Z264" s="6"/>
      <c r="AA264" s="6"/>
      <c r="AB264" s="6"/>
      <c r="AC264" s="6"/>
      <c r="AD264" s="6"/>
      <c r="AE264" s="6"/>
      <c r="AF264" s="6"/>
      <c r="AG264" s="6"/>
      <c r="AH264" s="6"/>
      <c r="AI264" s="6"/>
      <c r="AJ264" s="6"/>
    </row>
    <row r="265" spans="1:36" x14ac:dyDescent="0.2">
      <c r="A265" s="7"/>
      <c r="B265" s="7"/>
      <c r="C265" s="7"/>
      <c r="D265" s="7"/>
      <c r="E265" s="7"/>
      <c r="F265" s="7"/>
      <c r="G265" s="6"/>
      <c r="H265" s="6"/>
      <c r="I265" s="7"/>
      <c r="J265" s="7"/>
      <c r="K265" s="7"/>
      <c r="L265" s="7"/>
      <c r="M265" s="6"/>
      <c r="N265" s="7"/>
      <c r="O265" s="7"/>
      <c r="P265" s="7"/>
      <c r="Q265" s="7"/>
      <c r="R265" s="7"/>
      <c r="S265" s="7"/>
      <c r="T265" s="7"/>
      <c r="U265" s="7"/>
      <c r="V265" s="7"/>
      <c r="W265" s="7"/>
      <c r="X265" s="7"/>
      <c r="Y265" s="7"/>
      <c r="Z265" s="6"/>
      <c r="AA265" s="6"/>
      <c r="AB265" s="6"/>
      <c r="AC265" s="6"/>
      <c r="AD265" s="6"/>
      <c r="AE265" s="6"/>
      <c r="AF265" s="6"/>
      <c r="AG265" s="6"/>
      <c r="AH265" s="6"/>
      <c r="AI265" s="6"/>
      <c r="AJ265" s="6"/>
    </row>
    <row r="266" spans="1:36" x14ac:dyDescent="0.2">
      <c r="A266" s="7"/>
      <c r="B266" s="7"/>
      <c r="C266" s="7"/>
      <c r="D266" s="7"/>
      <c r="E266" s="7"/>
      <c r="F266" s="7"/>
      <c r="G266" s="6"/>
      <c r="H266" s="6"/>
      <c r="I266" s="7"/>
      <c r="J266" s="7"/>
      <c r="K266" s="7"/>
      <c r="L266" s="7"/>
      <c r="M266" s="6"/>
      <c r="N266" s="7"/>
      <c r="O266" s="7"/>
      <c r="P266" s="7"/>
      <c r="Q266" s="7"/>
      <c r="R266" s="7"/>
      <c r="S266" s="7"/>
      <c r="T266" s="7"/>
      <c r="U266" s="7"/>
      <c r="V266" s="7"/>
      <c r="W266" s="7"/>
      <c r="X266" s="7"/>
      <c r="Y266" s="7"/>
      <c r="Z266" s="6"/>
      <c r="AA266" s="6"/>
      <c r="AB266" s="6"/>
      <c r="AC266" s="6"/>
      <c r="AD266" s="6"/>
      <c r="AE266" s="6"/>
      <c r="AF266" s="6"/>
      <c r="AG266" s="6"/>
      <c r="AH266" s="6"/>
      <c r="AI266" s="6"/>
      <c r="AJ266" s="6"/>
    </row>
    <row r="267" spans="1:36" x14ac:dyDescent="0.2">
      <c r="A267" s="7"/>
      <c r="B267" s="7"/>
      <c r="C267" s="7"/>
      <c r="D267" s="7"/>
      <c r="E267" s="7"/>
      <c r="F267" s="7"/>
      <c r="G267" s="6"/>
      <c r="H267" s="6"/>
      <c r="I267" s="7"/>
      <c r="J267" s="7"/>
      <c r="K267" s="7"/>
      <c r="L267" s="7"/>
      <c r="M267" s="6"/>
      <c r="N267" s="7"/>
      <c r="O267" s="7"/>
      <c r="P267" s="7"/>
      <c r="Q267" s="7"/>
      <c r="R267" s="7"/>
      <c r="S267" s="7"/>
      <c r="T267" s="7"/>
      <c r="U267" s="7"/>
      <c r="V267" s="7"/>
      <c r="W267" s="7"/>
      <c r="X267" s="7"/>
      <c r="Y267" s="7"/>
      <c r="Z267" s="6"/>
      <c r="AA267" s="6"/>
      <c r="AB267" s="6"/>
      <c r="AC267" s="6"/>
      <c r="AD267" s="6"/>
      <c r="AE267" s="6"/>
      <c r="AF267" s="6"/>
      <c r="AG267" s="6"/>
      <c r="AH267" s="6"/>
      <c r="AI267" s="6"/>
      <c r="AJ267" s="6"/>
    </row>
    <row r="268" spans="1:36" x14ac:dyDescent="0.2">
      <c r="A268" s="7"/>
      <c r="B268" s="7"/>
      <c r="C268" s="7"/>
      <c r="D268" s="7"/>
      <c r="E268" s="7"/>
      <c r="F268" s="7"/>
      <c r="G268" s="6"/>
      <c r="H268" s="6"/>
      <c r="I268" s="7"/>
      <c r="J268" s="7"/>
      <c r="K268" s="7"/>
      <c r="L268" s="7"/>
      <c r="M268" s="6"/>
      <c r="N268" s="7"/>
      <c r="O268" s="7"/>
      <c r="P268" s="7"/>
      <c r="Q268" s="7"/>
      <c r="R268" s="7"/>
      <c r="S268" s="7"/>
      <c r="T268" s="7"/>
      <c r="U268" s="7"/>
      <c r="V268" s="7"/>
      <c r="W268" s="7"/>
      <c r="X268" s="7"/>
      <c r="Y268" s="7"/>
      <c r="Z268" s="6"/>
      <c r="AA268" s="6"/>
      <c r="AB268" s="6"/>
      <c r="AC268" s="6"/>
      <c r="AD268" s="6"/>
      <c r="AE268" s="6"/>
      <c r="AF268" s="6"/>
      <c r="AG268" s="6"/>
      <c r="AH268" s="6"/>
      <c r="AI268" s="6"/>
      <c r="AJ268" s="6"/>
    </row>
    <row r="269" spans="1:36" x14ac:dyDescent="0.2">
      <c r="A269" s="7"/>
      <c r="B269" s="7"/>
      <c r="C269" s="7"/>
      <c r="D269" s="7"/>
      <c r="E269" s="7"/>
      <c r="F269" s="7"/>
      <c r="G269" s="6"/>
      <c r="H269" s="6"/>
      <c r="I269" s="7"/>
      <c r="J269" s="7"/>
      <c r="K269" s="7"/>
      <c r="L269" s="7"/>
      <c r="M269" s="6"/>
      <c r="N269" s="7"/>
      <c r="O269" s="7"/>
      <c r="P269" s="7"/>
      <c r="Q269" s="7"/>
      <c r="R269" s="7"/>
      <c r="S269" s="7"/>
      <c r="T269" s="7"/>
      <c r="U269" s="7"/>
      <c r="V269" s="7"/>
      <c r="W269" s="7"/>
      <c r="X269" s="7"/>
      <c r="Y269" s="7"/>
      <c r="Z269" s="6"/>
      <c r="AA269" s="6"/>
      <c r="AB269" s="6"/>
      <c r="AC269" s="6"/>
      <c r="AD269" s="6"/>
      <c r="AE269" s="6"/>
      <c r="AF269" s="6"/>
      <c r="AG269" s="6"/>
      <c r="AH269" s="6"/>
      <c r="AI269" s="6"/>
      <c r="AJ269" s="6"/>
    </row>
    <row r="270" spans="1:36" x14ac:dyDescent="0.2">
      <c r="A270" s="7"/>
      <c r="B270" s="7"/>
      <c r="C270" s="7"/>
      <c r="D270" s="7"/>
      <c r="E270" s="7"/>
      <c r="F270" s="7"/>
      <c r="G270" s="6"/>
      <c r="H270" s="6"/>
      <c r="I270" s="7"/>
      <c r="J270" s="7"/>
      <c r="K270" s="7"/>
      <c r="L270" s="7"/>
      <c r="M270" s="6"/>
      <c r="N270" s="7"/>
      <c r="O270" s="7"/>
      <c r="P270" s="7"/>
      <c r="Q270" s="7"/>
      <c r="R270" s="7"/>
      <c r="S270" s="7"/>
      <c r="T270" s="7"/>
      <c r="U270" s="7"/>
      <c r="V270" s="7"/>
      <c r="W270" s="7"/>
      <c r="X270" s="7"/>
      <c r="Y270" s="7"/>
      <c r="Z270" s="6"/>
      <c r="AA270" s="6"/>
      <c r="AB270" s="6"/>
      <c r="AC270" s="6"/>
      <c r="AD270" s="6"/>
      <c r="AE270" s="6"/>
      <c r="AF270" s="6"/>
      <c r="AG270" s="6"/>
      <c r="AH270" s="6"/>
      <c r="AI270" s="6"/>
      <c r="AJ270" s="6"/>
    </row>
    <row r="271" spans="1:36" x14ac:dyDescent="0.2">
      <c r="A271" s="7"/>
      <c r="B271" s="7"/>
      <c r="C271" s="7"/>
      <c r="D271" s="7"/>
      <c r="E271" s="7"/>
      <c r="F271" s="7"/>
      <c r="G271" s="6"/>
      <c r="H271" s="6"/>
      <c r="I271" s="7"/>
      <c r="J271" s="7"/>
      <c r="K271" s="7"/>
      <c r="L271" s="7"/>
      <c r="M271" s="6"/>
      <c r="N271" s="7"/>
      <c r="O271" s="7"/>
      <c r="P271" s="7"/>
      <c r="Q271" s="7"/>
      <c r="R271" s="7"/>
      <c r="S271" s="7"/>
      <c r="T271" s="7"/>
      <c r="U271" s="7"/>
      <c r="V271" s="7"/>
      <c r="W271" s="7"/>
      <c r="X271" s="7"/>
      <c r="Y271" s="7"/>
      <c r="Z271" s="6"/>
      <c r="AA271" s="6"/>
      <c r="AB271" s="6"/>
      <c r="AC271" s="6"/>
      <c r="AD271" s="6"/>
      <c r="AE271" s="6"/>
      <c r="AF271" s="6"/>
      <c r="AG271" s="6"/>
      <c r="AH271" s="6"/>
      <c r="AI271" s="6"/>
      <c r="AJ271" s="6"/>
    </row>
    <row r="272" spans="1:36" x14ac:dyDescent="0.2">
      <c r="A272" s="7"/>
      <c r="B272" s="7"/>
      <c r="C272" s="7"/>
      <c r="D272" s="7"/>
      <c r="E272" s="7"/>
      <c r="F272" s="7"/>
      <c r="G272" s="6"/>
      <c r="H272" s="6"/>
      <c r="I272" s="7"/>
      <c r="J272" s="7"/>
      <c r="K272" s="7"/>
      <c r="L272" s="7"/>
      <c r="M272" s="6"/>
      <c r="N272" s="7"/>
      <c r="O272" s="7"/>
      <c r="P272" s="7"/>
      <c r="Q272" s="7"/>
      <c r="R272" s="7"/>
      <c r="S272" s="7"/>
      <c r="T272" s="7"/>
      <c r="U272" s="7"/>
      <c r="V272" s="7"/>
      <c r="W272" s="7"/>
      <c r="X272" s="7"/>
      <c r="Y272" s="7"/>
      <c r="Z272" s="6"/>
      <c r="AA272" s="6"/>
      <c r="AB272" s="6"/>
      <c r="AC272" s="6"/>
      <c r="AD272" s="6"/>
      <c r="AE272" s="6"/>
      <c r="AF272" s="6"/>
      <c r="AG272" s="6"/>
      <c r="AH272" s="6"/>
      <c r="AI272" s="6"/>
      <c r="AJ272" s="6"/>
    </row>
    <row r="273" spans="1:36" x14ac:dyDescent="0.2">
      <c r="A273" s="7"/>
      <c r="B273" s="7"/>
      <c r="C273" s="7"/>
      <c r="D273" s="7"/>
      <c r="E273" s="7"/>
      <c r="F273" s="7"/>
      <c r="G273" s="6"/>
      <c r="H273" s="6"/>
      <c r="I273" s="7"/>
      <c r="J273" s="7"/>
      <c r="K273" s="7"/>
      <c r="L273" s="7"/>
      <c r="M273" s="6"/>
      <c r="N273" s="7"/>
      <c r="O273" s="7"/>
      <c r="P273" s="7"/>
      <c r="Q273" s="7"/>
      <c r="R273" s="7"/>
      <c r="S273" s="7"/>
      <c r="T273" s="7"/>
      <c r="U273" s="7"/>
      <c r="V273" s="7"/>
      <c r="W273" s="7"/>
      <c r="X273" s="7"/>
      <c r="Y273" s="7"/>
      <c r="Z273" s="6"/>
      <c r="AA273" s="6"/>
      <c r="AB273" s="6"/>
      <c r="AC273" s="6"/>
      <c r="AD273" s="6"/>
      <c r="AE273" s="6"/>
      <c r="AF273" s="6"/>
      <c r="AG273" s="6"/>
      <c r="AH273" s="6"/>
      <c r="AI273" s="6"/>
      <c r="AJ273" s="6"/>
    </row>
    <row r="274" spans="1:36" x14ac:dyDescent="0.2">
      <c r="A274" s="7"/>
      <c r="B274" s="7"/>
      <c r="C274" s="7"/>
      <c r="D274" s="7"/>
      <c r="E274" s="7"/>
      <c r="F274" s="7"/>
      <c r="G274" s="6"/>
      <c r="H274" s="6"/>
      <c r="I274" s="7"/>
      <c r="J274" s="7"/>
      <c r="K274" s="7"/>
      <c r="L274" s="7"/>
      <c r="M274" s="6"/>
      <c r="N274" s="7"/>
      <c r="O274" s="7"/>
      <c r="P274" s="7"/>
      <c r="Q274" s="7"/>
      <c r="R274" s="7"/>
      <c r="S274" s="7"/>
      <c r="T274" s="7"/>
      <c r="U274" s="7"/>
      <c r="V274" s="7"/>
      <c r="W274" s="7"/>
      <c r="X274" s="7"/>
      <c r="Y274" s="7"/>
      <c r="Z274" s="6"/>
      <c r="AA274" s="6"/>
      <c r="AB274" s="6"/>
      <c r="AC274" s="6"/>
      <c r="AD274" s="6"/>
      <c r="AE274" s="6"/>
      <c r="AF274" s="6"/>
      <c r="AG274" s="6"/>
      <c r="AH274" s="6"/>
      <c r="AI274" s="6"/>
      <c r="AJ274" s="6"/>
    </row>
    <row r="275" spans="1:36" x14ac:dyDescent="0.2">
      <c r="A275" s="7"/>
      <c r="B275" s="7"/>
      <c r="C275" s="7"/>
      <c r="D275" s="7"/>
      <c r="E275" s="7"/>
      <c r="F275" s="7"/>
      <c r="G275" s="6"/>
      <c r="H275" s="6"/>
      <c r="I275" s="7"/>
      <c r="J275" s="7"/>
      <c r="K275" s="7"/>
      <c r="L275" s="7"/>
      <c r="M275" s="6"/>
      <c r="N275" s="7"/>
      <c r="O275" s="7"/>
      <c r="P275" s="7"/>
      <c r="Q275" s="7"/>
      <c r="R275" s="7"/>
      <c r="S275" s="7"/>
      <c r="T275" s="7"/>
      <c r="U275" s="7"/>
      <c r="V275" s="7"/>
      <c r="W275" s="7"/>
      <c r="X275" s="7"/>
      <c r="Y275" s="7"/>
      <c r="Z275" s="6"/>
      <c r="AA275" s="6"/>
      <c r="AB275" s="6"/>
      <c r="AC275" s="6"/>
      <c r="AD275" s="6"/>
      <c r="AE275" s="6"/>
      <c r="AF275" s="6"/>
      <c r="AG275" s="6"/>
      <c r="AH275" s="6"/>
      <c r="AI275" s="6"/>
      <c r="AJ275" s="6"/>
    </row>
    <row r="276" spans="1:36" x14ac:dyDescent="0.2">
      <c r="A276" s="7"/>
      <c r="B276" s="7"/>
      <c r="C276" s="7"/>
      <c r="D276" s="7"/>
      <c r="E276" s="7"/>
      <c r="F276" s="7"/>
      <c r="G276" s="6"/>
      <c r="H276" s="6"/>
      <c r="I276" s="7"/>
      <c r="J276" s="7"/>
      <c r="K276" s="7"/>
      <c r="L276" s="7"/>
      <c r="M276" s="6"/>
      <c r="N276" s="7"/>
      <c r="O276" s="7"/>
      <c r="P276" s="7"/>
      <c r="Q276" s="7"/>
      <c r="R276" s="7"/>
      <c r="S276" s="7"/>
      <c r="T276" s="7"/>
      <c r="U276" s="7"/>
      <c r="V276" s="7"/>
      <c r="W276" s="7"/>
      <c r="X276" s="7"/>
      <c r="Y276" s="7"/>
      <c r="Z276" s="6"/>
      <c r="AA276" s="6"/>
      <c r="AB276" s="6"/>
      <c r="AC276" s="6"/>
      <c r="AD276" s="6"/>
      <c r="AE276" s="6"/>
      <c r="AF276" s="6"/>
      <c r="AG276" s="6"/>
      <c r="AH276" s="6"/>
      <c r="AI276" s="6"/>
      <c r="AJ276" s="6"/>
    </row>
    <row r="277" spans="1:36" x14ac:dyDescent="0.2">
      <c r="A277" s="7"/>
      <c r="B277" s="7"/>
      <c r="C277" s="7"/>
      <c r="D277" s="7"/>
      <c r="E277" s="7"/>
      <c r="F277" s="7"/>
      <c r="G277" s="6"/>
      <c r="H277" s="6"/>
      <c r="I277" s="7"/>
      <c r="J277" s="7"/>
      <c r="K277" s="7"/>
      <c r="L277" s="7"/>
      <c r="M277" s="6"/>
      <c r="N277" s="7"/>
      <c r="O277" s="7"/>
      <c r="P277" s="7"/>
      <c r="Q277" s="7"/>
      <c r="R277" s="7"/>
      <c r="S277" s="7"/>
      <c r="T277" s="7"/>
      <c r="U277" s="7"/>
      <c r="V277" s="7"/>
      <c r="W277" s="7"/>
      <c r="X277" s="7"/>
      <c r="Y277" s="7"/>
      <c r="Z277" s="6"/>
      <c r="AA277" s="6"/>
      <c r="AB277" s="6"/>
      <c r="AC277" s="6"/>
      <c r="AD277" s="6"/>
      <c r="AE277" s="6"/>
      <c r="AF277" s="6"/>
      <c r="AG277" s="6"/>
      <c r="AH277" s="6"/>
      <c r="AI277" s="6"/>
      <c r="AJ277" s="6"/>
    </row>
    <row r="278" spans="1:36" x14ac:dyDescent="0.2">
      <c r="A278" s="7"/>
      <c r="B278" s="7"/>
      <c r="C278" s="7"/>
      <c r="D278" s="7"/>
      <c r="E278" s="7"/>
      <c r="F278" s="7"/>
      <c r="G278" s="6"/>
      <c r="H278" s="6"/>
      <c r="I278" s="7"/>
      <c r="J278" s="7"/>
      <c r="K278" s="7"/>
      <c r="L278" s="7"/>
      <c r="M278" s="6"/>
      <c r="N278" s="7"/>
      <c r="O278" s="7"/>
      <c r="P278" s="7"/>
      <c r="Q278" s="7"/>
      <c r="R278" s="7"/>
      <c r="S278" s="7"/>
      <c r="T278" s="7"/>
      <c r="U278" s="7"/>
      <c r="V278" s="7"/>
      <c r="W278" s="7"/>
      <c r="X278" s="7"/>
      <c r="Y278" s="7"/>
      <c r="Z278" s="6"/>
      <c r="AA278" s="6"/>
      <c r="AB278" s="6"/>
      <c r="AC278" s="6"/>
      <c r="AD278" s="6"/>
      <c r="AE278" s="6"/>
      <c r="AF278" s="6"/>
      <c r="AG278" s="6"/>
      <c r="AH278" s="6"/>
      <c r="AI278" s="6"/>
      <c r="AJ278" s="6"/>
    </row>
    <row r="279" spans="1:36" x14ac:dyDescent="0.2">
      <c r="A279" s="7"/>
      <c r="B279" s="7"/>
      <c r="C279" s="7"/>
      <c r="D279" s="7"/>
      <c r="E279" s="7"/>
      <c r="F279" s="7"/>
      <c r="G279" s="6"/>
      <c r="H279" s="6"/>
      <c r="I279" s="7"/>
      <c r="J279" s="7"/>
      <c r="K279" s="7"/>
      <c r="L279" s="7"/>
      <c r="M279" s="6"/>
      <c r="N279" s="7"/>
      <c r="O279" s="7"/>
      <c r="P279" s="7"/>
      <c r="Q279" s="7"/>
      <c r="R279" s="7"/>
      <c r="S279" s="7"/>
      <c r="T279" s="7"/>
      <c r="U279" s="7"/>
      <c r="V279" s="7"/>
      <c r="W279" s="7"/>
      <c r="X279" s="7"/>
      <c r="Y279" s="7"/>
      <c r="Z279" s="6"/>
      <c r="AA279" s="6"/>
      <c r="AB279" s="6"/>
      <c r="AC279" s="6"/>
      <c r="AD279" s="6"/>
      <c r="AE279" s="6"/>
      <c r="AF279" s="6"/>
      <c r="AG279" s="6"/>
      <c r="AH279" s="6"/>
      <c r="AI279" s="6"/>
      <c r="AJ279" s="6"/>
    </row>
    <row r="280" spans="1:36" x14ac:dyDescent="0.2">
      <c r="A280" s="7"/>
      <c r="B280" s="7"/>
      <c r="C280" s="7"/>
      <c r="D280" s="7"/>
      <c r="E280" s="7"/>
      <c r="F280" s="7"/>
      <c r="G280" s="6"/>
      <c r="H280" s="6"/>
      <c r="I280" s="7"/>
      <c r="J280" s="7"/>
      <c r="K280" s="7"/>
      <c r="L280" s="7"/>
      <c r="M280" s="6"/>
      <c r="N280" s="7"/>
      <c r="O280" s="7"/>
      <c r="P280" s="7"/>
      <c r="Q280" s="7"/>
      <c r="R280" s="7"/>
      <c r="S280" s="7"/>
      <c r="T280" s="7"/>
      <c r="U280" s="7"/>
      <c r="V280" s="7"/>
      <c r="W280" s="7"/>
      <c r="X280" s="7"/>
      <c r="Y280" s="7"/>
      <c r="Z280" s="6"/>
      <c r="AA280" s="6"/>
      <c r="AB280" s="6"/>
      <c r="AC280" s="6"/>
      <c r="AD280" s="6"/>
      <c r="AE280" s="6"/>
      <c r="AF280" s="6"/>
      <c r="AG280" s="6"/>
      <c r="AH280" s="6"/>
      <c r="AI280" s="6"/>
      <c r="AJ280" s="6"/>
    </row>
    <row r="281" spans="1:36" x14ac:dyDescent="0.2">
      <c r="A281" s="7"/>
      <c r="B281" s="7"/>
      <c r="C281" s="7"/>
      <c r="D281" s="7"/>
      <c r="E281" s="7"/>
      <c r="F281" s="7"/>
      <c r="G281" s="6"/>
      <c r="H281" s="6"/>
      <c r="I281" s="7"/>
      <c r="J281" s="7"/>
      <c r="K281" s="7"/>
      <c r="L281" s="7"/>
      <c r="M281" s="6"/>
      <c r="N281" s="7"/>
      <c r="O281" s="7"/>
      <c r="P281" s="7"/>
      <c r="Q281" s="7"/>
      <c r="R281" s="7"/>
      <c r="S281" s="7"/>
      <c r="T281" s="7"/>
      <c r="U281" s="7"/>
      <c r="V281" s="7"/>
      <c r="W281" s="7"/>
      <c r="X281" s="7"/>
      <c r="Y281" s="7"/>
      <c r="Z281" s="6"/>
      <c r="AA281" s="6"/>
      <c r="AB281" s="6"/>
      <c r="AC281" s="6"/>
      <c r="AD281" s="6"/>
      <c r="AE281" s="6"/>
      <c r="AF281" s="6"/>
      <c r="AG281" s="6"/>
      <c r="AH281" s="6"/>
      <c r="AI281" s="6"/>
      <c r="AJ281" s="6"/>
    </row>
    <row r="282" spans="1:36" x14ac:dyDescent="0.2">
      <c r="A282" s="7"/>
      <c r="B282" s="7"/>
      <c r="C282" s="7"/>
      <c r="D282" s="7"/>
      <c r="E282" s="7"/>
      <c r="F282" s="7"/>
      <c r="G282" s="6"/>
      <c r="H282" s="6"/>
      <c r="I282" s="7"/>
      <c r="J282" s="7"/>
      <c r="K282" s="7"/>
      <c r="L282" s="7"/>
      <c r="M282" s="6"/>
      <c r="N282" s="7"/>
      <c r="O282" s="7"/>
      <c r="P282" s="7"/>
      <c r="Q282" s="7"/>
      <c r="R282" s="7"/>
      <c r="S282" s="7"/>
      <c r="T282" s="7"/>
      <c r="U282" s="7"/>
      <c r="V282" s="7"/>
      <c r="W282" s="7"/>
      <c r="X282" s="7"/>
      <c r="Y282" s="7"/>
      <c r="Z282" s="6"/>
      <c r="AA282" s="6"/>
      <c r="AB282" s="6"/>
      <c r="AC282" s="6"/>
      <c r="AD282" s="6"/>
      <c r="AE282" s="6"/>
      <c r="AF282" s="6"/>
      <c r="AG282" s="6"/>
      <c r="AH282" s="6"/>
      <c r="AI282" s="6"/>
      <c r="AJ282" s="6"/>
    </row>
    <row r="283" spans="1:36" x14ac:dyDescent="0.2">
      <c r="A283" s="7"/>
      <c r="B283" s="7"/>
      <c r="C283" s="7"/>
      <c r="D283" s="7"/>
      <c r="E283" s="7"/>
      <c r="F283" s="7"/>
      <c r="G283" s="6"/>
      <c r="H283" s="6"/>
      <c r="I283" s="7"/>
      <c r="J283" s="7"/>
      <c r="K283" s="7"/>
      <c r="L283" s="7"/>
      <c r="M283" s="6"/>
      <c r="N283" s="7"/>
      <c r="O283" s="7"/>
      <c r="P283" s="7"/>
      <c r="Q283" s="7"/>
      <c r="R283" s="7"/>
      <c r="S283" s="7"/>
      <c r="T283" s="7"/>
      <c r="U283" s="7"/>
      <c r="V283" s="7"/>
      <c r="W283" s="7"/>
      <c r="X283" s="7"/>
      <c r="Y283" s="7"/>
      <c r="Z283" s="6"/>
      <c r="AA283" s="6"/>
      <c r="AB283" s="6"/>
      <c r="AC283" s="6"/>
      <c r="AD283" s="6"/>
      <c r="AE283" s="6"/>
      <c r="AF283" s="6"/>
      <c r="AG283" s="6"/>
      <c r="AH283" s="6"/>
      <c r="AI283" s="6"/>
      <c r="AJ283" s="6"/>
    </row>
    <row r="284" spans="1:36" x14ac:dyDescent="0.2">
      <c r="A284" s="7"/>
      <c r="B284" s="7"/>
      <c r="C284" s="7"/>
      <c r="D284" s="7"/>
      <c r="E284" s="7"/>
      <c r="F284" s="7"/>
      <c r="G284" s="6"/>
      <c r="H284" s="6"/>
      <c r="I284" s="7"/>
      <c r="J284" s="7"/>
      <c r="K284" s="7"/>
      <c r="L284" s="7"/>
      <c r="M284" s="6"/>
      <c r="N284" s="7"/>
      <c r="O284" s="7"/>
      <c r="P284" s="7"/>
      <c r="Q284" s="7"/>
      <c r="R284" s="7"/>
      <c r="S284" s="7"/>
      <c r="T284" s="7"/>
      <c r="U284" s="7"/>
      <c r="V284" s="7"/>
      <c r="W284" s="7"/>
      <c r="X284" s="7"/>
      <c r="Y284" s="7"/>
      <c r="Z284" s="6"/>
      <c r="AA284" s="6"/>
      <c r="AB284" s="6"/>
      <c r="AC284" s="6"/>
      <c r="AD284" s="6"/>
      <c r="AE284" s="6"/>
      <c r="AF284" s="6"/>
      <c r="AG284" s="6"/>
      <c r="AH284" s="6"/>
      <c r="AI284" s="6"/>
      <c r="AJ284" s="6"/>
    </row>
    <row r="285" spans="1:36" x14ac:dyDescent="0.2">
      <c r="A285" s="7"/>
      <c r="B285" s="7"/>
      <c r="C285" s="7"/>
      <c r="D285" s="7"/>
      <c r="E285" s="7"/>
      <c r="F285" s="7"/>
      <c r="G285" s="6"/>
      <c r="H285" s="6"/>
      <c r="I285" s="7"/>
      <c r="J285" s="7"/>
      <c r="K285" s="7"/>
      <c r="L285" s="7"/>
      <c r="M285" s="6"/>
      <c r="N285" s="7"/>
      <c r="O285" s="7"/>
      <c r="P285" s="7"/>
      <c r="Q285" s="7"/>
      <c r="R285" s="7"/>
      <c r="S285" s="7"/>
      <c r="T285" s="7"/>
      <c r="U285" s="7"/>
      <c r="V285" s="7"/>
      <c r="W285" s="7"/>
      <c r="X285" s="7"/>
      <c r="Y285" s="7"/>
      <c r="Z285" s="6"/>
      <c r="AA285" s="6"/>
      <c r="AB285" s="6"/>
      <c r="AC285" s="6"/>
      <c r="AD285" s="6"/>
      <c r="AE285" s="6"/>
      <c r="AF285" s="6"/>
      <c r="AG285" s="6"/>
      <c r="AH285" s="6"/>
      <c r="AI285" s="6"/>
      <c r="AJ285" s="6"/>
    </row>
    <row r="286" spans="1:36" x14ac:dyDescent="0.2">
      <c r="A286" s="7"/>
      <c r="B286" s="7"/>
      <c r="C286" s="7"/>
      <c r="D286" s="7"/>
      <c r="E286" s="7"/>
      <c r="F286" s="7"/>
      <c r="G286" s="6"/>
      <c r="H286" s="6"/>
      <c r="I286" s="7"/>
      <c r="J286" s="7"/>
      <c r="K286" s="7"/>
      <c r="L286" s="7"/>
      <c r="M286" s="6"/>
      <c r="N286" s="7"/>
      <c r="O286" s="7"/>
      <c r="P286" s="7"/>
      <c r="Q286" s="7"/>
      <c r="R286" s="7"/>
      <c r="S286" s="7"/>
      <c r="T286" s="7"/>
      <c r="U286" s="7"/>
      <c r="V286" s="7"/>
      <c r="W286" s="7"/>
      <c r="X286" s="7"/>
      <c r="Y286" s="7"/>
      <c r="Z286" s="6"/>
      <c r="AA286" s="6"/>
      <c r="AB286" s="6"/>
      <c r="AC286" s="6"/>
      <c r="AD286" s="6"/>
      <c r="AE286" s="6"/>
      <c r="AF286" s="6"/>
      <c r="AG286" s="6"/>
      <c r="AH286" s="6"/>
      <c r="AI286" s="6"/>
      <c r="AJ286" s="6"/>
    </row>
    <row r="287" spans="1:36" x14ac:dyDescent="0.2">
      <c r="A287" s="7"/>
      <c r="B287" s="7"/>
      <c r="C287" s="7"/>
      <c r="D287" s="7"/>
      <c r="E287" s="7"/>
      <c r="F287" s="7"/>
      <c r="G287" s="6"/>
      <c r="H287" s="6"/>
      <c r="I287" s="7"/>
      <c r="J287" s="7"/>
      <c r="K287" s="7"/>
      <c r="L287" s="7"/>
      <c r="M287" s="6"/>
      <c r="N287" s="7"/>
      <c r="O287" s="7"/>
      <c r="P287" s="7"/>
      <c r="Q287" s="7"/>
      <c r="R287" s="7"/>
      <c r="S287" s="7"/>
      <c r="T287" s="7"/>
      <c r="U287" s="7"/>
      <c r="V287" s="7"/>
      <c r="W287" s="7"/>
      <c r="X287" s="7"/>
      <c r="Y287" s="7"/>
      <c r="Z287" s="6"/>
      <c r="AA287" s="6"/>
      <c r="AB287" s="6"/>
      <c r="AC287" s="6"/>
      <c r="AD287" s="6"/>
      <c r="AE287" s="6"/>
      <c r="AF287" s="6"/>
      <c r="AG287" s="6"/>
      <c r="AH287" s="6"/>
      <c r="AI287" s="6"/>
      <c r="AJ287" s="6"/>
    </row>
    <row r="288" spans="1:36" x14ac:dyDescent="0.2">
      <c r="A288" s="7"/>
      <c r="B288" s="7"/>
      <c r="C288" s="7"/>
      <c r="D288" s="7"/>
      <c r="E288" s="7"/>
      <c r="F288" s="7"/>
      <c r="G288" s="6"/>
      <c r="H288" s="6"/>
      <c r="I288" s="7"/>
      <c r="J288" s="7"/>
      <c r="K288" s="7"/>
      <c r="L288" s="7"/>
      <c r="M288" s="6"/>
      <c r="N288" s="7"/>
      <c r="O288" s="7"/>
      <c r="P288" s="7"/>
      <c r="Q288" s="7"/>
      <c r="R288" s="7"/>
      <c r="S288" s="7"/>
      <c r="T288" s="7"/>
      <c r="U288" s="7"/>
      <c r="V288" s="7"/>
      <c r="W288" s="7"/>
      <c r="X288" s="7"/>
      <c r="Y288" s="7"/>
      <c r="Z288" s="6"/>
      <c r="AA288" s="6"/>
      <c r="AB288" s="6"/>
      <c r="AC288" s="6"/>
      <c r="AD288" s="6"/>
      <c r="AE288" s="6"/>
      <c r="AF288" s="6"/>
      <c r="AG288" s="6"/>
      <c r="AH288" s="6"/>
      <c r="AI288" s="6"/>
      <c r="AJ288" s="6"/>
    </row>
    <row r="289" spans="1:36" x14ac:dyDescent="0.2">
      <c r="A289" s="7"/>
      <c r="B289" s="7"/>
      <c r="C289" s="7"/>
      <c r="D289" s="7"/>
      <c r="E289" s="7"/>
      <c r="F289" s="7"/>
      <c r="G289" s="6"/>
      <c r="H289" s="6"/>
      <c r="I289" s="7"/>
      <c r="J289" s="7"/>
      <c r="K289" s="7"/>
      <c r="L289" s="7"/>
      <c r="M289" s="6"/>
      <c r="N289" s="7"/>
      <c r="O289" s="7"/>
      <c r="P289" s="7"/>
      <c r="Q289" s="7"/>
      <c r="R289" s="7"/>
      <c r="S289" s="7"/>
      <c r="T289" s="7"/>
      <c r="U289" s="7"/>
      <c r="V289" s="7"/>
      <c r="W289" s="7"/>
      <c r="X289" s="7"/>
      <c r="Y289" s="7"/>
      <c r="Z289" s="6"/>
      <c r="AA289" s="6"/>
      <c r="AB289" s="6"/>
      <c r="AC289" s="6"/>
      <c r="AD289" s="6"/>
      <c r="AE289" s="6"/>
      <c r="AF289" s="6"/>
      <c r="AG289" s="6"/>
      <c r="AH289" s="6"/>
      <c r="AI289" s="6"/>
      <c r="AJ289" s="6"/>
    </row>
    <row r="290" spans="1:36" x14ac:dyDescent="0.2">
      <c r="A290" s="7"/>
      <c r="B290" s="7"/>
      <c r="C290" s="7"/>
      <c r="D290" s="7"/>
      <c r="E290" s="7"/>
      <c r="F290" s="7"/>
      <c r="G290" s="6"/>
      <c r="H290" s="6"/>
      <c r="I290" s="7"/>
      <c r="J290" s="7"/>
      <c r="K290" s="7"/>
      <c r="L290" s="7"/>
      <c r="M290" s="6"/>
      <c r="N290" s="7"/>
      <c r="O290" s="7"/>
      <c r="P290" s="7"/>
      <c r="Q290" s="7"/>
      <c r="R290" s="7"/>
      <c r="S290" s="7"/>
      <c r="T290" s="7"/>
      <c r="U290" s="7"/>
      <c r="V290" s="7"/>
      <c r="W290" s="7"/>
      <c r="X290" s="7"/>
      <c r="Y290" s="7"/>
      <c r="Z290" s="6"/>
      <c r="AA290" s="6"/>
      <c r="AB290" s="6"/>
      <c r="AC290" s="6"/>
      <c r="AD290" s="6"/>
      <c r="AE290" s="6"/>
      <c r="AF290" s="6"/>
      <c r="AG290" s="6"/>
      <c r="AH290" s="6"/>
      <c r="AI290" s="6"/>
      <c r="AJ290" s="6"/>
    </row>
    <row r="291" spans="1:36" x14ac:dyDescent="0.2">
      <c r="A291" s="7"/>
      <c r="B291" s="7"/>
      <c r="C291" s="7"/>
      <c r="D291" s="7"/>
      <c r="E291" s="7"/>
      <c r="F291" s="7"/>
      <c r="G291" s="6"/>
      <c r="H291" s="6"/>
      <c r="I291" s="7"/>
      <c r="J291" s="7"/>
      <c r="K291" s="7"/>
      <c r="L291" s="7"/>
      <c r="M291" s="6"/>
      <c r="N291" s="7"/>
      <c r="O291" s="7"/>
      <c r="P291" s="7"/>
      <c r="Q291" s="7"/>
      <c r="R291" s="7"/>
      <c r="S291" s="7"/>
      <c r="T291" s="7"/>
      <c r="U291" s="7"/>
      <c r="V291" s="7"/>
      <c r="W291" s="7"/>
      <c r="X291" s="7"/>
      <c r="Y291" s="7"/>
      <c r="Z291" s="6"/>
      <c r="AA291" s="6"/>
      <c r="AB291" s="6"/>
      <c r="AC291" s="6"/>
      <c r="AD291" s="6"/>
      <c r="AE291" s="6"/>
      <c r="AF291" s="6"/>
      <c r="AG291" s="6"/>
      <c r="AH291" s="6"/>
      <c r="AI291" s="6"/>
      <c r="AJ291" s="6"/>
    </row>
    <row r="292" spans="1:36" x14ac:dyDescent="0.2">
      <c r="A292" s="7"/>
      <c r="B292" s="7"/>
      <c r="C292" s="7"/>
      <c r="D292" s="7"/>
      <c r="E292" s="7"/>
      <c r="F292" s="7"/>
      <c r="G292" s="6"/>
      <c r="H292" s="6"/>
      <c r="I292" s="7"/>
      <c r="J292" s="7"/>
      <c r="K292" s="7"/>
      <c r="L292" s="7"/>
      <c r="M292" s="6"/>
      <c r="N292" s="7"/>
      <c r="O292" s="7"/>
      <c r="P292" s="7"/>
      <c r="Q292" s="7"/>
      <c r="R292" s="7"/>
      <c r="S292" s="7"/>
      <c r="T292" s="7"/>
      <c r="U292" s="7"/>
      <c r="V292" s="7"/>
      <c r="W292" s="7"/>
      <c r="X292" s="7"/>
      <c r="Y292" s="7"/>
      <c r="Z292" s="6"/>
      <c r="AA292" s="6"/>
      <c r="AB292" s="6"/>
      <c r="AC292" s="6"/>
      <c r="AD292" s="6"/>
      <c r="AE292" s="6"/>
      <c r="AF292" s="6"/>
      <c r="AG292" s="6"/>
      <c r="AH292" s="6"/>
      <c r="AI292" s="6"/>
      <c r="AJ292" s="6"/>
    </row>
    <row r="293" spans="1:36" x14ac:dyDescent="0.2">
      <c r="A293" s="7"/>
      <c r="B293" s="7"/>
      <c r="C293" s="7"/>
      <c r="D293" s="7"/>
      <c r="E293" s="7"/>
      <c r="F293" s="7"/>
      <c r="G293" s="6"/>
      <c r="H293" s="6"/>
      <c r="I293" s="7"/>
      <c r="J293" s="7"/>
      <c r="K293" s="7"/>
      <c r="L293" s="7"/>
      <c r="M293" s="6"/>
      <c r="N293" s="7"/>
      <c r="O293" s="7"/>
      <c r="P293" s="7"/>
      <c r="Q293" s="7"/>
      <c r="R293" s="7"/>
      <c r="S293" s="7"/>
      <c r="T293" s="7"/>
      <c r="U293" s="7"/>
      <c r="V293" s="7"/>
      <c r="W293" s="7"/>
      <c r="X293" s="7"/>
      <c r="Y293" s="7"/>
      <c r="Z293" s="6"/>
      <c r="AA293" s="6"/>
      <c r="AB293" s="6"/>
      <c r="AC293" s="6"/>
      <c r="AD293" s="6"/>
      <c r="AE293" s="6"/>
      <c r="AF293" s="6"/>
      <c r="AG293" s="6"/>
      <c r="AH293" s="6"/>
      <c r="AI293" s="6"/>
      <c r="AJ293" s="6"/>
    </row>
    <row r="294" spans="1:36" x14ac:dyDescent="0.2">
      <c r="A294" s="7"/>
      <c r="B294" s="7"/>
      <c r="C294" s="7"/>
      <c r="D294" s="7"/>
      <c r="E294" s="7"/>
      <c r="F294" s="7"/>
      <c r="G294" s="6"/>
      <c r="H294" s="6"/>
      <c r="I294" s="7"/>
      <c r="J294" s="7"/>
      <c r="K294" s="7"/>
      <c r="L294" s="7"/>
      <c r="M294" s="6"/>
      <c r="N294" s="7"/>
      <c r="O294" s="7"/>
      <c r="P294" s="7"/>
      <c r="Q294" s="7"/>
      <c r="R294" s="7"/>
      <c r="S294" s="7"/>
      <c r="T294" s="7"/>
      <c r="U294" s="7"/>
      <c r="V294" s="7"/>
      <c r="W294" s="7"/>
      <c r="X294" s="7"/>
      <c r="Y294" s="7"/>
      <c r="Z294" s="6"/>
      <c r="AA294" s="6"/>
      <c r="AB294" s="6"/>
      <c r="AC294" s="6"/>
      <c r="AD294" s="6"/>
      <c r="AE294" s="6"/>
      <c r="AF294" s="6"/>
      <c r="AG294" s="6"/>
      <c r="AH294" s="6"/>
      <c r="AI294" s="6"/>
      <c r="AJ294" s="6"/>
    </row>
    <row r="295" spans="1:36" x14ac:dyDescent="0.2">
      <c r="A295" s="7"/>
      <c r="B295" s="7"/>
      <c r="C295" s="7"/>
      <c r="D295" s="7"/>
      <c r="E295" s="7"/>
      <c r="F295" s="7"/>
      <c r="G295" s="6"/>
      <c r="H295" s="6"/>
      <c r="I295" s="7"/>
      <c r="J295" s="7"/>
      <c r="K295" s="7"/>
      <c r="L295" s="7"/>
      <c r="M295" s="6"/>
      <c r="N295" s="7"/>
      <c r="O295" s="7"/>
      <c r="P295" s="7"/>
      <c r="Q295" s="7"/>
      <c r="R295" s="7"/>
      <c r="S295" s="7"/>
      <c r="T295" s="7"/>
      <c r="U295" s="7"/>
      <c r="V295" s="7"/>
      <c r="W295" s="7"/>
      <c r="X295" s="7"/>
      <c r="Y295" s="7"/>
      <c r="Z295" s="6"/>
      <c r="AA295" s="6"/>
      <c r="AB295" s="6"/>
      <c r="AC295" s="6"/>
      <c r="AD295" s="6"/>
      <c r="AE295" s="6"/>
      <c r="AF295" s="6"/>
      <c r="AG295" s="6"/>
      <c r="AH295" s="6"/>
      <c r="AI295" s="6"/>
      <c r="AJ295" s="6"/>
    </row>
    <row r="296" spans="1:36" x14ac:dyDescent="0.2">
      <c r="A296" s="7"/>
      <c r="B296" s="7"/>
      <c r="C296" s="7"/>
      <c r="D296" s="7"/>
      <c r="E296" s="7"/>
      <c r="F296" s="7"/>
      <c r="G296" s="6"/>
      <c r="H296" s="6"/>
      <c r="I296" s="7"/>
      <c r="J296" s="7"/>
      <c r="K296" s="7"/>
      <c r="L296" s="7"/>
      <c r="M296" s="6"/>
      <c r="N296" s="7"/>
      <c r="O296" s="7"/>
      <c r="P296" s="7"/>
      <c r="Q296" s="7"/>
      <c r="R296" s="7"/>
      <c r="S296" s="7"/>
      <c r="T296" s="7"/>
      <c r="U296" s="7"/>
      <c r="V296" s="7"/>
      <c r="W296" s="7"/>
      <c r="X296" s="7"/>
      <c r="Y296" s="7"/>
      <c r="Z296" s="6"/>
      <c r="AA296" s="6"/>
      <c r="AB296" s="6"/>
      <c r="AC296" s="6"/>
      <c r="AD296" s="6"/>
      <c r="AE296" s="6"/>
      <c r="AF296" s="6"/>
      <c r="AG296" s="6"/>
      <c r="AH296" s="6"/>
      <c r="AI296" s="6"/>
      <c r="AJ296" s="6"/>
    </row>
    <row r="297" spans="1:36" x14ac:dyDescent="0.2">
      <c r="A297" s="7"/>
      <c r="B297" s="7"/>
      <c r="C297" s="7"/>
      <c r="D297" s="7"/>
      <c r="E297" s="7"/>
      <c r="F297" s="7"/>
      <c r="G297" s="6"/>
      <c r="H297" s="6"/>
      <c r="I297" s="7"/>
      <c r="J297" s="7"/>
      <c r="K297" s="7"/>
      <c r="L297" s="7"/>
      <c r="M297" s="6"/>
      <c r="N297" s="7"/>
      <c r="O297" s="7"/>
      <c r="P297" s="7"/>
      <c r="Q297" s="7"/>
      <c r="R297" s="7"/>
      <c r="S297" s="7"/>
      <c r="T297" s="7"/>
      <c r="U297" s="7"/>
      <c r="V297" s="7"/>
      <c r="W297" s="7"/>
      <c r="X297" s="7"/>
      <c r="Y297" s="7"/>
      <c r="Z297" s="6"/>
      <c r="AA297" s="6"/>
      <c r="AB297" s="6"/>
      <c r="AC297" s="6"/>
      <c r="AD297" s="6"/>
      <c r="AE297" s="6"/>
      <c r="AF297" s="6"/>
      <c r="AG297" s="6"/>
      <c r="AH297" s="6"/>
      <c r="AI297" s="6"/>
      <c r="AJ297" s="6"/>
    </row>
    <row r="298" spans="1:36" x14ac:dyDescent="0.2">
      <c r="A298" s="7"/>
      <c r="B298" s="7"/>
      <c r="C298" s="7"/>
      <c r="D298" s="7"/>
      <c r="E298" s="7"/>
      <c r="F298" s="7"/>
      <c r="G298" s="6"/>
      <c r="H298" s="6"/>
      <c r="I298" s="7"/>
      <c r="J298" s="7"/>
      <c r="K298" s="7"/>
      <c r="L298" s="7"/>
      <c r="M298" s="6"/>
      <c r="N298" s="7"/>
      <c r="O298" s="7"/>
      <c r="P298" s="7"/>
      <c r="Q298" s="7"/>
      <c r="R298" s="7"/>
      <c r="S298" s="7"/>
      <c r="T298" s="7"/>
      <c r="U298" s="7"/>
      <c r="V298" s="7"/>
      <c r="W298" s="7"/>
      <c r="X298" s="7"/>
      <c r="Y298" s="7"/>
      <c r="Z298" s="6"/>
      <c r="AA298" s="6"/>
      <c r="AB298" s="6"/>
      <c r="AC298" s="6"/>
      <c r="AD298" s="6"/>
      <c r="AE298" s="6"/>
      <c r="AF298" s="6"/>
      <c r="AG298" s="6"/>
      <c r="AH298" s="6"/>
      <c r="AI298" s="6"/>
      <c r="AJ298" s="6"/>
    </row>
    <row r="299" spans="1:36" x14ac:dyDescent="0.2">
      <c r="A299" s="7"/>
      <c r="B299" s="7"/>
      <c r="C299" s="7"/>
      <c r="D299" s="7"/>
      <c r="E299" s="7"/>
      <c r="F299" s="7"/>
      <c r="G299" s="6"/>
      <c r="H299" s="6"/>
      <c r="I299" s="7"/>
      <c r="J299" s="7"/>
      <c r="K299" s="7"/>
      <c r="L299" s="7"/>
      <c r="M299" s="6"/>
      <c r="N299" s="7"/>
      <c r="O299" s="7"/>
      <c r="P299" s="7"/>
      <c r="Q299" s="7"/>
      <c r="R299" s="7"/>
      <c r="S299" s="7"/>
      <c r="T299" s="7"/>
      <c r="U299" s="7"/>
      <c r="V299" s="7"/>
      <c r="W299" s="7"/>
      <c r="X299" s="7"/>
      <c r="Y299" s="7"/>
      <c r="Z299" s="6"/>
      <c r="AA299" s="6"/>
      <c r="AB299" s="6"/>
      <c r="AC299" s="6"/>
      <c r="AD299" s="6"/>
      <c r="AE299" s="6"/>
      <c r="AF299" s="6"/>
      <c r="AG299" s="6"/>
      <c r="AH299" s="6"/>
      <c r="AI299" s="6"/>
      <c r="AJ299" s="6"/>
    </row>
    <row r="300" spans="1:36" x14ac:dyDescent="0.2">
      <c r="A300" s="7"/>
      <c r="B300" s="7"/>
      <c r="C300" s="7"/>
      <c r="D300" s="7"/>
      <c r="E300" s="7"/>
      <c r="F300" s="7"/>
      <c r="G300" s="6"/>
      <c r="H300" s="6"/>
      <c r="I300" s="7"/>
      <c r="J300" s="7"/>
      <c r="K300" s="7"/>
      <c r="L300" s="7"/>
      <c r="M300" s="6"/>
      <c r="N300" s="7"/>
      <c r="O300" s="7"/>
      <c r="P300" s="7"/>
      <c r="Q300" s="7"/>
      <c r="R300" s="7"/>
      <c r="S300" s="7"/>
      <c r="T300" s="7"/>
      <c r="U300" s="7"/>
      <c r="V300" s="7"/>
      <c r="W300" s="7"/>
      <c r="X300" s="7"/>
      <c r="Y300" s="7"/>
      <c r="Z300" s="6"/>
      <c r="AA300" s="6"/>
      <c r="AB300" s="6"/>
      <c r="AC300" s="6"/>
      <c r="AD300" s="6"/>
      <c r="AE300" s="6"/>
      <c r="AF300" s="6"/>
      <c r="AG300" s="6"/>
      <c r="AH300" s="6"/>
      <c r="AI300" s="6"/>
      <c r="AJ300" s="6"/>
    </row>
    <row r="301" spans="1:36" x14ac:dyDescent="0.2">
      <c r="A301" s="7"/>
      <c r="B301" s="7"/>
      <c r="C301" s="7"/>
      <c r="D301" s="7"/>
      <c r="E301" s="7"/>
      <c r="F301" s="7"/>
      <c r="G301" s="6"/>
      <c r="H301" s="6"/>
      <c r="I301" s="7"/>
      <c r="J301" s="7"/>
      <c r="K301" s="7"/>
      <c r="L301" s="7"/>
      <c r="M301" s="6"/>
      <c r="N301" s="7"/>
      <c r="O301" s="7"/>
      <c r="P301" s="7"/>
      <c r="Q301" s="7"/>
      <c r="R301" s="7"/>
      <c r="S301" s="7"/>
      <c r="T301" s="7"/>
      <c r="U301" s="7"/>
      <c r="V301" s="7"/>
      <c r="W301" s="7"/>
      <c r="X301" s="7"/>
      <c r="Y301" s="7"/>
      <c r="Z301" s="6"/>
      <c r="AA301" s="6"/>
      <c r="AB301" s="6"/>
      <c r="AC301" s="6"/>
      <c r="AD301" s="6"/>
      <c r="AE301" s="6"/>
      <c r="AF301" s="6"/>
      <c r="AG301" s="6"/>
      <c r="AH301" s="6"/>
      <c r="AI301" s="6"/>
      <c r="AJ301" s="6"/>
    </row>
    <row r="302" spans="1:36" x14ac:dyDescent="0.2">
      <c r="A302" s="7"/>
      <c r="B302" s="7"/>
      <c r="C302" s="7"/>
      <c r="D302" s="7"/>
      <c r="E302" s="7"/>
      <c r="F302" s="7"/>
      <c r="G302" s="6"/>
      <c r="H302" s="6"/>
      <c r="I302" s="7"/>
      <c r="J302" s="7"/>
      <c r="K302" s="7"/>
      <c r="L302" s="7"/>
      <c r="M302" s="6"/>
      <c r="N302" s="7"/>
      <c r="O302" s="7"/>
      <c r="P302" s="7"/>
      <c r="Q302" s="7"/>
      <c r="R302" s="7"/>
      <c r="S302" s="7"/>
      <c r="T302" s="7"/>
      <c r="U302" s="7"/>
      <c r="V302" s="7"/>
      <c r="W302" s="7"/>
      <c r="X302" s="7"/>
      <c r="Y302" s="7"/>
      <c r="Z302" s="6"/>
      <c r="AA302" s="6"/>
      <c r="AB302" s="6"/>
      <c r="AC302" s="6"/>
      <c r="AD302" s="6"/>
      <c r="AE302" s="6"/>
      <c r="AF302" s="6"/>
      <c r="AG302" s="6"/>
      <c r="AH302" s="6"/>
      <c r="AI302" s="6"/>
      <c r="AJ302" s="6"/>
    </row>
    <row r="303" spans="1:36" x14ac:dyDescent="0.2">
      <c r="A303" s="7"/>
      <c r="B303" s="7"/>
      <c r="C303" s="7"/>
      <c r="D303" s="7"/>
      <c r="E303" s="7"/>
      <c r="F303" s="7"/>
      <c r="G303" s="6"/>
      <c r="H303" s="6"/>
      <c r="I303" s="7"/>
      <c r="J303" s="7"/>
      <c r="K303" s="7"/>
      <c r="L303" s="7"/>
      <c r="M303" s="6"/>
      <c r="N303" s="7"/>
      <c r="O303" s="7"/>
      <c r="P303" s="7"/>
      <c r="Q303" s="7"/>
      <c r="R303" s="7"/>
      <c r="S303" s="7"/>
      <c r="T303" s="7"/>
      <c r="U303" s="7"/>
      <c r="V303" s="7"/>
      <c r="W303" s="7"/>
      <c r="X303" s="7"/>
      <c r="Y303" s="7"/>
      <c r="Z303" s="6"/>
      <c r="AA303" s="6"/>
      <c r="AB303" s="6"/>
      <c r="AC303" s="6"/>
      <c r="AD303" s="6"/>
      <c r="AE303" s="6"/>
      <c r="AF303" s="6"/>
      <c r="AG303" s="6"/>
      <c r="AH303" s="6"/>
      <c r="AI303" s="6"/>
      <c r="AJ303" s="6"/>
    </row>
    <row r="304" spans="1:36" x14ac:dyDescent="0.2">
      <c r="A304" s="7"/>
      <c r="B304" s="7"/>
      <c r="C304" s="7"/>
      <c r="D304" s="7"/>
      <c r="E304" s="7"/>
      <c r="F304" s="7"/>
      <c r="G304" s="6"/>
      <c r="H304" s="6"/>
      <c r="I304" s="7"/>
      <c r="J304" s="7"/>
      <c r="K304" s="7"/>
      <c r="L304" s="7"/>
      <c r="M304" s="6"/>
      <c r="N304" s="7"/>
      <c r="O304" s="7"/>
      <c r="P304" s="7"/>
      <c r="Q304" s="7"/>
      <c r="R304" s="7"/>
      <c r="S304" s="7"/>
      <c r="T304" s="7"/>
      <c r="U304" s="7"/>
      <c r="V304" s="7"/>
      <c r="W304" s="7"/>
      <c r="X304" s="7"/>
      <c r="Y304" s="7"/>
      <c r="Z304" s="6"/>
      <c r="AA304" s="6"/>
      <c r="AB304" s="6"/>
      <c r="AC304" s="6"/>
      <c r="AD304" s="6"/>
      <c r="AE304" s="6"/>
      <c r="AF304" s="6"/>
      <c r="AG304" s="6"/>
      <c r="AH304" s="6"/>
      <c r="AI304" s="6"/>
      <c r="AJ304" s="6"/>
    </row>
    <row r="305" spans="1:36" x14ac:dyDescent="0.2">
      <c r="A305" s="7"/>
      <c r="B305" s="7"/>
      <c r="C305" s="7"/>
      <c r="D305" s="7"/>
      <c r="E305" s="7"/>
      <c r="F305" s="7"/>
      <c r="G305" s="6"/>
      <c r="H305" s="6"/>
      <c r="I305" s="7"/>
      <c r="J305" s="7"/>
      <c r="K305" s="7"/>
      <c r="L305" s="7"/>
      <c r="M305" s="6"/>
      <c r="N305" s="7"/>
      <c r="O305" s="7"/>
      <c r="P305" s="7"/>
      <c r="Q305" s="7"/>
      <c r="R305" s="7"/>
      <c r="S305" s="7"/>
      <c r="T305" s="7"/>
      <c r="U305" s="7"/>
      <c r="V305" s="7"/>
      <c r="W305" s="7"/>
      <c r="X305" s="7"/>
      <c r="Y305" s="7"/>
      <c r="Z305" s="6"/>
      <c r="AA305" s="6"/>
      <c r="AB305" s="6"/>
      <c r="AC305" s="6"/>
      <c r="AD305" s="6"/>
      <c r="AE305" s="6"/>
      <c r="AF305" s="6"/>
      <c r="AG305" s="6"/>
      <c r="AH305" s="6"/>
      <c r="AI305" s="6"/>
      <c r="AJ305" s="6"/>
    </row>
    <row r="306" spans="1:36" x14ac:dyDescent="0.2">
      <c r="A306" s="7"/>
      <c r="B306" s="7"/>
      <c r="C306" s="7"/>
      <c r="D306" s="7"/>
      <c r="E306" s="7"/>
      <c r="F306" s="7"/>
      <c r="G306" s="6"/>
      <c r="H306" s="6"/>
      <c r="I306" s="7"/>
      <c r="J306" s="7"/>
      <c r="K306" s="7"/>
      <c r="L306" s="7"/>
      <c r="M306" s="6"/>
      <c r="N306" s="7"/>
      <c r="O306" s="7"/>
      <c r="P306" s="7"/>
      <c r="Q306" s="7"/>
      <c r="R306" s="7"/>
      <c r="S306" s="7"/>
      <c r="T306" s="7"/>
      <c r="U306" s="7"/>
      <c r="V306" s="7"/>
      <c r="W306" s="7"/>
      <c r="X306" s="7"/>
      <c r="Y306" s="7"/>
      <c r="Z306" s="6"/>
      <c r="AA306" s="6"/>
      <c r="AB306" s="6"/>
      <c r="AC306" s="6"/>
      <c r="AD306" s="6"/>
      <c r="AE306" s="6"/>
      <c r="AF306" s="6"/>
      <c r="AG306" s="6"/>
      <c r="AH306" s="6"/>
      <c r="AI306" s="6"/>
      <c r="AJ306" s="6"/>
    </row>
    <row r="307" spans="1:36" x14ac:dyDescent="0.2">
      <c r="A307" s="7"/>
      <c r="B307" s="7"/>
      <c r="C307" s="7"/>
      <c r="D307" s="7"/>
      <c r="E307" s="7"/>
      <c r="F307" s="7"/>
      <c r="G307" s="6"/>
      <c r="H307" s="6"/>
      <c r="I307" s="7"/>
      <c r="J307" s="7"/>
      <c r="K307" s="7"/>
      <c r="L307" s="7"/>
      <c r="M307" s="6"/>
      <c r="N307" s="7"/>
      <c r="O307" s="7"/>
      <c r="P307" s="7"/>
      <c r="Q307" s="7"/>
      <c r="R307" s="7"/>
      <c r="S307" s="7"/>
      <c r="T307" s="7"/>
      <c r="U307" s="7"/>
      <c r="V307" s="7"/>
      <c r="W307" s="7"/>
      <c r="X307" s="7"/>
      <c r="Y307" s="7"/>
      <c r="Z307" s="6"/>
      <c r="AA307" s="6"/>
      <c r="AB307" s="6"/>
      <c r="AC307" s="6"/>
      <c r="AD307" s="6"/>
      <c r="AE307" s="6"/>
      <c r="AF307" s="6"/>
      <c r="AG307" s="6"/>
      <c r="AH307" s="6"/>
      <c r="AI307" s="6"/>
      <c r="AJ307" s="6"/>
    </row>
    <row r="308" spans="1:36" x14ac:dyDescent="0.2">
      <c r="A308" s="7"/>
      <c r="B308" s="7"/>
      <c r="C308" s="7"/>
      <c r="D308" s="7"/>
      <c r="E308" s="7"/>
      <c r="F308" s="7"/>
      <c r="G308" s="6"/>
      <c r="H308" s="6"/>
      <c r="I308" s="7"/>
      <c r="J308" s="7"/>
      <c r="K308" s="7"/>
      <c r="L308" s="7"/>
      <c r="M308" s="6"/>
      <c r="N308" s="7"/>
      <c r="O308" s="7"/>
      <c r="P308" s="7"/>
      <c r="Q308" s="7"/>
      <c r="R308" s="7"/>
      <c r="S308" s="7"/>
      <c r="T308" s="7"/>
      <c r="U308" s="7"/>
      <c r="V308" s="7"/>
      <c r="W308" s="7"/>
      <c r="X308" s="7"/>
      <c r="Y308" s="7"/>
      <c r="Z308" s="6"/>
      <c r="AA308" s="6"/>
      <c r="AB308" s="6"/>
      <c r="AC308" s="6"/>
      <c r="AD308" s="6"/>
      <c r="AE308" s="6"/>
      <c r="AF308" s="6"/>
      <c r="AG308" s="6"/>
      <c r="AH308" s="6"/>
      <c r="AI308" s="6"/>
      <c r="AJ308" s="6"/>
    </row>
    <row r="309" spans="1:36" x14ac:dyDescent="0.2">
      <c r="A309" s="7"/>
      <c r="B309" s="7"/>
      <c r="C309" s="7"/>
      <c r="D309" s="7"/>
      <c r="E309" s="7"/>
      <c r="F309" s="7"/>
      <c r="G309" s="6"/>
      <c r="H309" s="6"/>
      <c r="I309" s="7"/>
      <c r="J309" s="7"/>
      <c r="K309" s="7"/>
      <c r="L309" s="7"/>
      <c r="M309" s="6"/>
      <c r="N309" s="7"/>
      <c r="O309" s="7"/>
      <c r="P309" s="7"/>
      <c r="Q309" s="7"/>
      <c r="R309" s="7"/>
      <c r="S309" s="7"/>
      <c r="T309" s="7"/>
      <c r="U309" s="7"/>
      <c r="V309" s="7"/>
      <c r="W309" s="7"/>
      <c r="X309" s="7"/>
      <c r="Y309" s="7"/>
      <c r="Z309" s="6"/>
      <c r="AA309" s="6"/>
      <c r="AB309" s="6"/>
      <c r="AC309" s="6"/>
      <c r="AD309" s="6"/>
      <c r="AE309" s="6"/>
      <c r="AF309" s="6"/>
      <c r="AG309" s="6"/>
      <c r="AH309" s="6"/>
      <c r="AI309" s="6"/>
      <c r="AJ309" s="6"/>
    </row>
    <row r="310" spans="1:36" x14ac:dyDescent="0.2">
      <c r="A310" s="7"/>
      <c r="B310" s="7"/>
      <c r="C310" s="7"/>
      <c r="D310" s="7"/>
      <c r="E310" s="7"/>
      <c r="F310" s="7"/>
      <c r="G310" s="6"/>
      <c r="H310" s="6"/>
      <c r="I310" s="7"/>
      <c r="J310" s="7"/>
      <c r="K310" s="7"/>
      <c r="L310" s="7"/>
      <c r="M310" s="6"/>
      <c r="N310" s="7"/>
      <c r="O310" s="7"/>
      <c r="P310" s="7"/>
      <c r="Q310" s="7"/>
      <c r="R310" s="7"/>
      <c r="S310" s="7"/>
      <c r="T310" s="7"/>
      <c r="U310" s="7"/>
      <c r="V310" s="7"/>
      <c r="W310" s="7"/>
      <c r="X310" s="7"/>
      <c r="Y310" s="7"/>
      <c r="Z310" s="6"/>
      <c r="AA310" s="6"/>
      <c r="AB310" s="6"/>
      <c r="AC310" s="6"/>
      <c r="AD310" s="6"/>
      <c r="AE310" s="6"/>
      <c r="AF310" s="6"/>
      <c r="AG310" s="6"/>
      <c r="AH310" s="6"/>
      <c r="AI310" s="6"/>
      <c r="AJ310" s="6"/>
    </row>
    <row r="311" spans="1:36" x14ac:dyDescent="0.2">
      <c r="A311" s="7"/>
      <c r="B311" s="7"/>
      <c r="C311" s="7"/>
      <c r="D311" s="7"/>
      <c r="E311" s="7"/>
      <c r="F311" s="7"/>
      <c r="G311" s="6"/>
      <c r="H311" s="6"/>
      <c r="I311" s="7"/>
      <c r="J311" s="7"/>
      <c r="K311" s="7"/>
      <c r="L311" s="7"/>
      <c r="M311" s="6"/>
      <c r="N311" s="7"/>
      <c r="O311" s="7"/>
      <c r="P311" s="7"/>
      <c r="Q311" s="7"/>
      <c r="R311" s="7"/>
      <c r="S311" s="7"/>
      <c r="T311" s="7"/>
      <c r="U311" s="7"/>
      <c r="V311" s="7"/>
      <c r="W311" s="7"/>
      <c r="X311" s="7"/>
      <c r="Y311" s="7"/>
      <c r="Z311" s="6"/>
      <c r="AA311" s="6"/>
      <c r="AB311" s="6"/>
      <c r="AC311" s="6"/>
      <c r="AD311" s="6"/>
      <c r="AE311" s="6"/>
      <c r="AF311" s="6"/>
      <c r="AG311" s="6"/>
      <c r="AH311" s="6"/>
      <c r="AI311" s="6"/>
      <c r="AJ311" s="6"/>
    </row>
    <row r="312" spans="1:36" x14ac:dyDescent="0.2">
      <c r="A312" s="7"/>
      <c r="B312" s="7"/>
      <c r="C312" s="7"/>
      <c r="D312" s="7"/>
      <c r="E312" s="7"/>
      <c r="F312" s="7"/>
      <c r="G312" s="6"/>
      <c r="H312" s="6"/>
      <c r="I312" s="7"/>
      <c r="J312" s="7"/>
      <c r="K312" s="7"/>
      <c r="L312" s="7"/>
      <c r="M312" s="6"/>
      <c r="N312" s="7"/>
      <c r="O312" s="7"/>
      <c r="P312" s="7"/>
      <c r="Q312" s="7"/>
      <c r="R312" s="7"/>
      <c r="S312" s="7"/>
      <c r="T312" s="7"/>
      <c r="U312" s="7"/>
      <c r="V312" s="7"/>
      <c r="W312" s="7"/>
      <c r="X312" s="7"/>
      <c r="Y312" s="7"/>
      <c r="Z312" s="6"/>
      <c r="AA312" s="6"/>
      <c r="AB312" s="6"/>
      <c r="AC312" s="6"/>
      <c r="AD312" s="6"/>
      <c r="AE312" s="6"/>
      <c r="AF312" s="6"/>
      <c r="AG312" s="6"/>
      <c r="AH312" s="6"/>
      <c r="AI312" s="6"/>
      <c r="AJ312" s="6"/>
    </row>
    <row r="313" spans="1:36" x14ac:dyDescent="0.2">
      <c r="A313" s="7"/>
      <c r="B313" s="7"/>
      <c r="C313" s="7"/>
      <c r="D313" s="7"/>
      <c r="E313" s="7"/>
      <c r="F313" s="7"/>
      <c r="G313" s="6"/>
      <c r="H313" s="6"/>
      <c r="I313" s="7"/>
      <c r="J313" s="7"/>
      <c r="K313" s="7"/>
      <c r="L313" s="7"/>
      <c r="M313" s="6"/>
      <c r="N313" s="7"/>
      <c r="O313" s="7"/>
      <c r="P313" s="7"/>
      <c r="Q313" s="7"/>
      <c r="R313" s="7"/>
      <c r="S313" s="7"/>
      <c r="T313" s="7"/>
      <c r="U313" s="7"/>
      <c r="V313" s="7"/>
      <c r="W313" s="7"/>
      <c r="X313" s="7"/>
      <c r="Y313" s="7"/>
      <c r="Z313" s="6"/>
      <c r="AA313" s="6"/>
      <c r="AB313" s="6"/>
      <c r="AC313" s="6"/>
      <c r="AD313" s="6"/>
      <c r="AE313" s="6"/>
      <c r="AF313" s="6"/>
      <c r="AG313" s="6"/>
      <c r="AH313" s="6"/>
      <c r="AI313" s="6"/>
      <c r="AJ313" s="6"/>
    </row>
    <row r="314" spans="1:36" x14ac:dyDescent="0.2">
      <c r="A314" s="7"/>
      <c r="B314" s="7"/>
      <c r="C314" s="7"/>
      <c r="D314" s="7"/>
      <c r="E314" s="7"/>
      <c r="F314" s="7"/>
      <c r="G314" s="6"/>
      <c r="H314" s="6"/>
      <c r="I314" s="7"/>
      <c r="J314" s="7"/>
      <c r="K314" s="7"/>
      <c r="L314" s="7"/>
      <c r="M314" s="6"/>
      <c r="N314" s="7"/>
      <c r="O314" s="7"/>
      <c r="P314" s="7"/>
      <c r="Q314" s="7"/>
      <c r="R314" s="7"/>
      <c r="S314" s="7"/>
      <c r="T314" s="7"/>
      <c r="U314" s="7"/>
      <c r="V314" s="7"/>
      <c r="W314" s="7"/>
      <c r="X314" s="7"/>
      <c r="Y314" s="7"/>
      <c r="Z314" s="6"/>
      <c r="AA314" s="6"/>
      <c r="AB314" s="6"/>
      <c r="AC314" s="6"/>
      <c r="AD314" s="6"/>
      <c r="AE314" s="6"/>
      <c r="AF314" s="6"/>
      <c r="AG314" s="6"/>
      <c r="AH314" s="6"/>
      <c r="AI314" s="6"/>
      <c r="AJ314" s="6"/>
    </row>
    <row r="315" spans="1:36" x14ac:dyDescent="0.2">
      <c r="A315" s="7"/>
      <c r="B315" s="7"/>
      <c r="C315" s="7"/>
      <c r="D315" s="7"/>
      <c r="E315" s="7"/>
      <c r="F315" s="7"/>
      <c r="G315" s="6"/>
      <c r="H315" s="6"/>
      <c r="I315" s="7"/>
      <c r="J315" s="7"/>
      <c r="K315" s="7"/>
      <c r="L315" s="7"/>
      <c r="M315" s="6"/>
      <c r="N315" s="7"/>
      <c r="O315" s="7"/>
      <c r="P315" s="7"/>
      <c r="Q315" s="7"/>
      <c r="R315" s="7"/>
      <c r="S315" s="7"/>
      <c r="T315" s="7"/>
      <c r="U315" s="7"/>
      <c r="V315" s="7"/>
      <c r="W315" s="7"/>
      <c r="X315" s="7"/>
      <c r="Y315" s="7"/>
      <c r="Z315" s="6"/>
      <c r="AA315" s="6"/>
      <c r="AB315" s="6"/>
      <c r="AC315" s="6"/>
      <c r="AD315" s="6"/>
      <c r="AE315" s="6"/>
      <c r="AF315" s="6"/>
      <c r="AG315" s="6"/>
      <c r="AH315" s="6"/>
      <c r="AI315" s="6"/>
      <c r="AJ315" s="6"/>
    </row>
    <row r="316" spans="1:36" x14ac:dyDescent="0.2">
      <c r="A316" s="7"/>
      <c r="B316" s="7"/>
      <c r="C316" s="7"/>
      <c r="D316" s="7"/>
      <c r="E316" s="7"/>
      <c r="F316" s="7"/>
      <c r="G316" s="6"/>
      <c r="H316" s="6"/>
      <c r="I316" s="7"/>
      <c r="J316" s="7"/>
      <c r="K316" s="7"/>
      <c r="L316" s="7"/>
      <c r="M316" s="6"/>
      <c r="N316" s="7"/>
      <c r="O316" s="7"/>
      <c r="P316" s="7"/>
      <c r="Q316" s="7"/>
      <c r="R316" s="7"/>
      <c r="S316" s="7"/>
      <c r="T316" s="7"/>
      <c r="U316" s="7"/>
      <c r="V316" s="7"/>
      <c r="W316" s="7"/>
      <c r="X316" s="7"/>
      <c r="Y316" s="7"/>
      <c r="Z316" s="6"/>
      <c r="AA316" s="6"/>
      <c r="AB316" s="6"/>
      <c r="AC316" s="6"/>
      <c r="AD316" s="6"/>
      <c r="AE316" s="6"/>
      <c r="AF316" s="6"/>
      <c r="AG316" s="6"/>
      <c r="AH316" s="6"/>
      <c r="AI316" s="6"/>
      <c r="AJ316" s="6"/>
    </row>
    <row r="317" spans="1:36" x14ac:dyDescent="0.2">
      <c r="A317" s="7"/>
      <c r="B317" s="7"/>
      <c r="C317" s="7"/>
      <c r="D317" s="7"/>
      <c r="E317" s="7"/>
      <c r="F317" s="7"/>
      <c r="G317" s="6"/>
      <c r="H317" s="6"/>
      <c r="I317" s="7"/>
      <c r="J317" s="7"/>
      <c r="K317" s="7"/>
      <c r="L317" s="7"/>
      <c r="M317" s="6"/>
      <c r="N317" s="7"/>
      <c r="O317" s="7"/>
      <c r="P317" s="7"/>
      <c r="Q317" s="7"/>
      <c r="R317" s="7"/>
      <c r="S317" s="7"/>
      <c r="T317" s="7"/>
      <c r="U317" s="7"/>
      <c r="V317" s="7"/>
      <c r="W317" s="7"/>
      <c r="X317" s="7"/>
      <c r="Y317" s="7"/>
      <c r="Z317" s="6"/>
      <c r="AA317" s="6"/>
      <c r="AB317" s="6"/>
      <c r="AC317" s="6"/>
      <c r="AD317" s="6"/>
      <c r="AE317" s="6"/>
      <c r="AF317" s="6"/>
      <c r="AG317" s="6"/>
      <c r="AH317" s="6"/>
      <c r="AI317" s="6"/>
      <c r="AJ317" s="6"/>
    </row>
    <row r="318" spans="1:36" x14ac:dyDescent="0.2">
      <c r="A318" s="7"/>
      <c r="B318" s="7"/>
      <c r="C318" s="7"/>
      <c r="D318" s="7"/>
      <c r="E318" s="7"/>
      <c r="F318" s="7"/>
      <c r="G318" s="6"/>
      <c r="H318" s="6"/>
      <c r="I318" s="7"/>
      <c r="J318" s="7"/>
      <c r="K318" s="7"/>
      <c r="L318" s="7"/>
      <c r="M318" s="6"/>
      <c r="N318" s="7"/>
      <c r="O318" s="7"/>
      <c r="P318" s="7"/>
      <c r="Q318" s="7"/>
      <c r="R318" s="7"/>
      <c r="S318" s="7"/>
      <c r="T318" s="7"/>
      <c r="U318" s="7"/>
      <c r="V318" s="7"/>
      <c r="W318" s="7"/>
      <c r="X318" s="7"/>
      <c r="Y318" s="7"/>
      <c r="Z318" s="6"/>
      <c r="AA318" s="6"/>
      <c r="AB318" s="6"/>
      <c r="AC318" s="6"/>
      <c r="AD318" s="6"/>
      <c r="AE318" s="6"/>
      <c r="AF318" s="6"/>
      <c r="AG318" s="6"/>
      <c r="AH318" s="6"/>
      <c r="AI318" s="6"/>
      <c r="AJ318" s="6"/>
    </row>
    <row r="319" spans="1:36" x14ac:dyDescent="0.2">
      <c r="A319" s="7"/>
      <c r="B319" s="7"/>
      <c r="C319" s="7"/>
      <c r="D319" s="7"/>
      <c r="E319" s="7"/>
      <c r="F319" s="7"/>
      <c r="G319" s="6"/>
      <c r="H319" s="6"/>
      <c r="I319" s="7"/>
      <c r="J319" s="7"/>
      <c r="K319" s="7"/>
      <c r="L319" s="7"/>
      <c r="M319" s="6"/>
      <c r="N319" s="7"/>
      <c r="O319" s="7"/>
      <c r="P319" s="7"/>
      <c r="Q319" s="7"/>
      <c r="R319" s="7"/>
      <c r="S319" s="7"/>
      <c r="T319" s="7"/>
      <c r="U319" s="7"/>
      <c r="V319" s="7"/>
      <c r="W319" s="7"/>
      <c r="X319" s="7"/>
      <c r="Y319" s="7"/>
      <c r="Z319" s="6"/>
      <c r="AA319" s="6"/>
      <c r="AB319" s="6"/>
      <c r="AC319" s="6"/>
      <c r="AD319" s="6"/>
      <c r="AE319" s="6"/>
      <c r="AF319" s="6"/>
      <c r="AG319" s="6"/>
      <c r="AH319" s="6"/>
      <c r="AI319" s="6"/>
      <c r="AJ319" s="6"/>
    </row>
    <row r="320" spans="1:36" x14ac:dyDescent="0.2">
      <c r="A320" s="7"/>
      <c r="B320" s="7"/>
      <c r="C320" s="7"/>
      <c r="D320" s="7"/>
      <c r="E320" s="7"/>
      <c r="F320" s="7"/>
      <c r="G320" s="6"/>
      <c r="H320" s="6"/>
      <c r="I320" s="7"/>
      <c r="J320" s="7"/>
      <c r="K320" s="7"/>
      <c r="L320" s="7"/>
      <c r="M320" s="6"/>
      <c r="N320" s="7"/>
      <c r="O320" s="7"/>
      <c r="P320" s="7"/>
      <c r="Q320" s="7"/>
      <c r="R320" s="7"/>
      <c r="S320" s="7"/>
      <c r="T320" s="7"/>
      <c r="U320" s="7"/>
      <c r="V320" s="7"/>
      <c r="W320" s="7"/>
      <c r="X320" s="7"/>
      <c r="Y320" s="7"/>
      <c r="Z320" s="6"/>
      <c r="AA320" s="6"/>
      <c r="AB320" s="6"/>
      <c r="AC320" s="6"/>
      <c r="AD320" s="6"/>
      <c r="AE320" s="6"/>
      <c r="AF320" s="6"/>
      <c r="AG320" s="6"/>
      <c r="AH320" s="6"/>
      <c r="AI320" s="6"/>
      <c r="AJ320" s="6"/>
    </row>
    <row r="321" spans="1:36" x14ac:dyDescent="0.2">
      <c r="A321" s="7"/>
      <c r="B321" s="7"/>
      <c r="C321" s="7"/>
      <c r="D321" s="7"/>
      <c r="E321" s="7"/>
      <c r="F321" s="7"/>
      <c r="G321" s="6"/>
      <c r="H321" s="6"/>
      <c r="I321" s="7"/>
      <c r="J321" s="7"/>
      <c r="K321" s="7"/>
      <c r="L321" s="7"/>
      <c r="M321" s="6"/>
      <c r="N321" s="7"/>
      <c r="O321" s="7"/>
      <c r="P321" s="7"/>
      <c r="Q321" s="7"/>
      <c r="R321" s="7"/>
      <c r="S321" s="7"/>
      <c r="T321" s="7"/>
      <c r="U321" s="7"/>
      <c r="V321" s="7"/>
      <c r="W321" s="7"/>
      <c r="X321" s="7"/>
      <c r="Y321" s="7"/>
      <c r="Z321" s="6"/>
      <c r="AA321" s="6"/>
      <c r="AB321" s="6"/>
      <c r="AC321" s="6"/>
      <c r="AD321" s="6"/>
      <c r="AE321" s="6"/>
      <c r="AF321" s="6"/>
      <c r="AG321" s="6"/>
      <c r="AH321" s="6"/>
      <c r="AI321" s="6"/>
      <c r="AJ321" s="6"/>
    </row>
    <row r="322" spans="1:36" x14ac:dyDescent="0.2">
      <c r="A322" s="7"/>
      <c r="B322" s="7"/>
      <c r="C322" s="7"/>
      <c r="D322" s="7"/>
      <c r="E322" s="7"/>
      <c r="F322" s="7"/>
      <c r="G322" s="6"/>
      <c r="H322" s="6"/>
      <c r="I322" s="7"/>
      <c r="J322" s="7"/>
      <c r="K322" s="7"/>
      <c r="L322" s="7"/>
      <c r="M322" s="6"/>
      <c r="N322" s="7"/>
      <c r="O322" s="7"/>
      <c r="P322" s="7"/>
      <c r="Q322" s="7"/>
      <c r="R322" s="7"/>
      <c r="S322" s="7"/>
      <c r="T322" s="7"/>
      <c r="U322" s="7"/>
      <c r="V322" s="7"/>
      <c r="W322" s="7"/>
      <c r="X322" s="7"/>
      <c r="Y322" s="7"/>
      <c r="Z322" s="6"/>
      <c r="AA322" s="6"/>
      <c r="AB322" s="6"/>
      <c r="AC322" s="6"/>
      <c r="AD322" s="6"/>
      <c r="AE322" s="6"/>
      <c r="AF322" s="6"/>
      <c r="AG322" s="6"/>
      <c r="AH322" s="6"/>
      <c r="AI322" s="6"/>
      <c r="AJ322" s="6"/>
    </row>
    <row r="323" spans="1:36" x14ac:dyDescent="0.2">
      <c r="A323" s="7"/>
      <c r="B323" s="7"/>
      <c r="C323" s="7"/>
      <c r="D323" s="7"/>
      <c r="E323" s="7"/>
      <c r="F323" s="7"/>
      <c r="G323" s="6"/>
      <c r="H323" s="6"/>
      <c r="I323" s="7"/>
      <c r="J323" s="7"/>
      <c r="K323" s="7"/>
      <c r="L323" s="7"/>
      <c r="M323" s="6"/>
      <c r="N323" s="7"/>
      <c r="O323" s="7"/>
      <c r="P323" s="7"/>
      <c r="Q323" s="7"/>
      <c r="R323" s="7"/>
      <c r="S323" s="7"/>
      <c r="T323" s="7"/>
      <c r="U323" s="7"/>
      <c r="V323" s="7"/>
      <c r="W323" s="7"/>
      <c r="X323" s="7"/>
      <c r="Y323" s="7"/>
      <c r="Z323" s="6"/>
      <c r="AA323" s="6"/>
      <c r="AB323" s="6"/>
      <c r="AC323" s="6"/>
      <c r="AD323" s="6"/>
      <c r="AE323" s="6"/>
      <c r="AF323" s="6"/>
      <c r="AG323" s="6"/>
      <c r="AH323" s="6"/>
      <c r="AI323" s="6"/>
      <c r="AJ323" s="6"/>
    </row>
    <row r="324" spans="1:36" x14ac:dyDescent="0.2">
      <c r="A324" s="7"/>
      <c r="B324" s="7"/>
      <c r="C324" s="7"/>
      <c r="D324" s="7"/>
      <c r="E324" s="7"/>
      <c r="F324" s="7"/>
      <c r="G324" s="6"/>
      <c r="H324" s="6"/>
      <c r="I324" s="7"/>
      <c r="J324" s="7"/>
      <c r="K324" s="7"/>
      <c r="L324" s="7"/>
      <c r="M324" s="6"/>
      <c r="N324" s="7"/>
      <c r="O324" s="7"/>
      <c r="P324" s="7"/>
      <c r="Q324" s="7"/>
      <c r="R324" s="7"/>
      <c r="S324" s="7"/>
      <c r="T324" s="7"/>
      <c r="U324" s="7"/>
      <c r="V324" s="7"/>
      <c r="W324" s="7"/>
      <c r="X324" s="7"/>
      <c r="Y324" s="7"/>
      <c r="Z324" s="6"/>
      <c r="AA324" s="6"/>
      <c r="AB324" s="6"/>
      <c r="AC324" s="6"/>
      <c r="AD324" s="6"/>
      <c r="AE324" s="6"/>
      <c r="AF324" s="6"/>
      <c r="AG324" s="6"/>
      <c r="AH324" s="6"/>
      <c r="AI324" s="6"/>
      <c r="AJ324" s="6"/>
    </row>
    <row r="325" spans="1:36" x14ac:dyDescent="0.2">
      <c r="A325" s="7"/>
      <c r="B325" s="7"/>
      <c r="C325" s="7"/>
      <c r="D325" s="7"/>
      <c r="E325" s="7"/>
      <c r="F325" s="7"/>
      <c r="G325" s="6"/>
      <c r="H325" s="6"/>
      <c r="I325" s="7"/>
      <c r="J325" s="7"/>
      <c r="K325" s="7"/>
      <c r="L325" s="7"/>
      <c r="M325" s="6"/>
      <c r="N325" s="7"/>
      <c r="O325" s="7"/>
      <c r="P325" s="7"/>
      <c r="Q325" s="7"/>
      <c r="R325" s="7"/>
      <c r="S325" s="7"/>
      <c r="T325" s="7"/>
      <c r="U325" s="7"/>
      <c r="V325" s="7"/>
      <c r="W325" s="7"/>
      <c r="X325" s="7"/>
      <c r="Y325" s="7"/>
      <c r="Z325" s="6"/>
      <c r="AA325" s="6"/>
      <c r="AB325" s="6"/>
      <c r="AC325" s="6"/>
      <c r="AD325" s="6"/>
      <c r="AE325" s="6"/>
      <c r="AF325" s="6"/>
      <c r="AG325" s="6"/>
      <c r="AH325" s="6"/>
      <c r="AI325" s="6"/>
      <c r="AJ325" s="6"/>
    </row>
    <row r="326" spans="1:36" x14ac:dyDescent="0.2">
      <c r="A326" s="7"/>
      <c r="B326" s="7"/>
      <c r="C326" s="7"/>
      <c r="D326" s="7"/>
      <c r="E326" s="7"/>
      <c r="F326" s="7"/>
      <c r="G326" s="6"/>
      <c r="H326" s="6"/>
      <c r="I326" s="7"/>
      <c r="J326" s="7"/>
      <c r="K326" s="7"/>
      <c r="L326" s="7"/>
      <c r="M326" s="6"/>
      <c r="N326" s="7"/>
      <c r="O326" s="7"/>
      <c r="P326" s="7"/>
      <c r="Q326" s="7"/>
      <c r="R326" s="7"/>
      <c r="S326" s="7"/>
      <c r="T326" s="7"/>
      <c r="U326" s="7"/>
      <c r="V326" s="7"/>
      <c r="W326" s="7"/>
      <c r="X326" s="7"/>
      <c r="Y326" s="7"/>
      <c r="Z326" s="6"/>
      <c r="AA326" s="6"/>
      <c r="AB326" s="6"/>
      <c r="AC326" s="6"/>
      <c r="AD326" s="6"/>
      <c r="AE326" s="6"/>
      <c r="AF326" s="6"/>
      <c r="AG326" s="6"/>
      <c r="AH326" s="6"/>
      <c r="AI326" s="6"/>
      <c r="AJ326" s="6"/>
    </row>
    <row r="327" spans="1:36" x14ac:dyDescent="0.2">
      <c r="A327" s="7"/>
      <c r="B327" s="7"/>
      <c r="C327" s="7"/>
      <c r="D327" s="7"/>
      <c r="E327" s="7"/>
      <c r="F327" s="7"/>
      <c r="G327" s="6"/>
      <c r="H327" s="6"/>
      <c r="I327" s="7"/>
      <c r="J327" s="7"/>
      <c r="K327" s="7"/>
      <c r="L327" s="7"/>
      <c r="M327" s="6"/>
      <c r="N327" s="7"/>
      <c r="O327" s="7"/>
      <c r="P327" s="7"/>
      <c r="Q327" s="7"/>
      <c r="R327" s="7"/>
      <c r="S327" s="7"/>
      <c r="T327" s="7"/>
      <c r="U327" s="7"/>
      <c r="V327" s="7"/>
      <c r="W327" s="7"/>
      <c r="X327" s="7"/>
      <c r="Y327" s="7"/>
      <c r="Z327" s="6"/>
      <c r="AA327" s="6"/>
      <c r="AB327" s="6"/>
      <c r="AC327" s="6"/>
      <c r="AD327" s="6"/>
      <c r="AE327" s="6"/>
      <c r="AF327" s="6"/>
      <c r="AG327" s="6"/>
      <c r="AH327" s="6"/>
      <c r="AI327" s="6"/>
      <c r="AJ327" s="6"/>
    </row>
    <row r="328" spans="1:36" x14ac:dyDescent="0.2">
      <c r="A328" s="7"/>
      <c r="B328" s="7"/>
      <c r="C328" s="7"/>
      <c r="D328" s="7"/>
      <c r="E328" s="7"/>
      <c r="F328" s="7"/>
      <c r="G328" s="6"/>
      <c r="H328" s="6"/>
      <c r="I328" s="7"/>
      <c r="J328" s="7"/>
      <c r="K328" s="7"/>
      <c r="L328" s="7"/>
      <c r="M328" s="6"/>
      <c r="N328" s="7"/>
      <c r="O328" s="7"/>
      <c r="P328" s="7"/>
      <c r="Q328" s="7"/>
      <c r="R328" s="7"/>
      <c r="S328" s="7"/>
      <c r="T328" s="7"/>
      <c r="U328" s="7"/>
      <c r="V328" s="7"/>
      <c r="W328" s="7"/>
      <c r="X328" s="7"/>
      <c r="Y328" s="7"/>
      <c r="Z328" s="6"/>
      <c r="AA328" s="6"/>
      <c r="AB328" s="6"/>
      <c r="AC328" s="6"/>
      <c r="AD328" s="6"/>
      <c r="AE328" s="6"/>
      <c r="AF328" s="6"/>
      <c r="AG328" s="6"/>
      <c r="AH328" s="6"/>
      <c r="AI328" s="6"/>
      <c r="AJ328" s="6"/>
    </row>
    <row r="329" spans="1:36" x14ac:dyDescent="0.2">
      <c r="A329" s="7"/>
      <c r="B329" s="7"/>
      <c r="C329" s="7"/>
      <c r="D329" s="7"/>
      <c r="E329" s="7"/>
      <c r="F329" s="7"/>
      <c r="G329" s="6"/>
      <c r="H329" s="6"/>
      <c r="I329" s="7"/>
      <c r="J329" s="7"/>
      <c r="K329" s="7"/>
      <c r="L329" s="7"/>
      <c r="M329" s="6"/>
      <c r="N329" s="7"/>
      <c r="O329" s="7"/>
      <c r="P329" s="7"/>
      <c r="Q329" s="7"/>
      <c r="R329" s="7"/>
      <c r="S329" s="7"/>
      <c r="T329" s="7"/>
      <c r="U329" s="7"/>
      <c r="V329" s="7"/>
      <c r="W329" s="7"/>
      <c r="X329" s="7"/>
      <c r="Y329" s="7"/>
      <c r="Z329" s="6"/>
      <c r="AA329" s="6"/>
      <c r="AB329" s="6"/>
      <c r="AC329" s="6"/>
      <c r="AD329" s="6"/>
      <c r="AE329" s="6"/>
      <c r="AF329" s="6"/>
      <c r="AG329" s="6"/>
      <c r="AH329" s="6"/>
      <c r="AI329" s="6"/>
      <c r="AJ329" s="6"/>
    </row>
    <row r="330" spans="1:36" x14ac:dyDescent="0.2">
      <c r="A330" s="7"/>
      <c r="B330" s="7"/>
      <c r="C330" s="7"/>
      <c r="D330" s="7"/>
      <c r="E330" s="7"/>
      <c r="F330" s="7"/>
      <c r="G330" s="6"/>
      <c r="H330" s="6"/>
      <c r="I330" s="7"/>
      <c r="J330" s="7"/>
      <c r="K330" s="7"/>
      <c r="L330" s="7"/>
      <c r="M330" s="6"/>
      <c r="N330" s="7"/>
      <c r="O330" s="7"/>
      <c r="P330" s="7"/>
      <c r="Q330" s="7"/>
      <c r="R330" s="7"/>
      <c r="S330" s="7"/>
      <c r="T330" s="7"/>
      <c r="U330" s="7"/>
      <c r="V330" s="7"/>
      <c r="W330" s="7"/>
      <c r="X330" s="7"/>
      <c r="Y330" s="7"/>
      <c r="Z330" s="6"/>
      <c r="AA330" s="6"/>
      <c r="AB330" s="6"/>
      <c r="AC330" s="6"/>
      <c r="AD330" s="6"/>
      <c r="AE330" s="6"/>
      <c r="AF330" s="6"/>
      <c r="AG330" s="6"/>
      <c r="AH330" s="6"/>
      <c r="AI330" s="6"/>
      <c r="AJ330" s="6"/>
    </row>
    <row r="331" spans="1:36" x14ac:dyDescent="0.2">
      <c r="A331" s="7"/>
      <c r="B331" s="7"/>
      <c r="C331" s="7"/>
      <c r="D331" s="7"/>
      <c r="E331" s="7"/>
      <c r="F331" s="7"/>
      <c r="G331" s="6"/>
      <c r="H331" s="6"/>
      <c r="I331" s="7"/>
      <c r="J331" s="7"/>
      <c r="K331" s="7"/>
      <c r="L331" s="7"/>
      <c r="M331" s="6"/>
      <c r="N331" s="7"/>
      <c r="O331" s="7"/>
      <c r="P331" s="7"/>
      <c r="Q331" s="7"/>
      <c r="R331" s="7"/>
      <c r="S331" s="7"/>
      <c r="T331" s="7"/>
      <c r="U331" s="7"/>
      <c r="V331" s="7"/>
      <c r="W331" s="7"/>
      <c r="X331" s="7"/>
      <c r="Y331" s="7"/>
      <c r="Z331" s="6"/>
      <c r="AA331" s="6"/>
      <c r="AB331" s="6"/>
      <c r="AC331" s="6"/>
      <c r="AD331" s="6"/>
      <c r="AE331" s="6"/>
      <c r="AF331" s="6"/>
      <c r="AG331" s="6"/>
      <c r="AH331" s="6"/>
      <c r="AI331" s="6"/>
      <c r="AJ331" s="6"/>
    </row>
    <row r="332" spans="1:36" x14ac:dyDescent="0.2">
      <c r="A332" s="7"/>
      <c r="B332" s="7"/>
      <c r="C332" s="7"/>
      <c r="D332" s="7"/>
      <c r="E332" s="6"/>
      <c r="F332" s="6"/>
      <c r="G332" s="6"/>
      <c r="H332" s="6"/>
      <c r="I332" s="7"/>
      <c r="J332" s="7"/>
      <c r="K332" s="7"/>
      <c r="L332" s="7"/>
      <c r="M332" s="6"/>
      <c r="N332" s="7"/>
      <c r="O332" s="7"/>
      <c r="P332" s="7"/>
      <c r="Q332" s="7"/>
      <c r="R332" s="7"/>
      <c r="S332" s="7"/>
      <c r="T332" s="7"/>
      <c r="U332" s="7"/>
      <c r="V332" s="7"/>
      <c r="W332" s="7"/>
      <c r="X332" s="7"/>
      <c r="Y332" s="7"/>
      <c r="Z332" s="6"/>
      <c r="AA332" s="6"/>
      <c r="AB332" s="6"/>
      <c r="AC332" s="6"/>
      <c r="AD332" s="6"/>
      <c r="AE332" s="6"/>
      <c r="AF332" s="6"/>
      <c r="AG332" s="6"/>
      <c r="AH332" s="6"/>
      <c r="AI332" s="6"/>
      <c r="AJ332" s="6"/>
    </row>
    <row r="333" spans="1:36" x14ac:dyDescent="0.2">
      <c r="A333" s="6"/>
      <c r="B333" s="6"/>
      <c r="C333" s="6"/>
      <c r="D333" s="6"/>
      <c r="E333" s="6"/>
      <c r="F333" s="6"/>
      <c r="G333" s="6"/>
      <c r="H333" s="6"/>
      <c r="I333" s="7"/>
      <c r="J333" s="7"/>
      <c r="K333" s="7"/>
      <c r="L333" s="7"/>
      <c r="M333" s="6"/>
      <c r="N333" s="7"/>
      <c r="O333" s="7"/>
      <c r="P333" s="7"/>
      <c r="Q333" s="7"/>
      <c r="R333" s="7"/>
      <c r="S333" s="7"/>
      <c r="T333" s="7"/>
      <c r="U333" s="7"/>
      <c r="V333" s="7"/>
      <c r="W333" s="7"/>
      <c r="X333" s="7"/>
      <c r="Y333" s="7"/>
      <c r="Z333" s="6"/>
      <c r="AA333" s="6"/>
      <c r="AB333" s="6"/>
      <c r="AC333" s="6"/>
      <c r="AD333" s="6"/>
      <c r="AE333" s="6"/>
      <c r="AF333" s="6"/>
      <c r="AG333" s="6"/>
      <c r="AH333" s="6"/>
      <c r="AI333" s="6"/>
      <c r="AJ333" s="6"/>
    </row>
    <row r="334" spans="1:36" x14ac:dyDescent="0.2">
      <c r="A334" s="6"/>
      <c r="B334" s="6"/>
      <c r="C334" s="6"/>
      <c r="D334" s="6"/>
      <c r="E334" s="6"/>
      <c r="F334" s="6"/>
      <c r="G334" s="6"/>
      <c r="H334" s="6"/>
      <c r="I334" s="7"/>
      <c r="J334" s="7"/>
      <c r="K334" s="7"/>
      <c r="L334" s="7"/>
      <c r="M334" s="6"/>
      <c r="N334" s="7"/>
      <c r="O334" s="7"/>
      <c r="P334" s="7"/>
      <c r="Q334" s="7"/>
      <c r="R334" s="7"/>
      <c r="S334" s="7"/>
      <c r="T334" s="7"/>
      <c r="U334" s="7"/>
      <c r="V334" s="7"/>
      <c r="W334" s="7"/>
      <c r="X334" s="7"/>
      <c r="Y334" s="7"/>
      <c r="Z334" s="6"/>
      <c r="AA334" s="6"/>
      <c r="AB334" s="6"/>
      <c r="AC334" s="6"/>
      <c r="AD334" s="6"/>
      <c r="AE334" s="6"/>
      <c r="AF334" s="6"/>
      <c r="AG334" s="6"/>
      <c r="AH334" s="6"/>
      <c r="AI334" s="6"/>
      <c r="AJ334" s="6"/>
    </row>
    <row r="335" spans="1:36" x14ac:dyDescent="0.2">
      <c r="A335" s="6"/>
      <c r="B335" s="6"/>
      <c r="C335" s="6"/>
      <c r="D335" s="6"/>
      <c r="E335" s="6"/>
      <c r="F335" s="6"/>
      <c r="G335" s="6"/>
      <c r="H335" s="6"/>
      <c r="I335" s="7"/>
      <c r="J335" s="7"/>
      <c r="K335" s="7"/>
      <c r="L335" s="7"/>
      <c r="M335" s="6"/>
      <c r="N335" s="7"/>
      <c r="O335" s="7"/>
      <c r="P335" s="7"/>
      <c r="Q335" s="7"/>
      <c r="R335" s="7"/>
      <c r="S335" s="7"/>
      <c r="T335" s="7"/>
      <c r="U335" s="7"/>
      <c r="V335" s="7"/>
      <c r="W335" s="7"/>
      <c r="X335" s="7"/>
      <c r="Y335" s="7"/>
      <c r="Z335" s="6"/>
      <c r="AA335" s="6"/>
      <c r="AB335" s="6"/>
      <c r="AC335" s="6"/>
      <c r="AD335" s="6"/>
      <c r="AE335" s="6"/>
      <c r="AF335" s="6"/>
      <c r="AG335" s="6"/>
      <c r="AH335" s="6"/>
      <c r="AI335" s="6"/>
      <c r="AJ335" s="6"/>
    </row>
    <row r="336" spans="1:36" x14ac:dyDescent="0.2">
      <c r="A336" s="6"/>
      <c r="B336" s="6"/>
      <c r="C336" s="6"/>
      <c r="D336" s="6"/>
      <c r="E336" s="6"/>
      <c r="F336" s="6"/>
      <c r="G336" s="6"/>
      <c r="H336" s="6"/>
      <c r="I336" s="7"/>
      <c r="J336" s="7"/>
      <c r="K336" s="7"/>
      <c r="L336" s="7"/>
      <c r="M336" s="6"/>
      <c r="N336" s="7"/>
      <c r="O336" s="7"/>
      <c r="P336" s="7"/>
      <c r="Q336" s="7"/>
      <c r="R336" s="7"/>
      <c r="S336" s="7"/>
      <c r="T336" s="7"/>
      <c r="U336" s="7"/>
      <c r="V336" s="7"/>
      <c r="W336" s="7"/>
      <c r="X336" s="7"/>
      <c r="Y336" s="7"/>
      <c r="Z336" s="6"/>
      <c r="AA336" s="6"/>
      <c r="AB336" s="6"/>
      <c r="AC336" s="6"/>
      <c r="AD336" s="6"/>
      <c r="AE336" s="6"/>
      <c r="AF336" s="6"/>
      <c r="AG336" s="6"/>
      <c r="AH336" s="6"/>
      <c r="AI336" s="6"/>
      <c r="AJ336" s="6"/>
    </row>
    <row r="337" spans="1:36" x14ac:dyDescent="0.2">
      <c r="A337" s="6"/>
      <c r="B337" s="6"/>
      <c r="C337" s="6"/>
      <c r="D337" s="6"/>
      <c r="E337" s="6"/>
      <c r="F337" s="6"/>
      <c r="G337" s="6"/>
      <c r="H337" s="6"/>
      <c r="I337" s="7"/>
      <c r="J337" s="7"/>
      <c r="K337" s="7"/>
      <c r="L337" s="7"/>
      <c r="M337" s="6"/>
      <c r="N337" s="7"/>
      <c r="O337" s="7"/>
      <c r="P337" s="7"/>
      <c r="Q337" s="7"/>
      <c r="R337" s="7"/>
      <c r="S337" s="7"/>
      <c r="T337" s="7"/>
      <c r="U337" s="7"/>
      <c r="V337" s="7"/>
      <c r="W337" s="7"/>
      <c r="X337" s="7"/>
      <c r="Y337" s="7"/>
      <c r="Z337" s="6"/>
      <c r="AA337" s="6"/>
      <c r="AB337" s="6"/>
      <c r="AC337" s="6"/>
      <c r="AD337" s="6"/>
      <c r="AE337" s="6"/>
      <c r="AF337" s="6"/>
      <c r="AG337" s="6"/>
      <c r="AH337" s="6"/>
      <c r="AI337" s="6"/>
      <c r="AJ337" s="6"/>
    </row>
    <row r="338" spans="1:36" x14ac:dyDescent="0.2">
      <c r="A338" s="6"/>
      <c r="B338" s="6"/>
      <c r="C338" s="6"/>
      <c r="D338" s="6"/>
      <c r="E338" s="6"/>
      <c r="F338" s="6"/>
      <c r="G338" s="6"/>
      <c r="H338" s="6"/>
      <c r="I338" s="7"/>
      <c r="J338" s="7"/>
      <c r="K338" s="7"/>
      <c r="L338" s="7"/>
      <c r="M338" s="6"/>
      <c r="N338" s="7"/>
      <c r="O338" s="7"/>
      <c r="P338" s="7"/>
      <c r="Q338" s="7"/>
      <c r="R338" s="7"/>
      <c r="S338" s="7"/>
      <c r="T338" s="7"/>
      <c r="U338" s="7"/>
      <c r="V338" s="7"/>
      <c r="W338" s="7"/>
      <c r="X338" s="7"/>
      <c r="Y338" s="7"/>
      <c r="Z338" s="6"/>
      <c r="AA338" s="6"/>
      <c r="AB338" s="6"/>
      <c r="AC338" s="6"/>
      <c r="AD338" s="6"/>
      <c r="AE338" s="6"/>
      <c r="AF338" s="6"/>
      <c r="AG338" s="6"/>
      <c r="AH338" s="6"/>
      <c r="AI338" s="6"/>
      <c r="AJ338" s="6"/>
    </row>
    <row r="339" spans="1:36" x14ac:dyDescent="0.2">
      <c r="A339" s="6"/>
      <c r="B339" s="6"/>
      <c r="C339" s="6"/>
      <c r="D339" s="6"/>
      <c r="E339" s="6"/>
      <c r="F339" s="6"/>
      <c r="G339" s="6"/>
      <c r="H339" s="6"/>
      <c r="I339" s="7"/>
      <c r="J339" s="7"/>
      <c r="K339" s="7"/>
      <c r="L339" s="7"/>
      <c r="M339" s="6"/>
      <c r="N339" s="7"/>
      <c r="O339" s="7"/>
      <c r="P339" s="7"/>
      <c r="Q339" s="7"/>
      <c r="R339" s="7"/>
      <c r="S339" s="7"/>
      <c r="T339" s="7"/>
      <c r="U339" s="7"/>
      <c r="V339" s="7"/>
      <c r="W339" s="7"/>
      <c r="X339" s="7"/>
      <c r="Y339" s="7"/>
      <c r="Z339" s="6"/>
      <c r="AA339" s="6"/>
      <c r="AB339" s="6"/>
      <c r="AC339" s="6"/>
      <c r="AD339" s="6"/>
      <c r="AE339" s="6"/>
      <c r="AF339" s="6"/>
      <c r="AG339" s="6"/>
      <c r="AH339" s="6"/>
      <c r="AI339" s="6"/>
      <c r="AJ339" s="6"/>
    </row>
    <row r="340" spans="1:36" x14ac:dyDescent="0.2">
      <c r="A340" s="6"/>
      <c r="B340" s="6"/>
      <c r="C340" s="6"/>
      <c r="D340" s="6"/>
      <c r="E340" s="6"/>
      <c r="F340" s="6"/>
      <c r="G340" s="6"/>
      <c r="H340" s="6"/>
      <c r="I340" s="7"/>
      <c r="J340" s="7"/>
      <c r="K340" s="7"/>
      <c r="L340" s="7"/>
      <c r="M340" s="6"/>
      <c r="N340" s="7"/>
      <c r="O340" s="7"/>
      <c r="P340" s="7"/>
      <c r="Q340" s="7"/>
      <c r="R340" s="7"/>
      <c r="S340" s="7"/>
      <c r="T340" s="7"/>
      <c r="U340" s="7"/>
      <c r="V340" s="7"/>
      <c r="W340" s="7"/>
      <c r="X340" s="7"/>
      <c r="Y340" s="7"/>
      <c r="Z340" s="6"/>
      <c r="AA340" s="6"/>
      <c r="AB340" s="6"/>
      <c r="AC340" s="6"/>
      <c r="AD340" s="6"/>
      <c r="AE340" s="6"/>
      <c r="AF340" s="6"/>
      <c r="AG340" s="6"/>
      <c r="AH340" s="6"/>
      <c r="AI340" s="6"/>
      <c r="AJ340" s="6"/>
    </row>
    <row r="341" spans="1:36" x14ac:dyDescent="0.2">
      <c r="A341" s="6"/>
      <c r="B341" s="6"/>
      <c r="C341" s="6"/>
      <c r="D341" s="6"/>
      <c r="E341" s="6"/>
      <c r="F341" s="6"/>
      <c r="G341" s="6"/>
      <c r="H341" s="6"/>
      <c r="I341" s="7"/>
      <c r="J341" s="7"/>
      <c r="K341" s="7"/>
      <c r="L341" s="7"/>
      <c r="M341" s="6"/>
      <c r="N341" s="7"/>
      <c r="O341" s="7"/>
      <c r="P341" s="7"/>
      <c r="Q341" s="7"/>
      <c r="R341" s="7"/>
      <c r="S341" s="7"/>
      <c r="T341" s="7"/>
      <c r="U341" s="7"/>
      <c r="V341" s="7"/>
      <c r="W341" s="7"/>
      <c r="X341" s="7"/>
      <c r="Y341" s="7"/>
      <c r="Z341" s="6"/>
      <c r="AA341" s="6"/>
      <c r="AB341" s="6"/>
      <c r="AC341" s="6"/>
      <c r="AD341" s="6"/>
      <c r="AE341" s="6"/>
      <c r="AF341" s="6"/>
      <c r="AG341" s="6"/>
      <c r="AH341" s="6"/>
      <c r="AI341" s="6"/>
      <c r="AJ341" s="6"/>
    </row>
    <row r="342" spans="1:36" x14ac:dyDescent="0.2">
      <c r="A342" s="6"/>
      <c r="B342" s="6"/>
      <c r="C342" s="6"/>
      <c r="D342" s="6"/>
      <c r="E342" s="6"/>
      <c r="F342" s="6"/>
      <c r="G342" s="6"/>
      <c r="H342" s="6"/>
      <c r="I342" s="7"/>
      <c r="J342" s="7"/>
      <c r="K342" s="7"/>
      <c r="L342" s="7"/>
      <c r="M342" s="6"/>
      <c r="N342" s="7"/>
      <c r="O342" s="7"/>
      <c r="P342" s="7"/>
      <c r="Q342" s="7"/>
      <c r="R342" s="7"/>
      <c r="S342" s="7"/>
      <c r="T342" s="7"/>
      <c r="U342" s="7"/>
      <c r="V342" s="7"/>
      <c r="W342" s="7"/>
      <c r="X342" s="7"/>
      <c r="Y342" s="7"/>
      <c r="Z342" s="6"/>
      <c r="AA342" s="6"/>
      <c r="AB342" s="6"/>
      <c r="AC342" s="6"/>
      <c r="AD342" s="6"/>
      <c r="AE342" s="6"/>
      <c r="AF342" s="6"/>
      <c r="AG342" s="6"/>
      <c r="AH342" s="6"/>
      <c r="AI342" s="6"/>
      <c r="AJ342" s="6"/>
    </row>
    <row r="343" spans="1:36" x14ac:dyDescent="0.2">
      <c r="A343" s="6"/>
      <c r="B343" s="6"/>
      <c r="C343" s="6"/>
      <c r="D343" s="6"/>
      <c r="E343" s="6"/>
      <c r="F343" s="6"/>
      <c r="G343" s="6"/>
      <c r="H343" s="6"/>
      <c r="I343" s="7"/>
      <c r="J343" s="7"/>
      <c r="K343" s="7"/>
      <c r="L343" s="7"/>
      <c r="M343" s="6"/>
      <c r="N343" s="7"/>
      <c r="O343" s="7"/>
      <c r="P343" s="7"/>
      <c r="Q343" s="7"/>
      <c r="R343" s="7"/>
      <c r="S343" s="7"/>
      <c r="T343" s="7"/>
      <c r="U343" s="7"/>
      <c r="V343" s="7"/>
      <c r="W343" s="7"/>
      <c r="X343" s="7"/>
      <c r="Y343" s="7"/>
      <c r="Z343" s="6"/>
      <c r="AA343" s="6"/>
      <c r="AB343" s="6"/>
      <c r="AC343" s="6"/>
      <c r="AD343" s="6"/>
      <c r="AE343" s="6"/>
      <c r="AF343" s="6"/>
      <c r="AG343" s="6"/>
      <c r="AH343" s="6"/>
      <c r="AI343" s="6"/>
      <c r="AJ343" s="6"/>
    </row>
    <row r="344" spans="1:36" x14ac:dyDescent="0.2">
      <c r="A344" s="6"/>
      <c r="B344" s="6"/>
      <c r="C344" s="6"/>
      <c r="D344" s="6"/>
      <c r="E344" s="6"/>
      <c r="F344" s="6"/>
      <c r="G344" s="6"/>
      <c r="H344" s="6"/>
      <c r="I344" s="7"/>
      <c r="J344" s="7"/>
      <c r="K344" s="7"/>
      <c r="L344" s="7"/>
      <c r="M344" s="6"/>
      <c r="N344" s="7"/>
      <c r="O344" s="7"/>
      <c r="P344" s="7"/>
      <c r="Q344" s="7"/>
      <c r="R344" s="7"/>
      <c r="S344" s="7"/>
      <c r="T344" s="7"/>
      <c r="U344" s="7"/>
      <c r="V344" s="7"/>
      <c r="W344" s="7"/>
      <c r="X344" s="7"/>
      <c r="Y344" s="7"/>
      <c r="Z344" s="6"/>
      <c r="AA344" s="6"/>
      <c r="AB344" s="6"/>
      <c r="AC344" s="6"/>
      <c r="AD344" s="6"/>
      <c r="AE344" s="6"/>
      <c r="AF344" s="6"/>
      <c r="AG344" s="6"/>
      <c r="AH344" s="6"/>
      <c r="AI344" s="6"/>
      <c r="AJ344" s="6"/>
    </row>
    <row r="345" spans="1:36" x14ac:dyDescent="0.2">
      <c r="A345" s="6"/>
      <c r="B345" s="6"/>
      <c r="C345" s="6"/>
      <c r="D345" s="6"/>
      <c r="E345" s="6"/>
      <c r="F345" s="6"/>
      <c r="G345" s="6"/>
      <c r="H345" s="6"/>
      <c r="I345" s="7"/>
      <c r="J345" s="7"/>
      <c r="K345" s="7"/>
      <c r="L345" s="7"/>
      <c r="M345" s="6"/>
      <c r="N345" s="7"/>
      <c r="O345" s="7"/>
      <c r="P345" s="7"/>
      <c r="Q345" s="7"/>
      <c r="R345" s="7"/>
      <c r="S345" s="7"/>
      <c r="T345" s="7"/>
      <c r="U345" s="7"/>
      <c r="V345" s="7"/>
      <c r="W345" s="7"/>
      <c r="X345" s="7"/>
      <c r="Y345" s="7"/>
      <c r="Z345" s="6"/>
      <c r="AA345" s="6"/>
      <c r="AB345" s="6"/>
      <c r="AC345" s="6"/>
      <c r="AD345" s="6"/>
      <c r="AE345" s="6"/>
      <c r="AF345" s="6"/>
      <c r="AG345" s="6"/>
      <c r="AH345" s="6"/>
      <c r="AI345" s="6"/>
      <c r="AJ345" s="6"/>
    </row>
    <row r="346" spans="1:36" x14ac:dyDescent="0.2">
      <c r="A346" s="6"/>
      <c r="B346" s="6"/>
      <c r="C346" s="6"/>
      <c r="D346" s="6"/>
      <c r="E346" s="6"/>
      <c r="F346" s="6"/>
      <c r="G346" s="6"/>
      <c r="H346" s="6"/>
      <c r="I346" s="7"/>
      <c r="J346" s="7"/>
      <c r="K346" s="7"/>
      <c r="L346" s="7"/>
      <c r="M346" s="6"/>
      <c r="N346" s="7"/>
      <c r="O346" s="7"/>
      <c r="P346" s="7"/>
      <c r="Q346" s="7"/>
      <c r="R346" s="7"/>
      <c r="S346" s="7"/>
      <c r="T346" s="7"/>
      <c r="U346" s="7"/>
      <c r="V346" s="7"/>
      <c r="W346" s="7"/>
      <c r="X346" s="7"/>
      <c r="Y346" s="7"/>
      <c r="Z346" s="6"/>
      <c r="AA346" s="6"/>
      <c r="AB346" s="6"/>
      <c r="AC346" s="6"/>
      <c r="AD346" s="6"/>
      <c r="AE346" s="6"/>
      <c r="AF346" s="6"/>
      <c r="AG346" s="6"/>
      <c r="AH346" s="6"/>
      <c r="AI346" s="6"/>
      <c r="AJ346" s="6"/>
    </row>
    <row r="347" spans="1:36" x14ac:dyDescent="0.2">
      <c r="A347" s="6"/>
      <c r="B347" s="6"/>
      <c r="C347" s="6"/>
      <c r="D347" s="6"/>
      <c r="E347" s="6"/>
      <c r="F347" s="6"/>
      <c r="G347" s="6"/>
      <c r="H347" s="6"/>
      <c r="I347" s="7"/>
      <c r="J347" s="7"/>
      <c r="K347" s="7"/>
      <c r="L347" s="7"/>
      <c r="M347" s="6"/>
      <c r="N347" s="7"/>
      <c r="O347" s="7"/>
      <c r="P347" s="7"/>
      <c r="Q347" s="7"/>
      <c r="R347" s="7"/>
      <c r="S347" s="7"/>
      <c r="T347" s="7"/>
      <c r="U347" s="7"/>
      <c r="V347" s="7"/>
      <c r="W347" s="7"/>
      <c r="X347" s="7"/>
      <c r="Y347" s="7"/>
      <c r="Z347" s="6"/>
      <c r="AA347" s="6"/>
      <c r="AB347" s="6"/>
      <c r="AC347" s="6"/>
      <c r="AD347" s="6"/>
      <c r="AE347" s="6"/>
      <c r="AF347" s="6"/>
      <c r="AG347" s="6"/>
      <c r="AH347" s="6"/>
      <c r="AI347" s="6"/>
      <c r="AJ347" s="6"/>
    </row>
    <row r="348" spans="1:36" x14ac:dyDescent="0.2">
      <c r="A348" s="6"/>
      <c r="B348" s="6"/>
      <c r="C348" s="6"/>
      <c r="D348" s="6"/>
      <c r="E348" s="6"/>
      <c r="F348" s="6"/>
      <c r="G348" s="6"/>
      <c r="H348" s="6"/>
      <c r="I348" s="7"/>
      <c r="J348" s="7"/>
      <c r="K348" s="7"/>
      <c r="L348" s="7"/>
      <c r="M348" s="6"/>
      <c r="N348" s="7"/>
      <c r="O348" s="7"/>
      <c r="P348" s="7"/>
      <c r="Q348" s="7"/>
      <c r="R348" s="7"/>
      <c r="S348" s="7"/>
      <c r="T348" s="7"/>
      <c r="U348" s="7"/>
      <c r="V348" s="7"/>
      <c r="W348" s="7"/>
      <c r="X348" s="7"/>
      <c r="Y348" s="7"/>
      <c r="Z348" s="6"/>
      <c r="AA348" s="6"/>
      <c r="AB348" s="6"/>
      <c r="AC348" s="6"/>
      <c r="AD348" s="6"/>
      <c r="AE348" s="6"/>
      <c r="AF348" s="6"/>
      <c r="AG348" s="6"/>
      <c r="AH348" s="6"/>
      <c r="AI348" s="6"/>
      <c r="AJ348" s="6"/>
    </row>
    <row r="349" spans="1:36" x14ac:dyDescent="0.2">
      <c r="A349" s="6"/>
      <c r="B349" s="6"/>
      <c r="C349" s="6"/>
      <c r="D349" s="6"/>
      <c r="E349" s="6"/>
      <c r="F349" s="6"/>
      <c r="G349" s="6"/>
      <c r="H349" s="6"/>
      <c r="I349" s="7"/>
      <c r="J349" s="7"/>
      <c r="K349" s="7"/>
      <c r="L349" s="7"/>
      <c r="M349" s="6"/>
      <c r="N349" s="7"/>
      <c r="O349" s="7"/>
      <c r="P349" s="7"/>
      <c r="Q349" s="7"/>
      <c r="R349" s="7"/>
      <c r="S349" s="7"/>
      <c r="T349" s="7"/>
      <c r="U349" s="7"/>
      <c r="V349" s="7"/>
      <c r="W349" s="7"/>
      <c r="X349" s="7"/>
      <c r="Y349" s="7"/>
      <c r="Z349" s="6"/>
      <c r="AA349" s="6"/>
      <c r="AB349" s="6"/>
      <c r="AC349" s="6"/>
      <c r="AD349" s="6"/>
      <c r="AE349" s="6"/>
      <c r="AF349" s="6"/>
      <c r="AG349" s="6"/>
      <c r="AH349" s="6"/>
      <c r="AI349" s="6"/>
      <c r="AJ349" s="6"/>
    </row>
    <row r="350" spans="1:36" x14ac:dyDescent="0.2">
      <c r="A350" s="6"/>
      <c r="B350" s="6"/>
      <c r="C350" s="6"/>
      <c r="D350" s="6"/>
      <c r="E350" s="6"/>
      <c r="F350" s="6"/>
      <c r="G350" s="6"/>
      <c r="H350" s="6"/>
      <c r="I350" s="7"/>
      <c r="J350" s="7"/>
      <c r="K350" s="7"/>
      <c r="L350" s="7"/>
      <c r="M350" s="6"/>
      <c r="N350" s="7"/>
      <c r="O350" s="7"/>
      <c r="P350" s="7"/>
      <c r="Q350" s="7"/>
      <c r="R350" s="7"/>
      <c r="S350" s="7"/>
      <c r="T350" s="7"/>
      <c r="U350" s="7"/>
      <c r="V350" s="7"/>
      <c r="W350" s="7"/>
      <c r="X350" s="7"/>
      <c r="Y350" s="7"/>
      <c r="Z350" s="6"/>
      <c r="AA350" s="6"/>
      <c r="AB350" s="6"/>
      <c r="AC350" s="6"/>
      <c r="AD350" s="6"/>
      <c r="AE350" s="6"/>
      <c r="AF350" s="6"/>
      <c r="AG350" s="6"/>
      <c r="AH350" s="6"/>
      <c r="AI350" s="6"/>
      <c r="AJ350" s="6"/>
    </row>
    <row r="351" spans="1:36" x14ac:dyDescent="0.2">
      <c r="A351" s="6"/>
      <c r="B351" s="6"/>
      <c r="C351" s="6"/>
      <c r="D351" s="6"/>
      <c r="E351" s="6"/>
      <c r="F351" s="6"/>
      <c r="G351" s="6"/>
      <c r="H351" s="6"/>
      <c r="I351" s="7"/>
      <c r="J351" s="7"/>
      <c r="K351" s="7"/>
      <c r="L351" s="7"/>
      <c r="M351" s="6"/>
      <c r="N351" s="7"/>
      <c r="O351" s="7"/>
      <c r="P351" s="7"/>
      <c r="Q351" s="7"/>
      <c r="R351" s="7"/>
      <c r="S351" s="7"/>
      <c r="T351" s="7"/>
      <c r="U351" s="7"/>
      <c r="V351" s="7"/>
      <c r="W351" s="7"/>
      <c r="X351" s="7"/>
      <c r="Y351" s="7"/>
      <c r="Z351" s="6"/>
      <c r="AA351" s="6"/>
      <c r="AB351" s="6"/>
      <c r="AC351" s="6"/>
      <c r="AD351" s="6"/>
      <c r="AE351" s="6"/>
      <c r="AF351" s="6"/>
      <c r="AG351" s="6"/>
      <c r="AH351" s="6"/>
      <c r="AI351" s="6"/>
      <c r="AJ351" s="6"/>
    </row>
    <row r="352" spans="1:36" x14ac:dyDescent="0.2">
      <c r="A352" s="6"/>
      <c r="B352" s="6"/>
      <c r="C352" s="6"/>
      <c r="D352" s="6"/>
      <c r="E352" s="6"/>
      <c r="F352" s="6"/>
      <c r="G352" s="6"/>
      <c r="H352" s="6"/>
      <c r="I352" s="7"/>
      <c r="J352" s="7"/>
      <c r="K352" s="7"/>
      <c r="L352" s="7"/>
      <c r="M352" s="6"/>
      <c r="N352" s="7"/>
      <c r="O352" s="7"/>
      <c r="P352" s="7"/>
      <c r="Q352" s="7"/>
      <c r="R352" s="7"/>
      <c r="S352" s="7"/>
      <c r="T352" s="7"/>
      <c r="U352" s="7"/>
      <c r="V352" s="7"/>
      <c r="W352" s="7"/>
      <c r="X352" s="7"/>
      <c r="Y352" s="7"/>
      <c r="Z352" s="6"/>
      <c r="AA352" s="6"/>
      <c r="AB352" s="6"/>
      <c r="AC352" s="6"/>
      <c r="AD352" s="6"/>
      <c r="AE352" s="6"/>
      <c r="AF352" s="6"/>
      <c r="AG352" s="6"/>
      <c r="AH352" s="6"/>
      <c r="AI352" s="6"/>
      <c r="AJ352" s="6"/>
    </row>
    <row r="353" spans="1:36" x14ac:dyDescent="0.2">
      <c r="A353" s="6"/>
      <c r="B353" s="6"/>
      <c r="C353" s="6"/>
      <c r="D353" s="6"/>
      <c r="E353" s="6"/>
      <c r="F353" s="6"/>
      <c r="G353" s="6"/>
      <c r="H353" s="6"/>
      <c r="I353" s="7"/>
      <c r="J353" s="7"/>
      <c r="K353" s="7"/>
      <c r="L353" s="7"/>
      <c r="M353" s="6"/>
      <c r="N353" s="7"/>
      <c r="O353" s="7"/>
      <c r="P353" s="7"/>
      <c r="Q353" s="7"/>
      <c r="R353" s="7"/>
      <c r="S353" s="7"/>
      <c r="T353" s="7"/>
      <c r="U353" s="7"/>
      <c r="V353" s="7"/>
      <c r="W353" s="7"/>
      <c r="X353" s="7"/>
      <c r="Y353" s="7"/>
      <c r="Z353" s="6"/>
      <c r="AA353" s="6"/>
      <c r="AB353" s="6"/>
      <c r="AC353" s="6"/>
      <c r="AD353" s="6"/>
      <c r="AE353" s="6"/>
      <c r="AF353" s="6"/>
      <c r="AG353" s="6"/>
      <c r="AH353" s="6"/>
      <c r="AI353" s="6"/>
      <c r="AJ353" s="6"/>
    </row>
    <row r="354" spans="1:36" x14ac:dyDescent="0.2">
      <c r="A354" s="6"/>
      <c r="B354" s="6"/>
      <c r="C354" s="6"/>
      <c r="D354" s="6"/>
      <c r="E354" s="6"/>
      <c r="F354" s="6"/>
      <c r="G354" s="6"/>
      <c r="H354" s="6"/>
      <c r="I354" s="7"/>
      <c r="J354" s="7"/>
      <c r="K354" s="7"/>
      <c r="L354" s="7"/>
      <c r="M354" s="6"/>
      <c r="N354" s="7"/>
      <c r="O354" s="7"/>
      <c r="P354" s="7"/>
      <c r="Q354" s="7"/>
      <c r="R354" s="7"/>
      <c r="S354" s="7"/>
      <c r="T354" s="7"/>
      <c r="U354" s="7"/>
      <c r="V354" s="7"/>
      <c r="W354" s="7"/>
      <c r="X354" s="7"/>
      <c r="Y354" s="7"/>
      <c r="Z354" s="6"/>
      <c r="AA354" s="6"/>
      <c r="AB354" s="6"/>
      <c r="AC354" s="6"/>
      <c r="AD354" s="6"/>
      <c r="AE354" s="6"/>
      <c r="AF354" s="6"/>
      <c r="AG354" s="6"/>
      <c r="AH354" s="6"/>
      <c r="AI354" s="6"/>
      <c r="AJ354" s="6"/>
    </row>
    <row r="355" spans="1:36" x14ac:dyDescent="0.2">
      <c r="A355" s="6"/>
      <c r="B355" s="6"/>
      <c r="C355" s="6"/>
      <c r="D355" s="6"/>
      <c r="E355" s="6"/>
      <c r="F355" s="6"/>
      <c r="G355" s="6"/>
      <c r="H355" s="6"/>
      <c r="I355" s="7"/>
      <c r="J355" s="7"/>
      <c r="K355" s="7"/>
      <c r="L355" s="7"/>
      <c r="M355" s="6"/>
      <c r="N355" s="7"/>
      <c r="O355" s="7"/>
      <c r="P355" s="7"/>
      <c r="Q355" s="7"/>
      <c r="R355" s="7"/>
      <c r="S355" s="7"/>
      <c r="T355" s="7"/>
      <c r="U355" s="7"/>
      <c r="V355" s="7"/>
      <c r="W355" s="7"/>
      <c r="X355" s="7"/>
      <c r="Y355" s="7"/>
      <c r="Z355" s="6"/>
      <c r="AA355" s="6"/>
      <c r="AB355" s="6"/>
      <c r="AC355" s="6"/>
      <c r="AD355" s="6"/>
      <c r="AE355" s="6"/>
      <c r="AF355" s="6"/>
      <c r="AG355" s="6"/>
      <c r="AH355" s="6"/>
      <c r="AI355" s="6"/>
      <c r="AJ355" s="6"/>
    </row>
    <row r="356" spans="1:36" x14ac:dyDescent="0.2">
      <c r="A356" s="6"/>
      <c r="B356" s="6"/>
      <c r="C356" s="6"/>
      <c r="D356" s="6"/>
      <c r="E356" s="6"/>
      <c r="F356" s="6"/>
      <c r="G356" s="6"/>
      <c r="H356" s="6"/>
      <c r="I356" s="7"/>
      <c r="J356" s="7"/>
      <c r="K356" s="7"/>
      <c r="L356" s="7"/>
      <c r="M356" s="6"/>
      <c r="N356" s="7"/>
      <c r="O356" s="7"/>
      <c r="P356" s="7"/>
      <c r="Q356" s="7"/>
      <c r="R356" s="7"/>
      <c r="S356" s="7"/>
      <c r="T356" s="7"/>
      <c r="U356" s="7"/>
      <c r="V356" s="7"/>
      <c r="W356" s="7"/>
      <c r="X356" s="7"/>
      <c r="Y356" s="7"/>
      <c r="Z356" s="6"/>
      <c r="AA356" s="6"/>
      <c r="AB356" s="6"/>
      <c r="AC356" s="6"/>
      <c r="AD356" s="6"/>
      <c r="AE356" s="6"/>
      <c r="AF356" s="6"/>
      <c r="AG356" s="6"/>
      <c r="AH356" s="6"/>
      <c r="AI356" s="6"/>
      <c r="AJ356" s="6"/>
    </row>
    <row r="357" spans="1:36" x14ac:dyDescent="0.2">
      <c r="A357" s="6"/>
      <c r="B357" s="6"/>
      <c r="C357" s="6"/>
      <c r="D357" s="6"/>
      <c r="E357" s="6"/>
      <c r="F357" s="6"/>
      <c r="G357" s="6"/>
      <c r="H357" s="6"/>
      <c r="I357" s="7"/>
      <c r="J357" s="7"/>
      <c r="K357" s="7"/>
      <c r="L357" s="7"/>
      <c r="M357" s="6"/>
      <c r="N357" s="7"/>
      <c r="O357" s="7"/>
      <c r="P357" s="7"/>
      <c r="Q357" s="7"/>
      <c r="R357" s="7"/>
      <c r="S357" s="7"/>
      <c r="T357" s="7"/>
      <c r="U357" s="7"/>
      <c r="V357" s="7"/>
      <c r="W357" s="7"/>
      <c r="X357" s="7"/>
      <c r="Y357" s="7"/>
      <c r="Z357" s="6"/>
      <c r="AA357" s="6"/>
      <c r="AB357" s="6"/>
      <c r="AC357" s="6"/>
      <c r="AD357" s="6"/>
      <c r="AE357" s="6"/>
      <c r="AF357" s="6"/>
      <c r="AG357" s="6"/>
      <c r="AH357" s="6"/>
      <c r="AI357" s="6"/>
      <c r="AJ357" s="6"/>
    </row>
    <row r="358" spans="1:36" x14ac:dyDescent="0.2">
      <c r="A358" s="6"/>
      <c r="B358" s="6"/>
      <c r="C358" s="6"/>
      <c r="D358" s="6"/>
      <c r="E358" s="6"/>
      <c r="F358" s="6"/>
      <c r="G358" s="6"/>
      <c r="H358" s="6"/>
      <c r="I358" s="7"/>
      <c r="J358" s="7"/>
      <c r="K358" s="7"/>
      <c r="L358" s="7"/>
      <c r="M358" s="6"/>
      <c r="N358" s="7"/>
      <c r="O358" s="7"/>
      <c r="P358" s="7"/>
      <c r="Q358" s="7"/>
      <c r="R358" s="7"/>
      <c r="S358" s="7"/>
      <c r="T358" s="7"/>
      <c r="U358" s="7"/>
      <c r="V358" s="7"/>
      <c r="W358" s="7"/>
      <c r="X358" s="7"/>
      <c r="Y358" s="7"/>
      <c r="Z358" s="6"/>
      <c r="AA358" s="6"/>
      <c r="AB358" s="6"/>
      <c r="AC358" s="6"/>
      <c r="AD358" s="6"/>
      <c r="AE358" s="6"/>
      <c r="AF358" s="6"/>
      <c r="AG358" s="6"/>
      <c r="AH358" s="6"/>
      <c r="AI358" s="6"/>
      <c r="AJ358" s="6"/>
    </row>
    <row r="359" spans="1:36" x14ac:dyDescent="0.2">
      <c r="A359" s="6"/>
      <c r="B359" s="6"/>
      <c r="C359" s="6"/>
      <c r="D359" s="6"/>
      <c r="E359" s="6"/>
      <c r="F359" s="6"/>
      <c r="G359" s="6"/>
      <c r="H359" s="6"/>
      <c r="I359" s="7"/>
      <c r="J359" s="7"/>
      <c r="K359" s="7"/>
      <c r="L359" s="7"/>
      <c r="M359" s="6"/>
      <c r="N359" s="7"/>
      <c r="O359" s="7"/>
      <c r="P359" s="7"/>
      <c r="Q359" s="7"/>
      <c r="R359" s="7"/>
      <c r="S359" s="7"/>
      <c r="T359" s="7"/>
      <c r="U359" s="7"/>
      <c r="V359" s="7"/>
      <c r="W359" s="7"/>
      <c r="X359" s="7"/>
      <c r="Y359" s="7"/>
      <c r="Z359" s="6"/>
      <c r="AA359" s="6"/>
      <c r="AB359" s="6"/>
      <c r="AC359" s="6"/>
      <c r="AD359" s="6"/>
      <c r="AE359" s="6"/>
      <c r="AF359" s="6"/>
      <c r="AG359" s="6"/>
      <c r="AH359" s="6"/>
      <c r="AI359" s="6"/>
      <c r="AJ359" s="6"/>
    </row>
    <row r="360" spans="1:36" x14ac:dyDescent="0.2">
      <c r="A360" s="6"/>
      <c r="B360" s="6"/>
      <c r="C360" s="6"/>
      <c r="D360" s="6"/>
      <c r="E360" s="6"/>
      <c r="F360" s="6"/>
      <c r="G360" s="6"/>
      <c r="H360" s="6"/>
      <c r="I360" s="7"/>
      <c r="J360" s="7"/>
      <c r="K360" s="7"/>
      <c r="L360" s="7"/>
      <c r="M360" s="6"/>
      <c r="N360" s="7"/>
      <c r="O360" s="7"/>
      <c r="P360" s="7"/>
      <c r="Q360" s="7"/>
      <c r="R360" s="7"/>
      <c r="S360" s="7"/>
      <c r="T360" s="7"/>
      <c r="U360" s="7"/>
      <c r="V360" s="7"/>
      <c r="W360" s="7"/>
      <c r="X360" s="7"/>
      <c r="Y360" s="7"/>
      <c r="Z360" s="6"/>
      <c r="AA360" s="6"/>
      <c r="AB360" s="6"/>
      <c r="AC360" s="6"/>
      <c r="AD360" s="6"/>
      <c r="AE360" s="6"/>
      <c r="AF360" s="6"/>
      <c r="AG360" s="6"/>
      <c r="AH360" s="6"/>
      <c r="AI360" s="6"/>
      <c r="AJ360" s="6"/>
    </row>
    <row r="361" spans="1:36" x14ac:dyDescent="0.2">
      <c r="A361" s="6"/>
      <c r="B361" s="6"/>
      <c r="C361" s="6"/>
      <c r="D361" s="6"/>
      <c r="E361" s="6"/>
      <c r="F361" s="6"/>
      <c r="G361" s="6"/>
      <c r="H361" s="6"/>
      <c r="I361" s="7"/>
      <c r="J361" s="7"/>
      <c r="K361" s="7"/>
      <c r="L361" s="7"/>
      <c r="M361" s="6"/>
      <c r="N361" s="7"/>
      <c r="O361" s="7"/>
      <c r="P361" s="7"/>
      <c r="Q361" s="7"/>
      <c r="R361" s="7"/>
      <c r="S361" s="7"/>
      <c r="T361" s="7"/>
      <c r="U361" s="7"/>
      <c r="V361" s="7"/>
      <c r="W361" s="7"/>
      <c r="X361" s="7"/>
      <c r="Y361" s="7"/>
      <c r="Z361" s="6"/>
      <c r="AA361" s="6"/>
      <c r="AB361" s="6"/>
      <c r="AC361" s="6"/>
      <c r="AD361" s="6"/>
      <c r="AE361" s="6"/>
      <c r="AF361" s="6"/>
      <c r="AG361" s="6"/>
      <c r="AH361" s="6"/>
      <c r="AI361" s="6"/>
      <c r="AJ361" s="6"/>
    </row>
    <row r="362" spans="1:36" x14ac:dyDescent="0.2">
      <c r="A362" s="6"/>
      <c r="B362" s="6"/>
      <c r="C362" s="6"/>
      <c r="D362" s="6"/>
      <c r="E362" s="6"/>
      <c r="F362" s="6"/>
      <c r="G362" s="6"/>
      <c r="H362" s="6"/>
      <c r="I362" s="7"/>
      <c r="J362" s="7"/>
      <c r="K362" s="7"/>
      <c r="L362" s="7"/>
      <c r="M362" s="6"/>
      <c r="N362" s="7"/>
      <c r="O362" s="7"/>
      <c r="P362" s="7"/>
      <c r="Q362" s="7"/>
      <c r="R362" s="7"/>
      <c r="S362" s="7"/>
      <c r="T362" s="7"/>
      <c r="U362" s="7"/>
      <c r="V362" s="7"/>
      <c r="W362" s="7"/>
      <c r="X362" s="7"/>
      <c r="Y362" s="7"/>
      <c r="Z362" s="6"/>
      <c r="AA362" s="6"/>
      <c r="AB362" s="6"/>
      <c r="AC362" s="6"/>
      <c r="AD362" s="6"/>
      <c r="AE362" s="6"/>
      <c r="AF362" s="6"/>
      <c r="AG362" s="6"/>
      <c r="AH362" s="6"/>
      <c r="AI362" s="6"/>
      <c r="AJ362" s="6"/>
    </row>
    <row r="363" spans="1:36" x14ac:dyDescent="0.2">
      <c r="A363" s="6"/>
      <c r="B363" s="6"/>
      <c r="C363" s="6"/>
      <c r="D363" s="6"/>
      <c r="E363" s="6"/>
      <c r="F363" s="6"/>
      <c r="G363" s="6"/>
      <c r="H363" s="6"/>
      <c r="I363" s="7"/>
      <c r="J363" s="7"/>
      <c r="K363" s="7"/>
      <c r="L363" s="7"/>
      <c r="M363" s="6"/>
      <c r="N363" s="7"/>
      <c r="O363" s="7"/>
      <c r="P363" s="7"/>
      <c r="Q363" s="7"/>
      <c r="R363" s="7"/>
      <c r="S363" s="7"/>
      <c r="T363" s="7"/>
      <c r="U363" s="7"/>
      <c r="V363" s="7"/>
      <c r="W363" s="7"/>
      <c r="X363" s="7"/>
      <c r="Y363" s="7"/>
      <c r="Z363" s="6"/>
      <c r="AA363" s="6"/>
      <c r="AB363" s="6"/>
      <c r="AC363" s="6"/>
      <c r="AD363" s="6"/>
      <c r="AE363" s="6"/>
      <c r="AF363" s="6"/>
      <c r="AG363" s="6"/>
      <c r="AH363" s="6"/>
      <c r="AI363" s="6"/>
      <c r="AJ363" s="6"/>
    </row>
    <row r="364" spans="1:36" x14ac:dyDescent="0.2">
      <c r="A364" s="6"/>
      <c r="B364" s="6"/>
      <c r="C364" s="6"/>
      <c r="D364" s="6"/>
      <c r="E364" s="6"/>
      <c r="F364" s="6"/>
      <c r="G364" s="6"/>
      <c r="H364" s="6"/>
      <c r="I364" s="7"/>
      <c r="J364" s="7"/>
      <c r="K364" s="7"/>
      <c r="L364" s="7"/>
      <c r="M364" s="6"/>
      <c r="N364" s="7"/>
      <c r="O364" s="7"/>
      <c r="P364" s="7"/>
      <c r="Q364" s="7"/>
      <c r="R364" s="7"/>
      <c r="S364" s="7"/>
      <c r="T364" s="7"/>
      <c r="U364" s="7"/>
      <c r="V364" s="7"/>
      <c r="W364" s="7"/>
      <c r="X364" s="7"/>
      <c r="Y364" s="7"/>
      <c r="Z364" s="6"/>
      <c r="AA364" s="6"/>
      <c r="AB364" s="6"/>
      <c r="AC364" s="6"/>
      <c r="AD364" s="6"/>
      <c r="AE364" s="6"/>
      <c r="AF364" s="6"/>
      <c r="AG364" s="6"/>
      <c r="AH364" s="6"/>
      <c r="AI364" s="6"/>
      <c r="AJ364" s="6"/>
    </row>
    <row r="365" spans="1:36" x14ac:dyDescent="0.2">
      <c r="A365" s="6"/>
      <c r="B365" s="6"/>
      <c r="C365" s="6"/>
      <c r="D365" s="6"/>
      <c r="E365" s="6"/>
      <c r="F365" s="6"/>
      <c r="G365" s="6"/>
      <c r="H365" s="6"/>
      <c r="I365" s="7"/>
      <c r="J365" s="7"/>
      <c r="K365" s="7"/>
      <c r="L365" s="7"/>
      <c r="M365" s="6"/>
      <c r="N365" s="7"/>
      <c r="O365" s="7"/>
      <c r="P365" s="7"/>
      <c r="Q365" s="7"/>
      <c r="R365" s="7"/>
      <c r="S365" s="7"/>
      <c r="T365" s="7"/>
      <c r="U365" s="7"/>
      <c r="V365" s="7"/>
      <c r="W365" s="7"/>
      <c r="X365" s="7"/>
      <c r="Y365" s="7"/>
      <c r="Z365" s="6"/>
      <c r="AA365" s="6"/>
      <c r="AB365" s="6"/>
      <c r="AC365" s="6"/>
      <c r="AD365" s="6"/>
      <c r="AE365" s="6"/>
      <c r="AF365" s="6"/>
      <c r="AG365" s="6"/>
      <c r="AH365" s="6"/>
      <c r="AI365" s="6"/>
      <c r="AJ365" s="6"/>
    </row>
    <row r="366" spans="1:36" x14ac:dyDescent="0.2">
      <c r="A366" s="6"/>
      <c r="B366" s="6"/>
      <c r="C366" s="6"/>
      <c r="D366" s="6"/>
      <c r="E366" s="6"/>
      <c r="F366" s="6"/>
      <c r="G366" s="6"/>
      <c r="H366" s="6"/>
      <c r="I366" s="7"/>
      <c r="J366" s="7"/>
      <c r="K366" s="7"/>
      <c r="L366" s="7"/>
      <c r="M366" s="6"/>
      <c r="N366" s="7"/>
      <c r="O366" s="7"/>
      <c r="P366" s="7"/>
      <c r="Q366" s="7"/>
      <c r="R366" s="7"/>
      <c r="S366" s="7"/>
      <c r="T366" s="7"/>
      <c r="U366" s="7"/>
      <c r="V366" s="7"/>
      <c r="W366" s="7"/>
      <c r="X366" s="7"/>
      <c r="Y366" s="7"/>
      <c r="Z366" s="6"/>
      <c r="AA366" s="6"/>
      <c r="AB366" s="6"/>
      <c r="AC366" s="6"/>
      <c r="AD366" s="6"/>
      <c r="AE366" s="6"/>
      <c r="AF366" s="6"/>
      <c r="AG366" s="6"/>
      <c r="AH366" s="6"/>
      <c r="AI366" s="6"/>
      <c r="AJ366" s="6"/>
    </row>
    <row r="367" spans="1:36" x14ac:dyDescent="0.2">
      <c r="A367" s="6"/>
      <c r="B367" s="6"/>
      <c r="C367" s="6"/>
      <c r="D367" s="6"/>
      <c r="E367" s="6"/>
      <c r="F367" s="6"/>
      <c r="G367" s="6"/>
      <c r="H367" s="6"/>
      <c r="I367" s="7"/>
      <c r="J367" s="7"/>
      <c r="K367" s="7"/>
      <c r="L367" s="7"/>
      <c r="M367" s="6"/>
      <c r="N367" s="7"/>
      <c r="O367" s="7"/>
      <c r="P367" s="7"/>
      <c r="Q367" s="7"/>
      <c r="R367" s="7"/>
      <c r="S367" s="7"/>
      <c r="T367" s="7"/>
      <c r="U367" s="7"/>
      <c r="V367" s="7"/>
      <c r="W367" s="7"/>
      <c r="X367" s="7"/>
      <c r="Y367" s="7"/>
      <c r="Z367" s="6"/>
      <c r="AA367" s="6"/>
      <c r="AB367" s="6"/>
      <c r="AC367" s="6"/>
      <c r="AD367" s="6"/>
      <c r="AE367" s="6"/>
      <c r="AF367" s="6"/>
      <c r="AG367" s="6"/>
      <c r="AH367" s="6"/>
      <c r="AI367" s="6"/>
      <c r="AJ367" s="6"/>
    </row>
    <row r="368" spans="1:36" x14ac:dyDescent="0.2">
      <c r="A368" s="6"/>
      <c r="B368" s="6"/>
      <c r="C368" s="6"/>
      <c r="D368" s="6"/>
      <c r="E368" s="6"/>
      <c r="F368" s="6"/>
      <c r="G368" s="6"/>
      <c r="H368" s="6"/>
      <c r="I368" s="7"/>
      <c r="J368" s="7"/>
      <c r="K368" s="7"/>
      <c r="L368" s="7"/>
      <c r="M368" s="6"/>
      <c r="N368" s="7"/>
      <c r="O368" s="7"/>
      <c r="P368" s="7"/>
      <c r="Q368" s="7"/>
      <c r="R368" s="7"/>
      <c r="S368" s="7"/>
      <c r="T368" s="7"/>
      <c r="U368" s="7"/>
      <c r="V368" s="7"/>
      <c r="W368" s="7"/>
      <c r="X368" s="7"/>
      <c r="Y368" s="7"/>
      <c r="Z368" s="6"/>
      <c r="AA368" s="6"/>
      <c r="AB368" s="6"/>
      <c r="AC368" s="6"/>
      <c r="AD368" s="6"/>
      <c r="AE368" s="6"/>
      <c r="AF368" s="6"/>
      <c r="AG368" s="6"/>
      <c r="AH368" s="6"/>
      <c r="AI368" s="6"/>
      <c r="AJ368" s="6"/>
    </row>
    <row r="369" spans="1:36" x14ac:dyDescent="0.2">
      <c r="A369" s="6"/>
      <c r="B369" s="6"/>
      <c r="C369" s="6"/>
      <c r="D369" s="6"/>
      <c r="E369" s="6"/>
      <c r="F369" s="6"/>
      <c r="G369" s="6"/>
      <c r="H369" s="6"/>
      <c r="I369" s="7"/>
      <c r="J369" s="7"/>
      <c r="K369" s="7"/>
      <c r="L369" s="7"/>
      <c r="M369" s="6"/>
      <c r="N369" s="7"/>
      <c r="O369" s="7"/>
      <c r="P369" s="7"/>
      <c r="Q369" s="7"/>
      <c r="R369" s="7"/>
      <c r="S369" s="7"/>
      <c r="T369" s="7"/>
      <c r="U369" s="7"/>
      <c r="V369" s="7"/>
      <c r="W369" s="7"/>
      <c r="X369" s="7"/>
      <c r="Y369" s="7"/>
      <c r="Z369" s="6"/>
      <c r="AA369" s="6"/>
      <c r="AB369" s="6"/>
      <c r="AC369" s="6"/>
      <c r="AD369" s="6"/>
      <c r="AE369" s="6"/>
      <c r="AF369" s="6"/>
      <c r="AG369" s="6"/>
      <c r="AH369" s="6"/>
      <c r="AI369" s="6"/>
      <c r="AJ369" s="6"/>
    </row>
    <row r="370" spans="1:36" x14ac:dyDescent="0.2">
      <c r="A370" s="6"/>
      <c r="B370" s="6"/>
      <c r="C370" s="6"/>
      <c r="D370" s="6"/>
      <c r="E370" s="6"/>
      <c r="F370" s="6"/>
      <c r="G370" s="6"/>
      <c r="H370" s="6"/>
      <c r="I370" s="7"/>
      <c r="J370" s="7"/>
      <c r="K370" s="7"/>
      <c r="L370" s="7"/>
      <c r="M370" s="6"/>
      <c r="N370" s="7"/>
      <c r="O370" s="7"/>
      <c r="P370" s="7"/>
      <c r="Q370" s="7"/>
      <c r="R370" s="7"/>
      <c r="S370" s="7"/>
      <c r="T370" s="7"/>
      <c r="U370" s="7"/>
      <c r="V370" s="7"/>
      <c r="W370" s="7"/>
      <c r="X370" s="7"/>
      <c r="Y370" s="7"/>
      <c r="Z370" s="6"/>
      <c r="AA370" s="6"/>
      <c r="AB370" s="6"/>
      <c r="AC370" s="6"/>
      <c r="AD370" s="6"/>
      <c r="AE370" s="6"/>
      <c r="AF370" s="6"/>
      <c r="AG370" s="6"/>
      <c r="AH370" s="6"/>
      <c r="AI370" s="6"/>
      <c r="AJ370" s="6"/>
    </row>
    <row r="371" spans="1:36" x14ac:dyDescent="0.2">
      <c r="A371" s="6"/>
      <c r="B371" s="6"/>
      <c r="C371" s="6"/>
      <c r="D371" s="6"/>
      <c r="E371" s="6"/>
      <c r="F371" s="6"/>
      <c r="G371" s="6"/>
      <c r="H371" s="6"/>
      <c r="I371" s="7"/>
      <c r="J371" s="7"/>
      <c r="K371" s="7"/>
      <c r="L371" s="7"/>
      <c r="M371" s="6"/>
      <c r="N371" s="7"/>
      <c r="O371" s="7"/>
      <c r="P371" s="7"/>
      <c r="Q371" s="7"/>
      <c r="R371" s="7"/>
      <c r="S371" s="7"/>
      <c r="T371" s="7"/>
      <c r="U371" s="7"/>
      <c r="V371" s="7"/>
      <c r="W371" s="7"/>
      <c r="X371" s="7"/>
      <c r="Y371" s="7"/>
      <c r="Z371" s="6"/>
      <c r="AA371" s="6"/>
      <c r="AB371" s="6"/>
      <c r="AC371" s="6"/>
      <c r="AD371" s="6"/>
      <c r="AE371" s="6"/>
      <c r="AF371" s="6"/>
      <c r="AG371" s="6"/>
      <c r="AH371" s="6"/>
      <c r="AI371" s="6"/>
      <c r="AJ371" s="6"/>
    </row>
    <row r="372" spans="1:36" x14ac:dyDescent="0.2">
      <c r="A372" s="6"/>
      <c r="B372" s="6"/>
      <c r="C372" s="6"/>
      <c r="D372" s="6"/>
      <c r="E372" s="6"/>
      <c r="F372" s="6"/>
      <c r="G372" s="6"/>
      <c r="H372" s="6"/>
      <c r="I372" s="7"/>
      <c r="J372" s="7"/>
      <c r="K372" s="7"/>
      <c r="L372" s="7"/>
      <c r="M372" s="6"/>
      <c r="N372" s="7"/>
      <c r="O372" s="7"/>
      <c r="P372" s="7"/>
      <c r="Q372" s="7"/>
      <c r="R372" s="7"/>
      <c r="S372" s="7"/>
      <c r="T372" s="7"/>
      <c r="U372" s="7"/>
      <c r="V372" s="7"/>
      <c r="W372" s="7"/>
      <c r="X372" s="7"/>
      <c r="Y372" s="7"/>
      <c r="Z372" s="6"/>
      <c r="AA372" s="6"/>
      <c r="AB372" s="6"/>
      <c r="AC372" s="6"/>
      <c r="AD372" s="6"/>
      <c r="AE372" s="6"/>
      <c r="AF372" s="6"/>
      <c r="AG372" s="6"/>
      <c r="AH372" s="6"/>
      <c r="AI372" s="6"/>
      <c r="AJ372" s="6"/>
    </row>
    <row r="373" spans="1:36" x14ac:dyDescent="0.2">
      <c r="A373" s="6"/>
      <c r="B373" s="6"/>
      <c r="C373" s="6"/>
      <c r="D373" s="6"/>
      <c r="E373" s="6"/>
      <c r="F373" s="6"/>
      <c r="G373" s="6"/>
      <c r="H373" s="6"/>
      <c r="I373" s="7"/>
      <c r="J373" s="7"/>
      <c r="K373" s="7"/>
      <c r="L373" s="7"/>
      <c r="M373" s="6"/>
      <c r="N373" s="7"/>
      <c r="O373" s="7"/>
      <c r="P373" s="7"/>
      <c r="Q373" s="7"/>
      <c r="R373" s="7"/>
      <c r="S373" s="7"/>
      <c r="T373" s="7"/>
      <c r="U373" s="7"/>
      <c r="V373" s="7"/>
      <c r="W373" s="7"/>
      <c r="X373" s="7"/>
      <c r="Y373" s="7"/>
      <c r="Z373" s="6"/>
      <c r="AA373" s="6"/>
      <c r="AB373" s="6"/>
      <c r="AC373" s="6"/>
      <c r="AD373" s="6"/>
      <c r="AE373" s="6"/>
      <c r="AF373" s="6"/>
      <c r="AG373" s="6"/>
      <c r="AH373" s="6"/>
      <c r="AI373" s="6"/>
      <c r="AJ373" s="6"/>
    </row>
    <row r="374" spans="1:36" x14ac:dyDescent="0.2">
      <c r="A374" s="6"/>
      <c r="B374" s="6"/>
      <c r="C374" s="6"/>
      <c r="D374" s="6"/>
      <c r="E374" s="6"/>
      <c r="F374" s="6"/>
      <c r="G374" s="6"/>
      <c r="H374" s="6"/>
      <c r="I374" s="7"/>
      <c r="J374" s="7"/>
      <c r="K374" s="7"/>
      <c r="L374" s="7"/>
      <c r="M374" s="6"/>
      <c r="N374" s="7"/>
      <c r="O374" s="7"/>
      <c r="P374" s="7"/>
      <c r="Q374" s="7"/>
      <c r="R374" s="7"/>
      <c r="S374" s="7"/>
      <c r="T374" s="7"/>
      <c r="U374" s="7"/>
      <c r="V374" s="7"/>
      <c r="W374" s="7"/>
      <c r="X374" s="7"/>
      <c r="Y374" s="7"/>
      <c r="Z374" s="6"/>
      <c r="AA374" s="6"/>
      <c r="AB374" s="6"/>
      <c r="AC374" s="6"/>
      <c r="AD374" s="6"/>
      <c r="AE374" s="6"/>
      <c r="AF374" s="6"/>
      <c r="AG374" s="6"/>
      <c r="AH374" s="6"/>
      <c r="AI374" s="6"/>
      <c r="AJ374" s="6"/>
    </row>
    <row r="375" spans="1:36" x14ac:dyDescent="0.2">
      <c r="A375" s="6"/>
      <c r="B375" s="6"/>
      <c r="C375" s="6"/>
      <c r="D375" s="6"/>
      <c r="E375" s="6"/>
      <c r="F375" s="6"/>
      <c r="G375" s="6"/>
      <c r="H375" s="6"/>
      <c r="I375" s="7"/>
      <c r="J375" s="7"/>
      <c r="K375" s="7"/>
      <c r="L375" s="7"/>
      <c r="M375" s="6"/>
      <c r="N375" s="7"/>
      <c r="O375" s="7"/>
      <c r="P375" s="7"/>
      <c r="Q375" s="7"/>
      <c r="R375" s="7"/>
      <c r="S375" s="7"/>
      <c r="T375" s="7"/>
      <c r="U375" s="7"/>
      <c r="V375" s="7"/>
      <c r="W375" s="7"/>
      <c r="X375" s="7"/>
      <c r="Y375" s="7"/>
      <c r="Z375" s="6"/>
      <c r="AA375" s="6"/>
      <c r="AB375" s="6"/>
      <c r="AC375" s="6"/>
      <c r="AD375" s="6"/>
      <c r="AE375" s="6"/>
      <c r="AF375" s="6"/>
      <c r="AG375" s="6"/>
      <c r="AH375" s="6"/>
      <c r="AI375" s="6"/>
      <c r="AJ375" s="6"/>
    </row>
    <row r="376" spans="1:36" x14ac:dyDescent="0.2">
      <c r="A376" s="6"/>
      <c r="B376" s="6"/>
      <c r="C376" s="6"/>
      <c r="D376" s="6"/>
      <c r="E376" s="6"/>
      <c r="F376" s="6"/>
      <c r="G376" s="6"/>
      <c r="H376" s="6"/>
      <c r="I376" s="7"/>
      <c r="J376" s="7"/>
      <c r="K376" s="7"/>
      <c r="L376" s="7"/>
      <c r="M376" s="6"/>
      <c r="N376" s="7"/>
      <c r="O376" s="7"/>
      <c r="P376" s="7"/>
      <c r="Q376" s="7"/>
      <c r="R376" s="7"/>
      <c r="S376" s="7"/>
      <c r="T376" s="7"/>
      <c r="U376" s="7"/>
      <c r="V376" s="7"/>
      <c r="W376" s="7"/>
      <c r="X376" s="7"/>
      <c r="Y376" s="7"/>
      <c r="Z376" s="6"/>
      <c r="AA376" s="6"/>
      <c r="AB376" s="6"/>
      <c r="AC376" s="6"/>
      <c r="AD376" s="6"/>
      <c r="AE376" s="6"/>
      <c r="AF376" s="6"/>
      <c r="AG376" s="6"/>
      <c r="AH376" s="6"/>
      <c r="AI376" s="6"/>
      <c r="AJ376" s="6"/>
    </row>
    <row r="377" spans="1:36" x14ac:dyDescent="0.2">
      <c r="A377" s="6"/>
      <c r="B377" s="6"/>
      <c r="C377" s="6"/>
      <c r="D377" s="6"/>
      <c r="E377" s="6"/>
      <c r="F377" s="6"/>
      <c r="G377" s="6"/>
      <c r="H377" s="6"/>
      <c r="I377" s="7"/>
      <c r="J377" s="7"/>
      <c r="K377" s="7"/>
      <c r="L377" s="7"/>
      <c r="M377" s="6"/>
      <c r="N377" s="7"/>
      <c r="O377" s="7"/>
      <c r="P377" s="7"/>
      <c r="Q377" s="7"/>
      <c r="R377" s="7"/>
      <c r="S377" s="7"/>
      <c r="T377" s="7"/>
      <c r="U377" s="7"/>
      <c r="V377" s="7"/>
      <c r="W377" s="7"/>
      <c r="X377" s="7"/>
      <c r="Y377" s="7"/>
      <c r="Z377" s="6"/>
      <c r="AA377" s="6"/>
      <c r="AB377" s="6"/>
      <c r="AC377" s="6"/>
      <c r="AD377" s="6"/>
      <c r="AE377" s="6"/>
      <c r="AF377" s="6"/>
      <c r="AG377" s="6"/>
      <c r="AH377" s="6"/>
      <c r="AI377" s="6"/>
      <c r="AJ377" s="6"/>
    </row>
    <row r="378" spans="1:36" x14ac:dyDescent="0.2">
      <c r="A378" s="6"/>
      <c r="B378" s="6"/>
      <c r="C378" s="6"/>
      <c r="D378" s="6"/>
      <c r="E378" s="6"/>
      <c r="F378" s="6"/>
      <c r="G378" s="6"/>
      <c r="H378" s="6"/>
      <c r="I378" s="7"/>
      <c r="J378" s="7"/>
      <c r="K378" s="7"/>
      <c r="L378" s="7"/>
      <c r="M378" s="6"/>
      <c r="N378" s="7"/>
      <c r="O378" s="7"/>
      <c r="P378" s="7"/>
      <c r="Q378" s="7"/>
      <c r="R378" s="7"/>
      <c r="S378" s="7"/>
      <c r="T378" s="7"/>
      <c r="U378" s="7"/>
      <c r="V378" s="7"/>
      <c r="W378" s="7"/>
      <c r="X378" s="7"/>
      <c r="Y378" s="7"/>
      <c r="Z378" s="6"/>
      <c r="AA378" s="6"/>
      <c r="AB378" s="6"/>
      <c r="AC378" s="6"/>
      <c r="AD378" s="6"/>
      <c r="AE378" s="6"/>
      <c r="AF378" s="6"/>
      <c r="AG378" s="6"/>
      <c r="AH378" s="6"/>
      <c r="AI378" s="6"/>
      <c r="AJ378" s="6"/>
    </row>
    <row r="379" spans="1:36" x14ac:dyDescent="0.2">
      <c r="A379" s="6"/>
      <c r="B379" s="6"/>
      <c r="C379" s="6"/>
      <c r="D379" s="6"/>
      <c r="E379" s="6"/>
      <c r="F379" s="6"/>
      <c r="G379" s="6"/>
      <c r="H379" s="6"/>
      <c r="I379" s="7"/>
      <c r="J379" s="7"/>
      <c r="K379" s="7"/>
      <c r="L379" s="7"/>
      <c r="M379" s="6"/>
      <c r="N379" s="7"/>
      <c r="O379" s="7"/>
      <c r="P379" s="7"/>
      <c r="Q379" s="7"/>
      <c r="R379" s="7"/>
      <c r="S379" s="7"/>
      <c r="T379" s="7"/>
      <c r="U379" s="7"/>
      <c r="V379" s="7"/>
      <c r="W379" s="7"/>
      <c r="X379" s="7"/>
      <c r="Y379" s="7"/>
      <c r="Z379" s="6"/>
      <c r="AA379" s="6"/>
      <c r="AB379" s="6"/>
      <c r="AC379" s="6"/>
      <c r="AD379" s="6"/>
      <c r="AE379" s="6"/>
      <c r="AF379" s="6"/>
      <c r="AG379" s="6"/>
      <c r="AH379" s="6"/>
      <c r="AI379" s="6"/>
      <c r="AJ379" s="6"/>
    </row>
    <row r="380" spans="1:36" x14ac:dyDescent="0.2">
      <c r="A380" s="6"/>
      <c r="B380" s="6"/>
      <c r="C380" s="6"/>
      <c r="D380" s="6"/>
      <c r="E380" s="6"/>
      <c r="F380" s="6"/>
      <c r="G380" s="6"/>
      <c r="H380" s="6"/>
      <c r="I380" s="7"/>
      <c r="J380" s="7"/>
      <c r="K380" s="7"/>
      <c r="L380" s="7"/>
      <c r="M380" s="6"/>
      <c r="N380" s="7"/>
      <c r="O380" s="7"/>
      <c r="P380" s="7"/>
      <c r="Q380" s="7"/>
      <c r="R380" s="7"/>
      <c r="S380" s="7"/>
      <c r="T380" s="7"/>
      <c r="U380" s="7"/>
      <c r="V380" s="7"/>
      <c r="W380" s="7"/>
      <c r="X380" s="7"/>
      <c r="Y380" s="7"/>
      <c r="Z380" s="6"/>
      <c r="AA380" s="6"/>
      <c r="AB380" s="6"/>
      <c r="AC380" s="6"/>
      <c r="AD380" s="6"/>
      <c r="AE380" s="6"/>
      <c r="AF380" s="6"/>
      <c r="AG380" s="6"/>
      <c r="AH380" s="6"/>
      <c r="AI380" s="6"/>
      <c r="AJ380" s="6"/>
    </row>
    <row r="381" spans="1:36" x14ac:dyDescent="0.2">
      <c r="A381" s="6"/>
      <c r="B381" s="6"/>
      <c r="C381" s="6"/>
      <c r="D381" s="6"/>
      <c r="E381" s="6"/>
      <c r="F381" s="6"/>
      <c r="G381" s="6"/>
      <c r="H381" s="6"/>
      <c r="I381" s="7"/>
      <c r="J381" s="7"/>
      <c r="K381" s="7"/>
      <c r="L381" s="7"/>
      <c r="M381" s="6"/>
      <c r="N381" s="7"/>
      <c r="O381" s="7"/>
      <c r="P381" s="7"/>
      <c r="Q381" s="7"/>
      <c r="R381" s="7"/>
      <c r="S381" s="7"/>
      <c r="T381" s="7"/>
      <c r="U381" s="7"/>
      <c r="V381" s="7"/>
      <c r="W381" s="7"/>
      <c r="X381" s="7"/>
      <c r="Y381" s="7"/>
      <c r="Z381" s="6"/>
      <c r="AA381" s="6"/>
      <c r="AB381" s="6"/>
      <c r="AC381" s="6"/>
      <c r="AD381" s="6"/>
      <c r="AE381" s="6"/>
      <c r="AF381" s="6"/>
      <c r="AG381" s="6"/>
      <c r="AH381" s="6"/>
      <c r="AI381" s="6"/>
      <c r="AJ381" s="6"/>
    </row>
    <row r="382" spans="1:36" x14ac:dyDescent="0.2">
      <c r="A382" s="6"/>
      <c r="B382" s="6"/>
      <c r="C382" s="6"/>
      <c r="D382" s="6"/>
      <c r="E382" s="6"/>
      <c r="F382" s="6"/>
      <c r="G382" s="6"/>
      <c r="H382" s="6"/>
      <c r="I382" s="7"/>
      <c r="J382" s="7"/>
      <c r="K382" s="7"/>
      <c r="L382" s="7"/>
      <c r="M382" s="6"/>
      <c r="N382" s="7"/>
      <c r="O382" s="7"/>
      <c r="P382" s="7"/>
      <c r="Q382" s="7"/>
      <c r="R382" s="7"/>
      <c r="S382" s="7"/>
      <c r="T382" s="7"/>
      <c r="U382" s="7"/>
      <c r="V382" s="7"/>
      <c r="W382" s="7"/>
      <c r="X382" s="7"/>
      <c r="Y382" s="7"/>
      <c r="Z382" s="6"/>
      <c r="AA382" s="6"/>
      <c r="AB382" s="6"/>
      <c r="AC382" s="6"/>
      <c r="AD382" s="6"/>
      <c r="AE382" s="6"/>
      <c r="AF382" s="6"/>
      <c r="AG382" s="6"/>
      <c r="AH382" s="6"/>
      <c r="AI382" s="6"/>
      <c r="AJ382" s="6"/>
    </row>
    <row r="383" spans="1:36" x14ac:dyDescent="0.2">
      <c r="A383" s="6"/>
      <c r="B383" s="6"/>
      <c r="C383" s="6"/>
      <c r="D383" s="6"/>
      <c r="E383" s="6"/>
      <c r="F383" s="6"/>
      <c r="G383" s="6"/>
      <c r="H383" s="6"/>
      <c r="I383" s="7"/>
      <c r="J383" s="7"/>
      <c r="K383" s="7"/>
      <c r="L383" s="7"/>
      <c r="M383" s="6"/>
      <c r="N383" s="7"/>
      <c r="O383" s="7"/>
      <c r="P383" s="7"/>
      <c r="Q383" s="7"/>
      <c r="R383" s="7"/>
      <c r="S383" s="7"/>
      <c r="T383" s="7"/>
      <c r="U383" s="7"/>
      <c r="V383" s="7"/>
      <c r="W383" s="7"/>
      <c r="X383" s="7"/>
      <c r="Y383" s="7"/>
      <c r="Z383" s="6"/>
      <c r="AA383" s="6"/>
      <c r="AB383" s="6"/>
      <c r="AC383" s="6"/>
      <c r="AD383" s="6"/>
      <c r="AE383" s="6"/>
      <c r="AF383" s="6"/>
      <c r="AG383" s="6"/>
      <c r="AH383" s="6"/>
      <c r="AI383" s="6"/>
      <c r="AJ383" s="6"/>
    </row>
    <row r="384" spans="1:36" x14ac:dyDescent="0.2">
      <c r="A384" s="6"/>
      <c r="B384" s="6"/>
      <c r="C384" s="6"/>
      <c r="D384" s="6"/>
      <c r="E384" s="6"/>
      <c r="F384" s="6"/>
      <c r="G384" s="6"/>
      <c r="H384" s="6"/>
      <c r="I384" s="7"/>
      <c r="J384" s="7"/>
      <c r="K384" s="7"/>
      <c r="L384" s="7"/>
      <c r="M384" s="6"/>
      <c r="N384" s="7"/>
      <c r="O384" s="7"/>
      <c r="P384" s="7"/>
      <c r="Q384" s="7"/>
      <c r="R384" s="7"/>
      <c r="S384" s="7"/>
      <c r="T384" s="7"/>
      <c r="U384" s="7"/>
      <c r="V384" s="7"/>
      <c r="W384" s="7"/>
      <c r="X384" s="7"/>
      <c r="Y384" s="7"/>
      <c r="Z384" s="6"/>
      <c r="AA384" s="6"/>
      <c r="AB384" s="6"/>
      <c r="AC384" s="6"/>
      <c r="AD384" s="6"/>
      <c r="AE384" s="6"/>
      <c r="AF384" s="6"/>
      <c r="AG384" s="6"/>
      <c r="AH384" s="6"/>
      <c r="AI384" s="6"/>
      <c r="AJ384" s="6"/>
    </row>
    <row r="385" spans="1:36" x14ac:dyDescent="0.2">
      <c r="A385" s="6"/>
      <c r="B385" s="6"/>
      <c r="C385" s="6"/>
      <c r="D385" s="6"/>
      <c r="E385" s="6"/>
      <c r="F385" s="6"/>
      <c r="G385" s="6"/>
      <c r="H385" s="6"/>
      <c r="I385" s="7"/>
      <c r="J385" s="7"/>
      <c r="K385" s="7"/>
      <c r="L385" s="7"/>
      <c r="M385" s="6"/>
      <c r="N385" s="7"/>
      <c r="O385" s="7"/>
      <c r="P385" s="7"/>
      <c r="Q385" s="7"/>
      <c r="R385" s="7"/>
      <c r="S385" s="7"/>
      <c r="T385" s="7"/>
      <c r="U385" s="7"/>
      <c r="V385" s="7"/>
      <c r="W385" s="7"/>
      <c r="X385" s="7"/>
      <c r="Y385" s="7"/>
      <c r="Z385" s="6"/>
      <c r="AA385" s="6"/>
      <c r="AB385" s="6"/>
      <c r="AC385" s="6"/>
      <c r="AD385" s="6"/>
      <c r="AE385" s="6"/>
      <c r="AF385" s="6"/>
      <c r="AG385" s="6"/>
      <c r="AH385" s="6"/>
      <c r="AI385" s="6"/>
      <c r="AJ385" s="6"/>
    </row>
    <row r="386" spans="1:36" x14ac:dyDescent="0.2">
      <c r="A386" s="6"/>
      <c r="B386" s="6"/>
      <c r="C386" s="6"/>
      <c r="D386" s="6"/>
      <c r="E386" s="6"/>
      <c r="F386" s="6"/>
      <c r="G386" s="6"/>
      <c r="H386" s="6"/>
      <c r="I386" s="7"/>
      <c r="J386" s="7"/>
      <c r="K386" s="7"/>
      <c r="L386" s="7"/>
      <c r="M386" s="6"/>
      <c r="N386" s="7"/>
      <c r="O386" s="7"/>
      <c r="P386" s="7"/>
      <c r="Q386" s="7"/>
      <c r="R386" s="7"/>
      <c r="S386" s="7"/>
      <c r="T386" s="7"/>
      <c r="U386" s="7"/>
      <c r="V386" s="7"/>
      <c r="W386" s="7"/>
      <c r="X386" s="7"/>
      <c r="Y386" s="7"/>
      <c r="Z386" s="6"/>
      <c r="AA386" s="6"/>
      <c r="AB386" s="6"/>
      <c r="AC386" s="6"/>
      <c r="AD386" s="6"/>
      <c r="AE386" s="6"/>
      <c r="AF386" s="6"/>
      <c r="AG386" s="6"/>
      <c r="AH386" s="6"/>
      <c r="AI386" s="6"/>
      <c r="AJ386" s="6"/>
    </row>
    <row r="387" spans="1:36" x14ac:dyDescent="0.2">
      <c r="A387" s="6"/>
      <c r="B387" s="6"/>
      <c r="C387" s="6"/>
      <c r="D387" s="6"/>
      <c r="E387" s="6"/>
      <c r="F387" s="6"/>
      <c r="G387" s="6"/>
      <c r="H387" s="6"/>
      <c r="I387" s="7"/>
      <c r="J387" s="7"/>
      <c r="K387" s="7"/>
      <c r="L387" s="7"/>
      <c r="M387" s="6"/>
      <c r="N387" s="7"/>
      <c r="O387" s="7"/>
      <c r="P387" s="7"/>
      <c r="Q387" s="7"/>
      <c r="R387" s="7"/>
      <c r="S387" s="7"/>
      <c r="T387" s="7"/>
      <c r="U387" s="7"/>
      <c r="V387" s="7"/>
      <c r="W387" s="7"/>
      <c r="X387" s="7"/>
      <c r="Y387" s="7"/>
      <c r="Z387" s="6"/>
      <c r="AA387" s="6"/>
      <c r="AB387" s="6"/>
      <c r="AC387" s="6"/>
      <c r="AD387" s="6"/>
      <c r="AE387" s="6"/>
      <c r="AF387" s="6"/>
      <c r="AG387" s="6"/>
      <c r="AH387" s="6"/>
      <c r="AI387" s="6"/>
      <c r="AJ387" s="6"/>
    </row>
    <row r="388" spans="1:36" x14ac:dyDescent="0.2">
      <c r="A388" s="6"/>
      <c r="B388" s="6"/>
      <c r="C388" s="6"/>
      <c r="D388" s="6"/>
      <c r="E388" s="6"/>
      <c r="F388" s="6"/>
      <c r="G388" s="6"/>
      <c r="H388" s="6"/>
      <c r="I388" s="7"/>
      <c r="J388" s="7"/>
      <c r="K388" s="7"/>
      <c r="L388" s="7"/>
      <c r="M388" s="6"/>
      <c r="N388" s="7"/>
      <c r="O388" s="7"/>
      <c r="P388" s="7"/>
      <c r="Q388" s="7"/>
      <c r="R388" s="7"/>
      <c r="S388" s="7"/>
      <c r="T388" s="7"/>
      <c r="U388" s="7"/>
      <c r="V388" s="7"/>
      <c r="W388" s="7"/>
      <c r="X388" s="7"/>
      <c r="Y388" s="7"/>
      <c r="Z388" s="6"/>
      <c r="AA388" s="6"/>
      <c r="AB388" s="6"/>
      <c r="AC388" s="6"/>
      <c r="AD388" s="6"/>
      <c r="AE388" s="6"/>
      <c r="AF388" s="6"/>
      <c r="AG388" s="6"/>
      <c r="AH388" s="6"/>
      <c r="AI388" s="6"/>
      <c r="AJ388" s="6"/>
    </row>
    <row r="389" spans="1:36" x14ac:dyDescent="0.2">
      <c r="A389" s="6"/>
      <c r="B389" s="6"/>
      <c r="C389" s="6"/>
      <c r="D389" s="6"/>
      <c r="E389" s="6"/>
      <c r="F389" s="6"/>
      <c r="G389" s="6"/>
      <c r="H389" s="6"/>
      <c r="I389" s="7"/>
      <c r="J389" s="7"/>
      <c r="K389" s="7"/>
      <c r="L389" s="7"/>
      <c r="M389" s="6"/>
      <c r="N389" s="7"/>
      <c r="O389" s="7"/>
      <c r="P389" s="7"/>
      <c r="Q389" s="7"/>
      <c r="R389" s="7"/>
      <c r="S389" s="7"/>
      <c r="T389" s="7"/>
      <c r="U389" s="7"/>
      <c r="V389" s="7"/>
      <c r="W389" s="7"/>
      <c r="X389" s="7"/>
      <c r="Y389" s="7"/>
      <c r="Z389" s="6"/>
      <c r="AA389" s="6"/>
      <c r="AB389" s="6"/>
      <c r="AC389" s="6"/>
      <c r="AD389" s="6"/>
      <c r="AE389" s="6"/>
      <c r="AF389" s="6"/>
      <c r="AG389" s="6"/>
      <c r="AH389" s="6"/>
      <c r="AI389" s="6"/>
      <c r="AJ389" s="6"/>
    </row>
    <row r="390" spans="1:36" x14ac:dyDescent="0.2">
      <c r="A390" s="6"/>
      <c r="B390" s="6"/>
      <c r="C390" s="6"/>
      <c r="D390" s="6"/>
      <c r="E390" s="6"/>
      <c r="F390" s="6"/>
      <c r="G390" s="6"/>
      <c r="H390" s="6"/>
      <c r="I390" s="7"/>
      <c r="J390" s="7"/>
      <c r="K390" s="7"/>
      <c r="L390" s="7"/>
      <c r="M390" s="6"/>
      <c r="N390" s="7"/>
      <c r="O390" s="7"/>
      <c r="P390" s="7"/>
      <c r="Q390" s="7"/>
      <c r="R390" s="7"/>
      <c r="S390" s="7"/>
      <c r="T390" s="7"/>
      <c r="U390" s="7"/>
      <c r="V390" s="7"/>
      <c r="W390" s="7"/>
      <c r="X390" s="7"/>
      <c r="Y390" s="7"/>
      <c r="Z390" s="6"/>
      <c r="AA390" s="6"/>
      <c r="AB390" s="6"/>
      <c r="AC390" s="6"/>
      <c r="AD390" s="6"/>
      <c r="AE390" s="6"/>
      <c r="AF390" s="6"/>
      <c r="AG390" s="6"/>
      <c r="AH390" s="6"/>
      <c r="AI390" s="6"/>
      <c r="AJ390" s="6"/>
    </row>
    <row r="391" spans="1:36" x14ac:dyDescent="0.2">
      <c r="A391" s="6"/>
      <c r="B391" s="6"/>
      <c r="C391" s="6"/>
      <c r="D391" s="6"/>
      <c r="E391" s="6"/>
      <c r="F391" s="6"/>
      <c r="G391" s="6"/>
      <c r="H391" s="6"/>
      <c r="I391" s="7"/>
      <c r="J391" s="7"/>
      <c r="K391" s="7"/>
      <c r="L391" s="7"/>
      <c r="M391" s="6"/>
      <c r="N391" s="7"/>
      <c r="O391" s="7"/>
      <c r="P391" s="7"/>
      <c r="Q391" s="7"/>
      <c r="R391" s="7"/>
      <c r="S391" s="7"/>
      <c r="T391" s="7"/>
      <c r="U391" s="7"/>
      <c r="V391" s="7"/>
      <c r="W391" s="7"/>
      <c r="X391" s="7"/>
      <c r="Y391" s="7"/>
      <c r="Z391" s="6"/>
      <c r="AA391" s="6"/>
      <c r="AB391" s="6"/>
      <c r="AC391" s="6"/>
      <c r="AD391" s="6"/>
      <c r="AE391" s="6"/>
      <c r="AF391" s="6"/>
      <c r="AG391" s="6"/>
      <c r="AH391" s="6"/>
      <c r="AI391" s="6"/>
      <c r="AJ391" s="6"/>
    </row>
    <row r="392" spans="1:36" x14ac:dyDescent="0.2">
      <c r="A392" s="6"/>
      <c r="B392" s="6"/>
      <c r="C392" s="6"/>
      <c r="D392" s="6"/>
      <c r="E392" s="6"/>
      <c r="F392" s="6"/>
      <c r="G392" s="6"/>
      <c r="H392" s="6"/>
      <c r="I392" s="7"/>
      <c r="J392" s="7"/>
      <c r="K392" s="7"/>
      <c r="L392" s="7"/>
      <c r="M392" s="6"/>
      <c r="N392" s="7"/>
      <c r="O392" s="7"/>
      <c r="P392" s="7"/>
      <c r="Q392" s="7"/>
      <c r="R392" s="7"/>
      <c r="S392" s="7"/>
      <c r="T392" s="7"/>
      <c r="U392" s="7"/>
      <c r="V392" s="7"/>
      <c r="W392" s="7"/>
      <c r="X392" s="7"/>
      <c r="Y392" s="7"/>
      <c r="Z392" s="6"/>
      <c r="AA392" s="6"/>
      <c r="AB392" s="6"/>
      <c r="AC392" s="6"/>
      <c r="AD392" s="6"/>
      <c r="AE392" s="6"/>
      <c r="AF392" s="6"/>
      <c r="AG392" s="6"/>
      <c r="AH392" s="6"/>
      <c r="AI392" s="6"/>
      <c r="AJ392" s="6"/>
    </row>
    <row r="393" spans="1:36" x14ac:dyDescent="0.2">
      <c r="A393" s="6"/>
      <c r="B393" s="6"/>
      <c r="C393" s="6"/>
      <c r="D393" s="6"/>
      <c r="E393" s="6"/>
      <c r="F393" s="6"/>
      <c r="G393" s="6"/>
      <c r="H393" s="6"/>
      <c r="I393" s="7"/>
      <c r="J393" s="7"/>
      <c r="K393" s="7"/>
      <c r="L393" s="7"/>
      <c r="M393" s="6"/>
      <c r="N393" s="7"/>
      <c r="O393" s="7"/>
      <c r="P393" s="7"/>
      <c r="Q393" s="7"/>
      <c r="R393" s="7"/>
      <c r="S393" s="7"/>
      <c r="T393" s="7"/>
      <c r="U393" s="7"/>
      <c r="V393" s="7"/>
      <c r="W393" s="7"/>
      <c r="X393" s="7"/>
      <c r="Y393" s="7"/>
      <c r="Z393" s="6"/>
      <c r="AA393" s="6"/>
      <c r="AB393" s="6"/>
      <c r="AC393" s="6"/>
      <c r="AD393" s="6"/>
      <c r="AE393" s="6"/>
      <c r="AF393" s="6"/>
      <c r="AG393" s="6"/>
      <c r="AH393" s="6"/>
      <c r="AI393" s="6"/>
      <c r="AJ393" s="6"/>
    </row>
    <row r="394" spans="1:36" x14ac:dyDescent="0.2">
      <c r="A394" s="6"/>
      <c r="B394" s="6"/>
      <c r="C394" s="6"/>
      <c r="D394" s="6"/>
      <c r="E394" s="6"/>
      <c r="F394" s="6"/>
      <c r="G394" s="6"/>
      <c r="H394" s="6"/>
      <c r="I394" s="7"/>
      <c r="J394" s="7"/>
      <c r="K394" s="7"/>
      <c r="L394" s="7"/>
      <c r="M394" s="6"/>
      <c r="N394" s="7"/>
      <c r="O394" s="7"/>
      <c r="P394" s="7"/>
      <c r="Q394" s="7"/>
      <c r="R394" s="7"/>
      <c r="S394" s="7"/>
      <c r="T394" s="7"/>
      <c r="U394" s="7"/>
      <c r="V394" s="7"/>
      <c r="W394" s="7"/>
      <c r="X394" s="7"/>
      <c r="Y394" s="7"/>
      <c r="Z394" s="6"/>
      <c r="AA394" s="6"/>
      <c r="AB394" s="6"/>
      <c r="AC394" s="6"/>
      <c r="AD394" s="6"/>
      <c r="AE394" s="6"/>
      <c r="AF394" s="6"/>
      <c r="AG394" s="6"/>
      <c r="AH394" s="6"/>
      <c r="AI394" s="6"/>
      <c r="AJ394" s="6"/>
    </row>
    <row r="395" spans="1:36" x14ac:dyDescent="0.2">
      <c r="A395" s="6"/>
      <c r="B395" s="6"/>
      <c r="C395" s="6"/>
      <c r="D395" s="6"/>
      <c r="E395" s="6"/>
      <c r="F395" s="6"/>
      <c r="G395" s="6"/>
      <c r="H395" s="6"/>
      <c r="I395" s="7"/>
      <c r="J395" s="7"/>
      <c r="K395" s="7"/>
      <c r="L395" s="7"/>
      <c r="M395" s="6"/>
      <c r="N395" s="7"/>
      <c r="O395" s="7"/>
      <c r="P395" s="7"/>
      <c r="Q395" s="7"/>
      <c r="R395" s="7"/>
      <c r="S395" s="7"/>
      <c r="T395" s="7"/>
      <c r="U395" s="7"/>
      <c r="V395" s="7"/>
      <c r="W395" s="7"/>
      <c r="X395" s="7"/>
      <c r="Y395" s="7"/>
      <c r="Z395" s="6"/>
      <c r="AA395" s="6"/>
      <c r="AB395" s="6"/>
      <c r="AC395" s="6"/>
      <c r="AD395" s="6"/>
      <c r="AE395" s="6"/>
      <c r="AF395" s="6"/>
      <c r="AG395" s="6"/>
      <c r="AH395" s="6"/>
      <c r="AI395" s="6"/>
      <c r="AJ395" s="6"/>
    </row>
    <row r="396" spans="1:36" x14ac:dyDescent="0.2">
      <c r="A396" s="6"/>
      <c r="B396" s="6"/>
      <c r="C396" s="6"/>
      <c r="D396" s="6"/>
      <c r="E396" s="6"/>
      <c r="F396" s="6"/>
      <c r="G396" s="6"/>
      <c r="H396" s="6"/>
      <c r="I396" s="7"/>
      <c r="J396" s="7"/>
      <c r="K396" s="7"/>
      <c r="L396" s="7"/>
      <c r="M396" s="6"/>
      <c r="N396" s="7"/>
      <c r="O396" s="7"/>
      <c r="P396" s="7"/>
      <c r="Q396" s="7"/>
      <c r="R396" s="7"/>
      <c r="S396" s="7"/>
      <c r="T396" s="7"/>
      <c r="U396" s="7"/>
      <c r="V396" s="7"/>
      <c r="W396" s="7"/>
      <c r="X396" s="7"/>
      <c r="Y396" s="7"/>
      <c r="Z396" s="6"/>
      <c r="AA396" s="6"/>
      <c r="AB396" s="6"/>
      <c r="AC396" s="6"/>
      <c r="AD396" s="6"/>
      <c r="AE396" s="6"/>
      <c r="AF396" s="6"/>
      <c r="AG396" s="6"/>
      <c r="AH396" s="6"/>
      <c r="AI396" s="6"/>
      <c r="AJ396" s="6"/>
    </row>
    <row r="397" spans="1:36" x14ac:dyDescent="0.2">
      <c r="A397" s="6"/>
      <c r="B397" s="6"/>
      <c r="C397" s="6"/>
      <c r="D397" s="6"/>
      <c r="E397" s="6"/>
      <c r="F397" s="6"/>
      <c r="G397" s="6"/>
      <c r="H397" s="6"/>
      <c r="I397" s="7"/>
      <c r="J397" s="7"/>
      <c r="K397" s="7"/>
      <c r="L397" s="7"/>
      <c r="M397" s="6"/>
      <c r="N397" s="7"/>
      <c r="O397" s="7"/>
      <c r="P397" s="7"/>
      <c r="Q397" s="7"/>
      <c r="R397" s="7"/>
      <c r="S397" s="7"/>
      <c r="T397" s="7"/>
      <c r="U397" s="7"/>
      <c r="V397" s="7"/>
      <c r="W397" s="7"/>
      <c r="X397" s="7"/>
      <c r="Y397" s="7"/>
      <c r="Z397" s="6"/>
      <c r="AA397" s="6"/>
      <c r="AB397" s="6"/>
      <c r="AC397" s="6"/>
      <c r="AD397" s="6"/>
      <c r="AE397" s="6"/>
      <c r="AF397" s="6"/>
      <c r="AG397" s="6"/>
      <c r="AH397" s="6"/>
      <c r="AI397" s="6"/>
      <c r="AJ397" s="6"/>
    </row>
    <row r="398" spans="1:36" x14ac:dyDescent="0.2">
      <c r="A398" s="6"/>
      <c r="B398" s="6"/>
      <c r="C398" s="6"/>
      <c r="D398" s="6"/>
      <c r="E398" s="6"/>
      <c r="F398" s="6"/>
      <c r="G398" s="6"/>
      <c r="H398" s="6"/>
      <c r="I398" s="7"/>
      <c r="J398" s="7"/>
      <c r="K398" s="7"/>
      <c r="L398" s="7"/>
      <c r="M398" s="6"/>
      <c r="N398" s="7"/>
      <c r="O398" s="7"/>
      <c r="P398" s="7"/>
      <c r="Q398" s="7"/>
      <c r="R398" s="7"/>
      <c r="S398" s="7"/>
      <c r="T398" s="7"/>
      <c r="U398" s="7"/>
      <c r="V398" s="7"/>
      <c r="W398" s="7"/>
      <c r="X398" s="7"/>
      <c r="Y398" s="7"/>
      <c r="Z398" s="6"/>
      <c r="AA398" s="6"/>
      <c r="AB398" s="6"/>
      <c r="AC398" s="6"/>
      <c r="AD398" s="6"/>
      <c r="AE398" s="6"/>
      <c r="AF398" s="6"/>
      <c r="AG398" s="6"/>
      <c r="AH398" s="6"/>
      <c r="AI398" s="6"/>
      <c r="AJ398" s="6"/>
    </row>
    <row r="399" spans="1:36" x14ac:dyDescent="0.2">
      <c r="A399" s="6"/>
      <c r="B399" s="6"/>
      <c r="C399" s="6"/>
      <c r="D399" s="6"/>
      <c r="E399" s="6"/>
      <c r="F399" s="6"/>
      <c r="G399" s="6"/>
      <c r="H399" s="6"/>
      <c r="I399" s="7"/>
      <c r="J399" s="7"/>
      <c r="K399" s="7"/>
      <c r="L399" s="7"/>
      <c r="M399" s="6"/>
      <c r="N399" s="7"/>
      <c r="O399" s="7"/>
      <c r="P399" s="7"/>
      <c r="Q399" s="7"/>
      <c r="R399" s="7"/>
      <c r="S399" s="7"/>
      <c r="T399" s="7"/>
      <c r="U399" s="7"/>
      <c r="V399" s="7"/>
      <c r="W399" s="7"/>
      <c r="X399" s="7"/>
      <c r="Y399" s="7"/>
      <c r="Z399" s="6"/>
      <c r="AA399" s="6"/>
      <c r="AB399" s="6"/>
      <c r="AC399" s="6"/>
      <c r="AD399" s="6"/>
      <c r="AE399" s="6"/>
      <c r="AF399" s="6"/>
      <c r="AG399" s="6"/>
      <c r="AH399" s="6"/>
      <c r="AI399" s="6"/>
      <c r="AJ399" s="6"/>
    </row>
    <row r="400" spans="1:36" x14ac:dyDescent="0.2">
      <c r="A400" s="6"/>
      <c r="B400" s="6"/>
      <c r="C400" s="6"/>
      <c r="D400" s="6"/>
      <c r="E400" s="6"/>
      <c r="F400" s="6"/>
      <c r="G400" s="6"/>
      <c r="H400" s="6"/>
      <c r="I400" s="7"/>
      <c r="J400" s="7"/>
      <c r="K400" s="7"/>
      <c r="L400" s="7"/>
      <c r="M400" s="6"/>
      <c r="N400" s="7"/>
      <c r="O400" s="7"/>
      <c r="P400" s="7"/>
      <c r="Q400" s="7"/>
      <c r="R400" s="7"/>
      <c r="S400" s="7"/>
      <c r="T400" s="7"/>
      <c r="U400" s="7"/>
      <c r="V400" s="7"/>
      <c r="W400" s="7"/>
      <c r="X400" s="7"/>
      <c r="Y400" s="7"/>
      <c r="Z400" s="6"/>
      <c r="AA400" s="6"/>
      <c r="AB400" s="6"/>
      <c r="AC400" s="6"/>
      <c r="AD400" s="6"/>
      <c r="AE400" s="6"/>
      <c r="AF400" s="6"/>
      <c r="AG400" s="6"/>
      <c r="AH400" s="6"/>
      <c r="AI400" s="6"/>
      <c r="AJ400" s="6"/>
    </row>
    <row r="401" spans="1:36" x14ac:dyDescent="0.2">
      <c r="A401" s="6"/>
      <c r="B401" s="6"/>
      <c r="C401" s="6"/>
      <c r="D401" s="6"/>
      <c r="E401" s="6"/>
      <c r="F401" s="6"/>
      <c r="G401" s="6"/>
      <c r="H401" s="6"/>
      <c r="I401" s="7"/>
      <c r="J401" s="7"/>
      <c r="K401" s="7"/>
      <c r="L401" s="7"/>
      <c r="M401" s="6"/>
      <c r="N401" s="7"/>
      <c r="O401" s="7"/>
      <c r="P401" s="7"/>
      <c r="Q401" s="7"/>
      <c r="R401" s="7"/>
      <c r="S401" s="7"/>
      <c r="T401" s="7"/>
      <c r="U401" s="7"/>
      <c r="V401" s="7"/>
      <c r="W401" s="7"/>
      <c r="X401" s="7"/>
      <c r="Y401" s="7"/>
      <c r="Z401" s="6"/>
      <c r="AA401" s="6"/>
      <c r="AB401" s="6"/>
      <c r="AC401" s="6"/>
      <c r="AD401" s="6"/>
      <c r="AE401" s="6"/>
      <c r="AF401" s="6"/>
      <c r="AG401" s="6"/>
      <c r="AH401" s="6"/>
      <c r="AI401" s="6"/>
      <c r="AJ401" s="6"/>
    </row>
    <row r="402" spans="1:36" x14ac:dyDescent="0.2">
      <c r="A402" s="6"/>
      <c r="B402" s="6"/>
      <c r="C402" s="6"/>
      <c r="D402" s="6"/>
      <c r="E402" s="6"/>
      <c r="F402" s="6"/>
      <c r="G402" s="6"/>
      <c r="H402" s="6"/>
      <c r="I402" s="7"/>
      <c r="J402" s="7"/>
      <c r="K402" s="7"/>
      <c r="L402" s="7"/>
      <c r="M402" s="6"/>
      <c r="N402" s="7"/>
      <c r="O402" s="7"/>
      <c r="P402" s="7"/>
      <c r="Q402" s="7"/>
      <c r="R402" s="7"/>
      <c r="S402" s="7"/>
      <c r="T402" s="7"/>
      <c r="U402" s="7"/>
      <c r="V402" s="7"/>
      <c r="W402" s="7"/>
      <c r="X402" s="7"/>
      <c r="Y402" s="7"/>
      <c r="Z402" s="6"/>
      <c r="AA402" s="6"/>
      <c r="AB402" s="6"/>
      <c r="AC402" s="6"/>
      <c r="AD402" s="6"/>
      <c r="AE402" s="6"/>
      <c r="AF402" s="6"/>
      <c r="AG402" s="6"/>
      <c r="AH402" s="6"/>
      <c r="AI402" s="6"/>
      <c r="AJ402" s="6"/>
    </row>
    <row r="403" spans="1:36" x14ac:dyDescent="0.2">
      <c r="A403" s="6"/>
      <c r="B403" s="6"/>
      <c r="C403" s="6"/>
      <c r="D403" s="6"/>
      <c r="E403" s="6"/>
      <c r="F403" s="6"/>
      <c r="G403" s="6"/>
      <c r="H403" s="6"/>
      <c r="I403" s="7"/>
      <c r="J403" s="7"/>
      <c r="K403" s="7"/>
      <c r="L403" s="7"/>
      <c r="M403" s="6"/>
      <c r="N403" s="7"/>
      <c r="O403" s="7"/>
      <c r="P403" s="7"/>
      <c r="Q403" s="7"/>
      <c r="R403" s="7"/>
      <c r="S403" s="7"/>
      <c r="T403" s="7"/>
      <c r="U403" s="7"/>
      <c r="V403" s="7"/>
      <c r="W403" s="7"/>
      <c r="X403" s="7"/>
      <c r="Y403" s="7"/>
      <c r="Z403" s="6"/>
      <c r="AA403" s="6"/>
      <c r="AB403" s="6"/>
      <c r="AC403" s="6"/>
      <c r="AD403" s="6"/>
      <c r="AE403" s="6"/>
      <c r="AF403" s="6"/>
      <c r="AG403" s="6"/>
      <c r="AH403" s="6"/>
      <c r="AI403" s="6"/>
      <c r="AJ403" s="6"/>
    </row>
    <row r="404" spans="1:36" x14ac:dyDescent="0.2">
      <c r="A404" s="6"/>
      <c r="B404" s="6"/>
      <c r="C404" s="6"/>
      <c r="D404" s="6"/>
      <c r="E404" s="6"/>
      <c r="F404" s="6"/>
      <c r="G404" s="6"/>
      <c r="H404" s="6"/>
      <c r="I404" s="7"/>
      <c r="J404" s="7"/>
      <c r="K404" s="7"/>
      <c r="L404" s="7"/>
      <c r="M404" s="6"/>
      <c r="N404" s="7"/>
      <c r="O404" s="7"/>
      <c r="P404" s="7"/>
      <c r="Q404" s="7"/>
      <c r="R404" s="7"/>
      <c r="S404" s="7"/>
      <c r="T404" s="7"/>
      <c r="U404" s="7"/>
      <c r="V404" s="7"/>
      <c r="W404" s="7"/>
      <c r="X404" s="7"/>
      <c r="Y404" s="7"/>
      <c r="Z404" s="6"/>
      <c r="AA404" s="6"/>
      <c r="AB404" s="6"/>
      <c r="AC404" s="6"/>
      <c r="AD404" s="6"/>
      <c r="AE404" s="6"/>
      <c r="AF404" s="6"/>
      <c r="AG404" s="6"/>
      <c r="AH404" s="6"/>
      <c r="AI404" s="6"/>
      <c r="AJ404" s="6"/>
    </row>
    <row r="405" spans="1:36" x14ac:dyDescent="0.2">
      <c r="A405" s="6"/>
      <c r="B405" s="6"/>
      <c r="C405" s="6"/>
      <c r="D405" s="6"/>
      <c r="E405" s="6"/>
      <c r="F405" s="6"/>
      <c r="G405" s="6"/>
      <c r="H405" s="6"/>
      <c r="I405" s="7"/>
      <c r="J405" s="7"/>
      <c r="K405" s="7"/>
      <c r="L405" s="7"/>
      <c r="M405" s="6"/>
      <c r="N405" s="7"/>
      <c r="O405" s="7"/>
      <c r="P405" s="7"/>
      <c r="Q405" s="7"/>
      <c r="R405" s="7"/>
      <c r="S405" s="7"/>
      <c r="T405" s="7"/>
      <c r="U405" s="7"/>
      <c r="V405" s="7"/>
      <c r="W405" s="7"/>
      <c r="X405" s="7"/>
      <c r="Y405" s="7"/>
      <c r="Z405" s="6"/>
      <c r="AA405" s="6"/>
      <c r="AB405" s="6"/>
      <c r="AC405" s="6"/>
      <c r="AD405" s="6"/>
      <c r="AE405" s="6"/>
      <c r="AF405" s="6"/>
      <c r="AG405" s="6"/>
      <c r="AH405" s="6"/>
      <c r="AI405" s="6"/>
      <c r="AJ405" s="6"/>
    </row>
    <row r="406" spans="1:36" x14ac:dyDescent="0.2">
      <c r="A406" s="6"/>
      <c r="B406" s="6"/>
      <c r="C406" s="6"/>
      <c r="D406" s="6"/>
      <c r="E406" s="6"/>
      <c r="F406" s="6"/>
      <c r="G406" s="6"/>
      <c r="H406" s="6"/>
      <c r="I406" s="7"/>
      <c r="J406" s="7"/>
      <c r="K406" s="7"/>
      <c r="L406" s="7"/>
      <c r="M406" s="6"/>
      <c r="N406" s="7"/>
      <c r="O406" s="7"/>
      <c r="P406" s="7"/>
      <c r="Q406" s="7"/>
      <c r="R406" s="7"/>
      <c r="S406" s="7"/>
      <c r="T406" s="7"/>
      <c r="U406" s="7"/>
      <c r="V406" s="7"/>
      <c r="W406" s="7"/>
      <c r="X406" s="7"/>
      <c r="Y406" s="7"/>
      <c r="Z406" s="6"/>
      <c r="AA406" s="6"/>
      <c r="AB406" s="6"/>
      <c r="AC406" s="6"/>
      <c r="AD406" s="6"/>
      <c r="AE406" s="6"/>
      <c r="AF406" s="6"/>
      <c r="AG406" s="6"/>
      <c r="AH406" s="6"/>
      <c r="AI406" s="6"/>
      <c r="AJ406" s="6"/>
    </row>
    <row r="407" spans="1:36" x14ac:dyDescent="0.2">
      <c r="A407" s="6"/>
      <c r="B407" s="6"/>
      <c r="C407" s="6"/>
      <c r="D407" s="6"/>
      <c r="E407" s="6"/>
      <c r="F407" s="6"/>
      <c r="G407" s="6"/>
      <c r="H407" s="6"/>
      <c r="I407" s="7"/>
      <c r="J407" s="7"/>
      <c r="K407" s="7"/>
      <c r="L407" s="7"/>
      <c r="M407" s="6"/>
      <c r="N407" s="7"/>
      <c r="O407" s="7"/>
      <c r="P407" s="7"/>
      <c r="Q407" s="7"/>
      <c r="R407" s="7"/>
      <c r="S407" s="7"/>
      <c r="T407" s="7"/>
      <c r="U407" s="7"/>
      <c r="V407" s="7"/>
      <c r="W407" s="7"/>
      <c r="X407" s="7"/>
      <c r="Y407" s="7"/>
      <c r="Z407" s="6"/>
      <c r="AA407" s="6"/>
      <c r="AB407" s="6"/>
      <c r="AC407" s="6"/>
      <c r="AD407" s="6"/>
      <c r="AE407" s="6"/>
      <c r="AF407" s="6"/>
      <c r="AG407" s="6"/>
      <c r="AH407" s="6"/>
      <c r="AI407" s="6"/>
      <c r="AJ407" s="6"/>
    </row>
    <row r="408" spans="1:36" x14ac:dyDescent="0.2">
      <c r="A408" s="6"/>
      <c r="B408" s="6"/>
      <c r="C408" s="6"/>
      <c r="D408" s="6"/>
      <c r="E408" s="6"/>
      <c r="F408" s="6"/>
      <c r="G408" s="6"/>
      <c r="H408" s="6"/>
      <c r="I408" s="7"/>
      <c r="J408" s="7"/>
      <c r="K408" s="7"/>
      <c r="L408" s="7"/>
      <c r="M408" s="6"/>
      <c r="N408" s="7"/>
      <c r="O408" s="7"/>
      <c r="P408" s="7"/>
      <c r="Q408" s="7"/>
      <c r="R408" s="7"/>
      <c r="S408" s="7"/>
      <c r="T408" s="7"/>
      <c r="U408" s="7"/>
      <c r="V408" s="7"/>
      <c r="W408" s="7"/>
      <c r="X408" s="7"/>
      <c r="Y408" s="7"/>
      <c r="Z408" s="6"/>
      <c r="AA408" s="6"/>
      <c r="AB408" s="6"/>
      <c r="AC408" s="6"/>
      <c r="AD408" s="6"/>
      <c r="AE408" s="6"/>
      <c r="AF408" s="6"/>
      <c r="AG408" s="6"/>
      <c r="AH408" s="6"/>
      <c r="AI408" s="6"/>
      <c r="AJ408" s="6"/>
    </row>
    <row r="409" spans="1:36" x14ac:dyDescent="0.2">
      <c r="A409" s="6"/>
      <c r="B409" s="6"/>
      <c r="C409" s="6"/>
      <c r="D409" s="6"/>
      <c r="E409" s="6"/>
      <c r="F409" s="6"/>
      <c r="G409" s="6"/>
      <c r="H409" s="6"/>
      <c r="I409" s="7"/>
      <c r="J409" s="7"/>
      <c r="K409" s="7"/>
      <c r="L409" s="7"/>
      <c r="M409" s="6"/>
      <c r="N409" s="7"/>
      <c r="O409" s="7"/>
      <c r="P409" s="7"/>
      <c r="Q409" s="7"/>
      <c r="R409" s="7"/>
      <c r="S409" s="7"/>
      <c r="T409" s="7"/>
      <c r="U409" s="7"/>
      <c r="V409" s="7"/>
      <c r="W409" s="7"/>
      <c r="X409" s="7"/>
      <c r="Y409" s="7"/>
      <c r="Z409" s="6"/>
      <c r="AA409" s="6"/>
      <c r="AB409" s="6"/>
      <c r="AC409" s="6"/>
      <c r="AD409" s="6"/>
      <c r="AE409" s="6"/>
      <c r="AF409" s="6"/>
      <c r="AG409" s="6"/>
      <c r="AH409" s="6"/>
      <c r="AI409" s="6"/>
      <c r="AJ409" s="6"/>
    </row>
    <row r="410" spans="1:36" x14ac:dyDescent="0.2">
      <c r="A410" s="6"/>
      <c r="B410" s="6"/>
      <c r="C410" s="6"/>
      <c r="D410" s="6"/>
      <c r="E410" s="6"/>
      <c r="F410" s="6"/>
      <c r="G410" s="6"/>
      <c r="H410" s="6"/>
      <c r="I410" s="7"/>
      <c r="J410" s="7"/>
      <c r="K410" s="7"/>
      <c r="L410" s="7"/>
      <c r="M410" s="6"/>
      <c r="N410" s="7"/>
      <c r="O410" s="7"/>
      <c r="P410" s="7"/>
      <c r="Q410" s="7"/>
      <c r="R410" s="7"/>
      <c r="S410" s="7"/>
      <c r="T410" s="7"/>
      <c r="U410" s="7"/>
      <c r="V410" s="7"/>
      <c r="W410" s="7"/>
      <c r="X410" s="7"/>
      <c r="Y410" s="7"/>
      <c r="Z410" s="6"/>
      <c r="AA410" s="6"/>
      <c r="AB410" s="6"/>
      <c r="AC410" s="6"/>
      <c r="AD410" s="6"/>
      <c r="AE410" s="6"/>
      <c r="AF410" s="6"/>
      <c r="AG410" s="6"/>
      <c r="AH410" s="6"/>
      <c r="AI410" s="6"/>
      <c r="AJ410" s="6"/>
    </row>
    <row r="411" spans="1:36" x14ac:dyDescent="0.2">
      <c r="A411" s="6"/>
      <c r="B411" s="6"/>
      <c r="C411" s="6"/>
      <c r="D411" s="6"/>
      <c r="E411" s="6"/>
      <c r="F411" s="6"/>
      <c r="G411" s="6"/>
      <c r="H411" s="6"/>
      <c r="I411" s="7"/>
      <c r="J411" s="7"/>
      <c r="K411" s="7"/>
      <c r="L411" s="7"/>
      <c r="M411" s="6"/>
      <c r="N411" s="7"/>
      <c r="O411" s="7"/>
      <c r="P411" s="7"/>
      <c r="Q411" s="7"/>
      <c r="R411" s="7"/>
      <c r="S411" s="7"/>
      <c r="T411" s="7"/>
      <c r="U411" s="7"/>
      <c r="V411" s="7"/>
      <c r="W411" s="7"/>
      <c r="X411" s="7"/>
      <c r="Y411" s="7"/>
      <c r="Z411" s="6"/>
      <c r="AA411" s="6"/>
      <c r="AB411" s="6"/>
      <c r="AC411" s="6"/>
      <c r="AD411" s="6"/>
      <c r="AE411" s="6"/>
      <c r="AF411" s="6"/>
      <c r="AG411" s="6"/>
      <c r="AH411" s="6"/>
      <c r="AI411" s="6"/>
      <c r="AJ411" s="6"/>
    </row>
    <row r="412" spans="1:36" x14ac:dyDescent="0.2">
      <c r="A412" s="6"/>
      <c r="B412" s="6"/>
      <c r="C412" s="6"/>
      <c r="D412" s="6"/>
      <c r="E412" s="6"/>
      <c r="F412" s="6"/>
      <c r="G412" s="6"/>
      <c r="H412" s="6"/>
      <c r="I412" s="7"/>
      <c r="J412" s="7"/>
      <c r="K412" s="7"/>
      <c r="L412" s="7"/>
      <c r="M412" s="6"/>
      <c r="N412" s="7"/>
      <c r="O412" s="7"/>
      <c r="P412" s="7"/>
      <c r="Q412" s="7"/>
      <c r="R412" s="7"/>
      <c r="S412" s="7"/>
      <c r="T412" s="7"/>
      <c r="U412" s="7"/>
      <c r="V412" s="7"/>
      <c r="W412" s="7"/>
      <c r="X412" s="7"/>
      <c r="Y412" s="7"/>
      <c r="Z412" s="6"/>
      <c r="AA412" s="6"/>
      <c r="AB412" s="6"/>
      <c r="AC412" s="6"/>
      <c r="AD412" s="6"/>
      <c r="AE412" s="6"/>
      <c r="AF412" s="6"/>
      <c r="AG412" s="6"/>
      <c r="AH412" s="6"/>
      <c r="AI412" s="6"/>
      <c r="AJ412" s="6"/>
    </row>
    <row r="413" spans="1:36" x14ac:dyDescent="0.2">
      <c r="A413" s="6"/>
      <c r="B413" s="6"/>
      <c r="C413" s="6"/>
      <c r="D413" s="6"/>
      <c r="E413" s="6"/>
      <c r="F413" s="6"/>
      <c r="G413" s="6"/>
      <c r="H413" s="6"/>
      <c r="I413" s="7"/>
      <c r="J413" s="7"/>
      <c r="K413" s="7"/>
      <c r="L413" s="7"/>
      <c r="M413" s="6"/>
      <c r="N413" s="7"/>
      <c r="O413" s="7"/>
      <c r="P413" s="7"/>
      <c r="Q413" s="7"/>
      <c r="R413" s="7"/>
      <c r="S413" s="7"/>
      <c r="T413" s="7"/>
      <c r="U413" s="7"/>
      <c r="V413" s="7"/>
      <c r="W413" s="7"/>
      <c r="X413" s="7"/>
      <c r="Y413" s="7"/>
      <c r="Z413" s="6"/>
      <c r="AA413" s="6"/>
      <c r="AB413" s="6"/>
      <c r="AC413" s="6"/>
      <c r="AD413" s="6"/>
      <c r="AE413" s="6"/>
      <c r="AF413" s="6"/>
      <c r="AG413" s="6"/>
      <c r="AH413" s="6"/>
      <c r="AI413" s="6"/>
      <c r="AJ413" s="6"/>
    </row>
    <row r="414" spans="1:36" x14ac:dyDescent="0.2">
      <c r="A414" s="6"/>
      <c r="B414" s="6"/>
      <c r="C414" s="6"/>
      <c r="D414" s="6"/>
      <c r="E414" s="6"/>
      <c r="F414" s="6"/>
      <c r="G414" s="6"/>
      <c r="H414" s="6"/>
      <c r="I414" s="7"/>
      <c r="J414" s="7"/>
      <c r="K414" s="7"/>
      <c r="L414" s="7"/>
      <c r="M414" s="6"/>
      <c r="N414" s="7"/>
      <c r="O414" s="7"/>
      <c r="P414" s="7"/>
      <c r="Q414" s="7"/>
      <c r="R414" s="7"/>
      <c r="S414" s="7"/>
      <c r="T414" s="7"/>
      <c r="U414" s="7"/>
      <c r="V414" s="7"/>
      <c r="W414" s="7"/>
      <c r="X414" s="7"/>
      <c r="Y414" s="7"/>
      <c r="Z414" s="6"/>
      <c r="AA414" s="6"/>
      <c r="AB414" s="6"/>
      <c r="AC414" s="6"/>
      <c r="AD414" s="6"/>
      <c r="AE414" s="6"/>
      <c r="AF414" s="6"/>
      <c r="AG414" s="6"/>
      <c r="AH414" s="6"/>
      <c r="AI414" s="6"/>
      <c r="AJ414" s="6"/>
    </row>
    <row r="415" spans="1:36" x14ac:dyDescent="0.2">
      <c r="A415" s="6"/>
      <c r="B415" s="6"/>
      <c r="C415" s="6"/>
      <c r="D415" s="6"/>
      <c r="E415" s="6"/>
      <c r="F415" s="6"/>
      <c r="G415" s="6"/>
      <c r="H415" s="6"/>
      <c r="I415" s="7"/>
      <c r="J415" s="7"/>
      <c r="K415" s="7"/>
      <c r="L415" s="7"/>
      <c r="M415" s="6"/>
      <c r="N415" s="7"/>
      <c r="O415" s="7"/>
      <c r="P415" s="7"/>
      <c r="Q415" s="7"/>
      <c r="R415" s="7"/>
      <c r="S415" s="7"/>
      <c r="T415" s="7"/>
      <c r="U415" s="7"/>
      <c r="V415" s="7"/>
      <c r="W415" s="7"/>
      <c r="X415" s="7"/>
      <c r="Y415" s="7"/>
      <c r="Z415" s="6"/>
      <c r="AA415" s="6"/>
      <c r="AB415" s="6"/>
      <c r="AC415" s="6"/>
      <c r="AD415" s="6"/>
      <c r="AE415" s="6"/>
      <c r="AF415" s="6"/>
      <c r="AG415" s="6"/>
      <c r="AH415" s="6"/>
      <c r="AI415" s="6"/>
      <c r="AJ415" s="6"/>
    </row>
    <row r="416" spans="1:36" x14ac:dyDescent="0.2">
      <c r="A416" s="6"/>
      <c r="B416" s="6"/>
      <c r="C416" s="6"/>
      <c r="D416" s="6"/>
      <c r="E416" s="6"/>
      <c r="F416" s="6"/>
      <c r="G416" s="6"/>
      <c r="H416" s="6"/>
      <c r="I416" s="7"/>
      <c r="J416" s="7"/>
      <c r="K416" s="7"/>
      <c r="L416" s="7"/>
      <c r="M416" s="6"/>
      <c r="N416" s="7"/>
      <c r="O416" s="7"/>
      <c r="P416" s="7"/>
      <c r="Q416" s="7"/>
      <c r="R416" s="7"/>
      <c r="S416" s="7"/>
      <c r="T416" s="7"/>
      <c r="U416" s="7"/>
      <c r="V416" s="7"/>
      <c r="W416" s="7"/>
      <c r="X416" s="7"/>
      <c r="Y416" s="7"/>
      <c r="Z416" s="6"/>
      <c r="AA416" s="6"/>
      <c r="AB416" s="6"/>
      <c r="AC416" s="6"/>
      <c r="AD416" s="6"/>
      <c r="AE416" s="6"/>
      <c r="AF416" s="6"/>
      <c r="AG416" s="6"/>
      <c r="AH416" s="6"/>
      <c r="AI416" s="6"/>
      <c r="AJ416" s="6"/>
    </row>
    <row r="417" spans="1:36" x14ac:dyDescent="0.2">
      <c r="A417" s="6"/>
      <c r="B417" s="6"/>
      <c r="C417" s="6"/>
      <c r="D417" s="6"/>
      <c r="E417" s="6"/>
      <c r="F417" s="6"/>
      <c r="G417" s="6"/>
      <c r="H417" s="6"/>
      <c r="I417" s="7"/>
      <c r="J417" s="7"/>
      <c r="K417" s="7"/>
      <c r="L417" s="7"/>
      <c r="M417" s="6"/>
      <c r="N417" s="7"/>
      <c r="O417" s="7"/>
      <c r="P417" s="7"/>
      <c r="Q417" s="7"/>
      <c r="R417" s="7"/>
      <c r="S417" s="7"/>
      <c r="T417" s="7"/>
      <c r="U417" s="7"/>
      <c r="V417" s="7"/>
      <c r="W417" s="7"/>
      <c r="X417" s="7"/>
      <c r="Y417" s="7"/>
      <c r="Z417" s="6"/>
      <c r="AA417" s="6"/>
      <c r="AB417" s="6"/>
      <c r="AC417" s="6"/>
      <c r="AD417" s="6"/>
      <c r="AE417" s="6"/>
      <c r="AF417" s="6"/>
      <c r="AG417" s="6"/>
      <c r="AH417" s="6"/>
      <c r="AI417" s="6"/>
      <c r="AJ417" s="6"/>
    </row>
    <row r="418" spans="1:36" x14ac:dyDescent="0.2">
      <c r="A418" s="6"/>
      <c r="B418" s="6"/>
      <c r="C418" s="6"/>
      <c r="D418" s="6"/>
      <c r="E418" s="6"/>
      <c r="F418" s="6"/>
      <c r="G418" s="6"/>
      <c r="H418" s="6"/>
      <c r="I418" s="7"/>
      <c r="J418" s="7"/>
      <c r="K418" s="7"/>
      <c r="L418" s="7"/>
      <c r="M418" s="6"/>
      <c r="N418" s="7"/>
      <c r="O418" s="7"/>
      <c r="P418" s="7"/>
      <c r="Q418" s="7"/>
      <c r="R418" s="7"/>
      <c r="S418" s="7"/>
      <c r="T418" s="7"/>
      <c r="U418" s="7"/>
      <c r="V418" s="7"/>
      <c r="W418" s="7"/>
      <c r="X418" s="7"/>
      <c r="Y418" s="7"/>
      <c r="Z418" s="6"/>
      <c r="AA418" s="6"/>
      <c r="AB418" s="6"/>
      <c r="AC418" s="6"/>
      <c r="AD418" s="6"/>
      <c r="AE418" s="6"/>
      <c r="AF418" s="6"/>
      <c r="AG418" s="6"/>
      <c r="AH418" s="6"/>
      <c r="AI418" s="6"/>
      <c r="AJ418" s="6"/>
    </row>
    <row r="419" spans="1:36" x14ac:dyDescent="0.2">
      <c r="A419" s="6"/>
      <c r="B419" s="6"/>
      <c r="C419" s="6"/>
      <c r="D419" s="6"/>
      <c r="E419" s="6"/>
      <c r="F419" s="6"/>
      <c r="G419" s="6"/>
      <c r="H419" s="6"/>
      <c r="I419" s="7"/>
      <c r="J419" s="7"/>
      <c r="K419" s="7"/>
      <c r="L419" s="7"/>
      <c r="M419" s="6"/>
      <c r="N419" s="7"/>
      <c r="O419" s="7"/>
      <c r="P419" s="7"/>
      <c r="Q419" s="7"/>
      <c r="R419" s="7"/>
      <c r="S419" s="7"/>
      <c r="T419" s="7"/>
      <c r="U419" s="7"/>
      <c r="V419" s="7"/>
      <c r="W419" s="7"/>
      <c r="X419" s="7"/>
      <c r="Y419" s="7"/>
      <c r="Z419" s="6"/>
      <c r="AA419" s="6"/>
      <c r="AB419" s="6"/>
      <c r="AC419" s="6"/>
      <c r="AD419" s="6"/>
      <c r="AE419" s="6"/>
      <c r="AF419" s="6"/>
      <c r="AG419" s="6"/>
      <c r="AH419" s="6"/>
      <c r="AI419" s="6"/>
      <c r="AJ419" s="6"/>
    </row>
    <row r="420" spans="1:36" x14ac:dyDescent="0.2">
      <c r="A420" s="6"/>
      <c r="B420" s="6"/>
      <c r="C420" s="6"/>
      <c r="D420" s="6"/>
      <c r="E420" s="6"/>
      <c r="F420" s="6"/>
      <c r="G420" s="6"/>
      <c r="H420" s="6"/>
      <c r="I420" s="7"/>
      <c r="J420" s="7"/>
      <c r="K420" s="7"/>
      <c r="L420" s="7"/>
      <c r="M420" s="6"/>
      <c r="N420" s="7"/>
      <c r="O420" s="7"/>
      <c r="P420" s="7"/>
      <c r="Q420" s="7"/>
      <c r="R420" s="7"/>
      <c r="S420" s="7"/>
      <c r="T420" s="7"/>
      <c r="U420" s="7"/>
      <c r="V420" s="7"/>
      <c r="W420" s="7"/>
      <c r="X420" s="7"/>
      <c r="Y420" s="7"/>
      <c r="Z420" s="6"/>
      <c r="AA420" s="6"/>
      <c r="AB420" s="6"/>
      <c r="AC420" s="6"/>
      <c r="AD420" s="6"/>
      <c r="AE420" s="6"/>
      <c r="AF420" s="6"/>
      <c r="AG420" s="6"/>
      <c r="AH420" s="6"/>
      <c r="AI420" s="6"/>
      <c r="AJ420" s="6"/>
    </row>
    <row r="421" spans="1:36" x14ac:dyDescent="0.2">
      <c r="A421" s="6"/>
      <c r="B421" s="6"/>
      <c r="C421" s="6"/>
      <c r="D421" s="6"/>
      <c r="E421" s="6"/>
      <c r="F421" s="6"/>
      <c r="G421" s="6"/>
      <c r="H421" s="6"/>
      <c r="I421" s="7"/>
      <c r="J421" s="7"/>
      <c r="K421" s="7"/>
      <c r="L421" s="7"/>
      <c r="M421" s="6"/>
      <c r="N421" s="7"/>
      <c r="O421" s="7"/>
      <c r="P421" s="7"/>
      <c r="Q421" s="7"/>
      <c r="R421" s="7"/>
      <c r="S421" s="7"/>
      <c r="T421" s="7"/>
      <c r="U421" s="7"/>
      <c r="V421" s="7"/>
      <c r="W421" s="7"/>
      <c r="X421" s="7"/>
      <c r="Y421" s="7"/>
      <c r="Z421" s="6"/>
      <c r="AA421" s="6"/>
      <c r="AB421" s="6"/>
      <c r="AC421" s="6"/>
      <c r="AD421" s="6"/>
      <c r="AE421" s="6"/>
      <c r="AF421" s="6"/>
      <c r="AG421" s="6"/>
      <c r="AH421" s="6"/>
      <c r="AI421" s="6"/>
      <c r="AJ421" s="6"/>
    </row>
    <row r="422" spans="1:36" x14ac:dyDescent="0.2">
      <c r="A422" s="6"/>
      <c r="B422" s="6"/>
      <c r="C422" s="6"/>
      <c r="D422" s="6"/>
      <c r="E422" s="6"/>
      <c r="F422" s="6"/>
      <c r="G422" s="6"/>
      <c r="H422" s="6"/>
      <c r="I422" s="7"/>
      <c r="J422" s="7"/>
      <c r="K422" s="7"/>
      <c r="L422" s="7"/>
      <c r="M422" s="6"/>
      <c r="N422" s="7"/>
      <c r="O422" s="7"/>
      <c r="P422" s="7"/>
      <c r="Q422" s="7"/>
      <c r="R422" s="7"/>
      <c r="S422" s="7"/>
      <c r="T422" s="7"/>
      <c r="U422" s="7"/>
      <c r="V422" s="7"/>
      <c r="W422" s="7"/>
      <c r="X422" s="7"/>
      <c r="Y422" s="7"/>
      <c r="Z422" s="6"/>
      <c r="AA422" s="6"/>
      <c r="AB422" s="6"/>
      <c r="AC422" s="6"/>
      <c r="AD422" s="6"/>
      <c r="AE422" s="6"/>
      <c r="AF422" s="6"/>
      <c r="AG422" s="6"/>
      <c r="AH422" s="6"/>
      <c r="AI422" s="6"/>
      <c r="AJ422" s="6"/>
    </row>
    <row r="423" spans="1:36" x14ac:dyDescent="0.2">
      <c r="A423" s="6"/>
      <c r="B423" s="6"/>
      <c r="C423" s="6"/>
      <c r="D423" s="6"/>
      <c r="E423" s="6"/>
      <c r="F423" s="6"/>
      <c r="G423" s="6"/>
      <c r="H423" s="6"/>
      <c r="I423" s="7"/>
      <c r="J423" s="7"/>
      <c r="K423" s="7"/>
      <c r="L423" s="7"/>
      <c r="M423" s="6"/>
      <c r="N423" s="7"/>
      <c r="O423" s="7"/>
      <c r="P423" s="7"/>
      <c r="Q423" s="7"/>
      <c r="R423" s="7"/>
      <c r="S423" s="7"/>
      <c r="T423" s="7"/>
      <c r="U423" s="7"/>
      <c r="V423" s="7"/>
      <c r="W423" s="7"/>
      <c r="X423" s="7"/>
      <c r="Y423" s="7"/>
      <c r="Z423" s="6"/>
      <c r="AA423" s="6"/>
      <c r="AB423" s="6"/>
      <c r="AC423" s="6"/>
      <c r="AD423" s="6"/>
      <c r="AE423" s="6"/>
      <c r="AF423" s="6"/>
      <c r="AG423" s="6"/>
      <c r="AH423" s="6"/>
      <c r="AI423" s="6"/>
      <c r="AJ423" s="6"/>
    </row>
    <row r="424" spans="1:36" x14ac:dyDescent="0.2">
      <c r="A424" s="6"/>
      <c r="B424" s="6"/>
      <c r="C424" s="6"/>
      <c r="D424" s="6"/>
      <c r="E424" s="6"/>
      <c r="F424" s="6"/>
      <c r="G424" s="6"/>
      <c r="H424" s="6"/>
      <c r="I424" s="7"/>
      <c r="J424" s="7"/>
      <c r="K424" s="7"/>
      <c r="L424" s="7"/>
      <c r="M424" s="6"/>
      <c r="N424" s="7"/>
      <c r="O424" s="7"/>
      <c r="P424" s="7"/>
      <c r="Q424" s="7"/>
      <c r="R424" s="7"/>
      <c r="S424" s="7"/>
      <c r="T424" s="7"/>
      <c r="U424" s="7"/>
      <c r="V424" s="7"/>
      <c r="W424" s="7"/>
      <c r="X424" s="7"/>
      <c r="Y424" s="7"/>
      <c r="Z424" s="6"/>
      <c r="AA424" s="6"/>
      <c r="AB424" s="6"/>
      <c r="AC424" s="6"/>
      <c r="AD424" s="6"/>
      <c r="AE424" s="6"/>
      <c r="AF424" s="6"/>
      <c r="AG424" s="6"/>
      <c r="AH424" s="6"/>
      <c r="AI424" s="6"/>
      <c r="AJ424" s="6"/>
    </row>
    <row r="425" spans="1:36" x14ac:dyDescent="0.2">
      <c r="A425" s="6"/>
      <c r="B425" s="6"/>
      <c r="C425" s="6"/>
      <c r="D425" s="6"/>
      <c r="E425" s="6"/>
      <c r="F425" s="6"/>
      <c r="G425" s="6"/>
      <c r="H425" s="6"/>
      <c r="I425" s="7"/>
      <c r="J425" s="7"/>
      <c r="K425" s="7"/>
      <c r="L425" s="7"/>
      <c r="M425" s="6"/>
      <c r="N425" s="7"/>
      <c r="O425" s="7"/>
      <c r="P425" s="7"/>
      <c r="Q425" s="7"/>
      <c r="R425" s="7"/>
      <c r="S425" s="7"/>
      <c r="T425" s="7"/>
      <c r="U425" s="7"/>
      <c r="V425" s="7"/>
      <c r="W425" s="7"/>
      <c r="X425" s="7"/>
      <c r="Y425" s="7"/>
      <c r="Z425" s="6"/>
      <c r="AA425" s="6"/>
      <c r="AB425" s="6"/>
      <c r="AC425" s="6"/>
      <c r="AD425" s="6"/>
      <c r="AE425" s="6"/>
      <c r="AF425" s="6"/>
      <c r="AG425" s="6"/>
      <c r="AH425" s="6"/>
      <c r="AI425" s="6"/>
      <c r="AJ425" s="6"/>
    </row>
    <row r="426" spans="1:36" x14ac:dyDescent="0.2">
      <c r="A426" s="6"/>
      <c r="B426" s="6"/>
      <c r="C426" s="6"/>
      <c r="D426" s="6"/>
      <c r="E426" s="6"/>
      <c r="F426" s="6"/>
      <c r="G426" s="6"/>
      <c r="H426" s="6"/>
      <c r="I426" s="7"/>
      <c r="J426" s="7"/>
      <c r="K426" s="7"/>
      <c r="L426" s="7"/>
      <c r="M426" s="6"/>
      <c r="N426" s="7"/>
      <c r="O426" s="7"/>
      <c r="P426" s="7"/>
      <c r="Q426" s="7"/>
      <c r="R426" s="7"/>
      <c r="S426" s="7"/>
      <c r="T426" s="7"/>
      <c r="U426" s="7"/>
      <c r="V426" s="7"/>
      <c r="W426" s="7"/>
      <c r="X426" s="7"/>
      <c r="Y426" s="7"/>
      <c r="Z426" s="6"/>
      <c r="AA426" s="6"/>
      <c r="AB426" s="6"/>
      <c r="AC426" s="6"/>
      <c r="AD426" s="6"/>
      <c r="AE426" s="6"/>
      <c r="AF426" s="6"/>
      <c r="AG426" s="6"/>
      <c r="AH426" s="6"/>
      <c r="AI426" s="6"/>
      <c r="AJ426" s="6"/>
    </row>
    <row r="427" spans="1:36" x14ac:dyDescent="0.2">
      <c r="A427" s="6"/>
      <c r="B427" s="6"/>
      <c r="C427" s="6"/>
      <c r="D427" s="6"/>
      <c r="E427" s="6"/>
      <c r="F427" s="6"/>
      <c r="G427" s="6"/>
      <c r="H427" s="6"/>
      <c r="I427" s="7"/>
      <c r="J427" s="7"/>
      <c r="K427" s="7"/>
      <c r="L427" s="7"/>
      <c r="M427" s="6"/>
      <c r="N427" s="7"/>
      <c r="O427" s="7"/>
      <c r="P427" s="7"/>
      <c r="Q427" s="7"/>
      <c r="R427" s="7"/>
      <c r="S427" s="7"/>
      <c r="T427" s="7"/>
      <c r="U427" s="7"/>
      <c r="V427" s="7"/>
      <c r="W427" s="7"/>
      <c r="X427" s="7"/>
      <c r="Y427" s="7"/>
      <c r="Z427" s="6"/>
      <c r="AA427" s="6"/>
      <c r="AB427" s="6"/>
      <c r="AC427" s="6"/>
      <c r="AD427" s="6"/>
      <c r="AE427" s="6"/>
      <c r="AF427" s="6"/>
      <c r="AG427" s="6"/>
      <c r="AH427" s="6"/>
      <c r="AI427" s="6"/>
      <c r="AJ427" s="6"/>
    </row>
    <row r="428" spans="1:36" x14ac:dyDescent="0.2">
      <c r="A428" s="6"/>
      <c r="B428" s="6"/>
      <c r="C428" s="6"/>
      <c r="D428" s="6"/>
      <c r="E428" s="6"/>
      <c r="F428" s="6"/>
      <c r="G428" s="6"/>
      <c r="H428" s="6"/>
      <c r="I428" s="7"/>
      <c r="J428" s="7"/>
      <c r="K428" s="7"/>
      <c r="L428" s="7"/>
      <c r="M428" s="6"/>
      <c r="N428" s="7"/>
      <c r="O428" s="7"/>
      <c r="P428" s="7"/>
      <c r="Q428" s="7"/>
      <c r="R428" s="7"/>
      <c r="S428" s="7"/>
      <c r="T428" s="7"/>
      <c r="U428" s="7"/>
      <c r="V428" s="7"/>
      <c r="W428" s="7"/>
      <c r="X428" s="7"/>
      <c r="Y428" s="7"/>
      <c r="Z428" s="6"/>
      <c r="AA428" s="6"/>
      <c r="AB428" s="6"/>
      <c r="AC428" s="6"/>
      <c r="AD428" s="6"/>
      <c r="AE428" s="6"/>
      <c r="AF428" s="6"/>
      <c r="AG428" s="6"/>
      <c r="AH428" s="6"/>
      <c r="AI428" s="6"/>
      <c r="AJ428" s="6"/>
    </row>
    <row r="429" spans="1:36" x14ac:dyDescent="0.2">
      <c r="A429" s="6"/>
      <c r="B429" s="6"/>
      <c r="C429" s="6"/>
      <c r="D429" s="6"/>
      <c r="E429" s="6"/>
      <c r="F429" s="6"/>
      <c r="G429" s="6"/>
      <c r="H429" s="6"/>
      <c r="I429" s="7"/>
      <c r="J429" s="7"/>
      <c r="K429" s="7"/>
      <c r="L429" s="7"/>
      <c r="M429" s="6"/>
      <c r="N429" s="7"/>
      <c r="O429" s="7"/>
      <c r="P429" s="7"/>
      <c r="Q429" s="7"/>
      <c r="R429" s="7"/>
      <c r="S429" s="7"/>
      <c r="T429" s="7"/>
      <c r="U429" s="7"/>
      <c r="V429" s="7"/>
      <c r="W429" s="7"/>
      <c r="X429" s="7"/>
      <c r="Y429" s="7"/>
      <c r="Z429" s="6"/>
      <c r="AA429" s="6"/>
      <c r="AB429" s="6"/>
      <c r="AC429" s="6"/>
      <c r="AD429" s="6"/>
      <c r="AE429" s="6"/>
      <c r="AF429" s="6"/>
      <c r="AG429" s="6"/>
      <c r="AH429" s="6"/>
      <c r="AI429" s="6"/>
      <c r="AJ429" s="6"/>
    </row>
    <row r="430" spans="1:36" x14ac:dyDescent="0.2">
      <c r="A430" s="6"/>
      <c r="B430" s="6"/>
      <c r="C430" s="6"/>
      <c r="D430" s="6"/>
      <c r="E430" s="6"/>
      <c r="F430" s="6"/>
      <c r="G430" s="6"/>
      <c r="H430" s="6"/>
      <c r="I430" s="7"/>
      <c r="J430" s="7"/>
      <c r="K430" s="7"/>
      <c r="L430" s="7"/>
      <c r="M430" s="6"/>
      <c r="N430" s="7"/>
      <c r="O430" s="7"/>
      <c r="P430" s="7"/>
      <c r="Q430" s="7"/>
      <c r="R430" s="7"/>
      <c r="S430" s="7"/>
      <c r="T430" s="7"/>
      <c r="U430" s="7"/>
      <c r="V430" s="7"/>
      <c r="W430" s="7"/>
      <c r="X430" s="7"/>
      <c r="Y430" s="7"/>
      <c r="Z430" s="6"/>
      <c r="AA430" s="6"/>
      <c r="AB430" s="6"/>
      <c r="AC430" s="6"/>
      <c r="AD430" s="6"/>
      <c r="AE430" s="6"/>
      <c r="AF430" s="6"/>
      <c r="AG430" s="6"/>
      <c r="AH430" s="6"/>
      <c r="AI430" s="6"/>
      <c r="AJ430" s="6"/>
    </row>
    <row r="431" spans="1:36" x14ac:dyDescent="0.2">
      <c r="A431" s="6"/>
      <c r="B431" s="6"/>
      <c r="C431" s="6"/>
      <c r="D431" s="6"/>
      <c r="E431" s="6"/>
      <c r="F431" s="6"/>
      <c r="G431" s="6"/>
      <c r="H431" s="6"/>
      <c r="I431" s="7"/>
      <c r="J431" s="7"/>
      <c r="K431" s="7"/>
      <c r="L431" s="7"/>
      <c r="M431" s="6"/>
      <c r="N431" s="7"/>
      <c r="O431" s="7"/>
      <c r="P431" s="7"/>
      <c r="Q431" s="7"/>
      <c r="R431" s="7"/>
      <c r="S431" s="7"/>
      <c r="T431" s="7"/>
      <c r="U431" s="7"/>
      <c r="V431" s="7"/>
      <c r="W431" s="7"/>
      <c r="X431" s="7"/>
      <c r="Y431" s="7"/>
      <c r="Z431" s="6"/>
      <c r="AA431" s="6"/>
      <c r="AB431" s="6"/>
      <c r="AC431" s="6"/>
      <c r="AD431" s="6"/>
      <c r="AE431" s="6"/>
      <c r="AF431" s="6"/>
      <c r="AG431" s="6"/>
      <c r="AH431" s="6"/>
      <c r="AI431" s="6"/>
      <c r="AJ431" s="6"/>
    </row>
    <row r="432" spans="1:36" x14ac:dyDescent="0.2">
      <c r="A432" s="6"/>
      <c r="B432" s="6"/>
      <c r="C432" s="6"/>
      <c r="D432" s="6"/>
      <c r="E432" s="6"/>
      <c r="F432" s="6"/>
      <c r="G432" s="6"/>
      <c r="H432" s="6"/>
      <c r="I432" s="7"/>
      <c r="J432" s="7"/>
      <c r="K432" s="7"/>
      <c r="L432" s="7"/>
      <c r="M432" s="6"/>
      <c r="N432" s="7"/>
      <c r="O432" s="7"/>
      <c r="P432" s="7"/>
      <c r="Q432" s="7"/>
      <c r="R432" s="7"/>
      <c r="S432" s="7"/>
      <c r="T432" s="7"/>
      <c r="U432" s="7"/>
      <c r="V432" s="7"/>
      <c r="W432" s="7"/>
      <c r="X432" s="7"/>
      <c r="Y432" s="7"/>
      <c r="Z432" s="6"/>
      <c r="AA432" s="6"/>
      <c r="AB432" s="6"/>
      <c r="AC432" s="6"/>
      <c r="AD432" s="6"/>
      <c r="AE432" s="6"/>
      <c r="AF432" s="6"/>
      <c r="AG432" s="6"/>
      <c r="AH432" s="6"/>
      <c r="AI432" s="6"/>
      <c r="AJ432" s="6"/>
    </row>
    <row r="433" spans="1:36" x14ac:dyDescent="0.2">
      <c r="A433" s="6"/>
      <c r="B433" s="6"/>
      <c r="C433" s="6"/>
      <c r="D433" s="6"/>
      <c r="E433" s="6"/>
      <c r="F433" s="6"/>
      <c r="G433" s="6"/>
      <c r="H433" s="6"/>
      <c r="I433" s="7"/>
      <c r="J433" s="7"/>
      <c r="K433" s="7"/>
      <c r="L433" s="7"/>
      <c r="M433" s="6"/>
      <c r="N433" s="7"/>
      <c r="O433" s="7"/>
      <c r="P433" s="7"/>
      <c r="Q433" s="7"/>
      <c r="R433" s="7"/>
      <c r="S433" s="7"/>
      <c r="T433" s="7"/>
      <c r="U433" s="7"/>
      <c r="V433" s="7"/>
      <c r="W433" s="7"/>
      <c r="X433" s="7"/>
      <c r="Y433" s="7"/>
      <c r="Z433" s="6"/>
      <c r="AA433" s="6"/>
      <c r="AB433" s="6"/>
      <c r="AC433" s="6"/>
      <c r="AD433" s="6"/>
      <c r="AE433" s="6"/>
      <c r="AF433" s="6"/>
      <c r="AG433" s="6"/>
      <c r="AH433" s="6"/>
      <c r="AI433" s="6"/>
      <c r="AJ433" s="6"/>
    </row>
    <row r="434" spans="1:36" x14ac:dyDescent="0.2">
      <c r="A434" s="6"/>
      <c r="B434" s="6"/>
      <c r="C434" s="6"/>
      <c r="D434" s="6"/>
      <c r="E434" s="6"/>
      <c r="F434" s="6"/>
      <c r="G434" s="6"/>
      <c r="H434" s="6"/>
      <c r="I434" s="7"/>
      <c r="J434" s="7"/>
      <c r="K434" s="7"/>
      <c r="L434" s="7"/>
      <c r="M434" s="6"/>
      <c r="N434" s="7"/>
      <c r="O434" s="7"/>
      <c r="P434" s="7"/>
      <c r="Q434" s="7"/>
      <c r="R434" s="7"/>
      <c r="S434" s="7"/>
      <c r="T434" s="7"/>
      <c r="U434" s="7"/>
      <c r="V434" s="7"/>
      <c r="W434" s="7"/>
      <c r="X434" s="7"/>
      <c r="Y434" s="7"/>
      <c r="Z434" s="6"/>
      <c r="AA434" s="6"/>
      <c r="AB434" s="6"/>
      <c r="AC434" s="6"/>
      <c r="AD434" s="6"/>
      <c r="AE434" s="6"/>
      <c r="AF434" s="6"/>
      <c r="AG434" s="6"/>
      <c r="AH434" s="6"/>
      <c r="AI434" s="6"/>
      <c r="AJ434" s="6"/>
    </row>
    <row r="435" spans="1:36" x14ac:dyDescent="0.2">
      <c r="A435" s="6"/>
      <c r="B435" s="6"/>
      <c r="C435" s="6"/>
      <c r="D435" s="6"/>
      <c r="E435" s="6"/>
      <c r="F435" s="6"/>
      <c r="G435" s="6"/>
      <c r="H435" s="6"/>
      <c r="I435" s="7"/>
      <c r="J435" s="7"/>
      <c r="K435" s="7"/>
      <c r="L435" s="7"/>
      <c r="M435" s="6"/>
      <c r="N435" s="7"/>
      <c r="O435" s="7"/>
      <c r="P435" s="7"/>
      <c r="Q435" s="7"/>
      <c r="R435" s="7"/>
      <c r="S435" s="7"/>
      <c r="T435" s="7"/>
      <c r="U435" s="7"/>
      <c r="V435" s="7"/>
      <c r="W435" s="7"/>
      <c r="X435" s="7"/>
      <c r="Y435" s="7"/>
      <c r="Z435" s="6"/>
      <c r="AA435" s="6"/>
      <c r="AB435" s="6"/>
      <c r="AC435" s="6"/>
      <c r="AD435" s="6"/>
      <c r="AE435" s="6"/>
      <c r="AF435" s="6"/>
      <c r="AG435" s="6"/>
      <c r="AH435" s="6"/>
      <c r="AI435" s="6"/>
      <c r="AJ435" s="6"/>
    </row>
    <row r="436" spans="1:36" x14ac:dyDescent="0.2">
      <c r="A436" s="6"/>
      <c r="B436" s="6"/>
      <c r="C436" s="6"/>
      <c r="D436" s="6"/>
      <c r="E436" s="6"/>
      <c r="F436" s="6"/>
      <c r="G436" s="6"/>
      <c r="H436" s="6"/>
      <c r="I436" s="7"/>
      <c r="J436" s="7"/>
      <c r="K436" s="7"/>
      <c r="L436" s="7"/>
      <c r="M436" s="6"/>
      <c r="N436" s="7"/>
      <c r="O436" s="7"/>
      <c r="P436" s="7"/>
      <c r="Q436" s="7"/>
      <c r="R436" s="7"/>
      <c r="S436" s="7"/>
      <c r="T436" s="7"/>
      <c r="U436" s="7"/>
      <c r="V436" s="7"/>
      <c r="W436" s="7"/>
      <c r="X436" s="7"/>
      <c r="Y436" s="7"/>
      <c r="Z436" s="6"/>
      <c r="AA436" s="6"/>
      <c r="AB436" s="6"/>
      <c r="AC436" s="6"/>
      <c r="AD436" s="6"/>
      <c r="AE436" s="6"/>
      <c r="AF436" s="6"/>
      <c r="AG436" s="6"/>
      <c r="AH436" s="6"/>
      <c r="AI436" s="6"/>
      <c r="AJ436" s="6"/>
    </row>
    <row r="437" spans="1:36" x14ac:dyDescent="0.2">
      <c r="A437" s="6"/>
      <c r="B437" s="6"/>
      <c r="C437" s="6"/>
      <c r="D437" s="6"/>
      <c r="E437" s="6"/>
      <c r="F437" s="6"/>
      <c r="G437" s="6"/>
      <c r="H437" s="6"/>
      <c r="I437" s="7"/>
      <c r="J437" s="7"/>
      <c r="K437" s="7"/>
      <c r="L437" s="7"/>
      <c r="M437" s="6"/>
      <c r="N437" s="7"/>
      <c r="O437" s="7"/>
      <c r="P437" s="7"/>
      <c r="Q437" s="7"/>
      <c r="R437" s="7"/>
      <c r="S437" s="7"/>
      <c r="T437" s="7"/>
      <c r="U437" s="7"/>
      <c r="V437" s="7"/>
      <c r="W437" s="7"/>
      <c r="X437" s="7"/>
      <c r="Y437" s="7"/>
      <c r="Z437" s="6"/>
      <c r="AA437" s="6"/>
      <c r="AB437" s="6"/>
      <c r="AC437" s="6"/>
      <c r="AD437" s="6"/>
      <c r="AE437" s="6"/>
      <c r="AF437" s="6"/>
      <c r="AG437" s="6"/>
      <c r="AH437" s="6"/>
      <c r="AI437" s="6"/>
      <c r="AJ437" s="6"/>
    </row>
    <row r="438" spans="1:36" x14ac:dyDescent="0.2">
      <c r="A438" s="6"/>
      <c r="B438" s="6"/>
      <c r="C438" s="6"/>
      <c r="D438" s="6"/>
      <c r="E438" s="6"/>
      <c r="F438" s="6"/>
      <c r="G438" s="6"/>
      <c r="H438" s="6"/>
      <c r="I438" s="7"/>
      <c r="J438" s="7"/>
      <c r="K438" s="7"/>
      <c r="L438" s="7"/>
      <c r="M438" s="6"/>
      <c r="N438" s="7"/>
      <c r="O438" s="7"/>
      <c r="P438" s="7"/>
      <c r="Q438" s="7"/>
      <c r="R438" s="7"/>
      <c r="S438" s="7"/>
      <c r="T438" s="7"/>
      <c r="U438" s="7"/>
      <c r="V438" s="7"/>
      <c r="W438" s="7"/>
      <c r="X438" s="7"/>
      <c r="Y438" s="7"/>
      <c r="Z438" s="6"/>
      <c r="AA438" s="6"/>
      <c r="AB438" s="6"/>
      <c r="AC438" s="6"/>
      <c r="AD438" s="6"/>
      <c r="AE438" s="6"/>
      <c r="AF438" s="6"/>
      <c r="AG438" s="6"/>
      <c r="AH438" s="6"/>
      <c r="AI438" s="6"/>
      <c r="AJ438" s="6"/>
    </row>
    <row r="439" spans="1:36" x14ac:dyDescent="0.2">
      <c r="A439" s="6"/>
      <c r="B439" s="6"/>
      <c r="C439" s="6"/>
      <c r="D439" s="6"/>
      <c r="E439" s="6"/>
      <c r="F439" s="6"/>
      <c r="G439" s="6"/>
      <c r="H439" s="6"/>
      <c r="I439" s="7"/>
      <c r="J439" s="7"/>
      <c r="K439" s="7"/>
      <c r="L439" s="7"/>
      <c r="M439" s="6"/>
      <c r="N439" s="7"/>
      <c r="O439" s="7"/>
      <c r="P439" s="7"/>
      <c r="Q439" s="7"/>
      <c r="R439" s="7"/>
      <c r="S439" s="7"/>
      <c r="T439" s="7"/>
      <c r="U439" s="7"/>
      <c r="V439" s="7"/>
      <c r="W439" s="7"/>
      <c r="X439" s="7"/>
      <c r="Y439" s="7"/>
      <c r="Z439" s="6"/>
      <c r="AA439" s="6"/>
      <c r="AB439" s="6"/>
      <c r="AC439" s="6"/>
      <c r="AD439" s="6"/>
      <c r="AE439" s="6"/>
      <c r="AF439" s="6"/>
      <c r="AG439" s="6"/>
      <c r="AH439" s="6"/>
      <c r="AI439" s="6"/>
      <c r="AJ439" s="6"/>
    </row>
    <row r="440" spans="1:36" x14ac:dyDescent="0.2">
      <c r="A440" s="6"/>
      <c r="B440" s="6"/>
      <c r="C440" s="6"/>
      <c r="D440" s="6"/>
      <c r="E440" s="6"/>
      <c r="F440" s="6"/>
      <c r="G440" s="6"/>
      <c r="H440" s="6"/>
      <c r="I440" s="7"/>
      <c r="J440" s="7"/>
      <c r="K440" s="7"/>
      <c r="L440" s="7"/>
      <c r="M440" s="6"/>
      <c r="N440" s="7"/>
      <c r="O440" s="7"/>
      <c r="P440" s="7"/>
      <c r="Q440" s="7"/>
      <c r="R440" s="7"/>
      <c r="S440" s="7"/>
      <c r="T440" s="7"/>
      <c r="U440" s="7"/>
      <c r="V440" s="7"/>
      <c r="W440" s="7"/>
      <c r="X440" s="7"/>
      <c r="Y440" s="7"/>
      <c r="Z440" s="6"/>
      <c r="AA440" s="6"/>
      <c r="AB440" s="6"/>
      <c r="AC440" s="6"/>
      <c r="AD440" s="6"/>
      <c r="AE440" s="6"/>
      <c r="AF440" s="6"/>
      <c r="AG440" s="6"/>
      <c r="AH440" s="6"/>
      <c r="AI440" s="6"/>
      <c r="AJ440" s="6"/>
    </row>
    <row r="441" spans="1:36" x14ac:dyDescent="0.2">
      <c r="A441" s="6"/>
      <c r="B441" s="6"/>
      <c r="C441" s="6"/>
      <c r="D441" s="6"/>
      <c r="E441" s="6"/>
      <c r="F441" s="6"/>
      <c r="G441" s="6"/>
      <c r="H441" s="6"/>
      <c r="I441" s="7"/>
      <c r="J441" s="7"/>
      <c r="K441" s="7"/>
      <c r="L441" s="7"/>
      <c r="M441" s="6"/>
      <c r="N441" s="7"/>
      <c r="O441" s="7"/>
      <c r="P441" s="7"/>
      <c r="Q441" s="7"/>
      <c r="R441" s="7"/>
      <c r="S441" s="7"/>
      <c r="T441" s="7"/>
      <c r="U441" s="7"/>
      <c r="V441" s="7"/>
      <c r="W441" s="7"/>
      <c r="X441" s="7"/>
      <c r="Y441" s="7"/>
      <c r="Z441" s="6"/>
      <c r="AA441" s="6"/>
      <c r="AB441" s="6"/>
      <c r="AC441" s="6"/>
      <c r="AD441" s="6"/>
      <c r="AE441" s="6"/>
      <c r="AF441" s="6"/>
      <c r="AG441" s="6"/>
      <c r="AH441" s="6"/>
      <c r="AI441" s="6"/>
      <c r="AJ441" s="6"/>
    </row>
    <row r="442" spans="1:36" x14ac:dyDescent="0.2">
      <c r="A442" s="6"/>
      <c r="B442" s="6"/>
      <c r="C442" s="6"/>
      <c r="D442" s="6"/>
      <c r="E442" s="6"/>
      <c r="F442" s="6"/>
      <c r="G442" s="6"/>
      <c r="H442" s="6"/>
      <c r="I442" s="7"/>
      <c r="J442" s="7"/>
      <c r="K442" s="7"/>
      <c r="L442" s="7"/>
      <c r="M442" s="6"/>
      <c r="N442" s="7"/>
      <c r="O442" s="7"/>
      <c r="P442" s="7"/>
      <c r="Q442" s="7"/>
      <c r="R442" s="7"/>
      <c r="S442" s="7"/>
      <c r="T442" s="7"/>
      <c r="U442" s="7"/>
      <c r="V442" s="7"/>
      <c r="W442" s="7"/>
      <c r="X442" s="7"/>
      <c r="Y442" s="7"/>
      <c r="Z442" s="6"/>
      <c r="AA442" s="6"/>
      <c r="AB442" s="6"/>
      <c r="AC442" s="6"/>
      <c r="AD442" s="6"/>
      <c r="AE442" s="6"/>
      <c r="AF442" s="6"/>
      <c r="AG442" s="6"/>
      <c r="AH442" s="6"/>
      <c r="AI442" s="6"/>
      <c r="AJ442" s="6"/>
    </row>
    <row r="443" spans="1:36" x14ac:dyDescent="0.2">
      <c r="A443" s="6"/>
      <c r="B443" s="6"/>
      <c r="C443" s="6"/>
      <c r="D443" s="6"/>
      <c r="E443" s="6"/>
      <c r="F443" s="6"/>
      <c r="G443" s="6"/>
      <c r="H443" s="6"/>
      <c r="I443" s="7"/>
      <c r="J443" s="7"/>
      <c r="K443" s="7"/>
      <c r="L443" s="7"/>
      <c r="M443" s="6"/>
      <c r="N443" s="7"/>
      <c r="O443" s="7"/>
      <c r="P443" s="7"/>
      <c r="Q443" s="7"/>
      <c r="R443" s="7"/>
      <c r="S443" s="7"/>
      <c r="T443" s="7"/>
      <c r="U443" s="7"/>
      <c r="V443" s="7"/>
      <c r="W443" s="7"/>
      <c r="X443" s="7"/>
      <c r="Y443" s="7"/>
      <c r="Z443" s="6"/>
      <c r="AA443" s="6"/>
      <c r="AB443" s="6"/>
      <c r="AC443" s="6"/>
      <c r="AD443" s="6"/>
      <c r="AE443" s="6"/>
      <c r="AF443" s="6"/>
      <c r="AG443" s="6"/>
      <c r="AH443" s="6"/>
      <c r="AI443" s="6"/>
      <c r="AJ443" s="6"/>
    </row>
    <row r="444" spans="1:36" x14ac:dyDescent="0.2">
      <c r="A444" s="6"/>
      <c r="B444" s="6"/>
      <c r="C444" s="6"/>
      <c r="D444" s="6"/>
      <c r="E444" s="6"/>
      <c r="F444" s="6"/>
      <c r="G444" s="6"/>
      <c r="H444" s="6"/>
      <c r="I444" s="7"/>
      <c r="J444" s="7"/>
      <c r="K444" s="7"/>
      <c r="L444" s="7"/>
      <c r="M444" s="6"/>
      <c r="N444" s="7"/>
      <c r="O444" s="7"/>
      <c r="P444" s="7"/>
      <c r="Q444" s="7"/>
      <c r="R444" s="7"/>
      <c r="S444" s="7"/>
      <c r="T444" s="7"/>
      <c r="U444" s="7"/>
      <c r="V444" s="7"/>
      <c r="W444" s="7"/>
      <c r="X444" s="7"/>
      <c r="Y444" s="7"/>
      <c r="Z444" s="6"/>
      <c r="AA444" s="6"/>
      <c r="AB444" s="6"/>
      <c r="AC444" s="6"/>
      <c r="AD444" s="6"/>
      <c r="AE444" s="6"/>
      <c r="AF444" s="6"/>
      <c r="AG444" s="6"/>
      <c r="AH444" s="6"/>
      <c r="AI444" s="6"/>
      <c r="AJ444" s="6"/>
    </row>
    <row r="445" spans="1:36" x14ac:dyDescent="0.2">
      <c r="A445" s="6"/>
      <c r="B445" s="6"/>
      <c r="C445" s="6"/>
      <c r="D445" s="6"/>
      <c r="E445" s="6"/>
      <c r="F445" s="6"/>
      <c r="G445" s="6"/>
      <c r="H445" s="6"/>
      <c r="I445" s="7"/>
      <c r="J445" s="7"/>
      <c r="K445" s="7"/>
      <c r="L445" s="7"/>
      <c r="M445" s="6"/>
      <c r="N445" s="7"/>
      <c r="O445" s="7"/>
      <c r="P445" s="7"/>
      <c r="Q445" s="7"/>
      <c r="R445" s="7"/>
      <c r="S445" s="7"/>
      <c r="T445" s="7"/>
      <c r="U445" s="7"/>
      <c r="V445" s="7"/>
      <c r="W445" s="7"/>
      <c r="X445" s="7"/>
      <c r="Y445" s="7"/>
      <c r="Z445" s="6"/>
      <c r="AA445" s="6"/>
      <c r="AB445" s="6"/>
      <c r="AC445" s="6"/>
      <c r="AD445" s="6"/>
      <c r="AE445" s="6"/>
      <c r="AF445" s="6"/>
      <c r="AG445" s="6"/>
      <c r="AH445" s="6"/>
      <c r="AI445" s="6"/>
      <c r="AJ445" s="6"/>
    </row>
    <row r="446" spans="1:36" x14ac:dyDescent="0.2">
      <c r="A446" s="6"/>
      <c r="B446" s="6"/>
      <c r="C446" s="6"/>
      <c r="D446" s="6"/>
      <c r="E446" s="6"/>
      <c r="F446" s="6"/>
      <c r="G446" s="6"/>
      <c r="H446" s="6"/>
      <c r="I446" s="7"/>
      <c r="J446" s="7"/>
      <c r="K446" s="7"/>
      <c r="L446" s="7"/>
      <c r="M446" s="6"/>
      <c r="N446" s="7"/>
      <c r="O446" s="7"/>
      <c r="P446" s="7"/>
      <c r="Q446" s="7"/>
      <c r="R446" s="7"/>
      <c r="S446" s="7"/>
      <c r="T446" s="7"/>
      <c r="U446" s="7"/>
      <c r="V446" s="7"/>
      <c r="W446" s="7"/>
      <c r="X446" s="7"/>
      <c r="Y446" s="7"/>
      <c r="Z446" s="6"/>
      <c r="AA446" s="6"/>
      <c r="AB446" s="6"/>
      <c r="AC446" s="6"/>
      <c r="AD446" s="6"/>
      <c r="AE446" s="6"/>
      <c r="AF446" s="6"/>
      <c r="AG446" s="6"/>
      <c r="AH446" s="6"/>
      <c r="AI446" s="6"/>
      <c r="AJ446" s="6"/>
    </row>
    <row r="447" spans="1:36" x14ac:dyDescent="0.2">
      <c r="A447" s="6"/>
      <c r="B447" s="6"/>
      <c r="C447" s="6"/>
      <c r="D447" s="6"/>
      <c r="E447" s="6"/>
      <c r="F447" s="6"/>
      <c r="G447" s="6"/>
      <c r="H447" s="6"/>
      <c r="I447" s="7"/>
      <c r="J447" s="7"/>
      <c r="K447" s="7"/>
      <c r="L447" s="7"/>
      <c r="M447" s="6"/>
      <c r="N447" s="7"/>
      <c r="O447" s="7"/>
      <c r="P447" s="7"/>
      <c r="Q447" s="7"/>
      <c r="R447" s="7"/>
      <c r="S447" s="7"/>
      <c r="T447" s="7"/>
      <c r="U447" s="7"/>
      <c r="V447" s="7"/>
      <c r="W447" s="7"/>
      <c r="X447" s="7"/>
      <c r="Y447" s="7"/>
      <c r="Z447" s="6"/>
      <c r="AA447" s="6"/>
      <c r="AB447" s="6"/>
      <c r="AC447" s="6"/>
      <c r="AD447" s="6"/>
      <c r="AE447" s="6"/>
      <c r="AF447" s="6"/>
      <c r="AG447" s="6"/>
      <c r="AH447" s="6"/>
      <c r="AI447" s="6"/>
      <c r="AJ447" s="6"/>
    </row>
    <row r="448" spans="1:36" x14ac:dyDescent="0.2">
      <c r="A448" s="6"/>
      <c r="B448" s="6"/>
      <c r="C448" s="6"/>
      <c r="D448" s="6"/>
      <c r="E448" s="6"/>
      <c r="F448" s="6"/>
      <c r="G448" s="6"/>
      <c r="H448" s="6"/>
      <c r="I448" s="7"/>
      <c r="J448" s="7"/>
      <c r="K448" s="7"/>
      <c r="L448" s="7"/>
      <c r="M448" s="6"/>
      <c r="N448" s="7"/>
      <c r="O448" s="7"/>
      <c r="P448" s="7"/>
      <c r="Q448" s="7"/>
      <c r="R448" s="7"/>
      <c r="S448" s="7"/>
      <c r="T448" s="7"/>
      <c r="U448" s="7"/>
      <c r="V448" s="7"/>
      <c r="W448" s="7"/>
      <c r="X448" s="7"/>
      <c r="Y448" s="7"/>
      <c r="Z448" s="6"/>
      <c r="AA448" s="6"/>
      <c r="AB448" s="6"/>
      <c r="AC448" s="6"/>
      <c r="AD448" s="6"/>
      <c r="AE448" s="6"/>
      <c r="AF448" s="6"/>
      <c r="AG448" s="6"/>
      <c r="AH448" s="6"/>
      <c r="AI448" s="6"/>
      <c r="AJ448" s="6"/>
    </row>
    <row r="449" spans="1:36" x14ac:dyDescent="0.2">
      <c r="A449" s="6"/>
      <c r="B449" s="6"/>
      <c r="C449" s="6"/>
      <c r="D449" s="6"/>
      <c r="E449" s="6"/>
      <c r="F449" s="6"/>
      <c r="G449" s="6"/>
      <c r="H449" s="6"/>
      <c r="I449" s="7"/>
      <c r="J449" s="7"/>
      <c r="K449" s="7"/>
      <c r="L449" s="7"/>
      <c r="M449" s="6"/>
      <c r="N449" s="7"/>
      <c r="O449" s="7"/>
      <c r="P449" s="7"/>
      <c r="Q449" s="7"/>
      <c r="R449" s="7"/>
      <c r="S449" s="7"/>
      <c r="T449" s="7"/>
      <c r="U449" s="7"/>
      <c r="V449" s="7"/>
      <c r="W449" s="7"/>
      <c r="X449" s="7"/>
      <c r="Y449" s="7"/>
      <c r="Z449" s="6"/>
      <c r="AA449" s="6"/>
      <c r="AB449" s="6"/>
      <c r="AC449" s="6"/>
      <c r="AD449" s="6"/>
      <c r="AE449" s="6"/>
      <c r="AF449" s="6"/>
      <c r="AG449" s="6"/>
      <c r="AH449" s="6"/>
      <c r="AI449" s="6"/>
      <c r="AJ449" s="6"/>
    </row>
    <row r="450" spans="1:36" x14ac:dyDescent="0.2">
      <c r="A450" s="6"/>
      <c r="B450" s="6"/>
      <c r="C450" s="6"/>
      <c r="D450" s="6"/>
      <c r="E450" s="6"/>
      <c r="F450" s="6"/>
      <c r="G450" s="6"/>
      <c r="H450" s="6"/>
      <c r="I450" s="7"/>
      <c r="J450" s="7"/>
      <c r="K450" s="7"/>
      <c r="L450" s="7"/>
      <c r="M450" s="6"/>
      <c r="N450" s="7"/>
      <c r="O450" s="7"/>
      <c r="P450" s="7"/>
      <c r="Q450" s="7"/>
      <c r="R450" s="7"/>
      <c r="S450" s="7"/>
      <c r="T450" s="7"/>
      <c r="U450" s="7"/>
      <c r="V450" s="7"/>
      <c r="W450" s="7"/>
      <c r="X450" s="7"/>
      <c r="Y450" s="7"/>
      <c r="Z450" s="6"/>
      <c r="AA450" s="6"/>
      <c r="AB450" s="6"/>
      <c r="AC450" s="6"/>
      <c r="AD450" s="6"/>
      <c r="AE450" s="6"/>
      <c r="AF450" s="6"/>
      <c r="AG450" s="6"/>
      <c r="AH450" s="6"/>
      <c r="AI450" s="6"/>
      <c r="AJ450" s="6"/>
    </row>
    <row r="451" spans="1:36" x14ac:dyDescent="0.2">
      <c r="A451" s="6"/>
      <c r="B451" s="6"/>
      <c r="C451" s="6"/>
      <c r="D451" s="6"/>
      <c r="E451" s="6"/>
      <c r="F451" s="6"/>
      <c r="G451" s="6"/>
      <c r="H451" s="6"/>
      <c r="I451" s="7"/>
      <c r="J451" s="7"/>
      <c r="K451" s="7"/>
      <c r="L451" s="7"/>
      <c r="M451" s="6"/>
      <c r="N451" s="7"/>
      <c r="O451" s="7"/>
      <c r="P451" s="7"/>
      <c r="Q451" s="7"/>
      <c r="R451" s="7"/>
      <c r="S451" s="7"/>
      <c r="T451" s="7"/>
      <c r="U451" s="7"/>
      <c r="V451" s="7"/>
      <c r="W451" s="7"/>
      <c r="X451" s="7"/>
      <c r="Y451" s="7"/>
      <c r="Z451" s="6"/>
      <c r="AA451" s="6"/>
      <c r="AB451" s="6"/>
      <c r="AC451" s="6"/>
      <c r="AD451" s="6"/>
      <c r="AE451" s="6"/>
      <c r="AF451" s="6"/>
      <c r="AG451" s="6"/>
      <c r="AH451" s="6"/>
      <c r="AI451" s="6"/>
      <c r="AJ451" s="6"/>
    </row>
    <row r="452" spans="1:36" x14ac:dyDescent="0.2">
      <c r="A452" s="6"/>
      <c r="B452" s="6"/>
      <c r="C452" s="6"/>
      <c r="D452" s="6"/>
      <c r="E452" s="6"/>
      <c r="F452" s="6"/>
      <c r="G452" s="6"/>
      <c r="H452" s="6"/>
      <c r="I452" s="7"/>
      <c r="J452" s="7"/>
      <c r="K452" s="7"/>
      <c r="L452" s="7"/>
      <c r="M452" s="6"/>
      <c r="N452" s="7"/>
      <c r="O452" s="7"/>
      <c r="P452" s="7"/>
      <c r="Q452" s="7"/>
      <c r="R452" s="7"/>
      <c r="S452" s="7"/>
      <c r="T452" s="7"/>
      <c r="U452" s="7"/>
      <c r="V452" s="7"/>
      <c r="W452" s="7"/>
      <c r="X452" s="7"/>
      <c r="Y452" s="7"/>
      <c r="Z452" s="6"/>
      <c r="AA452" s="6"/>
      <c r="AB452" s="6"/>
      <c r="AC452" s="6"/>
      <c r="AD452" s="6"/>
      <c r="AE452" s="6"/>
      <c r="AF452" s="6"/>
      <c r="AG452" s="6"/>
      <c r="AH452" s="6"/>
      <c r="AI452" s="6"/>
      <c r="AJ452" s="6"/>
    </row>
    <row r="453" spans="1:36" x14ac:dyDescent="0.2">
      <c r="A453" s="6"/>
      <c r="B453" s="6"/>
      <c r="C453" s="6"/>
      <c r="D453" s="6"/>
      <c r="E453" s="6"/>
      <c r="F453" s="6"/>
      <c r="G453" s="6"/>
      <c r="H453" s="6"/>
      <c r="I453" s="7"/>
      <c r="J453" s="7"/>
      <c r="K453" s="7"/>
      <c r="L453" s="7"/>
      <c r="M453" s="6"/>
      <c r="N453" s="7"/>
      <c r="O453" s="7"/>
      <c r="P453" s="7"/>
      <c r="Q453" s="7"/>
      <c r="R453" s="7"/>
      <c r="S453" s="7"/>
      <c r="T453" s="7"/>
      <c r="U453" s="7"/>
      <c r="V453" s="7"/>
      <c r="W453" s="7"/>
      <c r="X453" s="7"/>
      <c r="Y453" s="7"/>
      <c r="Z453" s="6"/>
      <c r="AA453" s="6"/>
      <c r="AB453" s="6"/>
      <c r="AC453" s="6"/>
      <c r="AD453" s="6"/>
      <c r="AE453" s="6"/>
      <c r="AF453" s="6"/>
      <c r="AG453" s="6"/>
      <c r="AH453" s="6"/>
      <c r="AI453" s="6"/>
      <c r="AJ453" s="6"/>
    </row>
    <row r="454" spans="1:36" x14ac:dyDescent="0.2">
      <c r="A454" s="6"/>
      <c r="B454" s="6"/>
      <c r="C454" s="6"/>
      <c r="D454" s="6"/>
      <c r="E454" s="6"/>
      <c r="F454" s="6"/>
      <c r="G454" s="6"/>
      <c r="H454" s="6"/>
      <c r="I454" s="7"/>
      <c r="J454" s="7"/>
      <c r="K454" s="7"/>
      <c r="L454" s="7"/>
      <c r="M454" s="6"/>
      <c r="N454" s="7"/>
      <c r="O454" s="7"/>
      <c r="P454" s="7"/>
      <c r="Q454" s="7"/>
      <c r="R454" s="7"/>
      <c r="S454" s="7"/>
      <c r="T454" s="7"/>
      <c r="U454" s="7"/>
      <c r="V454" s="7"/>
      <c r="W454" s="7"/>
      <c r="X454" s="7"/>
      <c r="Y454" s="7"/>
      <c r="Z454" s="6"/>
      <c r="AA454" s="6"/>
      <c r="AB454" s="6"/>
      <c r="AC454" s="6"/>
      <c r="AD454" s="6"/>
      <c r="AE454" s="6"/>
      <c r="AF454" s="6"/>
      <c r="AG454" s="6"/>
      <c r="AH454" s="6"/>
      <c r="AI454" s="6"/>
      <c r="AJ454" s="6"/>
    </row>
    <row r="455" spans="1:36" x14ac:dyDescent="0.2">
      <c r="A455" s="6"/>
      <c r="B455" s="6"/>
      <c r="C455" s="6"/>
      <c r="D455" s="6"/>
      <c r="E455" s="6"/>
      <c r="F455" s="6"/>
      <c r="G455" s="6"/>
      <c r="H455" s="6"/>
      <c r="I455" s="7"/>
      <c r="J455" s="7"/>
      <c r="K455" s="7"/>
      <c r="L455" s="7"/>
      <c r="M455" s="6"/>
      <c r="N455" s="7"/>
      <c r="O455" s="7"/>
      <c r="P455" s="7"/>
      <c r="Q455" s="7"/>
      <c r="R455" s="7"/>
      <c r="S455" s="7"/>
      <c r="T455" s="7"/>
      <c r="U455" s="7"/>
      <c r="V455" s="7"/>
      <c r="W455" s="7"/>
      <c r="X455" s="7"/>
      <c r="Y455" s="7"/>
      <c r="Z455" s="6"/>
      <c r="AA455" s="6"/>
      <c r="AB455" s="6"/>
      <c r="AC455" s="6"/>
      <c r="AD455" s="6"/>
      <c r="AE455" s="6"/>
      <c r="AF455" s="6"/>
      <c r="AG455" s="6"/>
      <c r="AH455" s="6"/>
      <c r="AI455" s="6"/>
      <c r="AJ455" s="6"/>
    </row>
    <row r="456" spans="1:36" x14ac:dyDescent="0.2">
      <c r="A456" s="6"/>
      <c r="B456" s="6"/>
      <c r="C456" s="6"/>
      <c r="D456" s="6"/>
      <c r="E456" s="6"/>
      <c r="F456" s="6"/>
      <c r="G456" s="6"/>
      <c r="H456" s="6"/>
      <c r="I456" s="7"/>
      <c r="J456" s="7"/>
      <c r="K456" s="7"/>
      <c r="L456" s="7"/>
      <c r="M456" s="6"/>
      <c r="N456" s="7"/>
      <c r="O456" s="7"/>
      <c r="P456" s="7"/>
      <c r="Q456" s="7"/>
      <c r="R456" s="7"/>
      <c r="S456" s="7"/>
      <c r="T456" s="7"/>
      <c r="U456" s="7"/>
      <c r="V456" s="7"/>
      <c r="W456" s="7"/>
      <c r="X456" s="7"/>
      <c r="Y456" s="7"/>
      <c r="Z456" s="6"/>
      <c r="AA456" s="6"/>
      <c r="AB456" s="6"/>
      <c r="AC456" s="6"/>
      <c r="AD456" s="6"/>
      <c r="AE456" s="6"/>
      <c r="AF456" s="6"/>
      <c r="AG456" s="6"/>
      <c r="AH456" s="6"/>
      <c r="AI456" s="6"/>
      <c r="AJ456" s="6"/>
    </row>
    <row r="457" spans="1:36" x14ac:dyDescent="0.2">
      <c r="A457" s="6"/>
      <c r="B457" s="6"/>
      <c r="C457" s="6"/>
      <c r="D457" s="6"/>
      <c r="E457" s="6"/>
      <c r="F457" s="6"/>
      <c r="G457" s="6"/>
      <c r="H457" s="6"/>
      <c r="I457" s="7"/>
      <c r="J457" s="7"/>
      <c r="K457" s="7"/>
      <c r="L457" s="7"/>
      <c r="M457" s="6"/>
      <c r="N457" s="7"/>
      <c r="O457" s="7"/>
      <c r="P457" s="7"/>
      <c r="Q457" s="7"/>
      <c r="R457" s="7"/>
      <c r="S457" s="7"/>
      <c r="T457" s="7"/>
      <c r="U457" s="7"/>
      <c r="V457" s="7"/>
      <c r="W457" s="7"/>
      <c r="X457" s="7"/>
      <c r="Y457" s="7"/>
      <c r="Z457" s="6"/>
      <c r="AA457" s="6"/>
      <c r="AB457" s="6"/>
      <c r="AC457" s="6"/>
      <c r="AD457" s="6"/>
      <c r="AE457" s="6"/>
      <c r="AF457" s="6"/>
      <c r="AG457" s="6"/>
      <c r="AH457" s="6"/>
      <c r="AI457" s="6"/>
      <c r="AJ457" s="6"/>
    </row>
    <row r="458" spans="1:36" x14ac:dyDescent="0.2">
      <c r="A458" s="6"/>
      <c r="B458" s="6"/>
      <c r="C458" s="6"/>
      <c r="D458" s="6"/>
      <c r="E458" s="6"/>
      <c r="F458" s="6"/>
      <c r="G458" s="6"/>
      <c r="H458" s="6"/>
      <c r="I458" s="7"/>
      <c r="J458" s="7"/>
      <c r="K458" s="7"/>
      <c r="L458" s="7"/>
      <c r="M458" s="6"/>
      <c r="N458" s="7"/>
      <c r="O458" s="7"/>
      <c r="P458" s="7"/>
      <c r="Q458" s="7"/>
      <c r="R458" s="7"/>
      <c r="S458" s="7"/>
      <c r="T458" s="7"/>
      <c r="U458" s="7"/>
      <c r="V458" s="7"/>
      <c r="W458" s="7"/>
      <c r="X458" s="7"/>
      <c r="Y458" s="7"/>
      <c r="Z458" s="6"/>
      <c r="AA458" s="6"/>
      <c r="AB458" s="6"/>
      <c r="AC458" s="6"/>
      <c r="AD458" s="6"/>
      <c r="AE458" s="6"/>
      <c r="AF458" s="6"/>
      <c r="AG458" s="6"/>
      <c r="AH458" s="6"/>
      <c r="AI458" s="6"/>
      <c r="AJ458" s="6"/>
    </row>
    <row r="459" spans="1:36" x14ac:dyDescent="0.2">
      <c r="A459" s="6"/>
      <c r="B459" s="6"/>
      <c r="C459" s="6"/>
      <c r="D459" s="6"/>
      <c r="E459" s="6"/>
      <c r="F459" s="6"/>
      <c r="G459" s="6"/>
      <c r="H459" s="6"/>
      <c r="I459" s="7"/>
      <c r="J459" s="7"/>
      <c r="K459" s="7"/>
      <c r="L459" s="7"/>
      <c r="M459" s="6"/>
      <c r="N459" s="7"/>
      <c r="O459" s="7"/>
      <c r="P459" s="7"/>
      <c r="Q459" s="7"/>
      <c r="R459" s="7"/>
      <c r="S459" s="7"/>
      <c r="T459" s="7"/>
      <c r="U459" s="7"/>
      <c r="V459" s="7"/>
      <c r="W459" s="7"/>
      <c r="X459" s="7"/>
      <c r="Y459" s="7"/>
      <c r="Z459" s="6"/>
      <c r="AA459" s="6"/>
      <c r="AB459" s="6"/>
      <c r="AC459" s="6"/>
      <c r="AD459" s="6"/>
      <c r="AE459" s="6"/>
      <c r="AF459" s="6"/>
      <c r="AG459" s="6"/>
      <c r="AH459" s="6"/>
      <c r="AI459" s="6"/>
      <c r="AJ459" s="6"/>
    </row>
    <row r="460" spans="1:36" x14ac:dyDescent="0.2">
      <c r="A460" s="6"/>
      <c r="B460" s="6"/>
      <c r="C460" s="6"/>
      <c r="D460" s="6"/>
      <c r="E460" s="6"/>
      <c r="F460" s="6"/>
      <c r="G460" s="6"/>
      <c r="H460" s="6"/>
      <c r="I460" s="7"/>
      <c r="J460" s="7"/>
      <c r="K460" s="7"/>
      <c r="L460" s="7"/>
      <c r="M460" s="6"/>
      <c r="N460" s="7"/>
      <c r="O460" s="7"/>
      <c r="P460" s="7"/>
      <c r="Q460" s="7"/>
      <c r="R460" s="7"/>
      <c r="S460" s="7"/>
      <c r="T460" s="7"/>
      <c r="U460" s="7"/>
      <c r="V460" s="7"/>
      <c r="W460" s="7"/>
      <c r="X460" s="7"/>
      <c r="Y460" s="7"/>
      <c r="Z460" s="6"/>
      <c r="AA460" s="6"/>
      <c r="AB460" s="6"/>
      <c r="AC460" s="6"/>
      <c r="AD460" s="6"/>
      <c r="AE460" s="6"/>
      <c r="AF460" s="6"/>
      <c r="AG460" s="6"/>
      <c r="AH460" s="6"/>
      <c r="AI460" s="6"/>
      <c r="AJ460" s="6"/>
    </row>
    <row r="461" spans="1:36" x14ac:dyDescent="0.2">
      <c r="A461" s="6"/>
      <c r="B461" s="6"/>
      <c r="C461" s="6"/>
      <c r="D461" s="6"/>
      <c r="E461" s="6"/>
      <c r="F461" s="6"/>
      <c r="G461" s="6"/>
      <c r="H461" s="6"/>
      <c r="I461" s="7"/>
      <c r="J461" s="7"/>
      <c r="K461" s="7"/>
      <c r="L461" s="7"/>
      <c r="M461" s="6"/>
      <c r="N461" s="7"/>
      <c r="O461" s="7"/>
      <c r="P461" s="7"/>
      <c r="Q461" s="7"/>
      <c r="R461" s="7"/>
      <c r="S461" s="7"/>
      <c r="T461" s="7"/>
      <c r="U461" s="7"/>
      <c r="V461" s="7"/>
      <c r="W461" s="7"/>
      <c r="X461" s="7"/>
      <c r="Y461" s="7"/>
      <c r="Z461" s="6"/>
      <c r="AA461" s="6"/>
      <c r="AB461" s="6"/>
      <c r="AC461" s="6"/>
      <c r="AD461" s="6"/>
      <c r="AE461" s="6"/>
      <c r="AF461" s="6"/>
      <c r="AG461" s="6"/>
      <c r="AH461" s="6"/>
      <c r="AI461" s="6"/>
      <c r="AJ461" s="6"/>
    </row>
    <row r="462" spans="1:36" x14ac:dyDescent="0.2">
      <c r="A462" s="6"/>
      <c r="B462" s="6"/>
      <c r="C462" s="6"/>
      <c r="D462" s="6"/>
      <c r="E462" s="6"/>
      <c r="F462" s="6"/>
      <c r="G462" s="6"/>
      <c r="H462" s="6"/>
      <c r="I462" s="7"/>
      <c r="J462" s="7"/>
      <c r="K462" s="7"/>
      <c r="L462" s="7"/>
      <c r="M462" s="6"/>
      <c r="N462" s="7"/>
      <c r="O462" s="7"/>
      <c r="P462" s="7"/>
      <c r="Q462" s="7"/>
      <c r="R462" s="7"/>
      <c r="S462" s="7"/>
      <c r="T462" s="7"/>
      <c r="U462" s="7"/>
      <c r="V462" s="7"/>
      <c r="W462" s="7"/>
      <c r="X462" s="7"/>
      <c r="Y462" s="7"/>
      <c r="Z462" s="6"/>
      <c r="AA462" s="6"/>
      <c r="AB462" s="6"/>
      <c r="AC462" s="6"/>
      <c r="AD462" s="6"/>
      <c r="AE462" s="6"/>
      <c r="AF462" s="6"/>
      <c r="AG462" s="6"/>
      <c r="AH462" s="6"/>
      <c r="AI462" s="6"/>
      <c r="AJ462" s="6"/>
    </row>
    <row r="463" spans="1:36" x14ac:dyDescent="0.2">
      <c r="A463" s="6"/>
      <c r="B463" s="6"/>
      <c r="C463" s="6"/>
      <c r="D463" s="6"/>
      <c r="E463" s="6"/>
      <c r="F463" s="6"/>
      <c r="G463" s="6"/>
      <c r="H463" s="6"/>
      <c r="I463" s="7"/>
      <c r="J463" s="7"/>
      <c r="K463" s="7"/>
      <c r="L463" s="7"/>
      <c r="M463" s="6"/>
      <c r="N463" s="7"/>
      <c r="O463" s="7"/>
      <c r="P463" s="7"/>
      <c r="Q463" s="7"/>
      <c r="R463" s="7"/>
      <c r="S463" s="7"/>
      <c r="T463" s="7"/>
      <c r="U463" s="7"/>
      <c r="V463" s="7"/>
      <c r="W463" s="7"/>
      <c r="X463" s="7"/>
      <c r="Y463" s="7"/>
      <c r="Z463" s="6"/>
      <c r="AA463" s="6"/>
      <c r="AB463" s="6"/>
      <c r="AC463" s="6"/>
      <c r="AD463" s="6"/>
      <c r="AE463" s="6"/>
      <c r="AF463" s="6"/>
      <c r="AG463" s="6"/>
      <c r="AH463" s="6"/>
      <c r="AI463" s="6"/>
      <c r="AJ463" s="6"/>
    </row>
    <row r="464" spans="1:36" x14ac:dyDescent="0.2">
      <c r="A464" s="6"/>
      <c r="B464" s="6"/>
      <c r="C464" s="6"/>
      <c r="D464" s="6"/>
      <c r="E464" s="6"/>
      <c r="F464" s="6"/>
      <c r="G464" s="6"/>
      <c r="H464" s="6"/>
      <c r="I464" s="7"/>
      <c r="J464" s="7"/>
      <c r="K464" s="7"/>
      <c r="L464" s="7"/>
      <c r="M464" s="6"/>
      <c r="N464" s="7"/>
      <c r="O464" s="7"/>
      <c r="P464" s="7"/>
      <c r="Q464" s="7"/>
      <c r="R464" s="7"/>
      <c r="S464" s="7"/>
      <c r="T464" s="7"/>
      <c r="U464" s="7"/>
      <c r="V464" s="7"/>
      <c r="W464" s="7"/>
      <c r="X464" s="7"/>
      <c r="Y464" s="7"/>
      <c r="Z464" s="6"/>
      <c r="AA464" s="6"/>
      <c r="AB464" s="6"/>
      <c r="AC464" s="6"/>
      <c r="AD464" s="6"/>
      <c r="AE464" s="6"/>
      <c r="AF464" s="6"/>
      <c r="AG464" s="6"/>
      <c r="AH464" s="6"/>
      <c r="AI464" s="6"/>
      <c r="AJ464" s="6"/>
    </row>
    <row r="465" spans="1:36" x14ac:dyDescent="0.2">
      <c r="A465" s="6"/>
      <c r="B465" s="6"/>
      <c r="C465" s="6"/>
      <c r="D465" s="6"/>
      <c r="E465" s="6"/>
      <c r="F465" s="6"/>
      <c r="G465" s="6"/>
      <c r="H465" s="6"/>
      <c r="I465" s="7"/>
      <c r="J465" s="7"/>
      <c r="K465" s="7"/>
      <c r="L465" s="7"/>
      <c r="M465" s="6"/>
      <c r="N465" s="7"/>
      <c r="O465" s="7"/>
      <c r="P465" s="7"/>
      <c r="Q465" s="7"/>
      <c r="R465" s="7"/>
      <c r="S465" s="7"/>
      <c r="T465" s="7"/>
      <c r="U465" s="7"/>
      <c r="V465" s="7"/>
      <c r="W465" s="7"/>
      <c r="X465" s="7"/>
      <c r="Y465" s="7"/>
      <c r="Z465" s="6"/>
      <c r="AA465" s="6"/>
      <c r="AB465" s="6"/>
      <c r="AC465" s="6"/>
      <c r="AD465" s="6"/>
      <c r="AE465" s="6"/>
      <c r="AF465" s="6"/>
      <c r="AG465" s="6"/>
      <c r="AH465" s="6"/>
      <c r="AI465" s="6"/>
      <c r="AJ465" s="6"/>
    </row>
    <row r="466" spans="1:36" x14ac:dyDescent="0.2">
      <c r="A466" s="6"/>
      <c r="B466" s="6"/>
      <c r="C466" s="6"/>
      <c r="D466" s="6"/>
      <c r="E466" s="6"/>
      <c r="F466" s="6"/>
      <c r="G466" s="6"/>
      <c r="H466" s="6"/>
      <c r="I466" s="7"/>
      <c r="J466" s="7"/>
      <c r="K466" s="7"/>
      <c r="L466" s="7"/>
      <c r="M466" s="6"/>
      <c r="N466" s="7"/>
      <c r="O466" s="7"/>
      <c r="P466" s="7"/>
      <c r="Q466" s="7"/>
      <c r="R466" s="7"/>
      <c r="S466" s="7"/>
      <c r="T466" s="7"/>
      <c r="U466" s="7"/>
      <c r="V466" s="7"/>
      <c r="W466" s="7"/>
      <c r="X466" s="7"/>
      <c r="Y466" s="7"/>
      <c r="Z466" s="6"/>
      <c r="AA466" s="6"/>
      <c r="AB466" s="6"/>
      <c r="AC466" s="6"/>
      <c r="AD466" s="6"/>
      <c r="AE466" s="6"/>
      <c r="AF466" s="6"/>
      <c r="AG466" s="6"/>
      <c r="AH466" s="6"/>
      <c r="AI466" s="6"/>
      <c r="AJ466" s="6"/>
    </row>
    <row r="467" spans="1:36" x14ac:dyDescent="0.2">
      <c r="A467" s="6"/>
      <c r="B467" s="6"/>
      <c r="C467" s="6"/>
      <c r="D467" s="6"/>
      <c r="E467" s="6"/>
      <c r="F467" s="6"/>
      <c r="G467" s="6"/>
      <c r="H467" s="6"/>
      <c r="I467" s="7"/>
      <c r="J467" s="7"/>
      <c r="K467" s="7"/>
      <c r="L467" s="7"/>
      <c r="M467" s="6"/>
      <c r="N467" s="7"/>
      <c r="O467" s="7"/>
      <c r="P467" s="7"/>
      <c r="Q467" s="7"/>
      <c r="R467" s="7"/>
      <c r="S467" s="7"/>
      <c r="T467" s="7"/>
      <c r="U467" s="7"/>
      <c r="V467" s="7"/>
      <c r="W467" s="7"/>
      <c r="X467" s="7"/>
      <c r="Y467" s="7"/>
      <c r="Z467" s="6"/>
      <c r="AA467" s="6"/>
      <c r="AB467" s="6"/>
      <c r="AC467" s="6"/>
      <c r="AD467" s="6"/>
      <c r="AE467" s="6"/>
      <c r="AF467" s="6"/>
      <c r="AG467" s="6"/>
      <c r="AH467" s="6"/>
      <c r="AI467" s="6"/>
      <c r="AJ467" s="6"/>
    </row>
    <row r="468" spans="1:36" x14ac:dyDescent="0.2">
      <c r="A468" s="6"/>
      <c r="B468" s="6"/>
      <c r="C468" s="6"/>
      <c r="D468" s="6"/>
      <c r="E468" s="6"/>
      <c r="F468" s="6"/>
      <c r="G468" s="6"/>
      <c r="H468" s="6"/>
      <c r="I468" s="7"/>
      <c r="J468" s="7"/>
      <c r="K468" s="7"/>
      <c r="L468" s="7"/>
      <c r="M468" s="6"/>
      <c r="N468" s="7"/>
      <c r="O468" s="7"/>
      <c r="P468" s="7"/>
      <c r="Q468" s="7"/>
      <c r="R468" s="7"/>
      <c r="S468" s="7"/>
      <c r="T468" s="7"/>
      <c r="U468" s="7"/>
      <c r="V468" s="7"/>
      <c r="W468" s="7"/>
      <c r="X468" s="7"/>
      <c r="Y468" s="7"/>
      <c r="Z468" s="6"/>
      <c r="AA468" s="6"/>
      <c r="AB468" s="6"/>
      <c r="AC468" s="6"/>
      <c r="AD468" s="6"/>
      <c r="AE468" s="6"/>
      <c r="AF468" s="6"/>
      <c r="AG468" s="6"/>
      <c r="AH468" s="6"/>
      <c r="AI468" s="6"/>
      <c r="AJ468" s="6"/>
    </row>
    <row r="469" spans="1:36" x14ac:dyDescent="0.2">
      <c r="A469" s="6"/>
      <c r="B469" s="6"/>
      <c r="C469" s="6"/>
      <c r="D469" s="6"/>
      <c r="E469" s="6"/>
      <c r="F469" s="6"/>
      <c r="G469" s="6"/>
      <c r="H469" s="6"/>
      <c r="I469" s="7"/>
      <c r="J469" s="7"/>
      <c r="K469" s="7"/>
      <c r="L469" s="7"/>
      <c r="M469" s="6"/>
      <c r="N469" s="7"/>
      <c r="O469" s="7"/>
      <c r="P469" s="7"/>
      <c r="Q469" s="7"/>
      <c r="R469" s="7"/>
      <c r="S469" s="7"/>
      <c r="T469" s="7"/>
      <c r="U469" s="7"/>
      <c r="V469" s="7"/>
      <c r="W469" s="7"/>
      <c r="X469" s="7"/>
      <c r="Y469" s="7"/>
      <c r="Z469" s="6"/>
      <c r="AA469" s="6"/>
      <c r="AB469" s="6"/>
      <c r="AC469" s="6"/>
      <c r="AD469" s="6"/>
      <c r="AE469" s="6"/>
      <c r="AF469" s="6"/>
      <c r="AG469" s="6"/>
      <c r="AH469" s="6"/>
      <c r="AI469" s="6"/>
      <c r="AJ469" s="6"/>
    </row>
    <row r="470" spans="1:36" x14ac:dyDescent="0.2">
      <c r="A470" s="6"/>
      <c r="B470" s="6"/>
      <c r="C470" s="6"/>
      <c r="D470" s="6"/>
      <c r="E470" s="6"/>
      <c r="F470" s="6"/>
      <c r="G470" s="6"/>
      <c r="H470" s="6"/>
      <c r="I470" s="7"/>
      <c r="J470" s="7"/>
      <c r="K470" s="7"/>
      <c r="L470" s="7"/>
      <c r="M470" s="6"/>
      <c r="N470" s="7"/>
      <c r="O470" s="7"/>
      <c r="P470" s="7"/>
      <c r="Q470" s="7"/>
      <c r="R470" s="7"/>
      <c r="S470" s="7"/>
      <c r="T470" s="7"/>
      <c r="U470" s="7"/>
      <c r="V470" s="7"/>
      <c r="W470" s="7"/>
      <c r="X470" s="7"/>
      <c r="Y470" s="7"/>
      <c r="Z470" s="6"/>
      <c r="AA470" s="6"/>
      <c r="AB470" s="6"/>
      <c r="AC470" s="6"/>
      <c r="AD470" s="6"/>
      <c r="AE470" s="6"/>
      <c r="AF470" s="6"/>
      <c r="AG470" s="6"/>
      <c r="AH470" s="6"/>
      <c r="AI470" s="6"/>
      <c r="AJ470" s="6"/>
    </row>
    <row r="471" spans="1:36" x14ac:dyDescent="0.2">
      <c r="A471" s="6"/>
      <c r="B471" s="6"/>
      <c r="C471" s="6"/>
      <c r="D471" s="6"/>
      <c r="E471" s="6"/>
      <c r="F471" s="6"/>
      <c r="G471" s="6"/>
      <c r="H471" s="6"/>
      <c r="I471" s="7"/>
      <c r="J471" s="7"/>
      <c r="K471" s="7"/>
      <c r="L471" s="7"/>
      <c r="M471" s="6"/>
      <c r="N471" s="7"/>
      <c r="O471" s="7"/>
      <c r="P471" s="7"/>
      <c r="Q471" s="7"/>
      <c r="R471" s="7"/>
      <c r="S471" s="7"/>
      <c r="T471" s="7"/>
      <c r="U471" s="7"/>
      <c r="V471" s="7"/>
      <c r="W471" s="7"/>
      <c r="X471" s="7"/>
      <c r="Y471" s="7"/>
      <c r="Z471" s="6"/>
      <c r="AA471" s="6"/>
      <c r="AB471" s="6"/>
      <c r="AC471" s="6"/>
      <c r="AD471" s="6"/>
      <c r="AE471" s="6"/>
      <c r="AF471" s="6"/>
      <c r="AG471" s="6"/>
      <c r="AH471" s="6"/>
      <c r="AI471" s="6"/>
      <c r="AJ471" s="6"/>
    </row>
    <row r="472" spans="1:36" x14ac:dyDescent="0.2">
      <c r="A472" s="6"/>
      <c r="B472" s="6"/>
      <c r="C472" s="6"/>
      <c r="D472" s="6"/>
      <c r="E472" s="6"/>
      <c r="F472" s="6"/>
      <c r="G472" s="6"/>
      <c r="H472" s="6"/>
      <c r="I472" s="7"/>
      <c r="J472" s="7"/>
      <c r="K472" s="7"/>
      <c r="L472" s="7"/>
      <c r="M472" s="6"/>
      <c r="N472" s="7"/>
      <c r="O472" s="7"/>
      <c r="P472" s="7"/>
      <c r="Q472" s="7"/>
      <c r="R472" s="7"/>
      <c r="S472" s="7"/>
      <c r="T472" s="7"/>
      <c r="U472" s="7"/>
      <c r="V472" s="7"/>
      <c r="W472" s="7"/>
      <c r="X472" s="7"/>
      <c r="Y472" s="7"/>
      <c r="Z472" s="6"/>
      <c r="AA472" s="6"/>
      <c r="AB472" s="6"/>
      <c r="AC472" s="6"/>
      <c r="AD472" s="6"/>
      <c r="AE472" s="6"/>
      <c r="AF472" s="6"/>
      <c r="AG472" s="6"/>
      <c r="AH472" s="6"/>
      <c r="AI472" s="6"/>
      <c r="AJ472" s="6"/>
    </row>
    <row r="473" spans="1:36" x14ac:dyDescent="0.2">
      <c r="A473" s="6"/>
      <c r="B473" s="6"/>
      <c r="C473" s="6"/>
      <c r="D473" s="6"/>
      <c r="E473" s="6"/>
      <c r="F473" s="6"/>
      <c r="G473" s="6"/>
      <c r="H473" s="6"/>
      <c r="I473" s="7"/>
      <c r="J473" s="7"/>
      <c r="K473" s="7"/>
      <c r="L473" s="7"/>
      <c r="M473" s="6"/>
      <c r="N473" s="7"/>
      <c r="O473" s="7"/>
      <c r="P473" s="7"/>
      <c r="Q473" s="7"/>
      <c r="R473" s="7"/>
      <c r="S473" s="7"/>
      <c r="T473" s="7"/>
      <c r="U473" s="7"/>
      <c r="V473" s="7"/>
      <c r="W473" s="7"/>
      <c r="X473" s="7"/>
      <c r="Y473" s="7"/>
      <c r="Z473" s="6"/>
      <c r="AA473" s="6"/>
      <c r="AB473" s="6"/>
      <c r="AC473" s="6"/>
      <c r="AD473" s="6"/>
      <c r="AE473" s="6"/>
      <c r="AF473" s="6"/>
      <c r="AG473" s="6"/>
      <c r="AH473" s="6"/>
      <c r="AI473" s="6"/>
      <c r="AJ473" s="6"/>
    </row>
    <row r="474" spans="1:36" x14ac:dyDescent="0.2">
      <c r="A474" s="6"/>
      <c r="B474" s="6"/>
      <c r="C474" s="6"/>
      <c r="D474" s="6"/>
      <c r="E474" s="6"/>
      <c r="F474" s="6"/>
      <c r="G474" s="6"/>
      <c r="H474" s="6"/>
      <c r="I474" s="7"/>
      <c r="J474" s="7"/>
      <c r="K474" s="7"/>
      <c r="L474" s="7"/>
      <c r="M474" s="6"/>
      <c r="N474" s="7"/>
      <c r="O474" s="7"/>
      <c r="P474" s="7"/>
      <c r="Q474" s="7"/>
      <c r="R474" s="7"/>
      <c r="S474" s="7"/>
      <c r="T474" s="7"/>
      <c r="U474" s="7"/>
      <c r="V474" s="7"/>
      <c r="W474" s="7"/>
      <c r="X474" s="7"/>
      <c r="Y474" s="7"/>
      <c r="Z474" s="6"/>
      <c r="AA474" s="6"/>
      <c r="AB474" s="6"/>
      <c r="AC474" s="6"/>
      <c r="AD474" s="6"/>
      <c r="AE474" s="6"/>
      <c r="AF474" s="6"/>
      <c r="AG474" s="6"/>
      <c r="AH474" s="6"/>
      <c r="AI474" s="6"/>
      <c r="AJ474" s="6"/>
    </row>
    <row r="475" spans="1:36" x14ac:dyDescent="0.2">
      <c r="A475" s="6"/>
      <c r="B475" s="6"/>
      <c r="C475" s="6"/>
      <c r="D475" s="6"/>
      <c r="E475" s="6"/>
      <c r="F475" s="6"/>
      <c r="G475" s="6"/>
      <c r="H475" s="6"/>
      <c r="I475" s="7"/>
      <c r="J475" s="7"/>
      <c r="K475" s="7"/>
      <c r="L475" s="7"/>
      <c r="M475" s="6"/>
      <c r="N475" s="7"/>
      <c r="O475" s="7"/>
      <c r="P475" s="7"/>
      <c r="Q475" s="7"/>
      <c r="R475" s="7"/>
      <c r="S475" s="7"/>
      <c r="T475" s="7"/>
      <c r="U475" s="7"/>
      <c r="V475" s="7"/>
      <c r="W475" s="7"/>
      <c r="X475" s="7"/>
      <c r="Y475" s="7"/>
      <c r="Z475" s="6"/>
      <c r="AA475" s="6"/>
      <c r="AB475" s="6"/>
      <c r="AC475" s="6"/>
      <c r="AD475" s="6"/>
      <c r="AE475" s="6"/>
      <c r="AF475" s="6"/>
      <c r="AG475" s="6"/>
      <c r="AH475" s="6"/>
      <c r="AI475" s="6"/>
      <c r="AJ475" s="6"/>
    </row>
    <row r="476" spans="1:36" x14ac:dyDescent="0.2">
      <c r="A476" s="6"/>
      <c r="B476" s="6"/>
      <c r="C476" s="6"/>
      <c r="D476" s="6"/>
      <c r="E476" s="6"/>
      <c r="F476" s="6"/>
      <c r="G476" s="6"/>
      <c r="H476" s="6"/>
      <c r="I476" s="7"/>
      <c r="J476" s="7"/>
      <c r="K476" s="7"/>
      <c r="L476" s="7"/>
      <c r="M476" s="6"/>
      <c r="N476" s="7"/>
      <c r="O476" s="7"/>
      <c r="P476" s="7"/>
      <c r="Q476" s="7"/>
      <c r="R476" s="7"/>
      <c r="S476" s="7"/>
      <c r="T476" s="7"/>
      <c r="U476" s="7"/>
      <c r="V476" s="7"/>
      <c r="W476" s="7"/>
      <c r="X476" s="7"/>
      <c r="Y476" s="7"/>
      <c r="Z476" s="6"/>
      <c r="AA476" s="6"/>
      <c r="AB476" s="6"/>
      <c r="AC476" s="6"/>
      <c r="AD476" s="6"/>
      <c r="AE476" s="6"/>
      <c r="AF476" s="6"/>
      <c r="AG476" s="6"/>
      <c r="AH476" s="6"/>
      <c r="AI476" s="6"/>
      <c r="AJ476" s="6"/>
    </row>
    <row r="477" spans="1:36" x14ac:dyDescent="0.2">
      <c r="A477" s="6"/>
      <c r="B477" s="6"/>
      <c r="C477" s="6"/>
      <c r="D477" s="6"/>
      <c r="E477" s="6"/>
      <c r="F477" s="6"/>
      <c r="G477" s="6"/>
      <c r="H477" s="6"/>
      <c r="I477" s="7"/>
      <c r="J477" s="7"/>
      <c r="K477" s="7"/>
      <c r="L477" s="7"/>
      <c r="M477" s="6"/>
      <c r="N477" s="7"/>
      <c r="O477" s="7"/>
      <c r="P477" s="7"/>
      <c r="Q477" s="7"/>
      <c r="R477" s="7"/>
      <c r="S477" s="7"/>
      <c r="T477" s="7"/>
      <c r="U477" s="7"/>
      <c r="V477" s="7"/>
      <c r="W477" s="7"/>
      <c r="X477" s="7"/>
      <c r="Y477" s="7"/>
      <c r="Z477" s="6"/>
      <c r="AA477" s="6"/>
      <c r="AB477" s="6"/>
      <c r="AC477" s="6"/>
      <c r="AD477" s="6"/>
      <c r="AE477" s="6"/>
      <c r="AF477" s="6"/>
      <c r="AG477" s="6"/>
      <c r="AH477" s="6"/>
      <c r="AI477" s="6"/>
      <c r="AJ477" s="6"/>
    </row>
    <row r="478" spans="1:36" x14ac:dyDescent="0.2">
      <c r="A478" s="6"/>
      <c r="B478" s="6"/>
      <c r="C478" s="6"/>
      <c r="D478" s="6"/>
      <c r="E478" s="6"/>
      <c r="F478" s="6"/>
      <c r="G478" s="6"/>
      <c r="H478" s="6"/>
      <c r="I478" s="7"/>
      <c r="J478" s="7"/>
      <c r="K478" s="7"/>
      <c r="L478" s="7"/>
      <c r="M478" s="6"/>
      <c r="N478" s="7"/>
      <c r="O478" s="7"/>
      <c r="P478" s="7"/>
      <c r="Q478" s="7"/>
      <c r="R478" s="7"/>
      <c r="S478" s="7"/>
      <c r="T478" s="7"/>
      <c r="U478" s="7"/>
      <c r="V478" s="7"/>
      <c r="W478" s="7"/>
      <c r="X478" s="7"/>
      <c r="Y478" s="7"/>
      <c r="Z478" s="6"/>
      <c r="AA478" s="6"/>
      <c r="AB478" s="6"/>
      <c r="AC478" s="6"/>
      <c r="AD478" s="6"/>
      <c r="AE478" s="6"/>
      <c r="AF478" s="6"/>
      <c r="AG478" s="6"/>
      <c r="AH478" s="6"/>
      <c r="AI478" s="6"/>
      <c r="AJ478" s="6"/>
    </row>
    <row r="479" spans="1:36" x14ac:dyDescent="0.2">
      <c r="A479" s="6"/>
      <c r="B479" s="6"/>
      <c r="C479" s="6"/>
      <c r="D479" s="6"/>
      <c r="E479" s="6"/>
      <c r="F479" s="6"/>
      <c r="G479" s="6"/>
      <c r="H479" s="6"/>
      <c r="I479" s="7"/>
      <c r="J479" s="7"/>
      <c r="K479" s="7"/>
      <c r="L479" s="7"/>
      <c r="M479" s="6"/>
      <c r="N479" s="7"/>
      <c r="O479" s="7"/>
      <c r="P479" s="7"/>
      <c r="Q479" s="7"/>
      <c r="R479" s="7"/>
      <c r="S479" s="7"/>
      <c r="T479" s="7"/>
      <c r="U479" s="7"/>
      <c r="V479" s="7"/>
      <c r="W479" s="7"/>
      <c r="X479" s="7"/>
      <c r="Y479" s="7"/>
      <c r="Z479" s="6"/>
      <c r="AA479" s="6"/>
      <c r="AB479" s="6"/>
      <c r="AC479" s="6"/>
      <c r="AD479" s="6"/>
      <c r="AE479" s="6"/>
      <c r="AF479" s="6"/>
      <c r="AG479" s="6"/>
      <c r="AH479" s="6"/>
      <c r="AI479" s="6"/>
      <c r="AJ479" s="6"/>
    </row>
    <row r="480" spans="1:36" x14ac:dyDescent="0.2">
      <c r="A480" s="6"/>
      <c r="B480" s="6"/>
      <c r="C480" s="6"/>
      <c r="D480" s="6"/>
      <c r="E480" s="6"/>
      <c r="F480" s="6"/>
      <c r="G480" s="6"/>
      <c r="H480" s="6"/>
      <c r="I480" s="7"/>
      <c r="J480" s="7"/>
      <c r="K480" s="7"/>
      <c r="L480" s="7"/>
      <c r="M480" s="6"/>
      <c r="N480" s="7"/>
      <c r="O480" s="7"/>
      <c r="P480" s="7"/>
      <c r="Q480" s="7"/>
      <c r="R480" s="7"/>
      <c r="S480" s="7"/>
      <c r="T480" s="7"/>
      <c r="U480" s="7"/>
      <c r="V480" s="7"/>
      <c r="W480" s="7"/>
      <c r="X480" s="7"/>
      <c r="Y480" s="7"/>
      <c r="Z480" s="6"/>
      <c r="AA480" s="6"/>
      <c r="AB480" s="6"/>
      <c r="AC480" s="6"/>
      <c r="AD480" s="6"/>
      <c r="AE480" s="6"/>
      <c r="AF480" s="6"/>
      <c r="AG480" s="6"/>
      <c r="AH480" s="6"/>
      <c r="AI480" s="6"/>
      <c r="AJ480" s="6"/>
    </row>
    <row r="481" spans="1:36" x14ac:dyDescent="0.2">
      <c r="A481" s="6"/>
      <c r="B481" s="6"/>
      <c r="C481" s="6"/>
      <c r="D481" s="6"/>
      <c r="E481" s="6"/>
      <c r="F481" s="6"/>
      <c r="G481" s="6"/>
      <c r="H481" s="6"/>
      <c r="I481" s="7"/>
      <c r="J481" s="7"/>
      <c r="K481" s="7"/>
      <c r="L481" s="7"/>
      <c r="M481" s="6"/>
      <c r="N481" s="7"/>
      <c r="O481" s="7"/>
      <c r="P481" s="7"/>
      <c r="Q481" s="7"/>
      <c r="R481" s="7"/>
      <c r="S481" s="7"/>
      <c r="T481" s="7"/>
      <c r="U481" s="7"/>
      <c r="V481" s="7"/>
      <c r="W481" s="7"/>
      <c r="X481" s="7"/>
      <c r="Y481" s="7"/>
      <c r="Z481" s="6"/>
      <c r="AA481" s="6"/>
      <c r="AB481" s="6"/>
      <c r="AC481" s="6"/>
      <c r="AD481" s="6"/>
      <c r="AE481" s="6"/>
      <c r="AF481" s="6"/>
      <c r="AG481" s="6"/>
      <c r="AH481" s="6"/>
      <c r="AI481" s="6"/>
      <c r="AJ481" s="6"/>
    </row>
    <row r="482" spans="1:36" x14ac:dyDescent="0.2">
      <c r="A482" s="6"/>
      <c r="B482" s="6"/>
      <c r="C482" s="6"/>
      <c r="D482" s="6"/>
      <c r="E482" s="6"/>
      <c r="F482" s="6"/>
      <c r="G482" s="6"/>
      <c r="H482" s="6"/>
      <c r="I482" s="7"/>
      <c r="J482" s="7"/>
      <c r="K482" s="7"/>
      <c r="L482" s="7"/>
      <c r="M482" s="6"/>
      <c r="N482" s="7"/>
      <c r="O482" s="7"/>
      <c r="P482" s="7"/>
      <c r="Q482" s="7"/>
      <c r="R482" s="7"/>
      <c r="S482" s="7"/>
      <c r="T482" s="7"/>
      <c r="U482" s="7"/>
      <c r="V482" s="7"/>
      <c r="W482" s="7"/>
      <c r="X482" s="7"/>
      <c r="Y482" s="7"/>
      <c r="Z482" s="6"/>
      <c r="AA482" s="6"/>
      <c r="AB482" s="6"/>
      <c r="AC482" s="6"/>
      <c r="AD482" s="6"/>
      <c r="AE482" s="6"/>
      <c r="AF482" s="6"/>
      <c r="AG482" s="6"/>
      <c r="AH482" s="6"/>
      <c r="AI482" s="6"/>
      <c r="AJ482" s="6"/>
    </row>
    <row r="483" spans="1:36" x14ac:dyDescent="0.2">
      <c r="A483" s="6"/>
      <c r="B483" s="6"/>
      <c r="C483" s="6"/>
      <c r="D483" s="6"/>
      <c r="E483" s="6"/>
      <c r="F483" s="6"/>
      <c r="G483" s="6"/>
      <c r="H483" s="6"/>
      <c r="I483" s="7"/>
      <c r="J483" s="7"/>
      <c r="K483" s="7"/>
      <c r="L483" s="7"/>
      <c r="M483" s="6"/>
      <c r="N483" s="7"/>
      <c r="O483" s="7"/>
      <c r="P483" s="7"/>
      <c r="Q483" s="7"/>
      <c r="R483" s="7"/>
      <c r="S483" s="7"/>
      <c r="T483" s="7"/>
      <c r="U483" s="7"/>
      <c r="V483" s="7"/>
      <c r="W483" s="7"/>
      <c r="X483" s="7"/>
      <c r="Y483" s="7"/>
      <c r="Z483" s="6"/>
      <c r="AA483" s="6"/>
      <c r="AB483" s="6"/>
      <c r="AC483" s="6"/>
      <c r="AD483" s="6"/>
      <c r="AE483" s="6"/>
      <c r="AF483" s="6"/>
      <c r="AG483" s="6"/>
      <c r="AH483" s="6"/>
      <c r="AI483" s="6"/>
      <c r="AJ483" s="6"/>
    </row>
    <row r="484" spans="1:36" x14ac:dyDescent="0.2">
      <c r="A484" s="6"/>
      <c r="B484" s="6"/>
      <c r="C484" s="6"/>
      <c r="D484" s="6"/>
      <c r="E484" s="6"/>
      <c r="F484" s="6"/>
      <c r="G484" s="6"/>
      <c r="H484" s="6"/>
      <c r="I484" s="7"/>
      <c r="J484" s="7"/>
      <c r="K484" s="7"/>
      <c r="L484" s="7"/>
      <c r="M484" s="6"/>
      <c r="N484" s="7"/>
      <c r="O484" s="7"/>
      <c r="P484" s="7"/>
      <c r="Q484" s="7"/>
      <c r="R484" s="7"/>
      <c r="S484" s="7"/>
      <c r="T484" s="7"/>
      <c r="U484" s="7"/>
      <c r="V484" s="7"/>
      <c r="W484" s="7"/>
      <c r="X484" s="7"/>
      <c r="Y484" s="7"/>
      <c r="Z484" s="6"/>
      <c r="AA484" s="6"/>
      <c r="AB484" s="6"/>
      <c r="AC484" s="6"/>
      <c r="AD484" s="6"/>
      <c r="AE484" s="6"/>
      <c r="AF484" s="6"/>
      <c r="AG484" s="6"/>
      <c r="AH484" s="6"/>
      <c r="AI484" s="6"/>
      <c r="AJ484" s="6"/>
    </row>
    <row r="485" spans="1:36" x14ac:dyDescent="0.2">
      <c r="A485" s="6"/>
      <c r="B485" s="6"/>
      <c r="C485" s="6"/>
      <c r="D485" s="6"/>
      <c r="E485" s="6"/>
      <c r="F485" s="6"/>
      <c r="G485" s="6"/>
      <c r="H485" s="6"/>
      <c r="I485" s="7"/>
      <c r="J485" s="7"/>
      <c r="K485" s="7"/>
      <c r="L485" s="7"/>
      <c r="M485" s="6"/>
      <c r="N485" s="7"/>
      <c r="O485" s="7"/>
      <c r="P485" s="7"/>
      <c r="Q485" s="7"/>
      <c r="R485" s="7"/>
      <c r="S485" s="7"/>
      <c r="T485" s="7"/>
      <c r="U485" s="7"/>
      <c r="V485" s="7"/>
      <c r="W485" s="7"/>
      <c r="X485" s="7"/>
      <c r="Y485" s="7"/>
      <c r="Z485" s="6"/>
      <c r="AA485" s="6"/>
      <c r="AB485" s="6"/>
      <c r="AC485" s="6"/>
      <c r="AD485" s="6"/>
      <c r="AE485" s="6"/>
      <c r="AF485" s="6"/>
      <c r="AG485" s="6"/>
      <c r="AH485" s="6"/>
      <c r="AI485" s="6"/>
      <c r="AJ485" s="6"/>
    </row>
    <row r="486" spans="1:36" x14ac:dyDescent="0.2">
      <c r="A486" s="6"/>
      <c r="B486" s="6"/>
      <c r="C486" s="6"/>
      <c r="D486" s="6"/>
      <c r="E486" s="6"/>
      <c r="F486" s="6"/>
      <c r="G486" s="6"/>
      <c r="H486" s="6"/>
      <c r="I486" s="7"/>
      <c r="J486" s="7"/>
      <c r="K486" s="7"/>
      <c r="L486" s="7"/>
      <c r="M486" s="6"/>
      <c r="N486" s="7"/>
      <c r="O486" s="7"/>
      <c r="P486" s="7"/>
      <c r="Q486" s="7"/>
      <c r="R486" s="7"/>
      <c r="S486" s="7"/>
      <c r="T486" s="7"/>
      <c r="U486" s="7"/>
      <c r="V486" s="7"/>
      <c r="W486" s="7"/>
      <c r="X486" s="7"/>
      <c r="Y486" s="7"/>
      <c r="Z486" s="6"/>
      <c r="AA486" s="6"/>
      <c r="AB486" s="6"/>
      <c r="AC486" s="6"/>
      <c r="AD486" s="6"/>
      <c r="AE486" s="6"/>
      <c r="AF486" s="6"/>
      <c r="AG486" s="6"/>
      <c r="AH486" s="6"/>
      <c r="AI486" s="6"/>
      <c r="AJ486" s="6"/>
    </row>
    <row r="487" spans="1:36" x14ac:dyDescent="0.2">
      <c r="A487" s="6"/>
      <c r="B487" s="6"/>
      <c r="C487" s="6"/>
      <c r="D487" s="6"/>
      <c r="E487" s="6"/>
      <c r="F487" s="6"/>
      <c r="G487" s="6"/>
      <c r="H487" s="6"/>
      <c r="I487" s="7"/>
      <c r="J487" s="7"/>
      <c r="K487" s="7"/>
      <c r="L487" s="7"/>
      <c r="M487" s="6"/>
      <c r="N487" s="7"/>
      <c r="O487" s="7"/>
      <c r="P487" s="7"/>
      <c r="Q487" s="7"/>
      <c r="R487" s="7"/>
      <c r="S487" s="7"/>
      <c r="T487" s="7"/>
      <c r="U487" s="7"/>
      <c r="V487" s="7"/>
      <c r="W487" s="7"/>
      <c r="X487" s="7"/>
      <c r="Y487" s="7"/>
      <c r="Z487" s="6"/>
      <c r="AA487" s="6"/>
      <c r="AB487" s="6"/>
      <c r="AC487" s="6"/>
      <c r="AD487" s="6"/>
      <c r="AE487" s="6"/>
      <c r="AF487" s="6"/>
      <c r="AG487" s="6"/>
      <c r="AH487" s="6"/>
      <c r="AI487" s="6"/>
      <c r="AJ487" s="6"/>
    </row>
    <row r="488" spans="1:36" x14ac:dyDescent="0.2">
      <c r="A488" s="6"/>
      <c r="B488" s="6"/>
      <c r="C488" s="6"/>
      <c r="D488" s="6"/>
      <c r="E488" s="6"/>
      <c r="F488" s="6"/>
      <c r="G488" s="6"/>
      <c r="H488" s="6"/>
      <c r="I488" s="7"/>
      <c r="J488" s="7"/>
      <c r="K488" s="7"/>
      <c r="L488" s="7"/>
      <c r="M488" s="6"/>
      <c r="N488" s="7"/>
      <c r="O488" s="7"/>
      <c r="P488" s="7"/>
      <c r="Q488" s="7"/>
      <c r="R488" s="7"/>
      <c r="S488" s="7"/>
      <c r="T488" s="7"/>
      <c r="U488" s="7"/>
      <c r="V488" s="7"/>
      <c r="W488" s="7"/>
      <c r="X488" s="7"/>
      <c r="Y488" s="7"/>
      <c r="Z488" s="6"/>
      <c r="AA488" s="6"/>
      <c r="AB488" s="6"/>
      <c r="AC488" s="6"/>
      <c r="AD488" s="6"/>
      <c r="AE488" s="6"/>
      <c r="AF488" s="6"/>
      <c r="AG488" s="6"/>
      <c r="AH488" s="6"/>
      <c r="AI488" s="6"/>
      <c r="AJ488" s="6"/>
    </row>
    <row r="489" spans="1:36" x14ac:dyDescent="0.2">
      <c r="A489" s="6"/>
      <c r="B489" s="6"/>
      <c r="C489" s="6"/>
      <c r="D489" s="6"/>
      <c r="E489" s="6"/>
      <c r="F489" s="6"/>
      <c r="G489" s="6"/>
      <c r="H489" s="6"/>
      <c r="I489" s="7"/>
      <c r="J489" s="7"/>
      <c r="K489" s="7"/>
      <c r="L489" s="7"/>
      <c r="M489" s="6"/>
      <c r="N489" s="7"/>
      <c r="O489" s="7"/>
      <c r="P489" s="7"/>
      <c r="Q489" s="7"/>
      <c r="R489" s="7"/>
      <c r="S489" s="7"/>
      <c r="T489" s="7"/>
      <c r="U489" s="7"/>
      <c r="V489" s="7"/>
      <c r="W489" s="7"/>
      <c r="X489" s="7"/>
      <c r="Y489" s="7"/>
      <c r="Z489" s="6"/>
      <c r="AA489" s="6"/>
      <c r="AB489" s="6"/>
      <c r="AC489" s="6"/>
      <c r="AD489" s="6"/>
      <c r="AE489" s="6"/>
      <c r="AF489" s="6"/>
      <c r="AG489" s="6"/>
      <c r="AH489" s="6"/>
      <c r="AI489" s="6"/>
      <c r="AJ489" s="6"/>
    </row>
    <row r="490" spans="1:36" x14ac:dyDescent="0.2">
      <c r="A490" s="6"/>
      <c r="B490" s="6"/>
      <c r="C490" s="6"/>
      <c r="D490" s="6"/>
      <c r="E490" s="6"/>
      <c r="F490" s="6"/>
      <c r="G490" s="6"/>
      <c r="H490" s="6"/>
      <c r="I490" s="7"/>
      <c r="J490" s="7"/>
      <c r="K490" s="7"/>
      <c r="L490" s="7"/>
      <c r="M490" s="6"/>
      <c r="N490" s="7"/>
      <c r="O490" s="7"/>
      <c r="P490" s="7"/>
      <c r="Q490" s="7"/>
      <c r="R490" s="7"/>
      <c r="S490" s="7"/>
      <c r="T490" s="7"/>
      <c r="U490" s="7"/>
      <c r="V490" s="7"/>
      <c r="W490" s="7"/>
      <c r="X490" s="7"/>
      <c r="Y490" s="7"/>
      <c r="Z490" s="6"/>
      <c r="AA490" s="6"/>
      <c r="AB490" s="6"/>
      <c r="AC490" s="6"/>
      <c r="AD490" s="6"/>
      <c r="AE490" s="6"/>
      <c r="AF490" s="6"/>
      <c r="AG490" s="6"/>
      <c r="AH490" s="6"/>
      <c r="AI490" s="6"/>
      <c r="AJ490" s="6"/>
    </row>
    <row r="491" spans="1:36" x14ac:dyDescent="0.2">
      <c r="A491" s="6"/>
      <c r="B491" s="6"/>
      <c r="C491" s="6"/>
      <c r="D491" s="6"/>
      <c r="E491" s="6"/>
      <c r="F491" s="6"/>
      <c r="G491" s="6"/>
      <c r="H491" s="6"/>
      <c r="I491" s="7"/>
      <c r="J491" s="7"/>
      <c r="K491" s="7"/>
      <c r="L491" s="7"/>
      <c r="M491" s="6"/>
      <c r="N491" s="7"/>
      <c r="O491" s="7"/>
      <c r="P491" s="7"/>
      <c r="Q491" s="7"/>
      <c r="R491" s="7"/>
      <c r="S491" s="7"/>
      <c r="T491" s="7"/>
      <c r="U491" s="7"/>
      <c r="V491" s="7"/>
      <c r="W491" s="7"/>
      <c r="X491" s="7"/>
      <c r="Y491" s="7"/>
      <c r="Z491" s="6"/>
      <c r="AA491" s="6"/>
      <c r="AB491" s="6"/>
      <c r="AC491" s="6"/>
      <c r="AD491" s="6"/>
      <c r="AE491" s="6"/>
      <c r="AF491" s="6"/>
      <c r="AG491" s="6"/>
      <c r="AH491" s="6"/>
      <c r="AI491" s="6"/>
      <c r="AJ491" s="6"/>
    </row>
    <row r="492" spans="1:36" x14ac:dyDescent="0.2">
      <c r="A492" s="6"/>
      <c r="B492" s="6"/>
      <c r="C492" s="6"/>
      <c r="D492" s="6"/>
      <c r="E492" s="6"/>
      <c r="F492" s="6"/>
      <c r="G492" s="6"/>
      <c r="H492" s="6"/>
      <c r="I492" s="7"/>
      <c r="J492" s="7"/>
      <c r="K492" s="7"/>
      <c r="L492" s="7"/>
      <c r="M492" s="6"/>
      <c r="N492" s="7"/>
      <c r="O492" s="7"/>
      <c r="P492" s="7"/>
      <c r="Q492" s="7"/>
      <c r="R492" s="7"/>
      <c r="S492" s="7"/>
      <c r="T492" s="7"/>
      <c r="U492" s="7"/>
      <c r="V492" s="7"/>
      <c r="W492" s="7"/>
      <c r="X492" s="7"/>
      <c r="Y492" s="7"/>
      <c r="Z492" s="6"/>
      <c r="AA492" s="6"/>
      <c r="AB492" s="6"/>
      <c r="AC492" s="6"/>
      <c r="AD492" s="6"/>
      <c r="AE492" s="6"/>
      <c r="AF492" s="6"/>
      <c r="AG492" s="6"/>
      <c r="AH492" s="6"/>
      <c r="AI492" s="6"/>
      <c r="AJ492" s="6"/>
    </row>
    <row r="493" spans="1:36" x14ac:dyDescent="0.2">
      <c r="A493" s="6"/>
      <c r="B493" s="6"/>
      <c r="C493" s="6"/>
      <c r="D493" s="6"/>
      <c r="E493" s="6"/>
      <c r="F493" s="6"/>
      <c r="G493" s="6"/>
      <c r="H493" s="6"/>
      <c r="I493" s="7"/>
      <c r="J493" s="7"/>
      <c r="K493" s="7"/>
      <c r="L493" s="7"/>
      <c r="M493" s="6"/>
      <c r="N493" s="7"/>
      <c r="O493" s="7"/>
      <c r="P493" s="7"/>
      <c r="Q493" s="7"/>
      <c r="R493" s="7"/>
      <c r="S493" s="7"/>
      <c r="T493" s="7"/>
      <c r="U493" s="7"/>
      <c r="V493" s="7"/>
      <c r="W493" s="7"/>
      <c r="X493" s="7"/>
      <c r="Y493" s="7"/>
      <c r="Z493" s="6"/>
      <c r="AA493" s="6"/>
      <c r="AB493" s="6"/>
      <c r="AC493" s="6"/>
      <c r="AD493" s="6"/>
      <c r="AE493" s="6"/>
      <c r="AF493" s="6"/>
      <c r="AG493" s="6"/>
      <c r="AH493" s="6"/>
      <c r="AI493" s="6"/>
      <c r="AJ493" s="6"/>
    </row>
    <row r="494" spans="1:36" x14ac:dyDescent="0.2">
      <c r="A494" s="6"/>
      <c r="B494" s="6"/>
      <c r="C494" s="6"/>
      <c r="D494" s="6"/>
      <c r="E494" s="6"/>
      <c r="F494" s="6"/>
      <c r="G494" s="6"/>
      <c r="H494" s="6"/>
      <c r="I494" s="7"/>
      <c r="J494" s="7"/>
      <c r="K494" s="7"/>
      <c r="L494" s="7"/>
      <c r="M494" s="6"/>
      <c r="N494" s="7"/>
      <c r="O494" s="7"/>
      <c r="P494" s="7"/>
      <c r="Q494" s="7"/>
      <c r="R494" s="7"/>
      <c r="S494" s="7"/>
      <c r="T494" s="7"/>
      <c r="U494" s="7"/>
      <c r="V494" s="7"/>
      <c r="W494" s="7"/>
      <c r="X494" s="7"/>
      <c r="Y494" s="7"/>
      <c r="Z494" s="6"/>
      <c r="AA494" s="6"/>
      <c r="AB494" s="6"/>
      <c r="AC494" s="6"/>
      <c r="AD494" s="6"/>
      <c r="AE494" s="6"/>
      <c r="AF494" s="6"/>
      <c r="AG494" s="6"/>
      <c r="AH494" s="6"/>
      <c r="AI494" s="6"/>
      <c r="AJ494" s="6"/>
    </row>
    <row r="495" spans="1:36" x14ac:dyDescent="0.2">
      <c r="A495" s="6"/>
      <c r="B495" s="6"/>
      <c r="C495" s="6"/>
      <c r="D495" s="6"/>
      <c r="E495" s="6"/>
      <c r="F495" s="6"/>
      <c r="G495" s="6"/>
      <c r="H495" s="6"/>
      <c r="I495" s="7"/>
      <c r="J495" s="7"/>
      <c r="K495" s="7"/>
      <c r="L495" s="7"/>
      <c r="M495" s="6"/>
      <c r="N495" s="7"/>
      <c r="O495" s="7"/>
      <c r="P495" s="7"/>
      <c r="Q495" s="7"/>
      <c r="R495" s="7"/>
      <c r="S495" s="7"/>
      <c r="T495" s="7"/>
      <c r="U495" s="7"/>
      <c r="V495" s="7"/>
      <c r="W495" s="7"/>
      <c r="X495" s="7"/>
      <c r="Y495" s="7"/>
      <c r="Z495" s="6"/>
      <c r="AA495" s="6"/>
      <c r="AB495" s="6"/>
      <c r="AC495" s="6"/>
      <c r="AD495" s="6"/>
      <c r="AE495" s="6"/>
      <c r="AF495" s="6"/>
      <c r="AG495" s="6"/>
      <c r="AH495" s="6"/>
      <c r="AI495" s="6"/>
      <c r="AJ495" s="6"/>
    </row>
    <row r="496" spans="1:36" x14ac:dyDescent="0.2">
      <c r="A496" s="6"/>
      <c r="B496" s="6"/>
      <c r="C496" s="6"/>
      <c r="D496" s="6"/>
      <c r="E496" s="6"/>
      <c r="F496" s="6"/>
      <c r="G496" s="6"/>
      <c r="H496" s="6"/>
      <c r="I496" s="7"/>
      <c r="J496" s="7"/>
      <c r="K496" s="7"/>
      <c r="L496" s="7"/>
      <c r="M496" s="6"/>
      <c r="N496" s="7"/>
      <c r="O496" s="7"/>
      <c r="P496" s="7"/>
      <c r="Q496" s="7"/>
      <c r="R496" s="7"/>
      <c r="S496" s="7"/>
      <c r="T496" s="7"/>
      <c r="U496" s="7"/>
      <c r="V496" s="7"/>
      <c r="W496" s="7"/>
      <c r="X496" s="7"/>
      <c r="Y496" s="7"/>
      <c r="Z496" s="6"/>
      <c r="AA496" s="6"/>
      <c r="AB496" s="6"/>
      <c r="AC496" s="6"/>
      <c r="AD496" s="6"/>
      <c r="AE496" s="6"/>
      <c r="AF496" s="6"/>
      <c r="AG496" s="6"/>
      <c r="AH496" s="6"/>
      <c r="AI496" s="6"/>
      <c r="AJ496" s="6"/>
    </row>
    <row r="497" spans="1:36" x14ac:dyDescent="0.2">
      <c r="A497" s="6"/>
      <c r="B497" s="6"/>
      <c r="C497" s="6"/>
      <c r="D497" s="6"/>
      <c r="E497" s="6"/>
      <c r="F497" s="6"/>
      <c r="G497" s="6"/>
      <c r="H497" s="6"/>
      <c r="I497" s="7"/>
      <c r="J497" s="7"/>
      <c r="K497" s="7"/>
      <c r="L497" s="7"/>
      <c r="M497" s="6"/>
      <c r="N497" s="7"/>
      <c r="O497" s="7"/>
      <c r="P497" s="7"/>
      <c r="Q497" s="7"/>
      <c r="R497" s="7"/>
      <c r="S497" s="7"/>
      <c r="T497" s="7"/>
      <c r="U497" s="7"/>
      <c r="V497" s="7"/>
      <c r="W497" s="7"/>
      <c r="X497" s="7"/>
      <c r="Y497" s="7"/>
      <c r="Z497" s="6"/>
      <c r="AA497" s="6"/>
      <c r="AB497" s="6"/>
      <c r="AC497" s="6"/>
      <c r="AD497" s="6"/>
      <c r="AE497" s="6"/>
      <c r="AF497" s="6"/>
      <c r="AG497" s="6"/>
      <c r="AH497" s="6"/>
      <c r="AI497" s="6"/>
      <c r="AJ497" s="6"/>
    </row>
    <row r="498" spans="1:36" x14ac:dyDescent="0.2">
      <c r="A498" s="6"/>
      <c r="B498" s="6"/>
      <c r="C498" s="6"/>
      <c r="D498" s="6"/>
      <c r="E498" s="6"/>
      <c r="F498" s="6"/>
      <c r="G498" s="6"/>
      <c r="H498" s="6"/>
      <c r="I498" s="7"/>
      <c r="J498" s="7"/>
      <c r="K498" s="7"/>
      <c r="L498" s="7"/>
      <c r="M498" s="6"/>
      <c r="N498" s="7"/>
      <c r="O498" s="7"/>
      <c r="P498" s="7"/>
      <c r="Q498" s="7"/>
      <c r="R498" s="7"/>
      <c r="S498" s="7"/>
      <c r="T498" s="7"/>
      <c r="U498" s="7"/>
      <c r="V498" s="7"/>
      <c r="W498" s="7"/>
      <c r="X498" s="7"/>
      <c r="Y498" s="7"/>
      <c r="Z498" s="6"/>
      <c r="AA498" s="6"/>
      <c r="AB498" s="6"/>
      <c r="AC498" s="6"/>
      <c r="AD498" s="6"/>
      <c r="AE498" s="6"/>
      <c r="AF498" s="6"/>
      <c r="AG498" s="6"/>
      <c r="AH498" s="6"/>
      <c r="AI498" s="6"/>
      <c r="AJ498" s="6"/>
    </row>
    <row r="499" spans="1:36" x14ac:dyDescent="0.2">
      <c r="A499" s="6"/>
      <c r="B499" s="6"/>
      <c r="C499" s="6"/>
      <c r="D499" s="6"/>
      <c r="E499" s="6"/>
      <c r="F499" s="6"/>
      <c r="G499" s="6"/>
      <c r="H499" s="6"/>
      <c r="I499" s="7"/>
      <c r="J499" s="7"/>
      <c r="K499" s="7"/>
      <c r="L499" s="7"/>
      <c r="M499" s="6"/>
      <c r="N499" s="7"/>
      <c r="O499" s="7"/>
      <c r="P499" s="7"/>
      <c r="Q499" s="7"/>
      <c r="R499" s="7"/>
      <c r="S499" s="7"/>
      <c r="T499" s="7"/>
      <c r="U499" s="7"/>
      <c r="V499" s="7"/>
      <c r="W499" s="7"/>
      <c r="X499" s="7"/>
      <c r="Y499" s="7"/>
      <c r="Z499" s="6"/>
      <c r="AA499" s="6"/>
      <c r="AB499" s="6"/>
      <c r="AC499" s="6"/>
      <c r="AD499" s="6"/>
      <c r="AE499" s="6"/>
      <c r="AF499" s="6"/>
      <c r="AG499" s="6"/>
      <c r="AH499" s="6"/>
      <c r="AI499" s="6"/>
      <c r="AJ499" s="6"/>
    </row>
    <row r="500" spans="1:36" x14ac:dyDescent="0.2">
      <c r="A500" s="6"/>
      <c r="B500" s="6"/>
      <c r="C500" s="6"/>
      <c r="D500" s="6"/>
      <c r="E500" s="6"/>
      <c r="F500" s="6"/>
      <c r="G500" s="6"/>
      <c r="H500" s="6"/>
      <c r="I500" s="7"/>
      <c r="J500" s="7"/>
      <c r="K500" s="7"/>
      <c r="L500" s="7"/>
      <c r="M500" s="6"/>
      <c r="N500" s="7"/>
      <c r="O500" s="7"/>
      <c r="P500" s="7"/>
      <c r="Q500" s="7"/>
      <c r="R500" s="7"/>
      <c r="S500" s="7"/>
      <c r="T500" s="7"/>
      <c r="U500" s="7"/>
      <c r="V500" s="7"/>
      <c r="W500" s="7"/>
      <c r="X500" s="7"/>
      <c r="Y500" s="7"/>
      <c r="Z500" s="6"/>
      <c r="AA500" s="6"/>
      <c r="AB500" s="6"/>
      <c r="AC500" s="6"/>
      <c r="AD500" s="6"/>
      <c r="AE500" s="6"/>
      <c r="AF500" s="6"/>
      <c r="AG500" s="6"/>
      <c r="AH500" s="6"/>
      <c r="AI500" s="6"/>
      <c r="AJ500" s="6"/>
    </row>
    <row r="501" spans="1:36" x14ac:dyDescent="0.2">
      <c r="A501" s="6"/>
      <c r="B501" s="6"/>
      <c r="C501" s="6"/>
      <c r="D501" s="6"/>
      <c r="E501" s="6"/>
      <c r="F501" s="6"/>
      <c r="G501" s="6"/>
      <c r="H501" s="6"/>
      <c r="I501" s="7"/>
      <c r="J501" s="7"/>
      <c r="K501" s="7"/>
      <c r="L501" s="7"/>
      <c r="M501" s="6"/>
      <c r="N501" s="7"/>
      <c r="O501" s="7"/>
      <c r="P501" s="7"/>
      <c r="Q501" s="7"/>
      <c r="R501" s="7"/>
      <c r="S501" s="7"/>
      <c r="T501" s="7"/>
      <c r="U501" s="7"/>
      <c r="V501" s="7"/>
      <c r="W501" s="7"/>
      <c r="X501" s="7"/>
      <c r="Y501" s="7"/>
      <c r="Z501" s="6"/>
      <c r="AA501" s="6"/>
      <c r="AB501" s="6"/>
      <c r="AC501" s="6"/>
      <c r="AD501" s="6"/>
      <c r="AE501" s="6"/>
      <c r="AF501" s="6"/>
      <c r="AG501" s="6"/>
      <c r="AH501" s="6"/>
      <c r="AI501" s="6"/>
      <c r="AJ501" s="6"/>
    </row>
    <row r="502" spans="1:36" x14ac:dyDescent="0.2">
      <c r="A502" s="6"/>
      <c r="B502" s="6"/>
      <c r="C502" s="6"/>
      <c r="D502" s="6"/>
      <c r="E502" s="6"/>
      <c r="F502" s="6"/>
      <c r="G502" s="6"/>
      <c r="H502" s="6"/>
      <c r="I502" s="7"/>
      <c r="J502" s="7"/>
      <c r="K502" s="7"/>
      <c r="L502" s="7"/>
      <c r="M502" s="6"/>
      <c r="N502" s="7"/>
      <c r="O502" s="7"/>
      <c r="P502" s="7"/>
      <c r="Q502" s="7"/>
      <c r="R502" s="7"/>
      <c r="S502" s="7"/>
      <c r="T502" s="7"/>
      <c r="U502" s="7"/>
      <c r="V502" s="7"/>
      <c r="W502" s="7"/>
      <c r="X502" s="7"/>
      <c r="Y502" s="7"/>
      <c r="Z502" s="6"/>
      <c r="AA502" s="6"/>
      <c r="AB502" s="6"/>
      <c r="AC502" s="6"/>
      <c r="AD502" s="6"/>
      <c r="AE502" s="6"/>
      <c r="AF502" s="6"/>
      <c r="AG502" s="6"/>
      <c r="AH502" s="6"/>
      <c r="AI502" s="6"/>
      <c r="AJ502" s="6"/>
    </row>
    <row r="503" spans="1:36" x14ac:dyDescent="0.2">
      <c r="A503" s="6"/>
      <c r="B503" s="6"/>
      <c r="C503" s="6"/>
      <c r="D503" s="6"/>
      <c r="E503" s="6"/>
      <c r="F503" s="6"/>
      <c r="G503" s="6"/>
      <c r="H503" s="6"/>
      <c r="I503" s="7"/>
      <c r="J503" s="7"/>
      <c r="K503" s="7"/>
      <c r="L503" s="7"/>
      <c r="M503" s="6"/>
      <c r="N503" s="7"/>
      <c r="O503" s="7"/>
      <c r="P503" s="7"/>
      <c r="Q503" s="7"/>
      <c r="R503" s="7"/>
      <c r="S503" s="7"/>
      <c r="T503" s="7"/>
      <c r="U503" s="7"/>
      <c r="V503" s="7"/>
      <c r="W503" s="7"/>
      <c r="X503" s="7"/>
      <c r="Y503" s="7"/>
      <c r="Z503" s="6"/>
      <c r="AA503" s="6"/>
      <c r="AB503" s="6"/>
      <c r="AC503" s="6"/>
      <c r="AD503" s="6"/>
      <c r="AE503" s="6"/>
      <c r="AF503" s="6"/>
      <c r="AG503" s="6"/>
      <c r="AH503" s="6"/>
      <c r="AI503" s="6"/>
      <c r="AJ503" s="6"/>
    </row>
    <row r="504" spans="1:36" x14ac:dyDescent="0.2">
      <c r="A504" s="6"/>
      <c r="B504" s="6"/>
      <c r="C504" s="6"/>
      <c r="D504" s="6"/>
      <c r="E504" s="6"/>
      <c r="F504" s="6"/>
      <c r="G504" s="6"/>
      <c r="H504" s="6"/>
      <c r="I504" s="7"/>
      <c r="J504" s="7"/>
      <c r="K504" s="7"/>
      <c r="L504" s="7"/>
      <c r="M504" s="6"/>
      <c r="N504" s="7"/>
      <c r="O504" s="7"/>
      <c r="P504" s="7"/>
      <c r="Q504" s="7"/>
      <c r="R504" s="7"/>
      <c r="S504" s="7"/>
      <c r="T504" s="7"/>
      <c r="U504" s="7"/>
      <c r="V504" s="7"/>
      <c r="W504" s="7"/>
      <c r="X504" s="7"/>
      <c r="Y504" s="7"/>
      <c r="Z504" s="6"/>
      <c r="AA504" s="6"/>
      <c r="AB504" s="6"/>
      <c r="AC504" s="6"/>
      <c r="AD504" s="6"/>
      <c r="AE504" s="6"/>
      <c r="AF504" s="6"/>
      <c r="AG504" s="6"/>
      <c r="AH504" s="6"/>
      <c r="AI504" s="6"/>
      <c r="AJ504" s="6"/>
    </row>
    <row r="505" spans="1:36" x14ac:dyDescent="0.2">
      <c r="A505" s="6"/>
      <c r="B505" s="6"/>
      <c r="C505" s="6"/>
      <c r="D505" s="6"/>
      <c r="E505" s="6"/>
      <c r="F505" s="6"/>
      <c r="G505" s="6"/>
      <c r="H505" s="6"/>
      <c r="I505" s="7"/>
      <c r="J505" s="7"/>
      <c r="K505" s="7"/>
      <c r="L505" s="7"/>
      <c r="M505" s="6"/>
      <c r="N505" s="7"/>
      <c r="O505" s="7"/>
      <c r="P505" s="7"/>
      <c r="Q505" s="7"/>
      <c r="R505" s="7"/>
      <c r="S505" s="7"/>
      <c r="T505" s="7"/>
      <c r="U505" s="7"/>
      <c r="V505" s="7"/>
      <c r="W505" s="7"/>
      <c r="X505" s="7"/>
      <c r="Y505" s="7"/>
      <c r="Z505" s="6"/>
      <c r="AA505" s="6"/>
      <c r="AB505" s="6"/>
      <c r="AC505" s="6"/>
      <c r="AD505" s="6"/>
      <c r="AE505" s="6"/>
      <c r="AF505" s="6"/>
      <c r="AG505" s="6"/>
      <c r="AH505" s="6"/>
      <c r="AI505" s="6"/>
      <c r="AJ505" s="6"/>
    </row>
    <row r="506" spans="1:36" x14ac:dyDescent="0.2">
      <c r="A506" s="6"/>
      <c r="B506" s="6"/>
      <c r="C506" s="6"/>
      <c r="D506" s="6"/>
      <c r="E506" s="6"/>
      <c r="F506" s="6"/>
      <c r="G506" s="6"/>
      <c r="H506" s="6"/>
      <c r="I506" s="7"/>
      <c r="J506" s="7"/>
      <c r="K506" s="7"/>
      <c r="L506" s="7"/>
      <c r="M506" s="6"/>
      <c r="N506" s="7"/>
      <c r="O506" s="7"/>
      <c r="P506" s="7"/>
      <c r="Q506" s="7"/>
      <c r="R506" s="7"/>
      <c r="S506" s="7"/>
      <c r="T506" s="7"/>
      <c r="U506" s="7"/>
      <c r="V506" s="7"/>
      <c r="W506" s="7"/>
      <c r="X506" s="7"/>
      <c r="Y506" s="7"/>
      <c r="Z506" s="6"/>
      <c r="AA506" s="6"/>
      <c r="AB506" s="6"/>
      <c r="AC506" s="6"/>
      <c r="AD506" s="6"/>
      <c r="AE506" s="6"/>
      <c r="AF506" s="6"/>
      <c r="AG506" s="6"/>
      <c r="AH506" s="6"/>
      <c r="AI506" s="6"/>
      <c r="AJ506" s="6"/>
    </row>
    <row r="507" spans="1:36" x14ac:dyDescent="0.2">
      <c r="A507" s="6"/>
      <c r="B507" s="6"/>
      <c r="C507" s="6"/>
      <c r="D507" s="6"/>
      <c r="E507" s="6"/>
      <c r="F507" s="6"/>
      <c r="G507" s="6"/>
      <c r="H507" s="6"/>
      <c r="I507" s="7"/>
      <c r="J507" s="7"/>
      <c r="K507" s="7"/>
      <c r="L507" s="7"/>
      <c r="M507" s="6"/>
      <c r="N507" s="7"/>
      <c r="O507" s="7"/>
      <c r="P507" s="7"/>
      <c r="Q507" s="7"/>
      <c r="R507" s="7"/>
      <c r="S507" s="7"/>
      <c r="T507" s="7"/>
      <c r="U507" s="7"/>
      <c r="V507" s="7"/>
      <c r="W507" s="7"/>
      <c r="X507" s="7"/>
      <c r="Y507" s="7"/>
      <c r="Z507" s="6"/>
      <c r="AA507" s="6"/>
      <c r="AB507" s="6"/>
      <c r="AC507" s="6"/>
      <c r="AD507" s="6"/>
      <c r="AE507" s="6"/>
      <c r="AF507" s="6"/>
      <c r="AG507" s="6"/>
      <c r="AH507" s="6"/>
      <c r="AI507" s="6"/>
      <c r="AJ507" s="6"/>
    </row>
    <row r="508" spans="1:36" x14ac:dyDescent="0.2">
      <c r="A508" s="6"/>
      <c r="B508" s="6"/>
      <c r="C508" s="6"/>
      <c r="D508" s="6"/>
      <c r="E508" s="6"/>
      <c r="F508" s="6"/>
      <c r="G508" s="6"/>
      <c r="H508" s="6"/>
      <c r="I508" s="7"/>
      <c r="J508" s="7"/>
      <c r="K508" s="7"/>
      <c r="L508" s="7"/>
      <c r="M508" s="6"/>
      <c r="N508" s="7"/>
      <c r="O508" s="7"/>
      <c r="P508" s="7"/>
      <c r="Q508" s="7"/>
      <c r="R508" s="7"/>
      <c r="S508" s="7"/>
      <c r="T508" s="7"/>
      <c r="U508" s="7"/>
      <c r="V508" s="7"/>
      <c r="W508" s="7"/>
      <c r="X508" s="7"/>
      <c r="Y508" s="7"/>
      <c r="Z508" s="6"/>
      <c r="AA508" s="6"/>
      <c r="AB508" s="6"/>
      <c r="AC508" s="6"/>
      <c r="AD508" s="6"/>
      <c r="AE508" s="6"/>
      <c r="AF508" s="6"/>
      <c r="AG508" s="6"/>
      <c r="AH508" s="6"/>
      <c r="AI508" s="6"/>
      <c r="AJ508" s="6"/>
    </row>
    <row r="509" spans="1:36" x14ac:dyDescent="0.2">
      <c r="A509" s="6"/>
      <c r="B509" s="6"/>
      <c r="C509" s="6"/>
      <c r="D509" s="6"/>
      <c r="E509" s="6"/>
      <c r="F509" s="6"/>
      <c r="G509" s="6"/>
      <c r="H509" s="6"/>
      <c r="I509" s="7"/>
      <c r="J509" s="7"/>
      <c r="K509" s="7"/>
      <c r="L509" s="7"/>
      <c r="M509" s="6"/>
      <c r="N509" s="7"/>
      <c r="O509" s="7"/>
      <c r="P509" s="7"/>
      <c r="Q509" s="7"/>
      <c r="R509" s="7"/>
      <c r="S509" s="7"/>
      <c r="T509" s="7"/>
      <c r="U509" s="7"/>
      <c r="V509" s="7"/>
      <c r="W509" s="7"/>
      <c r="X509" s="7"/>
      <c r="Y509" s="7"/>
      <c r="Z509" s="6"/>
      <c r="AA509" s="6"/>
      <c r="AB509" s="6"/>
      <c r="AC509" s="6"/>
      <c r="AD509" s="6"/>
      <c r="AE509" s="6"/>
      <c r="AF509" s="6"/>
      <c r="AG509" s="6"/>
      <c r="AH509" s="6"/>
      <c r="AI509" s="6"/>
      <c r="AJ509" s="6"/>
    </row>
    <row r="510" spans="1:36" x14ac:dyDescent="0.2">
      <c r="A510" s="6"/>
      <c r="B510" s="6"/>
      <c r="C510" s="6"/>
      <c r="D510" s="6"/>
      <c r="E510" s="6"/>
      <c r="F510" s="6"/>
      <c r="G510" s="6"/>
      <c r="H510" s="6"/>
      <c r="I510" s="7"/>
      <c r="J510" s="7"/>
      <c r="K510" s="7"/>
      <c r="L510" s="7"/>
      <c r="M510" s="6"/>
      <c r="N510" s="7"/>
      <c r="O510" s="7"/>
      <c r="P510" s="7"/>
      <c r="Q510" s="7"/>
      <c r="R510" s="7"/>
      <c r="S510" s="7"/>
      <c r="T510" s="7"/>
      <c r="U510" s="7"/>
      <c r="V510" s="7"/>
      <c r="W510" s="7"/>
      <c r="X510" s="7"/>
      <c r="Y510" s="7"/>
      <c r="Z510" s="6"/>
      <c r="AA510" s="6"/>
      <c r="AB510" s="6"/>
      <c r="AC510" s="6"/>
      <c r="AD510" s="6"/>
      <c r="AE510" s="6"/>
      <c r="AF510" s="6"/>
      <c r="AG510" s="6"/>
      <c r="AH510" s="6"/>
      <c r="AI510" s="6"/>
      <c r="AJ510" s="6"/>
    </row>
    <row r="511" spans="1:36" x14ac:dyDescent="0.2">
      <c r="A511" s="6"/>
      <c r="B511" s="6"/>
      <c r="C511" s="6"/>
      <c r="D511" s="6"/>
      <c r="E511" s="6"/>
      <c r="F511" s="6"/>
      <c r="G511" s="6"/>
      <c r="H511" s="6"/>
      <c r="I511" s="7"/>
      <c r="J511" s="7"/>
      <c r="K511" s="7"/>
      <c r="L511" s="7"/>
      <c r="M511" s="6"/>
      <c r="N511" s="7"/>
      <c r="O511" s="7"/>
      <c r="P511" s="7"/>
      <c r="Q511" s="7"/>
      <c r="R511" s="7"/>
      <c r="S511" s="7"/>
      <c r="T511" s="7"/>
      <c r="U511" s="7"/>
      <c r="V511" s="7"/>
      <c r="W511" s="7"/>
      <c r="X511" s="7"/>
      <c r="Y511" s="7"/>
      <c r="Z511" s="6"/>
      <c r="AA511" s="6"/>
      <c r="AB511" s="6"/>
      <c r="AC511" s="6"/>
      <c r="AD511" s="6"/>
      <c r="AE511" s="6"/>
      <c r="AF511" s="6"/>
      <c r="AG511" s="6"/>
      <c r="AH511" s="6"/>
      <c r="AI511" s="6"/>
      <c r="AJ511" s="6"/>
    </row>
    <row r="512" spans="1:36" x14ac:dyDescent="0.2">
      <c r="A512" s="6"/>
      <c r="B512" s="6"/>
      <c r="C512" s="6"/>
      <c r="D512" s="6"/>
      <c r="E512" s="6"/>
      <c r="F512" s="6"/>
      <c r="G512" s="6"/>
      <c r="H512" s="6"/>
      <c r="I512" s="7"/>
      <c r="J512" s="7"/>
      <c r="K512" s="7"/>
      <c r="L512" s="7"/>
      <c r="M512" s="6"/>
      <c r="N512" s="7"/>
      <c r="O512" s="7"/>
      <c r="P512" s="7"/>
      <c r="Q512" s="7"/>
      <c r="R512" s="7"/>
      <c r="S512" s="7"/>
      <c r="T512" s="7"/>
      <c r="U512" s="7"/>
      <c r="V512" s="7"/>
      <c r="W512" s="7"/>
      <c r="X512" s="7"/>
      <c r="Y512" s="7"/>
      <c r="Z512" s="6"/>
      <c r="AA512" s="6"/>
      <c r="AB512" s="6"/>
      <c r="AC512" s="6"/>
      <c r="AD512" s="6"/>
      <c r="AE512" s="6"/>
      <c r="AF512" s="6"/>
      <c r="AG512" s="6"/>
      <c r="AH512" s="6"/>
      <c r="AI512" s="6"/>
      <c r="AJ512" s="6"/>
    </row>
    <row r="513" spans="1:36" x14ac:dyDescent="0.2">
      <c r="A513" s="6"/>
      <c r="B513" s="6"/>
      <c r="C513" s="6"/>
      <c r="D513" s="6"/>
      <c r="E513" s="6"/>
      <c r="F513" s="6"/>
      <c r="G513" s="6"/>
      <c r="H513" s="6"/>
      <c r="I513" s="7"/>
      <c r="J513" s="7"/>
      <c r="K513" s="7"/>
      <c r="L513" s="7"/>
      <c r="M513" s="6"/>
      <c r="N513" s="7"/>
      <c r="O513" s="7"/>
      <c r="P513" s="7"/>
      <c r="Q513" s="7"/>
      <c r="R513" s="7"/>
      <c r="S513" s="7"/>
      <c r="T513" s="7"/>
      <c r="U513" s="7"/>
      <c r="V513" s="7"/>
      <c r="W513" s="7"/>
      <c r="X513" s="7"/>
      <c r="Y513" s="7"/>
      <c r="Z513" s="6"/>
      <c r="AA513" s="6"/>
      <c r="AB513" s="6"/>
      <c r="AC513" s="6"/>
      <c r="AD513" s="6"/>
      <c r="AE513" s="6"/>
      <c r="AF513" s="6"/>
      <c r="AG513" s="6"/>
      <c r="AH513" s="6"/>
      <c r="AI513" s="6"/>
      <c r="AJ513" s="6"/>
    </row>
    <row r="514" spans="1:36" x14ac:dyDescent="0.2">
      <c r="A514" s="6"/>
      <c r="B514" s="6"/>
      <c r="C514" s="6"/>
      <c r="D514" s="6"/>
      <c r="E514" s="6"/>
      <c r="F514" s="6"/>
      <c r="G514" s="6"/>
      <c r="H514" s="6"/>
      <c r="I514" s="7"/>
      <c r="J514" s="7"/>
      <c r="K514" s="7"/>
      <c r="L514" s="7"/>
      <c r="M514" s="6"/>
      <c r="N514" s="7"/>
      <c r="O514" s="7"/>
      <c r="P514" s="7"/>
      <c r="Q514" s="7"/>
      <c r="R514" s="7"/>
      <c r="S514" s="7"/>
      <c r="T514" s="7"/>
      <c r="U514" s="7"/>
      <c r="V514" s="7"/>
      <c r="W514" s="7"/>
      <c r="X514" s="7"/>
      <c r="Y514" s="7"/>
      <c r="Z514" s="6"/>
      <c r="AA514" s="6"/>
      <c r="AB514" s="6"/>
      <c r="AC514" s="6"/>
      <c r="AD514" s="6"/>
      <c r="AE514" s="6"/>
      <c r="AF514" s="6"/>
      <c r="AG514" s="6"/>
      <c r="AH514" s="6"/>
      <c r="AI514" s="6"/>
      <c r="AJ514" s="6"/>
    </row>
    <row r="515" spans="1:36" x14ac:dyDescent="0.2">
      <c r="A515" s="6"/>
      <c r="B515" s="6"/>
      <c r="C515" s="6"/>
      <c r="D515" s="6"/>
      <c r="E515" s="6"/>
      <c r="F515" s="6"/>
      <c r="G515" s="6"/>
      <c r="H515" s="6"/>
      <c r="I515" s="7"/>
      <c r="J515" s="7"/>
      <c r="K515" s="7"/>
      <c r="L515" s="7"/>
      <c r="M515" s="6"/>
      <c r="N515" s="7"/>
      <c r="O515" s="7"/>
      <c r="P515" s="7"/>
      <c r="Q515" s="7"/>
      <c r="R515" s="7"/>
      <c r="S515" s="7"/>
      <c r="T515" s="7"/>
      <c r="U515" s="7"/>
      <c r="V515" s="7"/>
      <c r="W515" s="7"/>
      <c r="X515" s="7"/>
      <c r="Y515" s="7"/>
      <c r="Z515" s="6"/>
      <c r="AA515" s="6"/>
      <c r="AB515" s="6"/>
      <c r="AC515" s="6"/>
      <c r="AD515" s="6"/>
      <c r="AE515" s="6"/>
      <c r="AF515" s="6"/>
      <c r="AG515" s="6"/>
      <c r="AH515" s="6"/>
      <c r="AI515" s="6"/>
      <c r="AJ515" s="6"/>
    </row>
    <row r="516" spans="1:36" x14ac:dyDescent="0.2">
      <c r="A516" s="6"/>
      <c r="B516" s="6"/>
      <c r="C516" s="6"/>
      <c r="D516" s="6"/>
      <c r="E516" s="6"/>
      <c r="F516" s="6"/>
      <c r="G516" s="6"/>
      <c r="H516" s="6"/>
      <c r="I516" s="7"/>
      <c r="J516" s="7"/>
      <c r="K516" s="7"/>
      <c r="L516" s="7"/>
      <c r="M516" s="6"/>
      <c r="N516" s="7"/>
      <c r="O516" s="7"/>
      <c r="P516" s="7"/>
      <c r="Q516" s="7"/>
      <c r="R516" s="7"/>
      <c r="S516" s="7"/>
      <c r="T516" s="7"/>
      <c r="U516" s="7"/>
      <c r="V516" s="7"/>
      <c r="W516" s="7"/>
      <c r="X516" s="7"/>
      <c r="Y516" s="7"/>
      <c r="Z516" s="6"/>
      <c r="AA516" s="6"/>
      <c r="AB516" s="6"/>
      <c r="AC516" s="6"/>
      <c r="AD516" s="6"/>
      <c r="AE516" s="6"/>
      <c r="AF516" s="6"/>
      <c r="AG516" s="6"/>
      <c r="AH516" s="6"/>
      <c r="AI516" s="6"/>
      <c r="AJ516" s="6"/>
    </row>
    <row r="517" spans="1:36" x14ac:dyDescent="0.2">
      <c r="A517" s="6"/>
      <c r="B517" s="6"/>
      <c r="C517" s="6"/>
      <c r="D517" s="6"/>
      <c r="E517" s="6"/>
      <c r="F517" s="6"/>
      <c r="G517" s="6"/>
      <c r="H517" s="6"/>
      <c r="I517" s="7"/>
      <c r="J517" s="7"/>
      <c r="K517" s="7"/>
      <c r="L517" s="7"/>
      <c r="M517" s="6"/>
      <c r="N517" s="7"/>
      <c r="O517" s="7"/>
      <c r="P517" s="7"/>
      <c r="Q517" s="7"/>
      <c r="R517" s="7"/>
      <c r="S517" s="7"/>
      <c r="T517" s="7"/>
      <c r="U517" s="7"/>
      <c r="V517" s="7"/>
      <c r="W517" s="7"/>
      <c r="X517" s="7"/>
      <c r="Y517" s="7"/>
      <c r="Z517" s="6"/>
      <c r="AA517" s="6"/>
      <c r="AB517" s="6"/>
      <c r="AC517" s="6"/>
      <c r="AD517" s="6"/>
      <c r="AE517" s="6"/>
      <c r="AF517" s="6"/>
      <c r="AG517" s="6"/>
      <c r="AH517" s="6"/>
      <c r="AI517" s="6"/>
      <c r="AJ517" s="6"/>
    </row>
    <row r="518" spans="1:36" x14ac:dyDescent="0.2">
      <c r="A518" s="6"/>
      <c r="B518" s="6"/>
      <c r="C518" s="6"/>
      <c r="D518" s="6"/>
      <c r="E518" s="6"/>
      <c r="F518" s="6"/>
      <c r="G518" s="6"/>
      <c r="H518" s="6"/>
      <c r="I518" s="7"/>
      <c r="J518" s="7"/>
      <c r="K518" s="7"/>
      <c r="L518" s="7"/>
      <c r="M518" s="6"/>
      <c r="N518" s="7"/>
      <c r="O518" s="7"/>
      <c r="P518" s="7"/>
      <c r="Q518" s="7"/>
      <c r="R518" s="7"/>
      <c r="S518" s="7"/>
      <c r="T518" s="7"/>
      <c r="U518" s="7"/>
      <c r="V518" s="7"/>
      <c r="W518" s="7"/>
      <c r="X518" s="7"/>
      <c r="Y518" s="7"/>
      <c r="Z518" s="6"/>
      <c r="AA518" s="6"/>
      <c r="AB518" s="6"/>
      <c r="AC518" s="6"/>
      <c r="AD518" s="6"/>
      <c r="AE518" s="6"/>
      <c r="AF518" s="6"/>
      <c r="AG518" s="6"/>
      <c r="AH518" s="6"/>
      <c r="AI518" s="6"/>
      <c r="AJ518" s="6"/>
    </row>
    <row r="519" spans="1:36" x14ac:dyDescent="0.2">
      <c r="A519" s="6"/>
      <c r="B519" s="6"/>
      <c r="C519" s="6"/>
      <c r="D519" s="6"/>
      <c r="E519" s="6"/>
      <c r="F519" s="6"/>
      <c r="G519" s="6"/>
      <c r="H519" s="6"/>
      <c r="I519" s="7"/>
      <c r="J519" s="7"/>
      <c r="K519" s="7"/>
      <c r="L519" s="7"/>
      <c r="M519" s="6"/>
      <c r="N519" s="7"/>
      <c r="O519" s="7"/>
      <c r="P519" s="7"/>
      <c r="Q519" s="7"/>
      <c r="R519" s="7"/>
      <c r="S519" s="7"/>
      <c r="T519" s="7"/>
      <c r="U519" s="7"/>
      <c r="V519" s="7"/>
      <c r="W519" s="7"/>
      <c r="X519" s="7"/>
      <c r="Y519" s="7"/>
      <c r="Z519" s="6"/>
      <c r="AA519" s="6"/>
      <c r="AB519" s="6"/>
      <c r="AC519" s="6"/>
      <c r="AD519" s="6"/>
      <c r="AE519" s="6"/>
      <c r="AF519" s="6"/>
      <c r="AG519" s="6"/>
      <c r="AH519" s="6"/>
      <c r="AI519" s="6"/>
      <c r="AJ519" s="6"/>
    </row>
    <row r="520" spans="1:36" x14ac:dyDescent="0.2">
      <c r="A520" s="6"/>
      <c r="B520" s="6"/>
      <c r="C520" s="6"/>
      <c r="D520" s="6"/>
      <c r="E520" s="6"/>
      <c r="F520" s="6"/>
      <c r="G520" s="6"/>
      <c r="H520" s="6"/>
      <c r="I520" s="7"/>
      <c r="J520" s="7"/>
      <c r="K520" s="7"/>
      <c r="L520" s="7"/>
      <c r="M520" s="6"/>
      <c r="N520" s="7"/>
      <c r="O520" s="7"/>
      <c r="P520" s="7"/>
      <c r="Q520" s="7"/>
      <c r="R520" s="7"/>
      <c r="S520" s="7"/>
      <c r="T520" s="7"/>
      <c r="U520" s="7"/>
      <c r="V520" s="7"/>
      <c r="W520" s="7"/>
      <c r="X520" s="7"/>
      <c r="Y520" s="7"/>
      <c r="Z520" s="6"/>
      <c r="AA520" s="6"/>
      <c r="AB520" s="6"/>
      <c r="AC520" s="6"/>
      <c r="AD520" s="6"/>
      <c r="AE520" s="6"/>
      <c r="AF520" s="6"/>
      <c r="AG520" s="6"/>
      <c r="AH520" s="6"/>
      <c r="AI520" s="6"/>
      <c r="AJ520" s="6"/>
    </row>
    <row r="521" spans="1:36" x14ac:dyDescent="0.2">
      <c r="A521" s="6"/>
      <c r="B521" s="6"/>
      <c r="C521" s="6"/>
      <c r="D521" s="6"/>
      <c r="E521" s="6"/>
      <c r="F521" s="6"/>
      <c r="G521" s="6"/>
      <c r="H521" s="6"/>
      <c r="I521" s="7"/>
      <c r="J521" s="7"/>
      <c r="K521" s="7"/>
      <c r="L521" s="7"/>
      <c r="M521" s="6"/>
      <c r="N521" s="7"/>
      <c r="O521" s="7"/>
      <c r="P521" s="7"/>
      <c r="Q521" s="7"/>
      <c r="R521" s="7"/>
      <c r="S521" s="7"/>
      <c r="T521" s="7"/>
      <c r="U521" s="7"/>
      <c r="V521" s="7"/>
      <c r="W521" s="7"/>
      <c r="X521" s="7"/>
      <c r="Y521" s="7"/>
      <c r="Z521" s="6"/>
      <c r="AA521" s="6"/>
      <c r="AB521" s="6"/>
      <c r="AC521" s="6"/>
      <c r="AD521" s="6"/>
      <c r="AE521" s="6"/>
      <c r="AF521" s="6"/>
      <c r="AG521" s="6"/>
      <c r="AH521" s="6"/>
      <c r="AI521" s="6"/>
      <c r="AJ521" s="6"/>
    </row>
    <row r="522" spans="1:36" x14ac:dyDescent="0.2">
      <c r="A522" s="6"/>
      <c r="B522" s="6"/>
      <c r="C522" s="6"/>
      <c r="D522" s="6"/>
      <c r="E522" s="6"/>
      <c r="F522" s="6"/>
      <c r="G522" s="6"/>
      <c r="H522" s="6"/>
      <c r="I522" s="7"/>
      <c r="J522" s="7"/>
      <c r="K522" s="7"/>
      <c r="L522" s="7"/>
      <c r="M522" s="6"/>
      <c r="N522" s="7"/>
      <c r="O522" s="7"/>
      <c r="P522" s="7"/>
      <c r="Q522" s="7"/>
      <c r="R522" s="7"/>
      <c r="S522" s="7"/>
      <c r="T522" s="7"/>
      <c r="U522" s="7"/>
      <c r="V522" s="7"/>
      <c r="W522" s="7"/>
      <c r="X522" s="7"/>
      <c r="Y522" s="7"/>
      <c r="Z522" s="6"/>
      <c r="AA522" s="6"/>
      <c r="AB522" s="6"/>
      <c r="AC522" s="6"/>
      <c r="AD522" s="6"/>
      <c r="AE522" s="6"/>
      <c r="AF522" s="6"/>
      <c r="AG522" s="6"/>
      <c r="AH522" s="6"/>
      <c r="AI522" s="6"/>
      <c r="AJ522" s="6"/>
    </row>
    <row r="523" spans="1:36" x14ac:dyDescent="0.2">
      <c r="A523" s="6"/>
      <c r="B523" s="6"/>
      <c r="C523" s="6"/>
      <c r="D523" s="6"/>
      <c r="E523" s="6"/>
      <c r="F523" s="6"/>
      <c r="G523" s="6"/>
      <c r="H523" s="6"/>
      <c r="I523" s="7"/>
      <c r="J523" s="7"/>
      <c r="K523" s="7"/>
      <c r="L523" s="7"/>
      <c r="M523" s="6"/>
      <c r="N523" s="7"/>
      <c r="O523" s="7"/>
      <c r="P523" s="7"/>
      <c r="Q523" s="7"/>
      <c r="R523" s="7"/>
      <c r="S523" s="7"/>
      <c r="T523" s="7"/>
      <c r="U523" s="7"/>
      <c r="V523" s="7"/>
      <c r="W523" s="7"/>
      <c r="X523" s="7"/>
      <c r="Y523" s="7"/>
      <c r="Z523" s="6"/>
      <c r="AA523" s="6"/>
      <c r="AB523" s="6"/>
      <c r="AC523" s="6"/>
      <c r="AD523" s="6"/>
      <c r="AE523" s="6"/>
      <c r="AF523" s="6"/>
      <c r="AG523" s="6"/>
      <c r="AH523" s="6"/>
      <c r="AI523" s="6"/>
      <c r="AJ523" s="6"/>
    </row>
    <row r="524" spans="1:36" x14ac:dyDescent="0.2">
      <c r="A524" s="6"/>
      <c r="B524" s="6"/>
      <c r="C524" s="6"/>
      <c r="D524" s="6"/>
      <c r="E524" s="6"/>
      <c r="F524" s="6"/>
      <c r="G524" s="6"/>
      <c r="H524" s="6"/>
      <c r="I524" s="7"/>
      <c r="J524" s="7"/>
      <c r="K524" s="7"/>
      <c r="L524" s="7"/>
      <c r="M524" s="6"/>
      <c r="N524" s="7"/>
      <c r="O524" s="7"/>
      <c r="P524" s="7"/>
      <c r="Q524" s="7"/>
      <c r="R524" s="7"/>
      <c r="S524" s="7"/>
      <c r="T524" s="7"/>
      <c r="U524" s="7"/>
      <c r="V524" s="7"/>
      <c r="W524" s="7"/>
      <c r="X524" s="7"/>
      <c r="Y524" s="7"/>
      <c r="Z524" s="6"/>
      <c r="AA524" s="6"/>
      <c r="AB524" s="6"/>
      <c r="AC524" s="6"/>
      <c r="AD524" s="6"/>
      <c r="AE524" s="6"/>
      <c r="AF524" s="6"/>
      <c r="AG524" s="6"/>
      <c r="AH524" s="6"/>
      <c r="AI524" s="6"/>
      <c r="AJ524" s="6"/>
    </row>
    <row r="525" spans="1:36" x14ac:dyDescent="0.2">
      <c r="A525" s="6"/>
      <c r="B525" s="6"/>
      <c r="C525" s="6"/>
      <c r="D525" s="6"/>
      <c r="E525" s="6"/>
      <c r="F525" s="6"/>
      <c r="G525" s="6"/>
      <c r="H525" s="6"/>
      <c r="I525" s="7"/>
      <c r="J525" s="7"/>
      <c r="K525" s="7"/>
      <c r="L525" s="7"/>
      <c r="M525" s="6"/>
      <c r="N525" s="7"/>
      <c r="O525" s="7"/>
      <c r="P525" s="7"/>
      <c r="Q525" s="7"/>
      <c r="R525" s="7"/>
      <c r="S525" s="7"/>
      <c r="T525" s="7"/>
      <c r="U525" s="7"/>
      <c r="V525" s="7"/>
      <c r="W525" s="7"/>
      <c r="X525" s="7"/>
      <c r="Y525" s="7"/>
      <c r="Z525" s="6"/>
      <c r="AA525" s="6"/>
      <c r="AB525" s="6"/>
      <c r="AC525" s="6"/>
      <c r="AD525" s="6"/>
      <c r="AE525" s="6"/>
      <c r="AF525" s="6"/>
      <c r="AG525" s="6"/>
      <c r="AH525" s="6"/>
      <c r="AI525" s="6"/>
      <c r="AJ525" s="6"/>
    </row>
    <row r="526" spans="1:36" x14ac:dyDescent="0.2">
      <c r="A526" s="6"/>
      <c r="B526" s="6"/>
      <c r="C526" s="6"/>
      <c r="D526" s="6"/>
      <c r="E526" s="6"/>
      <c r="F526" s="6"/>
      <c r="G526" s="6"/>
      <c r="H526" s="6"/>
      <c r="I526" s="7"/>
      <c r="J526" s="7"/>
      <c r="K526" s="7"/>
      <c r="L526" s="7"/>
      <c r="M526" s="6"/>
      <c r="N526" s="7"/>
      <c r="O526" s="7"/>
      <c r="P526" s="7"/>
      <c r="Q526" s="7"/>
      <c r="R526" s="7"/>
      <c r="S526" s="7"/>
      <c r="T526" s="7"/>
      <c r="U526" s="7"/>
      <c r="V526" s="7"/>
      <c r="W526" s="7"/>
      <c r="X526" s="7"/>
      <c r="Y526" s="7"/>
      <c r="Z526" s="6"/>
      <c r="AA526" s="6"/>
      <c r="AB526" s="6"/>
      <c r="AC526" s="6"/>
      <c r="AD526" s="6"/>
      <c r="AE526" s="6"/>
      <c r="AF526" s="6"/>
      <c r="AG526" s="6"/>
      <c r="AH526" s="6"/>
      <c r="AI526" s="6"/>
      <c r="AJ526" s="6"/>
    </row>
    <row r="527" spans="1:36" x14ac:dyDescent="0.2">
      <c r="A527" s="6"/>
      <c r="B527" s="6"/>
      <c r="C527" s="6"/>
      <c r="D527" s="6"/>
      <c r="E527" s="6"/>
      <c r="F527" s="6"/>
      <c r="G527" s="6"/>
      <c r="H527" s="6"/>
      <c r="I527" s="7"/>
      <c r="J527" s="7"/>
      <c r="K527" s="7"/>
      <c r="L527" s="7"/>
      <c r="M527" s="6"/>
      <c r="N527" s="7"/>
      <c r="O527" s="7"/>
      <c r="P527" s="7"/>
      <c r="Q527" s="7"/>
      <c r="R527" s="7"/>
      <c r="S527" s="7"/>
      <c r="T527" s="7"/>
      <c r="U527" s="7"/>
      <c r="V527" s="7"/>
      <c r="W527" s="7"/>
      <c r="X527" s="7"/>
      <c r="Y527" s="7"/>
      <c r="Z527" s="6"/>
      <c r="AA527" s="6"/>
      <c r="AB527" s="6"/>
      <c r="AC527" s="6"/>
      <c r="AD527" s="6"/>
      <c r="AE527" s="6"/>
      <c r="AF527" s="6"/>
      <c r="AG527" s="6"/>
      <c r="AH527" s="6"/>
      <c r="AI527" s="6"/>
      <c r="AJ527" s="6"/>
    </row>
    <row r="528" spans="1:36" x14ac:dyDescent="0.2">
      <c r="A528" s="6"/>
      <c r="B528" s="6"/>
      <c r="C528" s="6"/>
      <c r="D528" s="6"/>
      <c r="E528" s="6"/>
      <c r="F528" s="6"/>
      <c r="G528" s="6"/>
      <c r="H528" s="6"/>
      <c r="I528" s="7"/>
      <c r="J528" s="7"/>
      <c r="K528" s="7"/>
      <c r="L528" s="7"/>
      <c r="M528" s="6"/>
      <c r="N528" s="7"/>
      <c r="O528" s="7"/>
      <c r="P528" s="7"/>
      <c r="Q528" s="7"/>
      <c r="R528" s="7"/>
      <c r="S528" s="7"/>
      <c r="T528" s="7"/>
      <c r="U528" s="7"/>
      <c r="V528" s="7"/>
      <c r="W528" s="7"/>
      <c r="X528" s="7"/>
      <c r="Y528" s="7"/>
      <c r="Z528" s="6"/>
      <c r="AA528" s="6"/>
      <c r="AB528" s="6"/>
      <c r="AC528" s="6"/>
      <c r="AD528" s="6"/>
      <c r="AE528" s="6"/>
      <c r="AF528" s="6"/>
      <c r="AG528" s="6"/>
      <c r="AH528" s="6"/>
      <c r="AI528" s="6"/>
      <c r="AJ528" s="6"/>
    </row>
    <row r="529" spans="1:36" x14ac:dyDescent="0.2">
      <c r="A529" s="6"/>
      <c r="B529" s="6"/>
      <c r="C529" s="6"/>
      <c r="D529" s="6"/>
      <c r="E529" s="6"/>
      <c r="F529" s="6"/>
      <c r="G529" s="6"/>
      <c r="H529" s="6"/>
      <c r="I529" s="7"/>
      <c r="J529" s="7"/>
      <c r="K529" s="7"/>
      <c r="L529" s="7"/>
      <c r="M529" s="6"/>
      <c r="N529" s="7"/>
      <c r="O529" s="7"/>
      <c r="P529" s="7"/>
      <c r="Q529" s="7"/>
      <c r="R529" s="7"/>
      <c r="S529" s="7"/>
      <c r="T529" s="7"/>
      <c r="U529" s="7"/>
      <c r="V529" s="7"/>
      <c r="W529" s="7"/>
      <c r="X529" s="7"/>
      <c r="Y529" s="7"/>
      <c r="Z529" s="6"/>
      <c r="AA529" s="6"/>
      <c r="AB529" s="6"/>
      <c r="AC529" s="6"/>
      <c r="AD529" s="6"/>
      <c r="AE529" s="6"/>
      <c r="AF529" s="6"/>
      <c r="AG529" s="6"/>
      <c r="AH529" s="6"/>
      <c r="AI529" s="6"/>
      <c r="AJ529" s="6"/>
    </row>
    <row r="530" spans="1:36" x14ac:dyDescent="0.2">
      <c r="A530" s="6"/>
      <c r="B530" s="6"/>
      <c r="C530" s="6"/>
      <c r="D530" s="6"/>
      <c r="E530" s="6"/>
      <c r="F530" s="6"/>
      <c r="G530" s="6"/>
      <c r="H530" s="6"/>
      <c r="I530" s="7"/>
      <c r="J530" s="7"/>
      <c r="K530" s="7"/>
      <c r="L530" s="7"/>
      <c r="M530" s="6"/>
      <c r="N530" s="7"/>
      <c r="O530" s="7"/>
      <c r="P530" s="7"/>
      <c r="Q530" s="7"/>
      <c r="R530" s="7"/>
      <c r="S530" s="7"/>
      <c r="T530" s="7"/>
      <c r="U530" s="7"/>
      <c r="V530" s="7"/>
      <c r="W530" s="7"/>
      <c r="X530" s="7"/>
      <c r="Y530" s="7"/>
      <c r="Z530" s="6"/>
      <c r="AA530" s="6"/>
      <c r="AB530" s="6"/>
      <c r="AC530" s="6"/>
      <c r="AD530" s="6"/>
      <c r="AE530" s="6"/>
      <c r="AF530" s="6"/>
      <c r="AG530" s="6"/>
      <c r="AH530" s="6"/>
      <c r="AI530" s="6"/>
      <c r="AJ530" s="6"/>
    </row>
    <row r="531" spans="1:36" x14ac:dyDescent="0.2">
      <c r="A531" s="6"/>
      <c r="B531" s="6"/>
      <c r="C531" s="6"/>
      <c r="D531" s="6"/>
      <c r="E531" s="6"/>
      <c r="F531" s="6"/>
      <c r="G531" s="6"/>
      <c r="H531" s="6"/>
      <c r="I531" s="7"/>
      <c r="J531" s="7"/>
      <c r="K531" s="7"/>
      <c r="L531" s="7"/>
      <c r="M531" s="6"/>
      <c r="N531" s="7"/>
      <c r="O531" s="7"/>
      <c r="P531" s="7"/>
      <c r="Q531" s="7"/>
      <c r="R531" s="7"/>
      <c r="S531" s="7"/>
      <c r="T531" s="7"/>
      <c r="U531" s="7"/>
      <c r="V531" s="7"/>
      <c r="W531" s="7"/>
      <c r="X531" s="7"/>
      <c r="Y531" s="7"/>
      <c r="Z531" s="6"/>
      <c r="AA531" s="6"/>
      <c r="AB531" s="6"/>
      <c r="AC531" s="6"/>
      <c r="AD531" s="6"/>
      <c r="AE531" s="6"/>
      <c r="AF531" s="6"/>
      <c r="AG531" s="6"/>
      <c r="AH531" s="6"/>
      <c r="AI531" s="6"/>
      <c r="AJ531" s="6"/>
    </row>
    <row r="532" spans="1:36" x14ac:dyDescent="0.2">
      <c r="A532" s="6"/>
      <c r="B532" s="6"/>
      <c r="C532" s="6"/>
      <c r="D532" s="6"/>
      <c r="E532" s="6"/>
      <c r="F532" s="6"/>
      <c r="G532" s="6"/>
      <c r="H532" s="6"/>
      <c r="I532" s="7"/>
      <c r="J532" s="7"/>
      <c r="K532" s="7"/>
      <c r="L532" s="7"/>
      <c r="M532" s="6"/>
      <c r="N532" s="7"/>
      <c r="O532" s="7"/>
      <c r="P532" s="7"/>
      <c r="Q532" s="7"/>
      <c r="R532" s="7"/>
      <c r="S532" s="7"/>
      <c r="T532" s="7"/>
      <c r="U532" s="7"/>
      <c r="V532" s="7"/>
      <c r="W532" s="7"/>
      <c r="X532" s="7"/>
      <c r="Y532" s="7"/>
      <c r="Z532" s="6"/>
      <c r="AA532" s="6"/>
      <c r="AB532" s="6"/>
      <c r="AC532" s="6"/>
      <c r="AD532" s="6"/>
      <c r="AE532" s="6"/>
      <c r="AF532" s="6"/>
      <c r="AG532" s="6"/>
      <c r="AH532" s="6"/>
      <c r="AI532" s="6"/>
      <c r="AJ532" s="6"/>
    </row>
    <row r="533" spans="1:36" x14ac:dyDescent="0.2">
      <c r="A533" s="6"/>
      <c r="B533" s="6"/>
      <c r="C533" s="6"/>
      <c r="D533" s="6"/>
      <c r="E533" s="6"/>
      <c r="F533" s="6"/>
      <c r="G533" s="6"/>
      <c r="H533" s="6"/>
      <c r="I533" s="7"/>
      <c r="J533" s="7"/>
      <c r="K533" s="7"/>
      <c r="L533" s="7"/>
      <c r="M533" s="6"/>
      <c r="N533" s="7"/>
      <c r="O533" s="7"/>
      <c r="P533" s="7"/>
      <c r="Q533" s="7"/>
      <c r="R533" s="7"/>
      <c r="S533" s="7"/>
      <c r="T533" s="7"/>
      <c r="U533" s="7"/>
      <c r="V533" s="7"/>
      <c r="W533" s="7"/>
      <c r="X533" s="7"/>
      <c r="Y533" s="7"/>
      <c r="Z533" s="6"/>
      <c r="AA533" s="6"/>
      <c r="AB533" s="6"/>
      <c r="AC533" s="6"/>
      <c r="AD533" s="6"/>
      <c r="AE533" s="6"/>
      <c r="AF533" s="6"/>
      <c r="AG533" s="6"/>
      <c r="AH533" s="6"/>
      <c r="AI533" s="6"/>
      <c r="AJ533" s="6"/>
    </row>
    <row r="534" spans="1:36" x14ac:dyDescent="0.2">
      <c r="A534" s="6"/>
      <c r="B534" s="6"/>
      <c r="C534" s="6"/>
      <c r="D534" s="6"/>
      <c r="E534" s="6"/>
      <c r="F534" s="6"/>
      <c r="G534" s="6"/>
      <c r="H534" s="6"/>
      <c r="I534" s="7"/>
      <c r="J534" s="7"/>
      <c r="K534" s="7"/>
      <c r="L534" s="7"/>
      <c r="M534" s="6"/>
      <c r="N534" s="7"/>
      <c r="O534" s="7"/>
      <c r="P534" s="7"/>
      <c r="Q534" s="7"/>
      <c r="R534" s="7"/>
      <c r="S534" s="7"/>
      <c r="T534" s="7"/>
      <c r="U534" s="7"/>
      <c r="V534" s="7"/>
      <c r="W534" s="7"/>
      <c r="X534" s="7"/>
      <c r="Y534" s="7"/>
      <c r="Z534" s="6"/>
      <c r="AA534" s="6"/>
      <c r="AB534" s="6"/>
      <c r="AC534" s="6"/>
      <c r="AD534" s="6"/>
      <c r="AE534" s="6"/>
      <c r="AF534" s="6"/>
      <c r="AG534" s="6"/>
      <c r="AH534" s="6"/>
      <c r="AI534" s="6"/>
      <c r="AJ534" s="6"/>
    </row>
    <row r="535" spans="1:36" x14ac:dyDescent="0.2">
      <c r="A535" s="6"/>
      <c r="B535" s="6"/>
      <c r="C535" s="6"/>
      <c r="D535" s="6"/>
      <c r="E535" s="6"/>
      <c r="F535" s="6"/>
      <c r="G535" s="6"/>
      <c r="H535" s="6"/>
      <c r="I535" s="7"/>
      <c r="J535" s="7"/>
      <c r="K535" s="7"/>
      <c r="L535" s="7"/>
      <c r="M535" s="6"/>
      <c r="N535" s="7"/>
      <c r="O535" s="7"/>
      <c r="P535" s="7"/>
      <c r="Q535" s="7"/>
      <c r="R535" s="7"/>
      <c r="S535" s="7"/>
      <c r="T535" s="7"/>
      <c r="U535" s="7"/>
      <c r="V535" s="7"/>
      <c r="W535" s="7"/>
      <c r="X535" s="7"/>
      <c r="Y535" s="7"/>
      <c r="Z535" s="6"/>
      <c r="AA535" s="6"/>
      <c r="AB535" s="6"/>
      <c r="AC535" s="6"/>
      <c r="AD535" s="6"/>
      <c r="AE535" s="6"/>
      <c r="AF535" s="6"/>
      <c r="AG535" s="6"/>
      <c r="AH535" s="6"/>
      <c r="AI535" s="6"/>
      <c r="AJ535" s="6"/>
    </row>
    <row r="536" spans="1:36" x14ac:dyDescent="0.2">
      <c r="A536" s="6"/>
      <c r="B536" s="6"/>
      <c r="C536" s="6"/>
      <c r="D536" s="6"/>
      <c r="E536" s="6"/>
      <c r="F536" s="6"/>
      <c r="G536" s="6"/>
      <c r="H536" s="6"/>
      <c r="I536" s="7"/>
      <c r="J536" s="7"/>
      <c r="K536" s="7"/>
      <c r="L536" s="7"/>
      <c r="M536" s="6"/>
      <c r="N536" s="7"/>
      <c r="O536" s="7"/>
      <c r="P536" s="7"/>
      <c r="Q536" s="7"/>
      <c r="R536" s="7"/>
      <c r="S536" s="7"/>
      <c r="T536" s="7"/>
      <c r="U536" s="7"/>
      <c r="V536" s="7"/>
      <c r="W536" s="7"/>
      <c r="X536" s="7"/>
      <c r="Y536" s="7"/>
      <c r="Z536" s="6"/>
      <c r="AA536" s="6"/>
      <c r="AB536" s="6"/>
      <c r="AC536" s="6"/>
      <c r="AD536" s="6"/>
      <c r="AE536" s="6"/>
      <c r="AF536" s="6"/>
      <c r="AG536" s="6"/>
      <c r="AH536" s="6"/>
      <c r="AI536" s="6"/>
      <c r="AJ536" s="6"/>
    </row>
    <row r="537" spans="1:36" x14ac:dyDescent="0.2">
      <c r="A537" s="6"/>
      <c r="B537" s="6"/>
      <c r="C537" s="6"/>
      <c r="D537" s="6"/>
      <c r="E537" s="6"/>
      <c r="F537" s="6"/>
      <c r="G537" s="6"/>
      <c r="H537" s="6"/>
      <c r="I537" s="7"/>
      <c r="J537" s="7"/>
      <c r="K537" s="7"/>
      <c r="L537" s="7"/>
      <c r="M537" s="6"/>
      <c r="N537" s="7"/>
      <c r="O537" s="7"/>
      <c r="P537" s="7"/>
      <c r="Q537" s="7"/>
      <c r="R537" s="7"/>
      <c r="S537" s="7"/>
      <c r="T537" s="7"/>
      <c r="U537" s="7"/>
      <c r="V537" s="7"/>
      <c r="W537" s="7"/>
      <c r="X537" s="7"/>
      <c r="Y537" s="7"/>
      <c r="Z537" s="6"/>
      <c r="AA537" s="6"/>
      <c r="AB537" s="6"/>
      <c r="AC537" s="6"/>
      <c r="AD537" s="6"/>
      <c r="AE537" s="6"/>
      <c r="AF537" s="6"/>
      <c r="AG537" s="6"/>
      <c r="AH537" s="6"/>
      <c r="AI537" s="6"/>
      <c r="AJ537" s="6"/>
    </row>
    <row r="538" spans="1:36" x14ac:dyDescent="0.2">
      <c r="A538" s="6"/>
      <c r="B538" s="6"/>
      <c r="C538" s="6"/>
      <c r="D538" s="6"/>
      <c r="I538" s="25"/>
      <c r="J538" s="25"/>
      <c r="K538" s="25"/>
      <c r="L538" s="25"/>
      <c r="N538" s="25"/>
      <c r="O538" s="25"/>
      <c r="P538" s="25"/>
      <c r="Q538" s="25"/>
      <c r="R538" s="25"/>
      <c r="S538" s="25"/>
      <c r="T538" s="25"/>
      <c r="U538" s="25"/>
      <c r="V538" s="25"/>
      <c r="W538" s="25"/>
      <c r="X538" s="25"/>
      <c r="Y538" s="25"/>
    </row>
    <row r="539" spans="1:36" x14ac:dyDescent="0.2">
      <c r="I539" s="25"/>
      <c r="J539" s="25"/>
      <c r="K539" s="25"/>
      <c r="L539" s="25"/>
      <c r="N539" s="25"/>
      <c r="O539" s="25"/>
      <c r="P539" s="25"/>
      <c r="Q539" s="25"/>
      <c r="R539" s="25"/>
      <c r="S539" s="25"/>
      <c r="T539" s="25"/>
      <c r="U539" s="25"/>
      <c r="V539" s="25"/>
      <c r="W539" s="25"/>
      <c r="X539" s="25"/>
      <c r="Y539" s="25"/>
    </row>
    <row r="540" spans="1:36" x14ac:dyDescent="0.2">
      <c r="I540" s="25"/>
      <c r="J540" s="25"/>
      <c r="K540" s="25"/>
      <c r="L540" s="25"/>
      <c r="N540" s="25"/>
      <c r="O540" s="25"/>
      <c r="P540" s="25"/>
      <c r="Q540" s="25"/>
      <c r="R540" s="25"/>
      <c r="S540" s="25"/>
      <c r="T540" s="25"/>
      <c r="U540" s="25"/>
      <c r="V540" s="25"/>
      <c r="W540" s="25"/>
      <c r="X540" s="25"/>
      <c r="Y540" s="25"/>
    </row>
    <row r="541" spans="1:36" x14ac:dyDescent="0.2">
      <c r="I541" s="25"/>
      <c r="J541" s="25"/>
      <c r="K541" s="25"/>
      <c r="L541" s="25"/>
      <c r="N541" s="25"/>
      <c r="O541" s="25"/>
      <c r="P541" s="25"/>
      <c r="Q541" s="25"/>
      <c r="R541" s="25"/>
      <c r="S541" s="25"/>
      <c r="T541" s="25"/>
      <c r="U541" s="25"/>
      <c r="V541" s="25"/>
      <c r="W541" s="25"/>
      <c r="X541" s="25"/>
      <c r="Y541" s="25"/>
    </row>
    <row r="542" spans="1:36" x14ac:dyDescent="0.2">
      <c r="I542" s="25"/>
      <c r="J542" s="25"/>
      <c r="K542" s="25"/>
      <c r="L542" s="25"/>
      <c r="N542" s="25"/>
      <c r="O542" s="25"/>
      <c r="P542" s="25"/>
      <c r="Q542" s="25"/>
      <c r="R542" s="25"/>
      <c r="S542" s="25"/>
      <c r="T542" s="25"/>
      <c r="U542" s="25"/>
      <c r="V542" s="25"/>
      <c r="W542" s="25"/>
      <c r="X542" s="25"/>
      <c r="Y542" s="25"/>
    </row>
    <row r="543" spans="1:36" x14ac:dyDescent="0.2">
      <c r="I543" s="25"/>
      <c r="J543" s="25"/>
      <c r="K543" s="25"/>
      <c r="L543" s="25"/>
      <c r="N543" s="25"/>
      <c r="O543" s="25"/>
      <c r="P543" s="25"/>
      <c r="Q543" s="25"/>
      <c r="R543" s="25"/>
      <c r="S543" s="25"/>
      <c r="T543" s="25"/>
      <c r="U543" s="25"/>
      <c r="V543" s="25"/>
      <c r="W543" s="25"/>
      <c r="X543" s="25"/>
      <c r="Y543" s="25"/>
    </row>
    <row r="544" spans="1:36" x14ac:dyDescent="0.2">
      <c r="I544" s="25"/>
      <c r="J544" s="25"/>
      <c r="K544" s="25"/>
      <c r="L544" s="25"/>
      <c r="N544" s="25"/>
      <c r="O544" s="25"/>
      <c r="P544" s="25"/>
      <c r="Q544" s="25"/>
      <c r="R544" s="25"/>
      <c r="S544" s="25"/>
      <c r="T544" s="25"/>
      <c r="U544" s="25"/>
      <c r="V544" s="25"/>
      <c r="W544" s="25"/>
      <c r="X544" s="25"/>
      <c r="Y544" s="25"/>
    </row>
    <row r="545" spans="9:25" x14ac:dyDescent="0.2">
      <c r="I545" s="25"/>
      <c r="J545" s="25"/>
      <c r="K545" s="25"/>
      <c r="L545" s="25"/>
      <c r="N545" s="25"/>
      <c r="O545" s="25"/>
      <c r="P545" s="25"/>
      <c r="Q545" s="25"/>
      <c r="R545" s="25"/>
      <c r="S545" s="25"/>
      <c r="T545" s="25"/>
      <c r="U545" s="25"/>
      <c r="V545" s="25"/>
      <c r="W545" s="25"/>
      <c r="X545" s="25"/>
      <c r="Y545" s="25"/>
    </row>
    <row r="546" spans="9:25" x14ac:dyDescent="0.2">
      <c r="I546" s="25"/>
      <c r="J546" s="25"/>
      <c r="K546" s="25"/>
      <c r="L546" s="25"/>
      <c r="N546" s="25"/>
      <c r="O546" s="25"/>
      <c r="P546" s="25"/>
      <c r="Q546" s="25"/>
      <c r="R546" s="25"/>
      <c r="S546" s="25"/>
      <c r="T546" s="25"/>
      <c r="U546" s="25"/>
      <c r="V546" s="25"/>
      <c r="W546" s="25"/>
      <c r="X546" s="25"/>
      <c r="Y546" s="25"/>
    </row>
    <row r="547" spans="9:25" x14ac:dyDescent="0.2">
      <c r="I547" s="25"/>
      <c r="J547" s="25"/>
      <c r="K547" s="25"/>
      <c r="L547" s="25"/>
      <c r="N547" s="25"/>
      <c r="O547" s="25"/>
      <c r="P547" s="25"/>
      <c r="Q547" s="25"/>
      <c r="R547" s="25"/>
      <c r="S547" s="25"/>
      <c r="T547" s="25"/>
      <c r="U547" s="25"/>
      <c r="V547" s="25"/>
      <c r="W547" s="25"/>
      <c r="X547" s="25"/>
      <c r="Y547" s="25"/>
    </row>
    <row r="548" spans="9:25" x14ac:dyDescent="0.2">
      <c r="I548" s="25"/>
      <c r="J548" s="25"/>
      <c r="K548" s="25"/>
      <c r="L548" s="25"/>
      <c r="N548" s="25"/>
      <c r="O548" s="25"/>
      <c r="P548" s="25"/>
      <c r="Q548" s="25"/>
      <c r="R548" s="25"/>
      <c r="S548" s="25"/>
      <c r="T548" s="25"/>
      <c r="U548" s="25"/>
      <c r="V548" s="25"/>
      <c r="W548" s="25"/>
      <c r="X548" s="25"/>
      <c r="Y548" s="25"/>
    </row>
    <row r="549" spans="9:25" x14ac:dyDescent="0.2">
      <c r="I549" s="25"/>
      <c r="J549" s="25"/>
      <c r="K549" s="25"/>
      <c r="L549" s="25"/>
      <c r="N549" s="25"/>
      <c r="O549" s="25"/>
      <c r="P549" s="25"/>
      <c r="Q549" s="25"/>
      <c r="R549" s="25"/>
      <c r="S549" s="25"/>
      <c r="T549" s="25"/>
      <c r="U549" s="25"/>
      <c r="V549" s="25"/>
      <c r="W549" s="25"/>
      <c r="X549" s="25"/>
      <c r="Y549" s="25"/>
    </row>
    <row r="550" spans="9:25" x14ac:dyDescent="0.2">
      <c r="I550" s="25"/>
      <c r="J550" s="25"/>
      <c r="K550" s="25"/>
      <c r="L550" s="25"/>
      <c r="N550" s="25"/>
      <c r="O550" s="25"/>
      <c r="P550" s="25"/>
      <c r="Q550" s="25"/>
      <c r="R550" s="25"/>
      <c r="S550" s="25"/>
      <c r="T550" s="25"/>
      <c r="U550" s="25"/>
      <c r="V550" s="25"/>
      <c r="W550" s="25"/>
      <c r="X550" s="25"/>
      <c r="Y550" s="25"/>
    </row>
    <row r="551" spans="9:25" x14ac:dyDescent="0.2">
      <c r="I551" s="25"/>
      <c r="J551" s="25"/>
      <c r="K551" s="25"/>
      <c r="L551" s="25"/>
      <c r="N551" s="25"/>
      <c r="O551" s="25"/>
      <c r="P551" s="25"/>
      <c r="Q551" s="25"/>
      <c r="R551" s="25"/>
      <c r="S551" s="25"/>
      <c r="T551" s="25"/>
      <c r="U551" s="25"/>
      <c r="V551" s="25"/>
      <c r="W551" s="25"/>
      <c r="X551" s="25"/>
      <c r="Y551" s="25"/>
    </row>
    <row r="552" spans="9:25" x14ac:dyDescent="0.2">
      <c r="I552" s="25"/>
      <c r="J552" s="25"/>
      <c r="K552" s="25"/>
      <c r="L552" s="25"/>
      <c r="N552" s="25"/>
      <c r="O552" s="25"/>
      <c r="P552" s="25"/>
      <c r="Q552" s="25"/>
      <c r="R552" s="25"/>
      <c r="S552" s="25"/>
      <c r="T552" s="25"/>
      <c r="U552" s="25"/>
      <c r="V552" s="25"/>
      <c r="W552" s="25"/>
      <c r="X552" s="25"/>
      <c r="Y552" s="25"/>
    </row>
    <row r="553" spans="9:25" x14ac:dyDescent="0.2">
      <c r="I553" s="25"/>
      <c r="J553" s="25"/>
      <c r="K553" s="25"/>
      <c r="L553" s="25"/>
      <c r="N553" s="25"/>
      <c r="O553" s="25"/>
      <c r="P553" s="25"/>
      <c r="Q553" s="25"/>
      <c r="R553" s="25"/>
      <c r="S553" s="25"/>
      <c r="T553" s="25"/>
      <c r="U553" s="25"/>
      <c r="V553" s="25"/>
      <c r="W553" s="25"/>
      <c r="X553" s="25"/>
      <c r="Y553" s="25"/>
    </row>
    <row r="554" spans="9:25" x14ac:dyDescent="0.2">
      <c r="I554" s="25"/>
      <c r="J554" s="25"/>
      <c r="K554" s="25"/>
      <c r="L554" s="25"/>
      <c r="N554" s="25"/>
      <c r="O554" s="25"/>
      <c r="P554" s="25"/>
      <c r="Q554" s="25"/>
      <c r="R554" s="25"/>
      <c r="S554" s="25"/>
      <c r="T554" s="25"/>
      <c r="U554" s="25"/>
      <c r="V554" s="25"/>
      <c r="W554" s="25"/>
      <c r="X554" s="25"/>
      <c r="Y554" s="25"/>
    </row>
    <row r="555" spans="9:25" x14ac:dyDescent="0.2">
      <c r="I555" s="25"/>
      <c r="J555" s="25"/>
      <c r="K555" s="25"/>
      <c r="L555" s="25"/>
      <c r="N555" s="25"/>
      <c r="O555" s="25"/>
      <c r="P555" s="25"/>
      <c r="Q555" s="25"/>
      <c r="R555" s="25"/>
      <c r="S555" s="25"/>
      <c r="T555" s="25"/>
      <c r="U555" s="25"/>
      <c r="V555" s="25"/>
      <c r="W555" s="25"/>
      <c r="X555" s="25"/>
      <c r="Y555" s="25"/>
    </row>
    <row r="556" spans="9:25" x14ac:dyDescent="0.2">
      <c r="I556" s="25"/>
      <c r="J556" s="25"/>
      <c r="K556" s="25"/>
      <c r="L556" s="25"/>
      <c r="N556" s="25"/>
      <c r="O556" s="25"/>
      <c r="P556" s="25"/>
      <c r="Q556" s="25"/>
      <c r="R556" s="25"/>
      <c r="S556" s="25"/>
      <c r="T556" s="25"/>
      <c r="U556" s="25"/>
      <c r="V556" s="25"/>
      <c r="W556" s="25"/>
      <c r="X556" s="25"/>
      <c r="Y556" s="25"/>
    </row>
    <row r="557" spans="9:25" x14ac:dyDescent="0.2">
      <c r="I557" s="25"/>
      <c r="J557" s="25"/>
      <c r="K557" s="25"/>
      <c r="L557" s="25"/>
      <c r="N557" s="25"/>
      <c r="O557" s="25"/>
      <c r="P557" s="25"/>
      <c r="Q557" s="25"/>
      <c r="R557" s="25"/>
      <c r="S557" s="25"/>
      <c r="T557" s="25"/>
      <c r="U557" s="25"/>
      <c r="V557" s="25"/>
      <c r="W557" s="25"/>
      <c r="X557" s="25"/>
      <c r="Y557" s="25"/>
    </row>
    <row r="558" spans="9:25" x14ac:dyDescent="0.2">
      <c r="I558" s="25"/>
      <c r="J558" s="25"/>
      <c r="K558" s="25"/>
      <c r="L558" s="25"/>
      <c r="N558" s="25"/>
      <c r="O558" s="25"/>
      <c r="P558" s="25"/>
      <c r="Q558" s="25"/>
      <c r="R558" s="25"/>
      <c r="S558" s="25"/>
      <c r="T558" s="25"/>
      <c r="U558" s="25"/>
      <c r="V558" s="25"/>
      <c r="W558" s="25"/>
      <c r="X558" s="25"/>
      <c r="Y558" s="25"/>
    </row>
    <row r="559" spans="9:25" x14ac:dyDescent="0.2">
      <c r="I559" s="25"/>
      <c r="J559" s="25"/>
      <c r="K559" s="25"/>
      <c r="L559" s="25"/>
      <c r="N559" s="25"/>
      <c r="O559" s="25"/>
      <c r="P559" s="25"/>
      <c r="Q559" s="25"/>
      <c r="R559" s="25"/>
      <c r="S559" s="25"/>
      <c r="T559" s="25"/>
      <c r="U559" s="25"/>
      <c r="V559" s="25"/>
      <c r="W559" s="25"/>
      <c r="X559" s="25"/>
      <c r="Y559" s="25"/>
    </row>
    <row r="560" spans="9:25" x14ac:dyDescent="0.2">
      <c r="I560" s="25"/>
      <c r="J560" s="25"/>
      <c r="K560" s="25"/>
      <c r="L560" s="25"/>
      <c r="N560" s="25"/>
      <c r="O560" s="25"/>
      <c r="P560" s="25"/>
      <c r="Q560" s="25"/>
      <c r="R560" s="25"/>
      <c r="S560" s="25"/>
      <c r="T560" s="25"/>
      <c r="U560" s="25"/>
      <c r="V560" s="25"/>
      <c r="W560" s="25"/>
      <c r="X560" s="25"/>
      <c r="Y560" s="25"/>
    </row>
    <row r="561" spans="9:25" x14ac:dyDescent="0.2">
      <c r="I561" s="25"/>
      <c r="J561" s="25"/>
      <c r="K561" s="25"/>
      <c r="L561" s="25"/>
      <c r="N561" s="25"/>
      <c r="O561" s="25"/>
      <c r="P561" s="25"/>
      <c r="Q561" s="25"/>
      <c r="R561" s="25"/>
      <c r="S561" s="25"/>
      <c r="T561" s="25"/>
      <c r="U561" s="25"/>
      <c r="V561" s="25"/>
      <c r="W561" s="25"/>
      <c r="X561" s="25"/>
      <c r="Y561" s="25"/>
    </row>
    <row r="562" spans="9:25" x14ac:dyDescent="0.2">
      <c r="I562" s="25"/>
      <c r="J562" s="25"/>
      <c r="K562" s="25"/>
      <c r="L562" s="25"/>
      <c r="N562" s="25"/>
      <c r="O562" s="25"/>
      <c r="P562" s="25"/>
      <c r="Q562" s="25"/>
      <c r="R562" s="25"/>
      <c r="S562" s="25"/>
      <c r="T562" s="25"/>
      <c r="U562" s="25"/>
      <c r="V562" s="25"/>
      <c r="W562" s="25"/>
      <c r="X562" s="25"/>
      <c r="Y562" s="25"/>
    </row>
    <row r="563" spans="9:25" x14ac:dyDescent="0.2">
      <c r="I563" s="25"/>
      <c r="J563" s="25"/>
      <c r="K563" s="25"/>
      <c r="L563" s="25"/>
      <c r="N563" s="25"/>
      <c r="O563" s="25"/>
      <c r="P563" s="25"/>
      <c r="Q563" s="25"/>
      <c r="R563" s="25"/>
      <c r="S563" s="25"/>
      <c r="T563" s="25"/>
      <c r="U563" s="25"/>
      <c r="V563" s="25"/>
      <c r="W563" s="25"/>
      <c r="X563" s="25"/>
      <c r="Y563" s="25"/>
    </row>
    <row r="564" spans="9:25" x14ac:dyDescent="0.2">
      <c r="I564" s="25"/>
      <c r="J564" s="25"/>
      <c r="K564" s="25"/>
      <c r="L564" s="25"/>
      <c r="N564" s="25"/>
      <c r="O564" s="25"/>
      <c r="P564" s="25"/>
      <c r="Q564" s="25"/>
      <c r="R564" s="25"/>
      <c r="S564" s="25"/>
      <c r="T564" s="25"/>
      <c r="U564" s="25"/>
      <c r="V564" s="25"/>
      <c r="W564" s="25"/>
      <c r="X564" s="25"/>
      <c r="Y564" s="25"/>
    </row>
    <row r="565" spans="9:25" x14ac:dyDescent="0.2">
      <c r="I565" s="25"/>
      <c r="J565" s="25"/>
      <c r="K565" s="25"/>
      <c r="L565" s="25"/>
      <c r="N565" s="25"/>
      <c r="O565" s="25"/>
      <c r="P565" s="25"/>
      <c r="Q565" s="25"/>
      <c r="R565" s="25"/>
      <c r="S565" s="25"/>
      <c r="T565" s="25"/>
      <c r="U565" s="25"/>
      <c r="V565" s="25"/>
      <c r="W565" s="25"/>
      <c r="X565" s="25"/>
      <c r="Y565" s="25"/>
    </row>
    <row r="566" spans="9:25" x14ac:dyDescent="0.2">
      <c r="I566" s="25"/>
      <c r="J566" s="25"/>
      <c r="K566" s="25"/>
      <c r="L566" s="25"/>
      <c r="N566" s="25"/>
      <c r="O566" s="25"/>
      <c r="P566" s="25"/>
      <c r="Q566" s="25"/>
      <c r="R566" s="25"/>
      <c r="S566" s="25"/>
      <c r="T566" s="25"/>
      <c r="U566" s="25"/>
      <c r="V566" s="25"/>
      <c r="W566" s="25"/>
      <c r="X566" s="25"/>
      <c r="Y566" s="25"/>
    </row>
    <row r="567" spans="9:25" x14ac:dyDescent="0.2">
      <c r="I567" s="25"/>
      <c r="J567" s="25"/>
      <c r="K567" s="25"/>
      <c r="L567" s="25"/>
      <c r="N567" s="25"/>
      <c r="O567" s="25"/>
      <c r="P567" s="25"/>
      <c r="Q567" s="25"/>
      <c r="R567" s="25"/>
      <c r="S567" s="25"/>
      <c r="T567" s="25"/>
      <c r="U567" s="25"/>
      <c r="V567" s="25"/>
      <c r="W567" s="25"/>
      <c r="X567" s="25"/>
      <c r="Y567" s="25"/>
    </row>
    <row r="568" spans="9:25" x14ac:dyDescent="0.2">
      <c r="I568" s="25"/>
      <c r="J568" s="25"/>
      <c r="K568" s="25"/>
      <c r="L568" s="25"/>
      <c r="N568" s="25"/>
      <c r="O568" s="25"/>
      <c r="P568" s="25"/>
      <c r="Q568" s="25"/>
      <c r="R568" s="25"/>
      <c r="S568" s="25"/>
      <c r="T568" s="25"/>
      <c r="U568" s="25"/>
      <c r="V568" s="25"/>
      <c r="W568" s="25"/>
      <c r="X568" s="25"/>
      <c r="Y568" s="25"/>
    </row>
    <row r="569" spans="9:25" x14ac:dyDescent="0.2">
      <c r="I569" s="25"/>
      <c r="J569" s="25"/>
      <c r="K569" s="25"/>
      <c r="L569" s="25"/>
      <c r="N569" s="25"/>
      <c r="O569" s="25"/>
      <c r="P569" s="25"/>
      <c r="Q569" s="25"/>
      <c r="R569" s="25"/>
      <c r="S569" s="25"/>
      <c r="T569" s="25"/>
      <c r="U569" s="25"/>
      <c r="V569" s="25"/>
      <c r="W569" s="25"/>
      <c r="X569" s="25"/>
      <c r="Y569" s="25"/>
    </row>
    <row r="570" spans="9:25" x14ac:dyDescent="0.2">
      <c r="I570" s="25"/>
      <c r="J570" s="25"/>
      <c r="K570" s="25"/>
      <c r="L570" s="25"/>
      <c r="N570" s="25"/>
      <c r="O570" s="25"/>
      <c r="P570" s="25"/>
      <c r="Q570" s="25"/>
      <c r="R570" s="25"/>
      <c r="S570" s="25"/>
      <c r="T570" s="25"/>
      <c r="U570" s="25"/>
      <c r="V570" s="25"/>
      <c r="W570" s="25"/>
      <c r="X570" s="25"/>
      <c r="Y570" s="25"/>
    </row>
    <row r="571" spans="9:25" x14ac:dyDescent="0.2">
      <c r="I571" s="25"/>
      <c r="J571" s="25"/>
      <c r="K571" s="25"/>
      <c r="L571" s="25"/>
      <c r="N571" s="25"/>
      <c r="O571" s="25"/>
      <c r="P571" s="25"/>
      <c r="Q571" s="25"/>
      <c r="R571" s="25"/>
      <c r="S571" s="25"/>
      <c r="T571" s="25"/>
      <c r="U571" s="25"/>
      <c r="V571" s="25"/>
      <c r="W571" s="25"/>
      <c r="X571" s="25"/>
      <c r="Y571" s="25"/>
    </row>
    <row r="572" spans="9:25" x14ac:dyDescent="0.2">
      <c r="I572" s="25"/>
      <c r="J572" s="25"/>
      <c r="K572" s="25"/>
      <c r="L572" s="25"/>
      <c r="N572" s="25"/>
      <c r="O572" s="25"/>
      <c r="P572" s="25"/>
      <c r="Q572" s="25"/>
      <c r="R572" s="25"/>
      <c r="S572" s="25"/>
      <c r="T572" s="25"/>
      <c r="U572" s="25"/>
      <c r="V572" s="25"/>
      <c r="W572" s="25"/>
      <c r="X572" s="25"/>
      <c r="Y572" s="25"/>
    </row>
    <row r="573" spans="9:25" x14ac:dyDescent="0.2">
      <c r="I573" s="25"/>
      <c r="J573" s="25"/>
      <c r="K573" s="25"/>
      <c r="L573" s="25"/>
      <c r="N573" s="25"/>
      <c r="O573" s="25"/>
      <c r="P573" s="25"/>
      <c r="Q573" s="25"/>
      <c r="R573" s="25"/>
      <c r="S573" s="25"/>
      <c r="T573" s="25"/>
      <c r="U573" s="25"/>
      <c r="V573" s="25"/>
      <c r="W573" s="25"/>
      <c r="X573" s="25"/>
      <c r="Y573" s="25"/>
    </row>
    <row r="574" spans="9:25" x14ac:dyDescent="0.2">
      <c r="I574" s="25"/>
      <c r="J574" s="25"/>
      <c r="K574" s="25"/>
      <c r="L574" s="25"/>
      <c r="N574" s="25"/>
      <c r="O574" s="25"/>
      <c r="P574" s="25"/>
      <c r="Q574" s="25"/>
      <c r="R574" s="25"/>
      <c r="S574" s="25"/>
      <c r="T574" s="25"/>
      <c r="U574" s="25"/>
      <c r="V574" s="25"/>
      <c r="W574" s="25"/>
      <c r="X574" s="25"/>
      <c r="Y574" s="25"/>
    </row>
    <row r="575" spans="9:25" x14ac:dyDescent="0.2">
      <c r="I575" s="25"/>
      <c r="J575" s="25"/>
      <c r="K575" s="25"/>
      <c r="L575" s="25"/>
      <c r="N575" s="25"/>
      <c r="O575" s="25"/>
      <c r="P575" s="25"/>
      <c r="Q575" s="25"/>
      <c r="R575" s="25"/>
      <c r="S575" s="25"/>
      <c r="T575" s="25"/>
      <c r="U575" s="25"/>
      <c r="V575" s="25"/>
      <c r="W575" s="25"/>
      <c r="X575" s="25"/>
      <c r="Y575" s="25"/>
    </row>
    <row r="576" spans="9:25" x14ac:dyDescent="0.2">
      <c r="I576" s="25"/>
      <c r="J576" s="25"/>
      <c r="K576" s="25"/>
      <c r="L576" s="25"/>
      <c r="N576" s="25"/>
      <c r="O576" s="25"/>
      <c r="P576" s="25"/>
      <c r="Q576" s="25"/>
      <c r="R576" s="25"/>
      <c r="S576" s="25"/>
      <c r="T576" s="25"/>
      <c r="U576" s="25"/>
      <c r="V576" s="25"/>
      <c r="W576" s="25"/>
      <c r="X576" s="25"/>
      <c r="Y576" s="25"/>
    </row>
    <row r="577" spans="9:25" x14ac:dyDescent="0.2">
      <c r="I577" s="25"/>
      <c r="J577" s="25"/>
      <c r="K577" s="25"/>
      <c r="L577" s="25"/>
      <c r="N577" s="25"/>
      <c r="O577" s="25"/>
      <c r="P577" s="25"/>
      <c r="Q577" s="25"/>
      <c r="R577" s="25"/>
      <c r="S577" s="25"/>
      <c r="T577" s="25"/>
      <c r="U577" s="25"/>
      <c r="V577" s="25"/>
      <c r="W577" s="25"/>
      <c r="X577" s="25"/>
      <c r="Y577" s="25"/>
    </row>
    <row r="578" spans="9:25" x14ac:dyDescent="0.2">
      <c r="I578" s="25"/>
      <c r="J578" s="25"/>
      <c r="K578" s="25"/>
      <c r="L578" s="25"/>
      <c r="N578" s="25"/>
      <c r="O578" s="25"/>
      <c r="P578" s="25"/>
      <c r="Q578" s="25"/>
      <c r="R578" s="25"/>
      <c r="S578" s="25"/>
      <c r="T578" s="25"/>
      <c r="U578" s="25"/>
      <c r="V578" s="25"/>
      <c r="W578" s="25"/>
      <c r="X578" s="25"/>
      <c r="Y578" s="25"/>
    </row>
    <row r="579" spans="9:25" x14ac:dyDescent="0.2">
      <c r="I579" s="25"/>
      <c r="J579" s="25"/>
      <c r="K579" s="25"/>
      <c r="L579" s="25"/>
      <c r="N579" s="25"/>
      <c r="O579" s="25"/>
      <c r="P579" s="25"/>
      <c r="Q579" s="25"/>
      <c r="R579" s="25"/>
      <c r="S579" s="25"/>
      <c r="T579" s="25"/>
      <c r="U579" s="25"/>
      <c r="V579" s="25"/>
      <c r="W579" s="25"/>
      <c r="X579" s="25"/>
      <c r="Y579" s="25"/>
    </row>
    <row r="580" spans="9:25" x14ac:dyDescent="0.2">
      <c r="I580" s="25"/>
      <c r="J580" s="25"/>
      <c r="K580" s="25"/>
      <c r="L580" s="25"/>
      <c r="N580" s="25"/>
      <c r="O580" s="25"/>
      <c r="P580" s="25"/>
      <c r="Q580" s="25"/>
      <c r="R580" s="25"/>
      <c r="S580" s="25"/>
      <c r="T580" s="25"/>
      <c r="U580" s="25"/>
      <c r="V580" s="25"/>
      <c r="W580" s="25"/>
      <c r="X580" s="25"/>
      <c r="Y580" s="25"/>
    </row>
    <row r="581" spans="9:25" x14ac:dyDescent="0.2">
      <c r="I581" s="25"/>
      <c r="J581" s="25"/>
      <c r="K581" s="25"/>
      <c r="L581" s="25"/>
      <c r="N581" s="25"/>
      <c r="O581" s="25"/>
      <c r="P581" s="25"/>
      <c r="Q581" s="25"/>
      <c r="R581" s="25"/>
      <c r="S581" s="25"/>
      <c r="T581" s="25"/>
      <c r="U581" s="25"/>
      <c r="V581" s="25"/>
      <c r="W581" s="25"/>
      <c r="X581" s="25"/>
      <c r="Y581" s="25"/>
    </row>
    <row r="582" spans="9:25" x14ac:dyDescent="0.2">
      <c r="I582" s="25"/>
      <c r="J582" s="25"/>
      <c r="K582" s="25"/>
      <c r="L582" s="25"/>
      <c r="N582" s="25"/>
      <c r="O582" s="25"/>
      <c r="P582" s="25"/>
      <c r="Q582" s="25"/>
      <c r="R582" s="25"/>
      <c r="S582" s="25"/>
      <c r="T582" s="25"/>
      <c r="U582" s="25"/>
      <c r="V582" s="25"/>
      <c r="W582" s="25"/>
      <c r="X582" s="25"/>
      <c r="Y582" s="25"/>
    </row>
    <row r="583" spans="9:25" x14ac:dyDescent="0.2">
      <c r="I583" s="25"/>
      <c r="J583" s="25"/>
      <c r="K583" s="25"/>
      <c r="L583" s="25"/>
      <c r="N583" s="25"/>
      <c r="O583" s="25"/>
      <c r="P583" s="25"/>
      <c r="Q583" s="25"/>
      <c r="R583" s="25"/>
      <c r="S583" s="25"/>
      <c r="T583" s="25"/>
      <c r="U583" s="25"/>
      <c r="V583" s="25"/>
      <c r="W583" s="25"/>
      <c r="X583" s="25"/>
      <c r="Y583" s="25"/>
    </row>
    <row r="584" spans="9:25" x14ac:dyDescent="0.2">
      <c r="I584" s="25"/>
      <c r="J584" s="25"/>
      <c r="K584" s="25"/>
      <c r="L584" s="25"/>
      <c r="N584" s="25"/>
      <c r="O584" s="25"/>
      <c r="P584" s="25"/>
      <c r="Q584" s="25"/>
      <c r="R584" s="25"/>
      <c r="S584" s="25"/>
      <c r="T584" s="25"/>
      <c r="U584" s="25"/>
      <c r="V584" s="25"/>
      <c r="W584" s="25"/>
      <c r="X584" s="25"/>
      <c r="Y584" s="25"/>
    </row>
    <row r="585" spans="9:25" x14ac:dyDescent="0.2">
      <c r="I585" s="25"/>
      <c r="J585" s="25"/>
      <c r="K585" s="25"/>
      <c r="L585" s="25"/>
      <c r="N585" s="25"/>
      <c r="O585" s="25"/>
      <c r="P585" s="25"/>
      <c r="Q585" s="25"/>
      <c r="R585" s="25"/>
      <c r="S585" s="25"/>
      <c r="T585" s="25"/>
      <c r="U585" s="25"/>
      <c r="V585" s="25"/>
      <c r="W585" s="25"/>
      <c r="X585" s="25"/>
      <c r="Y585" s="25"/>
    </row>
    <row r="586" spans="9:25" x14ac:dyDescent="0.2">
      <c r="I586" s="25"/>
      <c r="J586" s="25"/>
      <c r="K586" s="25"/>
      <c r="L586" s="25"/>
      <c r="N586" s="25"/>
      <c r="O586" s="25"/>
      <c r="P586" s="25"/>
      <c r="Q586" s="25"/>
      <c r="R586" s="25"/>
      <c r="S586" s="25"/>
      <c r="T586" s="25"/>
      <c r="U586" s="25"/>
      <c r="V586" s="25"/>
      <c r="W586" s="25"/>
      <c r="X586" s="25"/>
      <c r="Y586" s="25"/>
    </row>
    <row r="587" spans="9:25" x14ac:dyDescent="0.2">
      <c r="I587" s="25"/>
      <c r="J587" s="25"/>
      <c r="K587" s="25"/>
      <c r="L587" s="25"/>
      <c r="N587" s="25"/>
      <c r="O587" s="25"/>
      <c r="P587" s="25"/>
      <c r="Q587" s="25"/>
      <c r="R587" s="25"/>
      <c r="S587" s="25"/>
      <c r="T587" s="25"/>
      <c r="U587" s="25"/>
      <c r="V587" s="25"/>
      <c r="W587" s="25"/>
      <c r="X587" s="25"/>
      <c r="Y587" s="25"/>
    </row>
    <row r="588" spans="9:25" x14ac:dyDescent="0.2">
      <c r="I588" s="25"/>
      <c r="J588" s="25"/>
      <c r="K588" s="25"/>
      <c r="L588" s="25"/>
      <c r="N588" s="25"/>
      <c r="O588" s="25"/>
      <c r="P588" s="25"/>
      <c r="Q588" s="25"/>
      <c r="R588" s="25"/>
      <c r="S588" s="25"/>
      <c r="T588" s="25"/>
      <c r="U588" s="25"/>
      <c r="V588" s="25"/>
      <c r="W588" s="25"/>
      <c r="X588" s="25"/>
      <c r="Y588" s="25"/>
    </row>
    <row r="589" spans="9:25" x14ac:dyDescent="0.2">
      <c r="I589" s="25"/>
      <c r="J589" s="25"/>
      <c r="K589" s="25"/>
      <c r="L589" s="25"/>
      <c r="N589" s="25"/>
      <c r="O589" s="25"/>
      <c r="P589" s="25"/>
      <c r="Q589" s="25"/>
      <c r="R589" s="25"/>
      <c r="S589" s="25"/>
      <c r="T589" s="25"/>
      <c r="U589" s="25"/>
      <c r="V589" s="25"/>
      <c r="W589" s="25"/>
      <c r="X589" s="25"/>
      <c r="Y589" s="25"/>
    </row>
    <row r="590" spans="9:25" x14ac:dyDescent="0.2">
      <c r="I590" s="25"/>
      <c r="J590" s="25"/>
      <c r="K590" s="25"/>
      <c r="L590" s="25"/>
      <c r="N590" s="25"/>
      <c r="O590" s="25"/>
      <c r="P590" s="25"/>
      <c r="Q590" s="25"/>
      <c r="R590" s="25"/>
      <c r="S590" s="25"/>
      <c r="T590" s="25"/>
      <c r="U590" s="25"/>
      <c r="V590" s="25"/>
      <c r="W590" s="25"/>
      <c r="X590" s="25"/>
      <c r="Y590" s="25"/>
    </row>
    <row r="591" spans="9:25" x14ac:dyDescent="0.2">
      <c r="I591" s="25"/>
      <c r="J591" s="25"/>
      <c r="K591" s="25"/>
      <c r="L591" s="25"/>
      <c r="N591" s="25"/>
      <c r="O591" s="25"/>
      <c r="P591" s="25"/>
      <c r="Q591" s="25"/>
      <c r="R591" s="25"/>
      <c r="S591" s="25"/>
      <c r="T591" s="25"/>
      <c r="U591" s="25"/>
      <c r="V591" s="25"/>
      <c r="W591" s="25"/>
      <c r="X591" s="25"/>
      <c r="Y591" s="25"/>
    </row>
    <row r="592" spans="9:25" x14ac:dyDescent="0.2">
      <c r="I592" s="25"/>
      <c r="J592" s="25"/>
      <c r="K592" s="25"/>
      <c r="L592" s="25"/>
      <c r="N592" s="25"/>
      <c r="O592" s="25"/>
      <c r="P592" s="25"/>
      <c r="Q592" s="25"/>
      <c r="R592" s="25"/>
      <c r="S592" s="25"/>
      <c r="T592" s="25"/>
      <c r="U592" s="25"/>
      <c r="V592" s="25"/>
      <c r="W592" s="25"/>
      <c r="X592" s="25"/>
      <c r="Y592" s="25"/>
    </row>
    <row r="593" spans="9:25" x14ac:dyDescent="0.2">
      <c r="I593" s="25"/>
      <c r="J593" s="25"/>
      <c r="K593" s="25"/>
      <c r="L593" s="25"/>
      <c r="N593" s="25"/>
      <c r="O593" s="25"/>
      <c r="P593" s="25"/>
      <c r="Q593" s="25"/>
      <c r="R593" s="25"/>
      <c r="S593" s="25"/>
      <c r="T593" s="25"/>
      <c r="U593" s="25"/>
      <c r="V593" s="25"/>
      <c r="W593" s="25"/>
      <c r="X593" s="25"/>
      <c r="Y593" s="25"/>
    </row>
    <row r="594" spans="9:25" x14ac:dyDescent="0.2">
      <c r="I594" s="25"/>
      <c r="J594" s="25"/>
      <c r="K594" s="25"/>
      <c r="L594" s="25"/>
      <c r="N594" s="25"/>
      <c r="O594" s="25"/>
      <c r="P594" s="25"/>
      <c r="Q594" s="25"/>
      <c r="R594" s="25"/>
      <c r="S594" s="25"/>
      <c r="T594" s="25"/>
      <c r="U594" s="25"/>
      <c r="V594" s="25"/>
      <c r="W594" s="25"/>
      <c r="X594" s="25"/>
      <c r="Y594" s="25"/>
    </row>
    <row r="595" spans="9:25" x14ac:dyDescent="0.2">
      <c r="I595" s="25"/>
      <c r="J595" s="25"/>
      <c r="K595" s="25"/>
      <c r="L595" s="25"/>
      <c r="N595" s="25"/>
      <c r="O595" s="25"/>
      <c r="P595" s="25"/>
      <c r="Q595" s="25"/>
      <c r="R595" s="25"/>
      <c r="S595" s="25"/>
      <c r="T595" s="25"/>
      <c r="U595" s="25"/>
      <c r="V595" s="25"/>
      <c r="W595" s="25"/>
      <c r="X595" s="25"/>
      <c r="Y595" s="25"/>
    </row>
    <row r="596" spans="9:25" x14ac:dyDescent="0.2">
      <c r="I596" s="25"/>
      <c r="J596" s="25"/>
      <c r="K596" s="25"/>
      <c r="L596" s="25"/>
      <c r="N596" s="25"/>
      <c r="O596" s="25"/>
      <c r="P596" s="25"/>
      <c r="Q596" s="25"/>
      <c r="R596" s="25"/>
      <c r="S596" s="25"/>
      <c r="T596" s="25"/>
      <c r="U596" s="25"/>
      <c r="V596" s="25"/>
      <c r="W596" s="25"/>
      <c r="X596" s="25"/>
      <c r="Y596" s="25"/>
    </row>
    <row r="597" spans="9:25" x14ac:dyDescent="0.2">
      <c r="I597" s="25"/>
      <c r="J597" s="25"/>
      <c r="K597" s="25"/>
      <c r="L597" s="25"/>
      <c r="N597" s="25"/>
      <c r="O597" s="25"/>
      <c r="P597" s="25"/>
      <c r="Q597" s="25"/>
      <c r="R597" s="25"/>
      <c r="S597" s="25"/>
      <c r="T597" s="25"/>
      <c r="U597" s="25"/>
      <c r="V597" s="25"/>
      <c r="W597" s="25"/>
      <c r="X597" s="25"/>
      <c r="Y597" s="25"/>
    </row>
    <row r="598" spans="9:25" x14ac:dyDescent="0.2">
      <c r="I598" s="25"/>
      <c r="J598" s="25"/>
      <c r="K598" s="25"/>
      <c r="L598" s="25"/>
      <c r="N598" s="25"/>
      <c r="O598" s="25"/>
      <c r="P598" s="25"/>
      <c r="Q598" s="25"/>
      <c r="R598" s="25"/>
      <c r="S598" s="25"/>
      <c r="T598" s="25"/>
      <c r="U598" s="25"/>
      <c r="V598" s="25"/>
      <c r="W598" s="25"/>
      <c r="X598" s="25"/>
      <c r="Y598" s="25"/>
    </row>
    <row r="599" spans="9:25" x14ac:dyDescent="0.2">
      <c r="I599" s="25"/>
      <c r="J599" s="25"/>
      <c r="K599" s="25"/>
      <c r="L599" s="25"/>
      <c r="N599" s="25"/>
      <c r="O599" s="25"/>
      <c r="P599" s="25"/>
      <c r="Q599" s="25"/>
      <c r="R599" s="25"/>
      <c r="S599" s="25"/>
      <c r="T599" s="25"/>
      <c r="U599" s="25"/>
      <c r="V599" s="25"/>
      <c r="W599" s="25"/>
      <c r="X599" s="25"/>
      <c r="Y599" s="25"/>
    </row>
    <row r="600" spans="9:25" x14ac:dyDescent="0.2">
      <c r="I600" s="25"/>
      <c r="J600" s="25"/>
      <c r="K600" s="25"/>
      <c r="L600" s="25"/>
      <c r="N600" s="25"/>
      <c r="O600" s="25"/>
      <c r="P600" s="25"/>
      <c r="Q600" s="25"/>
      <c r="R600" s="25"/>
      <c r="S600" s="25"/>
      <c r="T600" s="25"/>
      <c r="U600" s="25"/>
      <c r="V600" s="25"/>
      <c r="W600" s="25"/>
      <c r="X600" s="25"/>
      <c r="Y600" s="25"/>
    </row>
    <row r="601" spans="9:25" x14ac:dyDescent="0.2">
      <c r="I601" s="25"/>
      <c r="J601" s="25"/>
      <c r="K601" s="25"/>
      <c r="L601" s="25"/>
      <c r="N601" s="25"/>
      <c r="O601" s="25"/>
      <c r="P601" s="25"/>
      <c r="Q601" s="25"/>
      <c r="R601" s="25"/>
      <c r="S601" s="25"/>
      <c r="T601" s="25"/>
      <c r="U601" s="25"/>
      <c r="V601" s="25"/>
      <c r="W601" s="25"/>
      <c r="X601" s="25"/>
      <c r="Y601" s="25"/>
    </row>
    <row r="602" spans="9:25" x14ac:dyDescent="0.2">
      <c r="I602" s="25"/>
      <c r="J602" s="25"/>
      <c r="K602" s="25"/>
      <c r="L602" s="25"/>
      <c r="N602" s="25"/>
      <c r="O602" s="25"/>
      <c r="P602" s="25"/>
      <c r="Q602" s="25"/>
      <c r="R602" s="25"/>
      <c r="S602" s="25"/>
      <c r="T602" s="25"/>
      <c r="U602" s="25"/>
      <c r="V602" s="25"/>
      <c r="W602" s="25"/>
      <c r="X602" s="25"/>
      <c r="Y602" s="25"/>
    </row>
    <row r="603" spans="9:25" x14ac:dyDescent="0.2">
      <c r="I603" s="25"/>
      <c r="J603" s="25"/>
      <c r="K603" s="25"/>
      <c r="L603" s="25"/>
      <c r="N603" s="25"/>
      <c r="O603" s="25"/>
      <c r="P603" s="25"/>
      <c r="Q603" s="25"/>
      <c r="R603" s="25"/>
      <c r="S603" s="25"/>
      <c r="T603" s="25"/>
      <c r="U603" s="25"/>
      <c r="V603" s="25"/>
      <c r="W603" s="25"/>
      <c r="X603" s="25"/>
      <c r="Y603" s="25"/>
    </row>
    <row r="604" spans="9:25" x14ac:dyDescent="0.2">
      <c r="I604" s="25"/>
      <c r="J604" s="25"/>
      <c r="K604" s="25"/>
      <c r="L604" s="25"/>
      <c r="N604" s="25"/>
      <c r="O604" s="25"/>
      <c r="P604" s="25"/>
      <c r="Q604" s="25"/>
      <c r="R604" s="25"/>
      <c r="S604" s="25"/>
      <c r="T604" s="25"/>
      <c r="U604" s="25"/>
      <c r="V604" s="25"/>
      <c r="W604" s="25"/>
      <c r="X604" s="25"/>
      <c r="Y604" s="25"/>
    </row>
    <row r="605" spans="9:25" x14ac:dyDescent="0.2">
      <c r="I605" s="25"/>
      <c r="J605" s="25"/>
      <c r="K605" s="25"/>
      <c r="L605" s="25"/>
      <c r="N605" s="25"/>
      <c r="O605" s="25"/>
      <c r="P605" s="25"/>
      <c r="Q605" s="25"/>
      <c r="R605" s="25"/>
      <c r="S605" s="25"/>
      <c r="T605" s="25"/>
      <c r="U605" s="25"/>
      <c r="V605" s="25"/>
      <c r="W605" s="25"/>
      <c r="X605" s="25"/>
      <c r="Y605" s="25"/>
    </row>
    <row r="606" spans="9:25" x14ac:dyDescent="0.2">
      <c r="I606" s="25"/>
      <c r="J606" s="25"/>
      <c r="K606" s="25"/>
      <c r="L606" s="25"/>
      <c r="N606" s="25"/>
      <c r="O606" s="25"/>
      <c r="P606" s="25"/>
      <c r="Q606" s="25"/>
      <c r="R606" s="25"/>
      <c r="S606" s="25"/>
      <c r="T606" s="25"/>
      <c r="U606" s="25"/>
      <c r="V606" s="25"/>
      <c r="W606" s="25"/>
      <c r="X606" s="25"/>
      <c r="Y606" s="25"/>
    </row>
    <row r="607" spans="9:25" x14ac:dyDescent="0.2">
      <c r="I607" s="25"/>
      <c r="J607" s="25"/>
      <c r="K607" s="25"/>
      <c r="L607" s="25"/>
      <c r="N607" s="25"/>
      <c r="O607" s="25"/>
      <c r="P607" s="25"/>
      <c r="Q607" s="25"/>
      <c r="R607" s="25"/>
      <c r="S607" s="25"/>
      <c r="T607" s="25"/>
      <c r="U607" s="25"/>
      <c r="V607" s="25"/>
      <c r="W607" s="25"/>
      <c r="X607" s="25"/>
      <c r="Y607" s="25"/>
    </row>
    <row r="608" spans="9:25" x14ac:dyDescent="0.2">
      <c r="I608" s="25"/>
      <c r="J608" s="25"/>
      <c r="K608" s="25"/>
      <c r="L608" s="25"/>
      <c r="N608" s="25"/>
      <c r="O608" s="25"/>
      <c r="P608" s="25"/>
      <c r="Q608" s="25"/>
      <c r="R608" s="25"/>
      <c r="S608" s="25"/>
      <c r="T608" s="25"/>
      <c r="U608" s="25"/>
      <c r="V608" s="25"/>
      <c r="W608" s="25"/>
      <c r="X608" s="25"/>
      <c r="Y608" s="25"/>
    </row>
    <row r="609" spans="9:25" x14ac:dyDescent="0.2">
      <c r="I609" s="25"/>
      <c r="J609" s="25"/>
      <c r="K609" s="25"/>
      <c r="L609" s="25"/>
      <c r="N609" s="25"/>
      <c r="O609" s="25"/>
      <c r="P609" s="25"/>
      <c r="Q609" s="25"/>
      <c r="R609" s="25"/>
      <c r="S609" s="25"/>
      <c r="T609" s="25"/>
      <c r="U609" s="25"/>
      <c r="V609" s="25"/>
      <c r="W609" s="25"/>
      <c r="X609" s="25"/>
      <c r="Y609" s="25"/>
    </row>
    <row r="610" spans="9:25" x14ac:dyDescent="0.2">
      <c r="I610" s="25"/>
      <c r="J610" s="25"/>
      <c r="K610" s="25"/>
      <c r="L610" s="25"/>
      <c r="N610" s="25"/>
      <c r="O610" s="25"/>
      <c r="P610" s="25"/>
      <c r="Q610" s="25"/>
      <c r="R610" s="25"/>
      <c r="S610" s="25"/>
      <c r="T610" s="25"/>
      <c r="U610" s="25"/>
      <c r="V610" s="25"/>
      <c r="W610" s="25"/>
      <c r="X610" s="25"/>
      <c r="Y610" s="25"/>
    </row>
    <row r="611" spans="9:25" x14ac:dyDescent="0.2">
      <c r="I611" s="25"/>
      <c r="J611" s="25"/>
      <c r="K611" s="25"/>
      <c r="L611" s="25"/>
      <c r="N611" s="25"/>
      <c r="O611" s="25"/>
      <c r="P611" s="25"/>
      <c r="Q611" s="25"/>
      <c r="R611" s="25"/>
      <c r="S611" s="25"/>
      <c r="T611" s="25"/>
      <c r="U611" s="25"/>
      <c r="V611" s="25"/>
      <c r="W611" s="25"/>
      <c r="X611" s="25"/>
      <c r="Y611" s="25"/>
    </row>
    <row r="612" spans="9:25" x14ac:dyDescent="0.2">
      <c r="I612" s="25"/>
      <c r="J612" s="25"/>
      <c r="K612" s="25"/>
      <c r="L612" s="25"/>
      <c r="N612" s="25"/>
      <c r="O612" s="25"/>
      <c r="P612" s="25"/>
      <c r="Q612" s="25"/>
      <c r="R612" s="25"/>
      <c r="S612" s="25"/>
      <c r="T612" s="25"/>
      <c r="U612" s="25"/>
      <c r="V612" s="25"/>
      <c r="W612" s="25"/>
      <c r="X612" s="25"/>
      <c r="Y612" s="25"/>
    </row>
    <row r="613" spans="9:25" x14ac:dyDescent="0.2">
      <c r="I613" s="25"/>
      <c r="J613" s="25"/>
      <c r="K613" s="25"/>
      <c r="L613" s="25"/>
      <c r="N613" s="25"/>
      <c r="O613" s="25"/>
      <c r="P613" s="25"/>
      <c r="Q613" s="25"/>
      <c r="R613" s="25"/>
      <c r="S613" s="25"/>
      <c r="T613" s="25"/>
      <c r="U613" s="25"/>
      <c r="V613" s="25"/>
      <c r="W613" s="25"/>
      <c r="X613" s="25"/>
      <c r="Y613" s="25"/>
    </row>
    <row r="614" spans="9:25" x14ac:dyDescent="0.2">
      <c r="I614" s="25"/>
      <c r="J614" s="25"/>
      <c r="K614" s="25"/>
      <c r="L614" s="25"/>
      <c r="N614" s="25"/>
      <c r="O614" s="25"/>
      <c r="P614" s="25"/>
      <c r="Q614" s="25"/>
      <c r="R614" s="25"/>
      <c r="S614" s="25"/>
      <c r="T614" s="25"/>
      <c r="U614" s="25"/>
      <c r="V614" s="25"/>
      <c r="W614" s="25"/>
      <c r="X614" s="25"/>
      <c r="Y614" s="25"/>
    </row>
    <row r="615" spans="9:25" x14ac:dyDescent="0.2">
      <c r="I615" s="25"/>
      <c r="J615" s="25"/>
      <c r="K615" s="25"/>
      <c r="L615" s="25"/>
      <c r="N615" s="25"/>
      <c r="O615" s="25"/>
      <c r="P615" s="25"/>
      <c r="Q615" s="25"/>
      <c r="R615" s="25"/>
      <c r="S615" s="25"/>
      <c r="T615" s="25"/>
      <c r="U615" s="25"/>
      <c r="V615" s="25"/>
      <c r="W615" s="25"/>
      <c r="X615" s="25"/>
      <c r="Y615" s="25"/>
    </row>
    <row r="616" spans="9:25" x14ac:dyDescent="0.2">
      <c r="I616" s="25"/>
      <c r="J616" s="25"/>
      <c r="K616" s="25"/>
      <c r="L616" s="25"/>
      <c r="N616" s="25"/>
      <c r="O616" s="25"/>
      <c r="P616" s="25"/>
      <c r="Q616" s="25"/>
      <c r="R616" s="25"/>
      <c r="S616" s="25"/>
      <c r="T616" s="25"/>
      <c r="U616" s="25"/>
      <c r="V616" s="25"/>
      <c r="W616" s="25"/>
      <c r="X616" s="25"/>
      <c r="Y616" s="25"/>
    </row>
    <row r="617" spans="9:25" x14ac:dyDescent="0.2">
      <c r="I617" s="25"/>
      <c r="J617" s="25"/>
      <c r="K617" s="25"/>
      <c r="L617" s="25"/>
      <c r="N617" s="25"/>
      <c r="O617" s="25"/>
      <c r="P617" s="25"/>
      <c r="Q617" s="25"/>
      <c r="R617" s="25"/>
      <c r="S617" s="25"/>
      <c r="T617" s="25"/>
      <c r="U617" s="25"/>
      <c r="V617" s="25"/>
      <c r="W617" s="25"/>
      <c r="X617" s="25"/>
      <c r="Y617" s="25"/>
    </row>
    <row r="618" spans="9:25" x14ac:dyDescent="0.2">
      <c r="I618" s="25"/>
      <c r="J618" s="25"/>
      <c r="K618" s="25"/>
      <c r="L618" s="25"/>
      <c r="N618" s="25"/>
      <c r="O618" s="25"/>
      <c r="P618" s="25"/>
      <c r="Q618" s="25"/>
      <c r="R618" s="25"/>
      <c r="S618" s="25"/>
      <c r="T618" s="25"/>
      <c r="U618" s="25"/>
      <c r="V618" s="25"/>
      <c r="W618" s="25"/>
      <c r="X618" s="25"/>
      <c r="Y618" s="25"/>
    </row>
    <row r="619" spans="9:25" x14ac:dyDescent="0.2">
      <c r="I619" s="25"/>
      <c r="J619" s="25"/>
      <c r="K619" s="25"/>
      <c r="L619" s="25"/>
      <c r="N619" s="25"/>
      <c r="O619" s="25"/>
      <c r="P619" s="25"/>
      <c r="Q619" s="25"/>
      <c r="R619" s="25"/>
      <c r="S619" s="25"/>
      <c r="T619" s="25"/>
      <c r="U619" s="25"/>
      <c r="V619" s="25"/>
      <c r="W619" s="25"/>
      <c r="X619" s="25"/>
      <c r="Y619" s="25"/>
    </row>
    <row r="620" spans="9:25" x14ac:dyDescent="0.2">
      <c r="I620" s="25"/>
      <c r="J620" s="25"/>
      <c r="K620" s="25"/>
      <c r="L620" s="25"/>
      <c r="N620" s="25"/>
      <c r="O620" s="25"/>
      <c r="P620" s="25"/>
      <c r="Q620" s="25"/>
      <c r="R620" s="25"/>
      <c r="S620" s="25"/>
      <c r="T620" s="25"/>
      <c r="U620" s="25"/>
      <c r="V620" s="25"/>
      <c r="W620" s="25"/>
      <c r="X620" s="25"/>
      <c r="Y620" s="25"/>
    </row>
    <row r="621" spans="9:25" x14ac:dyDescent="0.2">
      <c r="I621" s="25"/>
      <c r="J621" s="25"/>
      <c r="K621" s="25"/>
      <c r="L621" s="25"/>
      <c r="N621" s="25"/>
      <c r="O621" s="25"/>
      <c r="P621" s="25"/>
      <c r="Q621" s="25"/>
      <c r="R621" s="25"/>
      <c r="S621" s="25"/>
      <c r="T621" s="25"/>
      <c r="U621" s="25"/>
      <c r="V621" s="25"/>
      <c r="W621" s="25"/>
      <c r="X621" s="25"/>
      <c r="Y621" s="25"/>
    </row>
    <row r="622" spans="9:25" x14ac:dyDescent="0.2">
      <c r="I622" s="25"/>
      <c r="J622" s="25"/>
      <c r="K622" s="25"/>
      <c r="L622" s="25"/>
      <c r="N622" s="25"/>
      <c r="O622" s="25"/>
      <c r="P622" s="25"/>
      <c r="Q622" s="25"/>
      <c r="R622" s="25"/>
      <c r="S622" s="25"/>
      <c r="T622" s="25"/>
      <c r="U622" s="25"/>
      <c r="V622" s="25"/>
      <c r="W622" s="25"/>
      <c r="X622" s="25"/>
      <c r="Y622" s="25"/>
    </row>
    <row r="623" spans="9:25" x14ac:dyDescent="0.2">
      <c r="I623" s="25"/>
      <c r="J623" s="25"/>
      <c r="K623" s="25"/>
      <c r="L623" s="25"/>
      <c r="N623" s="25"/>
      <c r="O623" s="25"/>
      <c r="P623" s="25"/>
      <c r="Q623" s="25"/>
      <c r="R623" s="25"/>
      <c r="S623" s="25"/>
      <c r="T623" s="25"/>
      <c r="U623" s="25"/>
      <c r="V623" s="25"/>
      <c r="W623" s="25"/>
      <c r="X623" s="25"/>
      <c r="Y623" s="25"/>
    </row>
    <row r="624" spans="9:25" x14ac:dyDescent="0.2">
      <c r="I624" s="25"/>
      <c r="J624" s="25"/>
      <c r="K624" s="25"/>
      <c r="L624" s="25"/>
      <c r="N624" s="25"/>
      <c r="O624" s="25"/>
      <c r="P624" s="25"/>
      <c r="Q624" s="25"/>
      <c r="R624" s="25"/>
      <c r="S624" s="25"/>
      <c r="T624" s="25"/>
      <c r="U624" s="25"/>
      <c r="V624" s="25"/>
      <c r="W624" s="25"/>
      <c r="X624" s="25"/>
      <c r="Y624" s="25"/>
    </row>
    <row r="625" spans="9:25" x14ac:dyDescent="0.2">
      <c r="I625" s="25"/>
      <c r="J625" s="25"/>
      <c r="K625" s="25"/>
      <c r="L625" s="25"/>
      <c r="N625" s="25"/>
      <c r="O625" s="25"/>
      <c r="P625" s="25"/>
      <c r="Q625" s="25"/>
      <c r="R625" s="25"/>
      <c r="S625" s="25"/>
      <c r="T625" s="25"/>
      <c r="U625" s="25"/>
      <c r="V625" s="25"/>
      <c r="W625" s="25"/>
      <c r="X625" s="25"/>
      <c r="Y625" s="25"/>
    </row>
    <row r="626" spans="9:25" x14ac:dyDescent="0.2">
      <c r="I626" s="25"/>
      <c r="J626" s="25"/>
      <c r="K626" s="25"/>
      <c r="L626" s="25"/>
      <c r="N626" s="25"/>
      <c r="O626" s="25"/>
      <c r="P626" s="25"/>
      <c r="Q626" s="25"/>
      <c r="R626" s="25"/>
      <c r="S626" s="25"/>
      <c r="T626" s="25"/>
      <c r="U626" s="25"/>
      <c r="V626" s="25"/>
      <c r="W626" s="25"/>
      <c r="X626" s="25"/>
      <c r="Y626" s="25"/>
    </row>
    <row r="627" spans="9:25" x14ac:dyDescent="0.2">
      <c r="I627" s="25"/>
      <c r="J627" s="25"/>
      <c r="K627" s="25"/>
      <c r="L627" s="25"/>
      <c r="N627" s="25"/>
      <c r="O627" s="25"/>
      <c r="P627" s="25"/>
      <c r="Q627" s="25"/>
      <c r="R627" s="25"/>
      <c r="S627" s="25"/>
      <c r="T627" s="25"/>
      <c r="U627" s="25"/>
      <c r="V627" s="25"/>
      <c r="W627" s="25"/>
      <c r="X627" s="25"/>
      <c r="Y627" s="25"/>
    </row>
    <row r="628" spans="9:25" x14ac:dyDescent="0.2">
      <c r="I628" s="25"/>
      <c r="J628" s="25"/>
      <c r="K628" s="25"/>
      <c r="L628" s="25"/>
      <c r="N628" s="25"/>
      <c r="O628" s="25"/>
      <c r="P628" s="25"/>
      <c r="Q628" s="25"/>
      <c r="R628" s="25"/>
      <c r="S628" s="25"/>
      <c r="T628" s="25"/>
      <c r="U628" s="25"/>
      <c r="V628" s="25"/>
      <c r="W628" s="25"/>
      <c r="X628" s="25"/>
      <c r="Y628" s="25"/>
    </row>
    <row r="629" spans="9:25" x14ac:dyDescent="0.2">
      <c r="I629" s="25"/>
      <c r="J629" s="25"/>
      <c r="K629" s="25"/>
      <c r="L629" s="25"/>
      <c r="N629" s="25"/>
      <c r="O629" s="25"/>
      <c r="P629" s="25"/>
      <c r="Q629" s="25"/>
      <c r="R629" s="25"/>
      <c r="S629" s="25"/>
      <c r="T629" s="25"/>
      <c r="U629" s="25"/>
      <c r="V629" s="25"/>
      <c r="W629" s="25"/>
      <c r="X629" s="25"/>
      <c r="Y629" s="25"/>
    </row>
    <row r="630" spans="9:25" x14ac:dyDescent="0.2">
      <c r="I630" s="25"/>
      <c r="J630" s="25"/>
      <c r="K630" s="25"/>
      <c r="L630" s="25"/>
      <c r="N630" s="25"/>
      <c r="O630" s="25"/>
      <c r="P630" s="25"/>
      <c r="Q630" s="25"/>
      <c r="R630" s="25"/>
      <c r="S630" s="25"/>
      <c r="T630" s="25"/>
      <c r="U630" s="25"/>
      <c r="V630" s="25"/>
      <c r="W630" s="25"/>
      <c r="X630" s="25"/>
      <c r="Y630" s="25"/>
    </row>
    <row r="631" spans="9:25" x14ac:dyDescent="0.2">
      <c r="I631" s="25"/>
      <c r="J631" s="25"/>
      <c r="K631" s="25"/>
      <c r="L631" s="25"/>
      <c r="N631" s="25"/>
      <c r="O631" s="25"/>
      <c r="P631" s="25"/>
      <c r="Q631" s="25"/>
      <c r="R631" s="25"/>
      <c r="S631" s="25"/>
      <c r="T631" s="25"/>
      <c r="U631" s="25"/>
      <c r="V631" s="25"/>
      <c r="W631" s="25"/>
      <c r="X631" s="25"/>
      <c r="Y631" s="25"/>
    </row>
    <row r="632" spans="9:25" x14ac:dyDescent="0.2">
      <c r="I632" s="25"/>
      <c r="J632" s="25"/>
      <c r="K632" s="25"/>
      <c r="L632" s="25"/>
      <c r="N632" s="25"/>
      <c r="O632" s="25"/>
      <c r="P632" s="25"/>
      <c r="Q632" s="25"/>
      <c r="R632" s="25"/>
      <c r="S632" s="25"/>
      <c r="T632" s="25"/>
      <c r="U632" s="25"/>
      <c r="V632" s="25"/>
      <c r="W632" s="25"/>
      <c r="X632" s="25"/>
      <c r="Y632" s="25"/>
    </row>
    <row r="633" spans="9:25" x14ac:dyDescent="0.2">
      <c r="I633" s="25"/>
      <c r="J633" s="25"/>
      <c r="K633" s="25"/>
      <c r="L633" s="25"/>
      <c r="N633" s="25"/>
      <c r="O633" s="25"/>
      <c r="P633" s="25"/>
      <c r="Q633" s="25"/>
      <c r="R633" s="25"/>
      <c r="S633" s="25"/>
      <c r="T633" s="25"/>
      <c r="U633" s="25"/>
      <c r="V633" s="25"/>
      <c r="W633" s="25"/>
      <c r="X633" s="25"/>
      <c r="Y633" s="25"/>
    </row>
    <row r="634" spans="9:25" x14ac:dyDescent="0.2">
      <c r="I634" s="25"/>
      <c r="J634" s="25"/>
      <c r="K634" s="25"/>
      <c r="L634" s="25"/>
      <c r="N634" s="25"/>
      <c r="O634" s="25"/>
      <c r="P634" s="25"/>
      <c r="Q634" s="25"/>
      <c r="R634" s="25"/>
      <c r="S634" s="25"/>
      <c r="T634" s="25"/>
      <c r="U634" s="25"/>
      <c r="V634" s="25"/>
      <c r="W634" s="25"/>
      <c r="X634" s="25"/>
      <c r="Y634" s="25"/>
    </row>
    <row r="635" spans="9:25" x14ac:dyDescent="0.2">
      <c r="I635" s="25"/>
      <c r="J635" s="25"/>
      <c r="K635" s="25"/>
      <c r="L635" s="25"/>
      <c r="N635" s="25"/>
      <c r="O635" s="25"/>
      <c r="P635" s="25"/>
      <c r="Q635" s="25"/>
      <c r="R635" s="25"/>
      <c r="S635" s="25"/>
      <c r="T635" s="25"/>
      <c r="U635" s="25"/>
      <c r="V635" s="25"/>
      <c r="W635" s="25"/>
      <c r="X635" s="25"/>
      <c r="Y635" s="25"/>
    </row>
    <row r="636" spans="9:25" x14ac:dyDescent="0.2">
      <c r="I636" s="25"/>
      <c r="J636" s="25"/>
      <c r="K636" s="25"/>
      <c r="L636" s="25"/>
      <c r="N636" s="25"/>
      <c r="O636" s="25"/>
      <c r="P636" s="25"/>
      <c r="Q636" s="25"/>
      <c r="R636" s="25"/>
      <c r="S636" s="25"/>
      <c r="T636" s="25"/>
      <c r="U636" s="25"/>
      <c r="V636" s="25"/>
      <c r="W636" s="25"/>
      <c r="X636" s="25"/>
      <c r="Y636" s="25"/>
    </row>
    <row r="637" spans="9:25" x14ac:dyDescent="0.2">
      <c r="I637" s="25"/>
      <c r="J637" s="25"/>
      <c r="K637" s="25"/>
      <c r="L637" s="25"/>
      <c r="N637" s="25"/>
      <c r="O637" s="25"/>
      <c r="P637" s="25"/>
      <c r="Q637" s="25"/>
      <c r="R637" s="25"/>
      <c r="S637" s="25"/>
      <c r="T637" s="25"/>
      <c r="U637" s="25"/>
      <c r="V637" s="25"/>
      <c r="W637" s="25"/>
      <c r="X637" s="25"/>
      <c r="Y637" s="25"/>
    </row>
    <row r="638" spans="9:25" x14ac:dyDescent="0.2">
      <c r="I638" s="25"/>
      <c r="J638" s="25"/>
      <c r="K638" s="25"/>
      <c r="L638" s="25"/>
      <c r="N638" s="25"/>
      <c r="O638" s="25"/>
      <c r="P638" s="25"/>
      <c r="Q638" s="25"/>
      <c r="R638" s="25"/>
      <c r="S638" s="25"/>
      <c r="T638" s="25"/>
      <c r="U638" s="25"/>
      <c r="V638" s="25"/>
      <c r="W638" s="25"/>
      <c r="X638" s="25"/>
      <c r="Y638" s="25"/>
    </row>
    <row r="639" spans="9:25" x14ac:dyDescent="0.2">
      <c r="I639" s="25"/>
      <c r="J639" s="25"/>
      <c r="K639" s="25"/>
      <c r="L639" s="25"/>
      <c r="N639" s="25"/>
      <c r="O639" s="25"/>
      <c r="P639" s="25"/>
      <c r="Q639" s="25"/>
      <c r="R639" s="25"/>
      <c r="S639" s="25"/>
      <c r="T639" s="25"/>
      <c r="U639" s="25"/>
      <c r="V639" s="25"/>
      <c r="W639" s="25"/>
      <c r="X639" s="25"/>
      <c r="Y639" s="25"/>
    </row>
    <row r="640" spans="9:25" x14ac:dyDescent="0.2">
      <c r="I640" s="25"/>
      <c r="J640" s="25"/>
      <c r="K640" s="25"/>
      <c r="L640" s="25"/>
      <c r="N640" s="25"/>
      <c r="O640" s="25"/>
      <c r="P640" s="25"/>
      <c r="Q640" s="25"/>
      <c r="R640" s="25"/>
      <c r="S640" s="25"/>
      <c r="T640" s="25"/>
      <c r="U640" s="25"/>
      <c r="V640" s="25"/>
      <c r="W640" s="25"/>
      <c r="X640" s="25"/>
      <c r="Y640" s="25"/>
    </row>
    <row r="641" spans="9:25" x14ac:dyDescent="0.2">
      <c r="I641" s="25"/>
      <c r="J641" s="25"/>
      <c r="K641" s="25"/>
      <c r="L641" s="25"/>
      <c r="N641" s="25"/>
      <c r="O641" s="25"/>
      <c r="P641" s="25"/>
      <c r="Q641" s="25"/>
      <c r="R641" s="25"/>
      <c r="S641" s="25"/>
      <c r="T641" s="25"/>
      <c r="U641" s="25"/>
      <c r="V641" s="25"/>
      <c r="W641" s="25"/>
      <c r="X641" s="25"/>
      <c r="Y641" s="25"/>
    </row>
    <row r="642" spans="9:25" x14ac:dyDescent="0.2">
      <c r="I642" s="25"/>
      <c r="J642" s="25"/>
      <c r="K642" s="25"/>
      <c r="L642" s="25"/>
      <c r="N642" s="25"/>
      <c r="O642" s="25"/>
      <c r="P642" s="25"/>
      <c r="Q642" s="25"/>
      <c r="R642" s="25"/>
      <c r="S642" s="25"/>
      <c r="T642" s="25"/>
      <c r="U642" s="25"/>
      <c r="V642" s="25"/>
      <c r="W642" s="25"/>
      <c r="X642" s="25"/>
      <c r="Y642" s="25"/>
    </row>
    <row r="643" spans="9:25" x14ac:dyDescent="0.2">
      <c r="I643" s="25"/>
      <c r="J643" s="25"/>
      <c r="K643" s="25"/>
      <c r="L643" s="25"/>
      <c r="N643" s="25"/>
      <c r="O643" s="25"/>
      <c r="P643" s="25"/>
      <c r="Q643" s="25"/>
      <c r="R643" s="25"/>
      <c r="S643" s="25"/>
      <c r="T643" s="25"/>
      <c r="U643" s="25"/>
      <c r="V643" s="25"/>
      <c r="W643" s="25"/>
      <c r="X643" s="25"/>
      <c r="Y643" s="25"/>
    </row>
    <row r="644" spans="9:25" x14ac:dyDescent="0.2">
      <c r="I644" s="25"/>
      <c r="J644" s="25"/>
      <c r="K644" s="25"/>
      <c r="L644" s="25"/>
      <c r="N644" s="25"/>
      <c r="O644" s="25"/>
      <c r="P644" s="25"/>
      <c r="Q644" s="25"/>
      <c r="R644" s="25"/>
      <c r="S644" s="25"/>
      <c r="T644" s="25"/>
      <c r="U644" s="25"/>
      <c r="V644" s="25"/>
      <c r="W644" s="25"/>
      <c r="X644" s="25"/>
      <c r="Y644" s="25"/>
    </row>
    <row r="645" spans="9:25" x14ac:dyDescent="0.2">
      <c r="I645" s="25"/>
      <c r="J645" s="25"/>
      <c r="K645" s="25"/>
      <c r="L645" s="25"/>
      <c r="N645" s="25"/>
      <c r="O645" s="25"/>
      <c r="P645" s="25"/>
      <c r="Q645" s="25"/>
      <c r="R645" s="25"/>
      <c r="S645" s="25"/>
      <c r="T645" s="25"/>
      <c r="U645" s="25"/>
      <c r="V645" s="25"/>
      <c r="W645" s="25"/>
      <c r="X645" s="25"/>
      <c r="Y645" s="25"/>
    </row>
    <row r="646" spans="9:25" x14ac:dyDescent="0.2">
      <c r="I646" s="25"/>
      <c r="J646" s="25"/>
      <c r="K646" s="25"/>
      <c r="L646" s="25"/>
      <c r="N646" s="25"/>
      <c r="O646" s="25"/>
      <c r="P646" s="25"/>
      <c r="Q646" s="25"/>
      <c r="R646" s="25"/>
      <c r="S646" s="25"/>
      <c r="T646" s="25"/>
      <c r="U646" s="25"/>
      <c r="V646" s="25"/>
      <c r="W646" s="25"/>
      <c r="X646" s="25"/>
      <c r="Y646" s="25"/>
    </row>
    <row r="647" spans="9:25" x14ac:dyDescent="0.2">
      <c r="I647" s="25"/>
      <c r="J647" s="25"/>
      <c r="K647" s="25"/>
      <c r="L647" s="25"/>
      <c r="N647" s="25"/>
      <c r="O647" s="25"/>
      <c r="P647" s="25"/>
      <c r="Q647" s="25"/>
      <c r="R647" s="25"/>
      <c r="S647" s="25"/>
      <c r="T647" s="25"/>
      <c r="U647" s="25"/>
      <c r="V647" s="25"/>
      <c r="W647" s="25"/>
      <c r="X647" s="25"/>
      <c r="Y647" s="25"/>
    </row>
    <row r="648" spans="9:25" x14ac:dyDescent="0.2">
      <c r="I648" s="25"/>
      <c r="J648" s="25"/>
      <c r="K648" s="25"/>
      <c r="L648" s="25"/>
      <c r="N648" s="25"/>
      <c r="O648" s="25"/>
      <c r="P648" s="25"/>
      <c r="Q648" s="25"/>
      <c r="R648" s="25"/>
      <c r="S648" s="25"/>
      <c r="T648" s="25"/>
      <c r="U648" s="25"/>
      <c r="V648" s="25"/>
      <c r="W648" s="25"/>
      <c r="X648" s="25"/>
      <c r="Y648" s="25"/>
    </row>
    <row r="649" spans="9:25" x14ac:dyDescent="0.2">
      <c r="I649" s="25"/>
      <c r="J649" s="25"/>
      <c r="K649" s="25"/>
      <c r="L649" s="25"/>
      <c r="N649" s="25"/>
      <c r="O649" s="25"/>
      <c r="P649" s="25"/>
      <c r="Q649" s="25"/>
      <c r="R649" s="25"/>
      <c r="S649" s="25"/>
      <c r="T649" s="25"/>
      <c r="U649" s="25"/>
      <c r="V649" s="25"/>
      <c r="W649" s="25"/>
      <c r="X649" s="25"/>
      <c r="Y649" s="25"/>
    </row>
    <row r="650" spans="9:25" x14ac:dyDescent="0.2">
      <c r="I650" s="25"/>
      <c r="J650" s="25"/>
      <c r="K650" s="25"/>
      <c r="L650" s="25"/>
      <c r="N650" s="25"/>
      <c r="O650" s="25"/>
      <c r="P650" s="25"/>
      <c r="Q650" s="25"/>
      <c r="R650" s="25"/>
      <c r="S650" s="25"/>
      <c r="T650" s="25"/>
      <c r="U650" s="25"/>
      <c r="V650" s="25"/>
      <c r="W650" s="25"/>
      <c r="X650" s="25"/>
      <c r="Y650" s="25"/>
    </row>
    <row r="651" spans="9:25" x14ac:dyDescent="0.2">
      <c r="I651" s="25"/>
      <c r="J651" s="25"/>
      <c r="K651" s="25"/>
      <c r="L651" s="25"/>
      <c r="N651" s="25"/>
      <c r="O651" s="25"/>
      <c r="P651" s="25"/>
      <c r="Q651" s="25"/>
      <c r="R651" s="25"/>
      <c r="S651" s="25"/>
      <c r="T651" s="25"/>
      <c r="U651" s="25"/>
      <c r="V651" s="25"/>
      <c r="W651" s="25"/>
      <c r="X651" s="25"/>
      <c r="Y651" s="25"/>
    </row>
    <row r="652" spans="9:25" x14ac:dyDescent="0.2">
      <c r="I652" s="25"/>
      <c r="J652" s="25"/>
      <c r="K652" s="25"/>
      <c r="L652" s="25"/>
      <c r="N652" s="25"/>
      <c r="O652" s="25"/>
      <c r="P652" s="25"/>
      <c r="Q652" s="25"/>
      <c r="R652" s="25"/>
      <c r="S652" s="25"/>
      <c r="T652" s="25"/>
      <c r="U652" s="25"/>
      <c r="V652" s="25"/>
      <c r="W652" s="25"/>
      <c r="X652" s="25"/>
      <c r="Y652" s="25"/>
    </row>
    <row r="653" spans="9:25" x14ac:dyDescent="0.2">
      <c r="I653" s="25"/>
      <c r="J653" s="25"/>
      <c r="K653" s="25"/>
      <c r="L653" s="25"/>
      <c r="N653" s="25"/>
      <c r="O653" s="25"/>
      <c r="P653" s="25"/>
      <c r="Q653" s="25"/>
      <c r="R653" s="25"/>
      <c r="S653" s="25"/>
      <c r="T653" s="25"/>
      <c r="U653" s="25"/>
      <c r="V653" s="25"/>
      <c r="W653" s="25"/>
      <c r="X653" s="25"/>
      <c r="Y653" s="25"/>
    </row>
    <row r="654" spans="9:25" x14ac:dyDescent="0.2">
      <c r="I654" s="25"/>
      <c r="J654" s="25"/>
      <c r="K654" s="25"/>
      <c r="L654" s="25"/>
      <c r="N654" s="25"/>
      <c r="O654" s="25"/>
      <c r="P654" s="25"/>
      <c r="Q654" s="25"/>
      <c r="R654" s="25"/>
      <c r="S654" s="25"/>
      <c r="T654" s="25"/>
      <c r="U654" s="25"/>
      <c r="V654" s="25"/>
      <c r="W654" s="25"/>
      <c r="X654" s="25"/>
      <c r="Y654" s="25"/>
    </row>
    <row r="655" spans="9:25" x14ac:dyDescent="0.2">
      <c r="I655" s="25"/>
      <c r="J655" s="25"/>
      <c r="K655" s="25"/>
      <c r="L655" s="25"/>
      <c r="N655" s="25"/>
      <c r="O655" s="25"/>
      <c r="P655" s="25"/>
      <c r="Q655" s="25"/>
      <c r="R655" s="25"/>
      <c r="S655" s="25"/>
      <c r="T655" s="25"/>
      <c r="U655" s="25"/>
      <c r="V655" s="25"/>
      <c r="W655" s="25"/>
      <c r="X655" s="25"/>
      <c r="Y655" s="25"/>
    </row>
    <row r="656" spans="9:25" x14ac:dyDescent="0.2">
      <c r="I656" s="25"/>
      <c r="J656" s="25"/>
      <c r="K656" s="25"/>
      <c r="L656" s="25"/>
      <c r="N656" s="25"/>
      <c r="O656" s="25"/>
      <c r="P656" s="25"/>
      <c r="Q656" s="25"/>
      <c r="R656" s="25"/>
      <c r="S656" s="25"/>
      <c r="T656" s="25"/>
      <c r="U656" s="25"/>
      <c r="V656" s="25"/>
      <c r="W656" s="25"/>
      <c r="X656" s="25"/>
      <c r="Y656" s="25"/>
    </row>
    <row r="657" spans="9:25" x14ac:dyDescent="0.2">
      <c r="I657" s="25"/>
      <c r="J657" s="25"/>
      <c r="K657" s="25"/>
      <c r="L657" s="25"/>
      <c r="N657" s="25"/>
      <c r="O657" s="25"/>
      <c r="P657" s="25"/>
      <c r="Q657" s="25"/>
      <c r="R657" s="25"/>
      <c r="S657" s="25"/>
      <c r="T657" s="25"/>
      <c r="U657" s="25"/>
      <c r="V657" s="25"/>
      <c r="W657" s="25"/>
      <c r="X657" s="25"/>
      <c r="Y657" s="25"/>
    </row>
    <row r="658" spans="9:25" x14ac:dyDescent="0.2">
      <c r="I658" s="25"/>
      <c r="J658" s="25"/>
      <c r="K658" s="25"/>
      <c r="L658" s="25"/>
      <c r="N658" s="25"/>
      <c r="O658" s="25"/>
      <c r="P658" s="25"/>
      <c r="Q658" s="25"/>
      <c r="R658" s="25"/>
      <c r="S658" s="25"/>
      <c r="T658" s="25"/>
      <c r="U658" s="25"/>
      <c r="V658" s="25"/>
      <c r="W658" s="25"/>
      <c r="X658" s="25"/>
      <c r="Y658" s="25"/>
    </row>
    <row r="659" spans="9:25" x14ac:dyDescent="0.2">
      <c r="I659" s="25"/>
      <c r="J659" s="25"/>
      <c r="K659" s="25"/>
      <c r="L659" s="25"/>
      <c r="N659" s="25"/>
      <c r="O659" s="25"/>
      <c r="P659" s="25"/>
      <c r="Q659" s="25"/>
      <c r="R659" s="25"/>
      <c r="S659" s="25"/>
      <c r="T659" s="25"/>
      <c r="U659" s="25"/>
      <c r="V659" s="25"/>
      <c r="W659" s="25"/>
      <c r="X659" s="25"/>
      <c r="Y659" s="25"/>
    </row>
    <row r="660" spans="9:25" x14ac:dyDescent="0.2">
      <c r="I660" s="25"/>
      <c r="J660" s="25"/>
      <c r="K660" s="25"/>
      <c r="L660" s="25"/>
      <c r="N660" s="25"/>
      <c r="O660" s="25"/>
      <c r="P660" s="25"/>
      <c r="Q660" s="25"/>
      <c r="R660" s="25"/>
      <c r="S660" s="25"/>
      <c r="T660" s="25"/>
      <c r="U660" s="25"/>
      <c r="V660" s="25"/>
      <c r="W660" s="25"/>
      <c r="X660" s="25"/>
      <c r="Y660" s="25"/>
    </row>
    <row r="661" spans="9:25" x14ac:dyDescent="0.2">
      <c r="I661" s="25"/>
      <c r="J661" s="25"/>
      <c r="K661" s="25"/>
      <c r="L661" s="25"/>
      <c r="N661" s="25"/>
      <c r="O661" s="25"/>
      <c r="P661" s="25"/>
      <c r="Q661" s="25"/>
      <c r="R661" s="25"/>
      <c r="S661" s="25"/>
      <c r="T661" s="25"/>
      <c r="U661" s="25"/>
      <c r="V661" s="25"/>
      <c r="W661" s="25"/>
      <c r="X661" s="25"/>
      <c r="Y661" s="25"/>
    </row>
    <row r="662" spans="9:25" x14ac:dyDescent="0.2">
      <c r="I662" s="25"/>
      <c r="J662" s="25"/>
      <c r="K662" s="25"/>
      <c r="L662" s="25"/>
      <c r="N662" s="25"/>
      <c r="O662" s="25"/>
      <c r="P662" s="25"/>
      <c r="Q662" s="25"/>
      <c r="R662" s="25"/>
      <c r="S662" s="25"/>
      <c r="T662" s="25"/>
      <c r="U662" s="25"/>
      <c r="V662" s="25"/>
      <c r="W662" s="25"/>
      <c r="X662" s="25"/>
      <c r="Y662" s="25"/>
    </row>
    <row r="663" spans="9:25" x14ac:dyDescent="0.2">
      <c r="I663" s="25"/>
      <c r="J663" s="25"/>
      <c r="K663" s="25"/>
      <c r="L663" s="25"/>
      <c r="N663" s="25"/>
      <c r="O663" s="25"/>
      <c r="P663" s="25"/>
      <c r="Q663" s="25"/>
      <c r="R663" s="25"/>
      <c r="S663" s="25"/>
      <c r="T663" s="25"/>
      <c r="U663" s="25"/>
      <c r="V663" s="25"/>
      <c r="W663" s="25"/>
      <c r="X663" s="25"/>
      <c r="Y663" s="25"/>
    </row>
    <row r="664" spans="9:25" x14ac:dyDescent="0.2">
      <c r="I664" s="25"/>
      <c r="J664" s="25"/>
      <c r="K664" s="25"/>
      <c r="L664" s="25"/>
      <c r="N664" s="25"/>
      <c r="O664" s="25"/>
      <c r="P664" s="25"/>
      <c r="Q664" s="25"/>
      <c r="R664" s="25"/>
      <c r="S664" s="25"/>
      <c r="T664" s="25"/>
      <c r="U664" s="25"/>
      <c r="V664" s="25"/>
      <c r="W664" s="25"/>
      <c r="X664" s="25"/>
      <c r="Y664" s="25"/>
    </row>
    <row r="665" spans="9:25" x14ac:dyDescent="0.2">
      <c r="I665" s="25"/>
      <c r="J665" s="25"/>
      <c r="K665" s="25"/>
      <c r="L665" s="25"/>
      <c r="N665" s="25"/>
      <c r="O665" s="25"/>
      <c r="P665" s="25"/>
      <c r="Q665" s="25"/>
      <c r="R665" s="25"/>
      <c r="S665" s="25"/>
      <c r="T665" s="25"/>
      <c r="U665" s="25"/>
      <c r="V665" s="25"/>
      <c r="W665" s="25"/>
      <c r="X665" s="25"/>
      <c r="Y665" s="25"/>
    </row>
    <row r="666" spans="9:25" x14ac:dyDescent="0.2">
      <c r="I666" s="25"/>
      <c r="J666" s="25"/>
      <c r="K666" s="25"/>
      <c r="L666" s="25"/>
      <c r="N666" s="25"/>
      <c r="O666" s="25"/>
      <c r="P666" s="25"/>
      <c r="Q666" s="25"/>
      <c r="R666" s="25"/>
      <c r="S666" s="25"/>
      <c r="T666" s="25"/>
      <c r="U666" s="25"/>
      <c r="V666" s="25"/>
      <c r="W666" s="25"/>
      <c r="X666" s="25"/>
      <c r="Y666" s="25"/>
    </row>
    <row r="667" spans="9:25" x14ac:dyDescent="0.2">
      <c r="I667" s="25"/>
      <c r="J667" s="25"/>
      <c r="K667" s="25"/>
      <c r="L667" s="25"/>
      <c r="N667" s="25"/>
      <c r="O667" s="25"/>
      <c r="P667" s="25"/>
      <c r="Q667" s="25"/>
      <c r="R667" s="25"/>
      <c r="S667" s="25"/>
      <c r="T667" s="25"/>
      <c r="U667" s="25"/>
      <c r="V667" s="25"/>
      <c r="W667" s="25"/>
      <c r="X667" s="25"/>
      <c r="Y667" s="25"/>
    </row>
    <row r="668" spans="9:25" x14ac:dyDescent="0.2">
      <c r="I668" s="25"/>
      <c r="J668" s="25"/>
      <c r="K668" s="25"/>
      <c r="L668" s="25"/>
      <c r="N668" s="25"/>
      <c r="O668" s="25"/>
      <c r="P668" s="25"/>
      <c r="Q668" s="25"/>
      <c r="R668" s="25"/>
      <c r="S668" s="25"/>
      <c r="T668" s="25"/>
      <c r="U668" s="25"/>
      <c r="V668" s="25"/>
      <c r="W668" s="25"/>
      <c r="X668" s="25"/>
      <c r="Y668" s="25"/>
    </row>
    <row r="669" spans="9:25" x14ac:dyDescent="0.2">
      <c r="I669" s="25"/>
      <c r="J669" s="25"/>
      <c r="K669" s="25"/>
      <c r="L669" s="25"/>
      <c r="N669" s="25"/>
      <c r="O669" s="25"/>
      <c r="P669" s="25"/>
      <c r="Q669" s="25"/>
      <c r="R669" s="25"/>
      <c r="S669" s="25"/>
      <c r="T669" s="25"/>
      <c r="U669" s="25"/>
      <c r="V669" s="25"/>
      <c r="W669" s="25"/>
      <c r="X669" s="25"/>
      <c r="Y669" s="25"/>
    </row>
    <row r="670" spans="9:25" x14ac:dyDescent="0.2">
      <c r="I670" s="25"/>
      <c r="J670" s="25"/>
      <c r="K670" s="25"/>
      <c r="L670" s="25"/>
      <c r="N670" s="25"/>
      <c r="O670" s="25"/>
      <c r="P670" s="25"/>
      <c r="Q670" s="25"/>
      <c r="R670" s="25"/>
      <c r="S670" s="25"/>
      <c r="T670" s="25"/>
      <c r="U670" s="25"/>
      <c r="V670" s="25"/>
      <c r="W670" s="25"/>
      <c r="X670" s="25"/>
      <c r="Y670" s="25"/>
    </row>
    <row r="671" spans="9:25" x14ac:dyDescent="0.2">
      <c r="I671" s="25"/>
      <c r="J671" s="25"/>
      <c r="K671" s="25"/>
      <c r="L671" s="25"/>
      <c r="N671" s="25"/>
      <c r="O671" s="25"/>
      <c r="P671" s="25"/>
      <c r="Q671" s="25"/>
      <c r="R671" s="25"/>
      <c r="S671" s="25"/>
      <c r="T671" s="25"/>
      <c r="U671" s="25"/>
      <c r="V671" s="25"/>
      <c r="W671" s="25"/>
      <c r="X671" s="25"/>
      <c r="Y671" s="25"/>
    </row>
    <row r="672" spans="9:25" x14ac:dyDescent="0.2">
      <c r="I672" s="25"/>
      <c r="J672" s="25"/>
      <c r="K672" s="25"/>
      <c r="L672" s="25"/>
      <c r="N672" s="25"/>
      <c r="O672" s="25"/>
      <c r="P672" s="25"/>
      <c r="Q672" s="25"/>
      <c r="R672" s="25"/>
      <c r="S672" s="25"/>
      <c r="T672" s="25"/>
      <c r="U672" s="25"/>
      <c r="V672" s="25"/>
      <c r="W672" s="25"/>
      <c r="X672" s="25"/>
      <c r="Y672" s="25"/>
    </row>
    <row r="673" spans="9:25" x14ac:dyDescent="0.2">
      <c r="I673" s="25"/>
      <c r="J673" s="25"/>
      <c r="K673" s="25"/>
      <c r="L673" s="25"/>
      <c r="N673" s="25"/>
      <c r="O673" s="25"/>
      <c r="P673" s="25"/>
      <c r="Q673" s="25"/>
      <c r="R673" s="25"/>
      <c r="S673" s="25"/>
      <c r="T673" s="25"/>
      <c r="U673" s="25"/>
      <c r="V673" s="25"/>
      <c r="W673" s="25"/>
      <c r="X673" s="25"/>
      <c r="Y673" s="25"/>
    </row>
    <row r="674" spans="9:25" x14ac:dyDescent="0.2">
      <c r="I674" s="25"/>
      <c r="J674" s="25"/>
      <c r="K674" s="25"/>
      <c r="L674" s="25"/>
      <c r="N674" s="25"/>
      <c r="O674" s="25"/>
      <c r="P674" s="25"/>
      <c r="Q674" s="25"/>
      <c r="R674" s="25"/>
      <c r="S674" s="25"/>
      <c r="T674" s="25"/>
      <c r="U674" s="25"/>
      <c r="V674" s="25"/>
      <c r="W674" s="25"/>
      <c r="X674" s="25"/>
      <c r="Y674" s="25"/>
    </row>
    <row r="675" spans="9:25" x14ac:dyDescent="0.2">
      <c r="I675" s="25"/>
      <c r="J675" s="25"/>
      <c r="K675" s="25"/>
      <c r="L675" s="25"/>
      <c r="N675" s="25"/>
      <c r="O675" s="25"/>
      <c r="P675" s="25"/>
      <c r="Q675" s="25"/>
      <c r="R675" s="25"/>
      <c r="S675" s="25"/>
      <c r="T675" s="25"/>
      <c r="U675" s="25"/>
      <c r="V675" s="25"/>
      <c r="W675" s="25"/>
      <c r="X675" s="25"/>
      <c r="Y675" s="25"/>
    </row>
    <row r="676" spans="9:25" x14ac:dyDescent="0.2">
      <c r="I676" s="25"/>
      <c r="J676" s="25"/>
      <c r="K676" s="25"/>
      <c r="L676" s="25"/>
      <c r="N676" s="25"/>
      <c r="O676" s="25"/>
      <c r="P676" s="25"/>
      <c r="Q676" s="25"/>
      <c r="R676" s="25"/>
      <c r="S676" s="25"/>
      <c r="T676" s="25"/>
      <c r="U676" s="25"/>
      <c r="V676" s="25"/>
      <c r="W676" s="25"/>
      <c r="X676" s="25"/>
      <c r="Y676" s="25"/>
    </row>
    <row r="677" spans="9:25" x14ac:dyDescent="0.2">
      <c r="I677" s="25"/>
      <c r="J677" s="25"/>
      <c r="K677" s="25"/>
      <c r="L677" s="25"/>
      <c r="N677" s="25"/>
      <c r="O677" s="25"/>
      <c r="P677" s="25"/>
      <c r="Q677" s="25"/>
      <c r="R677" s="25"/>
      <c r="S677" s="25"/>
      <c r="T677" s="25"/>
      <c r="U677" s="25"/>
      <c r="V677" s="25"/>
      <c r="W677" s="25"/>
      <c r="X677" s="25"/>
      <c r="Y677" s="25"/>
    </row>
    <row r="678" spans="9:25" x14ac:dyDescent="0.2">
      <c r="I678" s="25"/>
      <c r="J678" s="25"/>
      <c r="K678" s="25"/>
      <c r="L678" s="25"/>
      <c r="N678" s="25"/>
      <c r="O678" s="25"/>
      <c r="P678" s="25"/>
      <c r="Q678" s="25"/>
      <c r="R678" s="25"/>
      <c r="S678" s="25"/>
      <c r="T678" s="25"/>
      <c r="U678" s="25"/>
      <c r="V678" s="25"/>
      <c r="W678" s="25"/>
      <c r="X678" s="25"/>
      <c r="Y678" s="25"/>
    </row>
    <row r="679" spans="9:25" x14ac:dyDescent="0.2">
      <c r="I679" s="25"/>
      <c r="J679" s="25"/>
      <c r="K679" s="25"/>
      <c r="L679" s="25"/>
      <c r="N679" s="25"/>
      <c r="O679" s="25"/>
      <c r="P679" s="25"/>
      <c r="Q679" s="25"/>
      <c r="R679" s="25"/>
      <c r="S679" s="25"/>
      <c r="T679" s="25"/>
      <c r="U679" s="25"/>
      <c r="V679" s="25"/>
      <c r="W679" s="25"/>
      <c r="X679" s="25"/>
      <c r="Y679" s="25"/>
    </row>
    <row r="680" spans="9:25" x14ac:dyDescent="0.2">
      <c r="I680" s="25"/>
      <c r="J680" s="25"/>
      <c r="K680" s="25"/>
      <c r="L680" s="25"/>
      <c r="N680" s="25"/>
      <c r="O680" s="25"/>
      <c r="P680" s="25"/>
      <c r="Q680" s="25"/>
      <c r="R680" s="25"/>
      <c r="S680" s="25"/>
      <c r="T680" s="25"/>
      <c r="U680" s="25"/>
      <c r="V680" s="25"/>
      <c r="W680" s="25"/>
      <c r="X680" s="25"/>
      <c r="Y680" s="25"/>
    </row>
    <row r="681" spans="9:25" x14ac:dyDescent="0.2">
      <c r="I681" s="25"/>
      <c r="J681" s="25"/>
      <c r="K681" s="25"/>
      <c r="L681" s="25"/>
      <c r="N681" s="25"/>
      <c r="O681" s="25"/>
      <c r="P681" s="25"/>
      <c r="Q681" s="25"/>
      <c r="R681" s="25"/>
      <c r="S681" s="25"/>
      <c r="T681" s="25"/>
      <c r="U681" s="25"/>
      <c r="V681" s="25"/>
      <c r="W681" s="25"/>
      <c r="X681" s="25"/>
      <c r="Y681" s="25"/>
    </row>
    <row r="682" spans="9:25" x14ac:dyDescent="0.2">
      <c r="I682" s="25"/>
      <c r="J682" s="25"/>
      <c r="K682" s="25"/>
      <c r="L682" s="25"/>
      <c r="N682" s="25"/>
      <c r="O682" s="25"/>
      <c r="P682" s="25"/>
      <c r="Q682" s="25"/>
      <c r="R682" s="25"/>
      <c r="S682" s="25"/>
      <c r="T682" s="25"/>
      <c r="U682" s="25"/>
      <c r="V682" s="25"/>
      <c r="W682" s="25"/>
      <c r="X682" s="25"/>
      <c r="Y682" s="25"/>
    </row>
    <row r="683" spans="9:25" x14ac:dyDescent="0.2">
      <c r="I683" s="25"/>
      <c r="J683" s="25"/>
      <c r="K683" s="25"/>
      <c r="L683" s="25"/>
      <c r="N683" s="25"/>
      <c r="O683" s="25"/>
      <c r="P683" s="25"/>
      <c r="Q683" s="25"/>
      <c r="R683" s="25"/>
      <c r="S683" s="25"/>
      <c r="T683" s="25"/>
      <c r="U683" s="25"/>
      <c r="V683" s="25"/>
      <c r="W683" s="25"/>
      <c r="X683" s="25"/>
      <c r="Y683" s="25"/>
    </row>
    <row r="684" spans="9:25" x14ac:dyDescent="0.2">
      <c r="I684" s="25"/>
      <c r="J684" s="25"/>
      <c r="K684" s="25"/>
      <c r="L684" s="25"/>
      <c r="N684" s="25"/>
      <c r="O684" s="25"/>
      <c r="P684" s="25"/>
      <c r="Q684" s="25"/>
      <c r="R684" s="25"/>
      <c r="S684" s="25"/>
      <c r="T684" s="25"/>
      <c r="U684" s="25"/>
      <c r="V684" s="25"/>
      <c r="W684" s="25"/>
      <c r="X684" s="25"/>
      <c r="Y684" s="25"/>
    </row>
    <row r="685" spans="9:25" x14ac:dyDescent="0.2">
      <c r="I685" s="25"/>
      <c r="J685" s="25"/>
      <c r="K685" s="25"/>
      <c r="L685" s="25"/>
      <c r="N685" s="25"/>
      <c r="O685" s="25"/>
      <c r="P685" s="25"/>
      <c r="Q685" s="25"/>
      <c r="R685" s="25"/>
      <c r="S685" s="25"/>
      <c r="T685" s="25"/>
      <c r="U685" s="25"/>
      <c r="V685" s="25"/>
      <c r="W685" s="25"/>
      <c r="X685" s="25"/>
      <c r="Y685" s="25"/>
    </row>
    <row r="686" spans="9:25" x14ac:dyDescent="0.2">
      <c r="I686" s="25"/>
      <c r="J686" s="25"/>
      <c r="K686" s="25"/>
      <c r="L686" s="25"/>
      <c r="N686" s="25"/>
      <c r="O686" s="25"/>
      <c r="P686" s="25"/>
      <c r="Q686" s="25"/>
      <c r="R686" s="25"/>
      <c r="S686" s="25"/>
      <c r="T686" s="25"/>
      <c r="U686" s="25"/>
      <c r="V686" s="25"/>
      <c r="W686" s="25"/>
      <c r="X686" s="25"/>
      <c r="Y686" s="25"/>
    </row>
    <row r="687" spans="9:25" x14ac:dyDescent="0.2">
      <c r="I687" s="25"/>
      <c r="J687" s="25"/>
      <c r="K687" s="25"/>
      <c r="L687" s="25"/>
      <c r="N687" s="25"/>
      <c r="O687" s="25"/>
      <c r="P687" s="25"/>
      <c r="Q687" s="25"/>
      <c r="R687" s="25"/>
      <c r="S687" s="25"/>
      <c r="T687" s="25"/>
      <c r="U687" s="25"/>
      <c r="V687" s="25"/>
      <c r="W687" s="25"/>
      <c r="X687" s="25"/>
      <c r="Y687" s="25"/>
    </row>
    <row r="688" spans="9:25" x14ac:dyDescent="0.2">
      <c r="I688" s="25"/>
      <c r="J688" s="25"/>
      <c r="K688" s="25"/>
      <c r="L688" s="25"/>
      <c r="N688" s="25"/>
      <c r="O688" s="25"/>
      <c r="P688" s="25"/>
      <c r="Q688" s="25"/>
      <c r="R688" s="25"/>
      <c r="S688" s="25"/>
      <c r="T688" s="25"/>
      <c r="U688" s="25"/>
      <c r="V688" s="25"/>
      <c r="W688" s="25"/>
      <c r="X688" s="25"/>
      <c r="Y688" s="25"/>
    </row>
    <row r="689" spans="9:25" x14ac:dyDescent="0.2">
      <c r="I689" s="25"/>
      <c r="J689" s="25"/>
      <c r="K689" s="25"/>
      <c r="L689" s="25"/>
      <c r="N689" s="25"/>
      <c r="O689" s="25"/>
      <c r="P689" s="25"/>
      <c r="Q689" s="25"/>
      <c r="R689" s="25"/>
      <c r="S689" s="25"/>
      <c r="T689" s="25"/>
      <c r="U689" s="25"/>
      <c r="V689" s="25"/>
      <c r="W689" s="25"/>
      <c r="X689" s="25"/>
      <c r="Y689" s="25"/>
    </row>
    <row r="690" spans="9:25" x14ac:dyDescent="0.2">
      <c r="I690" s="25"/>
      <c r="J690" s="25"/>
      <c r="K690" s="25"/>
      <c r="L690" s="25"/>
      <c r="N690" s="25"/>
      <c r="O690" s="25"/>
      <c r="P690" s="25"/>
      <c r="Q690" s="25"/>
      <c r="R690" s="25"/>
      <c r="S690" s="25"/>
      <c r="T690" s="25"/>
      <c r="U690" s="25"/>
      <c r="V690" s="25"/>
      <c r="W690" s="25"/>
      <c r="X690" s="25"/>
      <c r="Y690" s="25"/>
    </row>
    <row r="691" spans="9:25" x14ac:dyDescent="0.2">
      <c r="I691" s="25"/>
      <c r="J691" s="25"/>
      <c r="K691" s="25"/>
      <c r="L691" s="25"/>
      <c r="N691" s="25"/>
      <c r="O691" s="25"/>
      <c r="P691" s="25"/>
      <c r="Q691" s="25"/>
      <c r="R691" s="25"/>
      <c r="S691" s="25"/>
      <c r="T691" s="25"/>
      <c r="U691" s="25"/>
      <c r="V691" s="25"/>
      <c r="W691" s="25"/>
      <c r="X691" s="25"/>
      <c r="Y691" s="25"/>
    </row>
    <row r="692" spans="9:25" x14ac:dyDescent="0.2">
      <c r="I692" s="25"/>
      <c r="J692" s="25"/>
      <c r="K692" s="25"/>
      <c r="L692" s="25"/>
      <c r="N692" s="25"/>
      <c r="O692" s="25"/>
      <c r="P692" s="25"/>
      <c r="Q692" s="25"/>
      <c r="R692" s="25"/>
      <c r="S692" s="25"/>
      <c r="T692" s="25"/>
      <c r="U692" s="25"/>
      <c r="V692" s="25"/>
      <c r="W692" s="25"/>
      <c r="X692" s="25"/>
      <c r="Y692" s="25"/>
    </row>
    <row r="693" spans="9:25" x14ac:dyDescent="0.2">
      <c r="I693" s="25"/>
      <c r="J693" s="25"/>
      <c r="K693" s="25"/>
      <c r="L693" s="25"/>
      <c r="N693" s="25"/>
      <c r="O693" s="25"/>
      <c r="P693" s="25"/>
      <c r="Q693" s="25"/>
      <c r="R693" s="25"/>
      <c r="S693" s="25"/>
      <c r="T693" s="25"/>
      <c r="U693" s="25"/>
      <c r="V693" s="25"/>
      <c r="W693" s="25"/>
      <c r="X693" s="25"/>
      <c r="Y693" s="25"/>
    </row>
    <row r="694" spans="9:25" x14ac:dyDescent="0.2">
      <c r="I694" s="25"/>
      <c r="J694" s="25"/>
      <c r="K694" s="25"/>
      <c r="L694" s="25"/>
      <c r="N694" s="25"/>
      <c r="O694" s="25"/>
      <c r="P694" s="25"/>
      <c r="Q694" s="25"/>
      <c r="R694" s="25"/>
      <c r="S694" s="25"/>
      <c r="T694" s="25"/>
      <c r="U694" s="25"/>
      <c r="V694" s="25"/>
      <c r="W694" s="25"/>
      <c r="X694" s="25"/>
      <c r="Y694" s="25"/>
    </row>
    <row r="695" spans="9:25" x14ac:dyDescent="0.2">
      <c r="I695" s="25"/>
      <c r="J695" s="25"/>
      <c r="K695" s="25"/>
      <c r="L695" s="25"/>
      <c r="N695" s="25"/>
      <c r="O695" s="25"/>
      <c r="P695" s="25"/>
      <c r="Q695" s="25"/>
      <c r="R695" s="25"/>
      <c r="S695" s="25"/>
      <c r="T695" s="25"/>
      <c r="U695" s="25"/>
      <c r="V695" s="25"/>
      <c r="W695" s="25"/>
      <c r="X695" s="25"/>
      <c r="Y695" s="25"/>
    </row>
    <row r="696" spans="9:25" x14ac:dyDescent="0.2">
      <c r="I696" s="25"/>
      <c r="J696" s="25"/>
      <c r="K696" s="25"/>
      <c r="L696" s="25"/>
      <c r="N696" s="25"/>
      <c r="O696" s="25"/>
      <c r="P696" s="25"/>
      <c r="Q696" s="25"/>
      <c r="R696" s="25"/>
      <c r="S696" s="25"/>
      <c r="T696" s="25"/>
      <c r="U696" s="25"/>
      <c r="V696" s="25"/>
      <c r="W696" s="25"/>
      <c r="X696" s="25"/>
      <c r="Y696" s="25"/>
    </row>
    <row r="697" spans="9:25" x14ac:dyDescent="0.2">
      <c r="I697" s="25"/>
      <c r="J697" s="25"/>
      <c r="K697" s="25"/>
      <c r="L697" s="25"/>
      <c r="N697" s="25"/>
      <c r="O697" s="25"/>
      <c r="P697" s="25"/>
      <c r="Q697" s="25"/>
      <c r="R697" s="25"/>
      <c r="S697" s="25"/>
      <c r="T697" s="25"/>
      <c r="U697" s="25"/>
      <c r="V697" s="25"/>
      <c r="W697" s="25"/>
      <c r="X697" s="25"/>
      <c r="Y697" s="25"/>
    </row>
    <row r="698" spans="9:25" x14ac:dyDescent="0.2">
      <c r="I698" s="25"/>
      <c r="J698" s="25"/>
      <c r="K698" s="25"/>
      <c r="L698" s="25"/>
      <c r="N698" s="25"/>
      <c r="O698" s="25"/>
      <c r="P698" s="25"/>
      <c r="Q698" s="25"/>
      <c r="R698" s="25"/>
      <c r="S698" s="25"/>
      <c r="T698" s="25"/>
      <c r="U698" s="25"/>
      <c r="V698" s="25"/>
      <c r="W698" s="25"/>
      <c r="X698" s="25"/>
      <c r="Y698" s="25"/>
    </row>
    <row r="699" spans="9:25" x14ac:dyDescent="0.2">
      <c r="I699" s="25"/>
      <c r="J699" s="25"/>
      <c r="K699" s="25"/>
      <c r="L699" s="25"/>
      <c r="N699" s="25"/>
      <c r="O699" s="25"/>
      <c r="P699" s="25"/>
      <c r="Q699" s="25"/>
      <c r="R699" s="25"/>
      <c r="S699" s="25"/>
      <c r="T699" s="25"/>
      <c r="U699" s="25"/>
      <c r="V699" s="25"/>
      <c r="W699" s="25"/>
      <c r="X699" s="25"/>
      <c r="Y699" s="25"/>
    </row>
    <row r="700" spans="9:25" x14ac:dyDescent="0.2">
      <c r="I700" s="25"/>
      <c r="J700" s="25"/>
      <c r="K700" s="25"/>
      <c r="L700" s="25"/>
      <c r="N700" s="25"/>
      <c r="O700" s="25"/>
      <c r="P700" s="25"/>
      <c r="Q700" s="25"/>
      <c r="R700" s="25"/>
      <c r="S700" s="25"/>
      <c r="T700" s="25"/>
      <c r="U700" s="25"/>
      <c r="V700" s="25"/>
      <c r="W700" s="25"/>
      <c r="X700" s="25"/>
      <c r="Y700" s="25"/>
    </row>
    <row r="701" spans="9:25" x14ac:dyDescent="0.2">
      <c r="I701" s="25"/>
      <c r="J701" s="25"/>
      <c r="K701" s="25"/>
      <c r="L701" s="25"/>
      <c r="N701" s="25"/>
      <c r="O701" s="25"/>
      <c r="P701" s="25"/>
      <c r="Q701" s="25"/>
      <c r="R701" s="25"/>
      <c r="S701" s="25"/>
      <c r="T701" s="25"/>
      <c r="U701" s="25"/>
      <c r="V701" s="25"/>
      <c r="W701" s="25"/>
      <c r="X701" s="25"/>
      <c r="Y701" s="25"/>
    </row>
    <row r="702" spans="9:25" x14ac:dyDescent="0.2">
      <c r="I702" s="25"/>
      <c r="J702" s="25"/>
      <c r="K702" s="25"/>
      <c r="L702" s="25"/>
      <c r="N702" s="25"/>
      <c r="O702" s="25"/>
      <c r="P702" s="25"/>
      <c r="Q702" s="25"/>
      <c r="R702" s="25"/>
      <c r="S702" s="25"/>
      <c r="T702" s="25"/>
      <c r="U702" s="25"/>
      <c r="V702" s="25"/>
      <c r="W702" s="25"/>
      <c r="X702" s="25"/>
      <c r="Y702" s="25"/>
    </row>
    <row r="703" spans="9:25" x14ac:dyDescent="0.2">
      <c r="I703" s="25"/>
      <c r="J703" s="25"/>
      <c r="K703" s="25"/>
      <c r="L703" s="25"/>
      <c r="N703" s="25"/>
      <c r="O703" s="25"/>
      <c r="P703" s="25"/>
      <c r="Q703" s="25"/>
      <c r="R703" s="25"/>
      <c r="S703" s="25"/>
      <c r="T703" s="25"/>
      <c r="U703" s="25"/>
      <c r="V703" s="25"/>
      <c r="W703" s="25"/>
      <c r="X703" s="25"/>
      <c r="Y703" s="25"/>
    </row>
    <row r="704" spans="9:25" x14ac:dyDescent="0.2">
      <c r="I704" s="25"/>
      <c r="J704" s="25"/>
      <c r="K704" s="25"/>
      <c r="L704" s="25"/>
      <c r="N704" s="25"/>
      <c r="O704" s="25"/>
      <c r="P704" s="25"/>
      <c r="Q704" s="25"/>
      <c r="R704" s="25"/>
      <c r="S704" s="25"/>
      <c r="T704" s="25"/>
      <c r="U704" s="25"/>
      <c r="V704" s="25"/>
      <c r="W704" s="25"/>
      <c r="X704" s="25"/>
      <c r="Y704" s="25"/>
    </row>
    <row r="705" spans="9:25" x14ac:dyDescent="0.2">
      <c r="I705" s="25"/>
      <c r="J705" s="25"/>
      <c r="K705" s="25"/>
      <c r="L705" s="25"/>
      <c r="N705" s="25"/>
      <c r="O705" s="25"/>
      <c r="P705" s="25"/>
      <c r="Q705" s="25"/>
      <c r="R705" s="25"/>
      <c r="S705" s="25"/>
      <c r="T705" s="25"/>
      <c r="U705" s="25"/>
      <c r="V705" s="25"/>
      <c r="W705" s="25"/>
      <c r="X705" s="25"/>
      <c r="Y705" s="25"/>
    </row>
    <row r="706" spans="9:25" x14ac:dyDescent="0.2">
      <c r="I706" s="25"/>
      <c r="J706" s="25"/>
      <c r="K706" s="25"/>
      <c r="L706" s="25"/>
      <c r="N706" s="25"/>
      <c r="O706" s="25"/>
      <c r="P706" s="25"/>
      <c r="Q706" s="25"/>
      <c r="R706" s="25"/>
      <c r="S706" s="25"/>
      <c r="T706" s="25"/>
      <c r="U706" s="25"/>
      <c r="V706" s="25"/>
      <c r="W706" s="25"/>
      <c r="X706" s="25"/>
      <c r="Y706" s="25"/>
    </row>
    <row r="707" spans="9:25" x14ac:dyDescent="0.2">
      <c r="I707" s="25"/>
      <c r="J707" s="25"/>
      <c r="K707" s="25"/>
      <c r="L707" s="25"/>
      <c r="N707" s="25"/>
      <c r="O707" s="25"/>
      <c r="P707" s="25"/>
      <c r="Q707" s="25"/>
      <c r="R707" s="25"/>
      <c r="S707" s="25"/>
      <c r="T707" s="25"/>
      <c r="U707" s="25"/>
      <c r="V707" s="25"/>
      <c r="W707" s="25"/>
      <c r="X707" s="25"/>
      <c r="Y707" s="25"/>
    </row>
    <row r="708" spans="9:25" x14ac:dyDescent="0.2">
      <c r="I708" s="25"/>
      <c r="J708" s="25"/>
      <c r="K708" s="25"/>
      <c r="L708" s="25"/>
      <c r="N708" s="25"/>
      <c r="O708" s="25"/>
      <c r="P708" s="25"/>
      <c r="Q708" s="25"/>
      <c r="R708" s="25"/>
      <c r="S708" s="25"/>
      <c r="T708" s="25"/>
      <c r="U708" s="25"/>
      <c r="V708" s="25"/>
      <c r="W708" s="25"/>
      <c r="X708" s="25"/>
      <c r="Y708" s="25"/>
    </row>
    <row r="709" spans="9:25" x14ac:dyDescent="0.2">
      <c r="I709" s="25"/>
      <c r="J709" s="25"/>
      <c r="K709" s="25"/>
      <c r="L709" s="25"/>
      <c r="N709" s="25"/>
      <c r="O709" s="25"/>
      <c r="P709" s="25"/>
      <c r="Q709" s="25"/>
      <c r="R709" s="25"/>
      <c r="S709" s="25"/>
      <c r="T709" s="25"/>
      <c r="U709" s="25"/>
      <c r="V709" s="25"/>
      <c r="W709" s="25"/>
      <c r="X709" s="25"/>
      <c r="Y709" s="25"/>
    </row>
    <row r="710" spans="9:25" x14ac:dyDescent="0.2">
      <c r="I710" s="25"/>
      <c r="J710" s="25"/>
      <c r="K710" s="25"/>
      <c r="L710" s="25"/>
      <c r="N710" s="25"/>
      <c r="O710" s="25"/>
      <c r="P710" s="25"/>
      <c r="Q710" s="25"/>
      <c r="R710" s="25"/>
      <c r="S710" s="25"/>
      <c r="T710" s="25"/>
      <c r="U710" s="25"/>
      <c r="V710" s="25"/>
      <c r="W710" s="25"/>
      <c r="X710" s="25"/>
      <c r="Y710" s="25"/>
    </row>
    <row r="711" spans="9:25" x14ac:dyDescent="0.2">
      <c r="I711" s="25"/>
      <c r="J711" s="25"/>
      <c r="K711" s="25"/>
      <c r="L711" s="25"/>
      <c r="N711" s="25"/>
      <c r="O711" s="25"/>
      <c r="P711" s="25"/>
      <c r="Q711" s="25"/>
      <c r="R711" s="25"/>
      <c r="S711" s="25"/>
      <c r="T711" s="25"/>
      <c r="U711" s="25"/>
      <c r="V711" s="25"/>
      <c r="W711" s="25"/>
      <c r="X711" s="25"/>
      <c r="Y711" s="25"/>
    </row>
    <row r="712" spans="9:25" x14ac:dyDescent="0.2">
      <c r="I712" s="25"/>
      <c r="J712" s="25"/>
      <c r="K712" s="25"/>
      <c r="L712" s="25"/>
      <c r="N712" s="25"/>
      <c r="O712" s="25"/>
      <c r="P712" s="25"/>
      <c r="Q712" s="25"/>
      <c r="R712" s="25"/>
      <c r="S712" s="25"/>
      <c r="T712" s="25"/>
      <c r="U712" s="25"/>
      <c r="V712" s="25"/>
      <c r="W712" s="25"/>
      <c r="X712" s="25"/>
      <c r="Y712" s="25"/>
    </row>
    <row r="713" spans="9:25" x14ac:dyDescent="0.2">
      <c r="I713" s="25"/>
      <c r="J713" s="25"/>
      <c r="K713" s="25"/>
      <c r="L713" s="25"/>
      <c r="N713" s="25"/>
      <c r="O713" s="25"/>
      <c r="P713" s="25"/>
      <c r="Q713" s="25"/>
      <c r="R713" s="25"/>
      <c r="S713" s="25"/>
      <c r="T713" s="25"/>
      <c r="U713" s="25"/>
      <c r="V713" s="25"/>
      <c r="W713" s="25"/>
      <c r="X713" s="25"/>
      <c r="Y713" s="25"/>
    </row>
    <row r="714" spans="9:25" x14ac:dyDescent="0.2">
      <c r="I714" s="25"/>
      <c r="J714" s="25"/>
      <c r="K714" s="25"/>
      <c r="L714" s="25"/>
      <c r="N714" s="25"/>
      <c r="O714" s="25"/>
      <c r="P714" s="25"/>
      <c r="Q714" s="25"/>
      <c r="R714" s="25"/>
      <c r="S714" s="25"/>
      <c r="T714" s="25"/>
      <c r="U714" s="25"/>
      <c r="V714" s="25"/>
      <c r="W714" s="25"/>
      <c r="X714" s="25"/>
      <c r="Y714" s="25"/>
    </row>
    <row r="715" spans="9:25" x14ac:dyDescent="0.2">
      <c r="I715" s="25"/>
      <c r="J715" s="25"/>
      <c r="K715" s="25"/>
      <c r="L715" s="25"/>
      <c r="N715" s="25"/>
      <c r="O715" s="25"/>
      <c r="P715" s="25"/>
      <c r="Q715" s="25"/>
      <c r="R715" s="25"/>
      <c r="S715" s="25"/>
      <c r="T715" s="25"/>
      <c r="U715" s="25"/>
      <c r="V715" s="25"/>
      <c r="W715" s="25"/>
      <c r="X715" s="25"/>
      <c r="Y715" s="25"/>
    </row>
    <row r="716" spans="9:25" x14ac:dyDescent="0.2">
      <c r="I716" s="25"/>
      <c r="J716" s="25"/>
      <c r="K716" s="25"/>
      <c r="L716" s="25"/>
      <c r="N716" s="25"/>
      <c r="O716" s="25"/>
      <c r="P716" s="25"/>
      <c r="Q716" s="25"/>
      <c r="R716" s="25"/>
      <c r="S716" s="25"/>
      <c r="T716" s="25"/>
      <c r="U716" s="25"/>
      <c r="V716" s="25"/>
      <c r="W716" s="25"/>
      <c r="X716" s="25"/>
      <c r="Y716" s="25"/>
    </row>
    <row r="717" spans="9:25" x14ac:dyDescent="0.2">
      <c r="I717" s="25"/>
      <c r="J717" s="25"/>
      <c r="K717" s="25"/>
      <c r="L717" s="25"/>
      <c r="N717" s="25"/>
      <c r="O717" s="25"/>
      <c r="P717" s="25"/>
      <c r="Q717" s="25"/>
      <c r="R717" s="25"/>
      <c r="S717" s="25"/>
      <c r="T717" s="25"/>
      <c r="U717" s="25"/>
      <c r="V717" s="25"/>
      <c r="W717" s="25"/>
      <c r="X717" s="25"/>
      <c r="Y717" s="25"/>
    </row>
    <row r="718" spans="9:25" x14ac:dyDescent="0.2">
      <c r="I718" s="25"/>
      <c r="J718" s="25"/>
      <c r="K718" s="25"/>
      <c r="L718" s="25"/>
      <c r="N718" s="25"/>
      <c r="O718" s="25"/>
      <c r="P718" s="25"/>
      <c r="Q718" s="25"/>
      <c r="R718" s="25"/>
      <c r="S718" s="25"/>
      <c r="T718" s="25"/>
      <c r="U718" s="25"/>
      <c r="V718" s="25"/>
      <c r="W718" s="25"/>
      <c r="X718" s="25"/>
      <c r="Y718" s="25"/>
    </row>
    <row r="719" spans="9:25" x14ac:dyDescent="0.2">
      <c r="I719" s="25"/>
      <c r="J719" s="25"/>
      <c r="K719" s="25"/>
      <c r="L719" s="25"/>
      <c r="N719" s="25"/>
      <c r="O719" s="25"/>
      <c r="P719" s="25"/>
      <c r="Q719" s="25"/>
      <c r="R719" s="25"/>
      <c r="S719" s="25"/>
      <c r="T719" s="25"/>
      <c r="U719" s="25"/>
      <c r="V719" s="25"/>
      <c r="W719" s="25"/>
      <c r="X719" s="25"/>
      <c r="Y719" s="25"/>
    </row>
    <row r="720" spans="9:25" x14ac:dyDescent="0.2">
      <c r="I720" s="25"/>
      <c r="J720" s="25"/>
      <c r="K720" s="25"/>
      <c r="L720" s="25"/>
      <c r="N720" s="25"/>
      <c r="O720" s="25"/>
      <c r="P720" s="25"/>
      <c r="Q720" s="25"/>
      <c r="R720" s="25"/>
      <c r="S720" s="25"/>
      <c r="T720" s="25"/>
      <c r="U720" s="25"/>
      <c r="V720" s="25"/>
      <c r="W720" s="25"/>
      <c r="X720" s="25"/>
      <c r="Y720" s="25"/>
    </row>
    <row r="721" spans="9:25" x14ac:dyDescent="0.2">
      <c r="I721" s="25"/>
      <c r="J721" s="25"/>
      <c r="K721" s="25"/>
      <c r="L721" s="25"/>
      <c r="N721" s="25"/>
      <c r="O721" s="25"/>
      <c r="P721" s="25"/>
      <c r="Q721" s="25"/>
      <c r="R721" s="25"/>
      <c r="S721" s="25"/>
      <c r="T721" s="25"/>
      <c r="U721" s="25"/>
      <c r="V721" s="25"/>
      <c r="W721" s="25"/>
      <c r="X721" s="25"/>
      <c r="Y721" s="25"/>
    </row>
    <row r="722" spans="9:25" x14ac:dyDescent="0.2">
      <c r="I722" s="25"/>
      <c r="J722" s="25"/>
      <c r="K722" s="25"/>
      <c r="L722" s="25"/>
      <c r="N722" s="25"/>
      <c r="O722" s="25"/>
      <c r="P722" s="25"/>
      <c r="Q722" s="25"/>
      <c r="R722" s="25"/>
      <c r="S722" s="25"/>
      <c r="T722" s="25"/>
      <c r="U722" s="25"/>
      <c r="V722" s="25"/>
      <c r="W722" s="25"/>
      <c r="X722" s="25"/>
      <c r="Y722" s="25"/>
    </row>
    <row r="723" spans="9:25" x14ac:dyDescent="0.2">
      <c r="I723" s="25"/>
      <c r="J723" s="25"/>
      <c r="K723" s="25"/>
      <c r="L723" s="25"/>
      <c r="N723" s="25"/>
      <c r="O723" s="25"/>
      <c r="P723" s="25"/>
      <c r="Q723" s="25"/>
      <c r="R723" s="25"/>
      <c r="S723" s="25"/>
      <c r="T723" s="25"/>
      <c r="U723" s="25"/>
      <c r="V723" s="25"/>
      <c r="W723" s="25"/>
      <c r="X723" s="25"/>
      <c r="Y723" s="25"/>
    </row>
    <row r="724" spans="9:25" x14ac:dyDescent="0.2">
      <c r="I724" s="25"/>
      <c r="J724" s="25"/>
      <c r="K724" s="25"/>
      <c r="L724" s="25"/>
      <c r="N724" s="25"/>
      <c r="O724" s="25"/>
      <c r="P724" s="25"/>
      <c r="Q724" s="25"/>
      <c r="R724" s="25"/>
      <c r="S724" s="25"/>
      <c r="T724" s="25"/>
      <c r="U724" s="25"/>
      <c r="V724" s="25"/>
      <c r="W724" s="25"/>
      <c r="X724" s="25"/>
      <c r="Y724" s="25"/>
    </row>
    <row r="725" spans="9:25" x14ac:dyDescent="0.2">
      <c r="I725" s="25"/>
      <c r="J725" s="25"/>
      <c r="K725" s="25"/>
      <c r="L725" s="25"/>
      <c r="N725" s="25"/>
      <c r="O725" s="25"/>
      <c r="P725" s="25"/>
      <c r="Q725" s="25"/>
      <c r="R725" s="25"/>
      <c r="S725" s="25"/>
      <c r="T725" s="25"/>
      <c r="U725" s="25"/>
      <c r="V725" s="25"/>
      <c r="W725" s="25"/>
      <c r="X725" s="25"/>
      <c r="Y725" s="25"/>
    </row>
    <row r="726" spans="9:25" x14ac:dyDescent="0.2">
      <c r="I726" s="25"/>
      <c r="J726" s="25"/>
      <c r="K726" s="25"/>
      <c r="L726" s="25"/>
      <c r="N726" s="25"/>
      <c r="O726" s="25"/>
      <c r="P726" s="25"/>
      <c r="Q726" s="25"/>
      <c r="R726" s="25"/>
      <c r="S726" s="25"/>
      <c r="T726" s="25"/>
      <c r="U726" s="25"/>
      <c r="V726" s="25"/>
      <c r="W726" s="25"/>
      <c r="X726" s="25"/>
      <c r="Y726" s="25"/>
    </row>
    <row r="727" spans="9:25" x14ac:dyDescent="0.2">
      <c r="I727" s="25"/>
      <c r="J727" s="25"/>
      <c r="K727" s="25"/>
      <c r="L727" s="25"/>
      <c r="N727" s="25"/>
      <c r="O727" s="25"/>
      <c r="P727" s="25"/>
      <c r="Q727" s="25"/>
      <c r="R727" s="25"/>
      <c r="S727" s="25"/>
      <c r="T727" s="25"/>
      <c r="U727" s="25"/>
      <c r="V727" s="25"/>
      <c r="W727" s="25"/>
      <c r="X727" s="25"/>
      <c r="Y727" s="25"/>
    </row>
    <row r="728" spans="9:25" x14ac:dyDescent="0.2">
      <c r="I728" s="25"/>
      <c r="J728" s="25"/>
      <c r="K728" s="25"/>
      <c r="L728" s="25"/>
      <c r="N728" s="25"/>
      <c r="O728" s="25"/>
      <c r="P728" s="25"/>
      <c r="Q728" s="25"/>
      <c r="R728" s="25"/>
      <c r="S728" s="25"/>
      <c r="T728" s="25"/>
      <c r="U728" s="25"/>
      <c r="V728" s="25"/>
      <c r="W728" s="25"/>
      <c r="X728" s="25"/>
      <c r="Y728" s="25"/>
    </row>
    <row r="729" spans="9:25" x14ac:dyDescent="0.2">
      <c r="I729" s="25"/>
      <c r="J729" s="25"/>
      <c r="K729" s="25"/>
      <c r="L729" s="25"/>
      <c r="N729" s="25"/>
      <c r="O729" s="25"/>
      <c r="P729" s="25"/>
      <c r="Q729" s="25"/>
      <c r="R729" s="25"/>
      <c r="S729" s="25"/>
      <c r="T729" s="25"/>
      <c r="U729" s="25"/>
      <c r="V729" s="25"/>
      <c r="W729" s="25"/>
      <c r="X729" s="25"/>
      <c r="Y729" s="25"/>
    </row>
    <row r="730" spans="9:25" x14ac:dyDescent="0.2">
      <c r="I730" s="25"/>
      <c r="J730" s="25"/>
      <c r="K730" s="25"/>
      <c r="L730" s="25"/>
      <c r="N730" s="25"/>
      <c r="O730" s="25"/>
      <c r="P730" s="25"/>
      <c r="Q730" s="25"/>
      <c r="R730" s="25"/>
      <c r="S730" s="25"/>
      <c r="T730" s="25"/>
      <c r="U730" s="25"/>
      <c r="V730" s="25"/>
      <c r="W730" s="25"/>
      <c r="X730" s="25"/>
      <c r="Y730" s="25"/>
    </row>
    <row r="731" spans="9:25" x14ac:dyDescent="0.2">
      <c r="I731" s="25"/>
      <c r="J731" s="25"/>
      <c r="K731" s="25"/>
      <c r="L731" s="25"/>
      <c r="N731" s="25"/>
      <c r="O731" s="25"/>
      <c r="P731" s="25"/>
      <c r="Q731" s="25"/>
      <c r="R731" s="25"/>
      <c r="S731" s="25"/>
      <c r="T731" s="25"/>
      <c r="U731" s="25"/>
      <c r="V731" s="25"/>
      <c r="W731" s="25"/>
      <c r="X731" s="25"/>
      <c r="Y731" s="25"/>
    </row>
    <row r="732" spans="9:25" x14ac:dyDescent="0.2">
      <c r="I732" s="25"/>
      <c r="J732" s="25"/>
      <c r="K732" s="25"/>
      <c r="L732" s="25"/>
      <c r="N732" s="25"/>
      <c r="O732" s="25"/>
      <c r="P732" s="25"/>
      <c r="Q732" s="25"/>
      <c r="R732" s="25"/>
      <c r="S732" s="25"/>
      <c r="T732" s="25"/>
      <c r="U732" s="25"/>
      <c r="V732" s="25"/>
      <c r="W732" s="25"/>
      <c r="X732" s="25"/>
      <c r="Y732" s="25"/>
    </row>
    <row r="733" spans="9:25" x14ac:dyDescent="0.2">
      <c r="I733" s="25"/>
      <c r="J733" s="25"/>
      <c r="K733" s="25"/>
      <c r="L733" s="25"/>
      <c r="N733" s="25"/>
      <c r="O733" s="25"/>
      <c r="P733" s="25"/>
      <c r="Q733" s="25"/>
      <c r="R733" s="25"/>
      <c r="S733" s="25"/>
      <c r="T733" s="25"/>
      <c r="U733" s="25"/>
      <c r="V733" s="25"/>
      <c r="W733" s="25"/>
      <c r="X733" s="25"/>
      <c r="Y733" s="25"/>
    </row>
    <row r="734" spans="9:25" x14ac:dyDescent="0.2">
      <c r="I734" s="25"/>
      <c r="J734" s="25"/>
      <c r="K734" s="25"/>
      <c r="L734" s="25"/>
      <c r="N734" s="25"/>
      <c r="O734" s="25"/>
      <c r="P734" s="25"/>
      <c r="Q734" s="25"/>
      <c r="R734" s="25"/>
      <c r="S734" s="25"/>
      <c r="T734" s="25"/>
      <c r="U734" s="25"/>
      <c r="V734" s="25"/>
      <c r="W734" s="25"/>
      <c r="X734" s="25"/>
      <c r="Y734" s="25"/>
    </row>
    <row r="735" spans="9:25" x14ac:dyDescent="0.2">
      <c r="I735" s="25"/>
      <c r="J735" s="25"/>
      <c r="K735" s="25"/>
      <c r="L735" s="25"/>
      <c r="N735" s="25"/>
      <c r="O735" s="25"/>
      <c r="P735" s="25"/>
      <c r="Q735" s="25"/>
      <c r="R735" s="25"/>
      <c r="S735" s="25"/>
      <c r="T735" s="25"/>
      <c r="U735" s="25"/>
      <c r="V735" s="25"/>
      <c r="W735" s="25"/>
      <c r="X735" s="25"/>
      <c r="Y735" s="25"/>
    </row>
    <row r="736" spans="9:25" x14ac:dyDescent="0.2">
      <c r="I736" s="25"/>
      <c r="J736" s="25"/>
      <c r="K736" s="25"/>
      <c r="L736" s="25"/>
      <c r="N736" s="25"/>
      <c r="O736" s="25"/>
      <c r="P736" s="25"/>
      <c r="Q736" s="25"/>
      <c r="R736" s="25"/>
      <c r="S736" s="25"/>
      <c r="T736" s="25"/>
      <c r="U736" s="25"/>
      <c r="V736" s="25"/>
      <c r="W736" s="25"/>
      <c r="X736" s="25"/>
      <c r="Y736" s="25"/>
    </row>
    <row r="737" spans="9:25" x14ac:dyDescent="0.2">
      <c r="I737" s="25"/>
      <c r="J737" s="25"/>
      <c r="K737" s="25"/>
      <c r="L737" s="25"/>
      <c r="N737" s="25"/>
      <c r="O737" s="25"/>
      <c r="P737" s="25"/>
      <c r="Q737" s="25"/>
      <c r="R737" s="25"/>
      <c r="S737" s="25"/>
      <c r="T737" s="25"/>
      <c r="U737" s="25"/>
      <c r="V737" s="25"/>
      <c r="W737" s="25"/>
      <c r="X737" s="25"/>
      <c r="Y737" s="25"/>
    </row>
    <row r="738" spans="9:25" x14ac:dyDescent="0.2">
      <c r="I738" s="25"/>
      <c r="J738" s="25"/>
      <c r="K738" s="25"/>
      <c r="L738" s="25"/>
      <c r="N738" s="25"/>
      <c r="O738" s="25"/>
      <c r="P738" s="25"/>
      <c r="Q738" s="25"/>
      <c r="R738" s="25"/>
      <c r="S738" s="25"/>
      <c r="T738" s="25"/>
      <c r="U738" s="25"/>
      <c r="V738" s="25"/>
      <c r="W738" s="25"/>
      <c r="X738" s="25"/>
      <c r="Y738" s="25"/>
    </row>
    <row r="739" spans="9:25" x14ac:dyDescent="0.2">
      <c r="I739" s="25"/>
      <c r="J739" s="25"/>
      <c r="K739" s="25"/>
      <c r="L739" s="25"/>
      <c r="N739" s="25"/>
      <c r="O739" s="25"/>
      <c r="P739" s="25"/>
      <c r="Q739" s="25"/>
      <c r="R739" s="25"/>
      <c r="S739" s="25"/>
      <c r="T739" s="25"/>
      <c r="U739" s="25"/>
      <c r="V739" s="25"/>
      <c r="W739" s="25"/>
      <c r="X739" s="25"/>
      <c r="Y739" s="25"/>
    </row>
    <row r="740" spans="9:25" x14ac:dyDescent="0.2">
      <c r="I740" s="25"/>
      <c r="J740" s="25"/>
      <c r="K740" s="25"/>
      <c r="L740" s="25"/>
      <c r="N740" s="25"/>
      <c r="O740" s="25"/>
      <c r="P740" s="25"/>
      <c r="Q740" s="25"/>
      <c r="R740" s="25"/>
      <c r="S740" s="25"/>
      <c r="T740" s="25"/>
      <c r="U740" s="25"/>
      <c r="V740" s="25"/>
      <c r="W740" s="25"/>
      <c r="X740" s="25"/>
      <c r="Y740" s="25"/>
    </row>
    <row r="741" spans="9:25" x14ac:dyDescent="0.2">
      <c r="I741" s="25"/>
      <c r="J741" s="25"/>
      <c r="K741" s="25"/>
      <c r="L741" s="25"/>
      <c r="N741" s="25"/>
      <c r="O741" s="25"/>
      <c r="P741" s="25"/>
      <c r="Q741" s="25"/>
      <c r="R741" s="25"/>
      <c r="S741" s="25"/>
      <c r="T741" s="25"/>
      <c r="U741" s="25"/>
      <c r="V741" s="25"/>
      <c r="W741" s="25"/>
      <c r="X741" s="25"/>
      <c r="Y741" s="25"/>
    </row>
    <row r="742" spans="9:25" x14ac:dyDescent="0.2">
      <c r="I742" s="25"/>
      <c r="J742" s="25"/>
      <c r="K742" s="25"/>
      <c r="L742" s="25"/>
      <c r="N742" s="25"/>
      <c r="O742" s="25"/>
      <c r="P742" s="25"/>
      <c r="Q742" s="25"/>
      <c r="R742" s="25"/>
      <c r="S742" s="25"/>
      <c r="T742" s="25"/>
      <c r="U742" s="25"/>
      <c r="V742" s="25"/>
      <c r="W742" s="25"/>
      <c r="X742" s="25"/>
      <c r="Y742" s="25"/>
    </row>
    <row r="743" spans="9:25" x14ac:dyDescent="0.2">
      <c r="I743" s="25"/>
      <c r="J743" s="25"/>
      <c r="K743" s="25"/>
      <c r="L743" s="25"/>
      <c r="N743" s="25"/>
      <c r="O743" s="25"/>
      <c r="P743" s="25"/>
      <c r="Q743" s="25"/>
      <c r="R743" s="25"/>
      <c r="S743" s="25"/>
      <c r="T743" s="25"/>
      <c r="U743" s="25"/>
      <c r="V743" s="25"/>
      <c r="W743" s="25"/>
      <c r="X743" s="25"/>
      <c r="Y743" s="25"/>
    </row>
    <row r="744" spans="9:25" x14ac:dyDescent="0.2">
      <c r="I744" s="25"/>
      <c r="J744" s="25"/>
      <c r="K744" s="25"/>
      <c r="L744" s="25"/>
      <c r="N744" s="25"/>
      <c r="O744" s="25"/>
      <c r="P744" s="25"/>
      <c r="Q744" s="25"/>
      <c r="R744" s="25"/>
      <c r="S744" s="25"/>
      <c r="T744" s="25"/>
      <c r="U744" s="25"/>
      <c r="V744" s="25"/>
      <c r="W744" s="25"/>
      <c r="X744" s="25"/>
      <c r="Y744" s="25"/>
    </row>
    <row r="745" spans="9:25" x14ac:dyDescent="0.2">
      <c r="I745" s="25"/>
      <c r="J745" s="25"/>
      <c r="K745" s="25"/>
      <c r="L745" s="25"/>
      <c r="N745" s="25"/>
      <c r="O745" s="25"/>
      <c r="P745" s="25"/>
      <c r="Q745" s="25"/>
      <c r="R745" s="25"/>
      <c r="S745" s="25"/>
      <c r="T745" s="25"/>
      <c r="U745" s="25"/>
      <c r="V745" s="25"/>
      <c r="W745" s="25"/>
      <c r="X745" s="25"/>
      <c r="Y745" s="25"/>
    </row>
    <row r="746" spans="9:25" x14ac:dyDescent="0.2">
      <c r="I746" s="25"/>
      <c r="J746" s="25"/>
      <c r="K746" s="25"/>
      <c r="L746" s="25"/>
      <c r="N746" s="25"/>
      <c r="O746" s="25"/>
      <c r="P746" s="25"/>
      <c r="Q746" s="25"/>
      <c r="R746" s="25"/>
      <c r="S746" s="25"/>
      <c r="T746" s="25"/>
      <c r="U746" s="25"/>
      <c r="V746" s="25"/>
      <c r="W746" s="25"/>
      <c r="X746" s="25"/>
      <c r="Y746" s="25"/>
    </row>
    <row r="747" spans="9:25" x14ac:dyDescent="0.2">
      <c r="I747" s="25"/>
      <c r="J747" s="25"/>
      <c r="K747" s="25"/>
      <c r="L747" s="25"/>
      <c r="N747" s="25"/>
      <c r="O747" s="25"/>
      <c r="P747" s="25"/>
      <c r="Q747" s="25"/>
      <c r="R747" s="25"/>
      <c r="S747" s="25"/>
      <c r="T747" s="25"/>
      <c r="U747" s="25"/>
      <c r="V747" s="25"/>
      <c r="W747" s="25"/>
      <c r="X747" s="25"/>
      <c r="Y747" s="25"/>
    </row>
    <row r="748" spans="9:25" x14ac:dyDescent="0.2">
      <c r="I748" s="25"/>
      <c r="J748" s="25"/>
      <c r="K748" s="25"/>
      <c r="L748" s="25"/>
      <c r="N748" s="25"/>
      <c r="O748" s="25"/>
      <c r="P748" s="25"/>
      <c r="Q748" s="25"/>
      <c r="R748" s="25"/>
      <c r="S748" s="25"/>
      <c r="T748" s="25"/>
      <c r="U748" s="25"/>
      <c r="V748" s="25"/>
      <c r="W748" s="25"/>
      <c r="X748" s="25"/>
      <c r="Y748" s="25"/>
    </row>
    <row r="749" spans="9:25" x14ac:dyDescent="0.2">
      <c r="I749" s="25"/>
      <c r="J749" s="25"/>
      <c r="K749" s="25"/>
      <c r="L749" s="25"/>
      <c r="N749" s="25"/>
      <c r="O749" s="25"/>
      <c r="P749" s="25"/>
      <c r="Q749" s="25"/>
      <c r="R749" s="25"/>
      <c r="S749" s="25"/>
      <c r="T749" s="25"/>
      <c r="U749" s="25"/>
      <c r="V749" s="25"/>
      <c r="W749" s="25"/>
      <c r="X749" s="25"/>
      <c r="Y749" s="25"/>
    </row>
    <row r="750" spans="9:25" x14ac:dyDescent="0.2">
      <c r="I750" s="25"/>
      <c r="J750" s="25"/>
      <c r="K750" s="25"/>
      <c r="L750" s="25"/>
      <c r="N750" s="25"/>
      <c r="O750" s="25"/>
      <c r="P750" s="25"/>
      <c r="Q750" s="25"/>
      <c r="R750" s="25"/>
      <c r="S750" s="25"/>
      <c r="T750" s="25"/>
      <c r="U750" s="25"/>
      <c r="V750" s="25"/>
      <c r="W750" s="25"/>
      <c r="X750" s="25"/>
      <c r="Y750" s="25"/>
    </row>
    <row r="751" spans="9:25" x14ac:dyDescent="0.2">
      <c r="I751" s="25"/>
      <c r="J751" s="25"/>
      <c r="K751" s="25"/>
      <c r="L751" s="25"/>
      <c r="N751" s="25"/>
      <c r="O751" s="25"/>
      <c r="P751" s="25"/>
      <c r="Q751" s="25"/>
      <c r="R751" s="25"/>
      <c r="S751" s="25"/>
      <c r="T751" s="25"/>
      <c r="U751" s="25"/>
      <c r="V751" s="25"/>
      <c r="W751" s="25"/>
      <c r="X751" s="25"/>
      <c r="Y751" s="25"/>
    </row>
    <row r="752" spans="9:25" x14ac:dyDescent="0.2">
      <c r="I752" s="25"/>
      <c r="J752" s="25"/>
      <c r="K752" s="25"/>
      <c r="L752" s="25"/>
      <c r="N752" s="25"/>
      <c r="O752" s="25"/>
      <c r="P752" s="25"/>
      <c r="Q752" s="25"/>
      <c r="R752" s="25"/>
      <c r="S752" s="25"/>
      <c r="T752" s="25"/>
      <c r="U752" s="25"/>
      <c r="V752" s="25"/>
      <c r="W752" s="25"/>
      <c r="X752" s="25"/>
      <c r="Y752" s="25"/>
    </row>
    <row r="753" spans="9:25" x14ac:dyDescent="0.2">
      <c r="I753" s="25"/>
      <c r="J753" s="25"/>
      <c r="K753" s="25"/>
      <c r="L753" s="25"/>
      <c r="N753" s="25"/>
      <c r="O753" s="25"/>
      <c r="P753" s="25"/>
      <c r="Q753" s="25"/>
      <c r="R753" s="25"/>
      <c r="S753" s="25"/>
      <c r="T753" s="25"/>
      <c r="U753" s="25"/>
      <c r="V753" s="25"/>
      <c r="W753" s="25"/>
      <c r="X753" s="25"/>
      <c r="Y753" s="25"/>
    </row>
    <row r="754" spans="9:25" x14ac:dyDescent="0.2">
      <c r="I754" s="25"/>
      <c r="J754" s="25"/>
      <c r="K754" s="25"/>
      <c r="L754" s="25"/>
      <c r="N754" s="25"/>
      <c r="O754" s="25"/>
      <c r="P754" s="25"/>
      <c r="Q754" s="25"/>
      <c r="R754" s="25"/>
      <c r="S754" s="25"/>
      <c r="T754" s="25"/>
      <c r="U754" s="25"/>
      <c r="V754" s="25"/>
      <c r="W754" s="25"/>
      <c r="X754" s="25"/>
      <c r="Y754" s="25"/>
    </row>
    <row r="755" spans="9:25" x14ac:dyDescent="0.2">
      <c r="I755" s="25"/>
      <c r="J755" s="25"/>
      <c r="K755" s="25"/>
      <c r="L755" s="25"/>
      <c r="N755" s="25"/>
      <c r="O755" s="25"/>
      <c r="P755" s="25"/>
      <c r="Q755" s="25"/>
      <c r="R755" s="25"/>
      <c r="S755" s="25"/>
      <c r="T755" s="25"/>
      <c r="U755" s="25"/>
      <c r="V755" s="25"/>
      <c r="W755" s="25"/>
      <c r="X755" s="25"/>
      <c r="Y755" s="25"/>
    </row>
    <row r="756" spans="9:25" x14ac:dyDescent="0.2">
      <c r="I756" s="25"/>
      <c r="J756" s="25"/>
      <c r="K756" s="25"/>
      <c r="L756" s="25"/>
      <c r="N756" s="25"/>
      <c r="O756" s="25"/>
      <c r="P756" s="25"/>
      <c r="Q756" s="25"/>
      <c r="R756" s="25"/>
      <c r="S756" s="25"/>
      <c r="T756" s="25"/>
      <c r="U756" s="25"/>
      <c r="V756" s="25"/>
      <c r="W756" s="25"/>
      <c r="X756" s="25"/>
      <c r="Y756" s="25"/>
    </row>
    <row r="757" spans="9:25" x14ac:dyDescent="0.2">
      <c r="I757" s="25"/>
      <c r="J757" s="25"/>
      <c r="K757" s="25"/>
      <c r="L757" s="25"/>
      <c r="N757" s="25"/>
      <c r="O757" s="25"/>
      <c r="P757" s="25"/>
      <c r="Q757" s="25"/>
      <c r="R757" s="25"/>
      <c r="S757" s="25"/>
      <c r="T757" s="25"/>
      <c r="U757" s="25"/>
      <c r="V757" s="25"/>
      <c r="W757" s="25"/>
      <c r="X757" s="25"/>
      <c r="Y757" s="25"/>
    </row>
    <row r="758" spans="9:25" x14ac:dyDescent="0.2">
      <c r="I758" s="25"/>
      <c r="J758" s="25"/>
      <c r="K758" s="25"/>
      <c r="L758" s="25"/>
      <c r="N758" s="25"/>
      <c r="O758" s="25"/>
      <c r="P758" s="25"/>
      <c r="Q758" s="25"/>
      <c r="R758" s="25"/>
      <c r="S758" s="25"/>
      <c r="T758" s="25"/>
      <c r="U758" s="25"/>
      <c r="V758" s="25"/>
      <c r="W758" s="25"/>
      <c r="X758" s="25"/>
      <c r="Y758" s="25"/>
    </row>
    <row r="759" spans="9:25" x14ac:dyDescent="0.2">
      <c r="I759" s="25"/>
      <c r="J759" s="25"/>
      <c r="K759" s="25"/>
      <c r="L759" s="25"/>
      <c r="N759" s="25"/>
      <c r="O759" s="25"/>
      <c r="P759" s="25"/>
      <c r="Q759" s="25"/>
      <c r="R759" s="25"/>
      <c r="S759" s="25"/>
      <c r="T759" s="25"/>
      <c r="U759" s="25"/>
      <c r="V759" s="25"/>
      <c r="W759" s="25"/>
      <c r="X759" s="25"/>
      <c r="Y759" s="25"/>
    </row>
    <row r="760" spans="9:25" x14ac:dyDescent="0.2">
      <c r="I760" s="25"/>
      <c r="J760" s="25"/>
      <c r="K760" s="25"/>
      <c r="L760" s="25"/>
      <c r="N760" s="25"/>
      <c r="O760" s="25"/>
      <c r="P760" s="25"/>
      <c r="Q760" s="25"/>
      <c r="R760" s="25"/>
      <c r="S760" s="25"/>
      <c r="T760" s="25"/>
      <c r="U760" s="25"/>
      <c r="V760" s="25"/>
      <c r="W760" s="25"/>
      <c r="X760" s="25"/>
      <c r="Y760" s="25"/>
    </row>
    <row r="761" spans="9:25" x14ac:dyDescent="0.2">
      <c r="I761" s="25"/>
      <c r="J761" s="25"/>
      <c r="K761" s="25"/>
      <c r="L761" s="25"/>
      <c r="N761" s="25"/>
      <c r="O761" s="25"/>
      <c r="P761" s="25"/>
      <c r="Q761" s="25"/>
      <c r="R761" s="25"/>
      <c r="S761" s="25"/>
      <c r="T761" s="25"/>
      <c r="U761" s="25"/>
      <c r="V761" s="25"/>
      <c r="W761" s="25"/>
      <c r="X761" s="25"/>
      <c r="Y761" s="25"/>
    </row>
    <row r="762" spans="9:25" x14ac:dyDescent="0.2">
      <c r="I762" s="25"/>
      <c r="J762" s="25"/>
      <c r="K762" s="25"/>
      <c r="L762" s="25"/>
      <c r="N762" s="25"/>
      <c r="O762" s="25"/>
      <c r="P762" s="25"/>
      <c r="Q762" s="25"/>
      <c r="R762" s="25"/>
      <c r="S762" s="25"/>
      <c r="T762" s="25"/>
      <c r="U762" s="25"/>
      <c r="V762" s="25"/>
      <c r="W762" s="25"/>
      <c r="X762" s="25"/>
      <c r="Y762" s="25"/>
    </row>
    <row r="763" spans="9:25" x14ac:dyDescent="0.2">
      <c r="I763" s="25"/>
      <c r="J763" s="25"/>
      <c r="K763" s="25"/>
      <c r="L763" s="25"/>
      <c r="N763" s="25"/>
      <c r="O763" s="25"/>
      <c r="P763" s="25"/>
      <c r="Q763" s="25"/>
      <c r="R763" s="25"/>
      <c r="S763" s="25"/>
      <c r="T763" s="25"/>
      <c r="U763" s="25"/>
      <c r="V763" s="25"/>
      <c r="W763" s="25"/>
      <c r="X763" s="25"/>
      <c r="Y763" s="25"/>
    </row>
    <row r="764" spans="9:25" x14ac:dyDescent="0.2">
      <c r="I764" s="25"/>
      <c r="J764" s="25"/>
      <c r="K764" s="25"/>
      <c r="L764" s="25"/>
      <c r="N764" s="25"/>
      <c r="O764" s="25"/>
      <c r="P764" s="25"/>
      <c r="Q764" s="25"/>
      <c r="R764" s="25"/>
      <c r="S764" s="25"/>
      <c r="T764" s="25"/>
      <c r="U764" s="25"/>
      <c r="V764" s="25"/>
      <c r="W764" s="25"/>
      <c r="X764" s="25"/>
      <c r="Y764" s="25"/>
    </row>
    <row r="765" spans="9:25" x14ac:dyDescent="0.2">
      <c r="I765" s="25"/>
      <c r="J765" s="25"/>
      <c r="K765" s="25"/>
      <c r="L765" s="25"/>
      <c r="N765" s="25"/>
      <c r="O765" s="25"/>
      <c r="P765" s="25"/>
      <c r="Q765" s="25"/>
      <c r="R765" s="25"/>
      <c r="S765" s="25"/>
      <c r="T765" s="25"/>
      <c r="U765" s="25"/>
      <c r="V765" s="25"/>
      <c r="W765" s="25"/>
      <c r="X765" s="25"/>
      <c r="Y765" s="25"/>
    </row>
    <row r="766" spans="9:25" x14ac:dyDescent="0.2">
      <c r="I766" s="25"/>
      <c r="J766" s="25"/>
      <c r="K766" s="25"/>
      <c r="L766" s="25"/>
      <c r="N766" s="25"/>
      <c r="O766" s="25"/>
      <c r="P766" s="25"/>
      <c r="Q766" s="25"/>
      <c r="R766" s="25"/>
      <c r="S766" s="25"/>
      <c r="T766" s="25"/>
      <c r="U766" s="25"/>
      <c r="V766" s="25"/>
      <c r="W766" s="25"/>
      <c r="X766" s="25"/>
      <c r="Y766" s="25"/>
    </row>
    <row r="767" spans="9:25" x14ac:dyDescent="0.2">
      <c r="I767" s="25"/>
      <c r="J767" s="25"/>
      <c r="K767" s="25"/>
      <c r="L767" s="25"/>
      <c r="N767" s="25"/>
      <c r="O767" s="25"/>
      <c r="P767" s="25"/>
      <c r="Q767" s="25"/>
      <c r="R767" s="25"/>
      <c r="S767" s="25"/>
      <c r="T767" s="25"/>
      <c r="U767" s="25"/>
      <c r="V767" s="25"/>
      <c r="W767" s="25"/>
      <c r="X767" s="25"/>
      <c r="Y767" s="25"/>
    </row>
    <row r="768" spans="9:25" x14ac:dyDescent="0.2">
      <c r="I768" s="25"/>
      <c r="J768" s="25"/>
      <c r="K768" s="25"/>
      <c r="L768" s="25"/>
      <c r="N768" s="25"/>
      <c r="O768" s="25"/>
      <c r="P768" s="25"/>
      <c r="Q768" s="25"/>
      <c r="R768" s="25"/>
      <c r="S768" s="25"/>
      <c r="T768" s="25"/>
      <c r="U768" s="25"/>
      <c r="V768" s="25"/>
      <c r="W768" s="25"/>
      <c r="X768" s="25"/>
      <c r="Y768" s="25"/>
    </row>
    <row r="769" spans="9:25" x14ac:dyDescent="0.2">
      <c r="I769" s="25"/>
      <c r="J769" s="25"/>
      <c r="K769" s="25"/>
      <c r="L769" s="25"/>
      <c r="N769" s="25"/>
      <c r="O769" s="25"/>
      <c r="P769" s="25"/>
      <c r="Q769" s="25"/>
      <c r="R769" s="25"/>
      <c r="S769" s="25"/>
      <c r="T769" s="25"/>
      <c r="U769" s="25"/>
      <c r="V769" s="25"/>
      <c r="W769" s="25"/>
      <c r="X769" s="25"/>
      <c r="Y769" s="25"/>
    </row>
    <row r="770" spans="9:25" x14ac:dyDescent="0.2">
      <c r="I770" s="25"/>
      <c r="J770" s="25"/>
      <c r="K770" s="25"/>
      <c r="L770" s="25"/>
      <c r="N770" s="25"/>
      <c r="O770" s="25"/>
      <c r="P770" s="25"/>
      <c r="Q770" s="25"/>
      <c r="R770" s="25"/>
      <c r="S770" s="25"/>
      <c r="T770" s="25"/>
      <c r="U770" s="25"/>
      <c r="V770" s="25"/>
      <c r="W770" s="25"/>
      <c r="X770" s="25"/>
      <c r="Y770" s="25"/>
    </row>
    <row r="771" spans="9:25" x14ac:dyDescent="0.2">
      <c r="I771" s="25"/>
      <c r="J771" s="25"/>
      <c r="K771" s="25"/>
      <c r="L771" s="25"/>
      <c r="N771" s="25"/>
      <c r="O771" s="25"/>
      <c r="P771" s="25"/>
      <c r="Q771" s="25"/>
      <c r="R771" s="25"/>
      <c r="S771" s="25"/>
      <c r="T771" s="25"/>
      <c r="U771" s="25"/>
      <c r="V771" s="25"/>
      <c r="W771" s="25"/>
      <c r="X771" s="25"/>
      <c r="Y771" s="25"/>
    </row>
    <row r="772" spans="9:25" x14ac:dyDescent="0.2">
      <c r="I772" s="25"/>
      <c r="J772" s="25"/>
      <c r="K772" s="25"/>
      <c r="L772" s="25"/>
      <c r="N772" s="25"/>
      <c r="O772" s="25"/>
      <c r="P772" s="25"/>
      <c r="Q772" s="25"/>
      <c r="R772" s="25"/>
      <c r="S772" s="25"/>
      <c r="T772" s="25"/>
      <c r="U772" s="25"/>
      <c r="V772" s="25"/>
      <c r="W772" s="25"/>
      <c r="X772" s="25"/>
      <c r="Y772" s="25"/>
    </row>
    <row r="773" spans="9:25" x14ac:dyDescent="0.2">
      <c r="I773" s="25"/>
      <c r="J773" s="25"/>
      <c r="K773" s="25"/>
      <c r="L773" s="25"/>
      <c r="N773" s="25"/>
      <c r="O773" s="25"/>
      <c r="P773" s="25"/>
      <c r="Q773" s="25"/>
      <c r="R773" s="25"/>
      <c r="S773" s="25"/>
      <c r="T773" s="25"/>
      <c r="U773" s="25"/>
      <c r="V773" s="25"/>
      <c r="W773" s="25"/>
      <c r="X773" s="25"/>
      <c r="Y773" s="25"/>
    </row>
  </sheetData>
  <mergeCells count="3">
    <mergeCell ref="A5:F5"/>
    <mergeCell ref="G1:H1"/>
    <mergeCell ref="H5:L5"/>
  </mergeCells>
  <phoneticPr fontId="2"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F689"/>
  <sheetViews>
    <sheetView workbookViewId="0">
      <selection activeCell="L10" sqref="L10"/>
    </sheetView>
  </sheetViews>
  <sheetFormatPr defaultRowHeight="12.75" x14ac:dyDescent="0.2"/>
  <cols>
    <col min="1" max="2" width="21.140625" customWidth="1"/>
    <col min="3" max="3" width="21.85546875" customWidth="1"/>
    <col min="4" max="4" width="6.85546875" customWidth="1"/>
    <col min="5" max="5" width="10.42578125" customWidth="1"/>
    <col min="6" max="6" width="33" customWidth="1"/>
    <col min="7" max="7" width="16.42578125" customWidth="1"/>
    <col min="8" max="8" width="10.140625" customWidth="1"/>
    <col min="9" max="9" width="9.7109375" customWidth="1"/>
    <col min="10" max="10" width="8.42578125" customWidth="1"/>
    <col min="11" max="11" width="9.85546875" customWidth="1"/>
    <col min="12" max="12" width="15.28515625" style="238" customWidth="1"/>
    <col min="13" max="13" width="13" customWidth="1"/>
  </cols>
  <sheetData>
    <row r="1" spans="1:32" ht="25.5" x14ac:dyDescent="0.35">
      <c r="A1" s="5" t="s">
        <v>508</v>
      </c>
      <c r="B1" s="5"/>
      <c r="F1" s="291" t="s">
        <v>922</v>
      </c>
      <c r="G1" s="327"/>
      <c r="H1" s="327"/>
    </row>
    <row r="2" spans="1:32" x14ac:dyDescent="0.2">
      <c r="A2" s="7"/>
      <c r="B2" s="7"/>
      <c r="C2" s="7"/>
      <c r="D2" s="7"/>
      <c r="E2" s="7"/>
      <c r="F2" s="292" t="s">
        <v>923</v>
      </c>
      <c r="G2" s="7"/>
      <c r="H2" s="7"/>
      <c r="I2" s="7"/>
      <c r="J2" s="7"/>
      <c r="K2" s="7"/>
      <c r="L2" s="289"/>
      <c r="M2" s="7"/>
      <c r="N2" s="7"/>
      <c r="O2" s="7"/>
      <c r="P2" s="7"/>
      <c r="Q2" s="7"/>
      <c r="R2" s="7"/>
      <c r="S2" s="7"/>
      <c r="T2" s="7"/>
      <c r="U2" s="7"/>
      <c r="V2" s="7"/>
      <c r="W2" s="7"/>
      <c r="X2" s="25"/>
      <c r="Y2" s="25"/>
      <c r="Z2" s="25"/>
      <c r="AA2" s="25"/>
    </row>
    <row r="3" spans="1:32" x14ac:dyDescent="0.2">
      <c r="A3" s="17" t="s">
        <v>664</v>
      </c>
      <c r="B3" s="17"/>
      <c r="C3" s="7"/>
      <c r="D3" s="7"/>
      <c r="E3" s="7"/>
      <c r="F3" s="292" t="s">
        <v>924</v>
      </c>
      <c r="G3" s="7"/>
      <c r="H3" s="7"/>
      <c r="I3" s="7"/>
      <c r="J3" s="7"/>
      <c r="K3" s="7"/>
      <c r="L3" s="289"/>
      <c r="M3" s="7"/>
      <c r="N3" s="7"/>
      <c r="O3" s="7"/>
      <c r="P3" s="7"/>
      <c r="Q3" s="7"/>
      <c r="R3" s="7"/>
      <c r="S3" s="7"/>
      <c r="T3" s="7"/>
      <c r="U3" s="7"/>
      <c r="V3" s="7"/>
      <c r="W3" s="7"/>
      <c r="X3" s="25"/>
      <c r="Y3" s="25"/>
      <c r="Z3" s="25"/>
      <c r="AA3" s="25"/>
    </row>
    <row r="4" spans="1:32" x14ac:dyDescent="0.2">
      <c r="A4" s="7"/>
      <c r="B4" s="7"/>
      <c r="C4" s="7"/>
      <c r="D4" s="7"/>
      <c r="E4" s="7"/>
      <c r="F4" s="7"/>
      <c r="G4" s="7"/>
      <c r="H4" s="7"/>
      <c r="I4" s="7"/>
      <c r="J4" s="7"/>
      <c r="K4" s="7"/>
      <c r="L4" s="289"/>
      <c r="M4" s="7"/>
      <c r="N4" s="7"/>
      <c r="O4" s="7"/>
      <c r="P4" s="7"/>
      <c r="Q4" s="7"/>
      <c r="R4" s="7"/>
      <c r="S4" s="7"/>
      <c r="T4" s="7"/>
      <c r="U4" s="7"/>
      <c r="V4" s="7"/>
      <c r="W4" s="7"/>
      <c r="X4" s="25"/>
      <c r="Y4" s="25"/>
      <c r="Z4" s="25"/>
      <c r="AA4" s="25"/>
    </row>
    <row r="5" spans="1:32" x14ac:dyDescent="0.2">
      <c r="A5" s="328" t="s">
        <v>122</v>
      </c>
      <c r="B5" s="328"/>
      <c r="C5" s="328"/>
      <c r="D5" s="328"/>
      <c r="E5" s="328"/>
      <c r="F5" s="328"/>
      <c r="G5" s="328"/>
      <c r="H5" s="328"/>
      <c r="I5" s="328"/>
      <c r="J5" s="328"/>
      <c r="K5" s="328"/>
      <c r="L5" s="328"/>
      <c r="M5" s="7"/>
      <c r="N5" s="7"/>
      <c r="O5" s="7"/>
      <c r="P5" s="7"/>
      <c r="Q5" s="7"/>
      <c r="R5" s="7"/>
      <c r="S5" s="7"/>
      <c r="T5" s="7"/>
      <c r="U5" s="7"/>
      <c r="V5" s="7"/>
      <c r="W5" s="7"/>
      <c r="X5" s="25"/>
      <c r="Y5" s="25"/>
      <c r="Z5" s="25"/>
      <c r="AA5" s="25"/>
    </row>
    <row r="6" spans="1:32" x14ac:dyDescent="0.2">
      <c r="A6" s="7"/>
      <c r="B6" s="7"/>
      <c r="C6" s="7"/>
      <c r="D6" s="7"/>
      <c r="E6" s="7"/>
      <c r="F6" s="7"/>
      <c r="G6" s="7"/>
      <c r="H6" s="7"/>
      <c r="I6" s="7"/>
      <c r="J6" s="7"/>
      <c r="K6" s="7"/>
      <c r="L6" s="289"/>
      <c r="M6" s="7"/>
      <c r="N6" s="7"/>
      <c r="O6" s="7"/>
      <c r="P6" s="7"/>
      <c r="Q6" s="7"/>
      <c r="R6" s="7"/>
      <c r="S6" s="7"/>
      <c r="T6" s="7"/>
      <c r="U6" s="7"/>
      <c r="V6" s="7"/>
      <c r="W6" s="7"/>
      <c r="X6" s="25"/>
      <c r="Y6" s="25"/>
      <c r="Z6" s="25"/>
      <c r="AA6" s="25"/>
    </row>
    <row r="7" spans="1:32" x14ac:dyDescent="0.2">
      <c r="A7" s="17" t="s">
        <v>483</v>
      </c>
      <c r="B7" s="17"/>
      <c r="C7" s="7"/>
      <c r="D7" s="7"/>
      <c r="E7" s="7"/>
      <c r="F7" s="7"/>
      <c r="G7" s="7"/>
      <c r="H7" s="7"/>
      <c r="I7" s="7"/>
      <c r="J7" s="7"/>
      <c r="K7" s="7"/>
      <c r="L7" s="289"/>
      <c r="M7" s="7"/>
      <c r="N7" s="7"/>
      <c r="O7" s="7"/>
      <c r="P7" s="7"/>
      <c r="Q7" s="7"/>
      <c r="R7" s="7"/>
      <c r="S7" s="7"/>
      <c r="T7" s="7"/>
      <c r="U7" s="7"/>
      <c r="V7" s="7"/>
      <c r="W7" s="7"/>
      <c r="X7" s="25"/>
      <c r="Y7" s="25"/>
      <c r="Z7" s="25"/>
      <c r="AA7" s="25"/>
    </row>
    <row r="8" spans="1:32" ht="56.25" x14ac:dyDescent="0.2">
      <c r="A8" s="87" t="s">
        <v>509</v>
      </c>
      <c r="B8" s="88" t="s">
        <v>672</v>
      </c>
      <c r="C8" s="88" t="s">
        <v>664</v>
      </c>
      <c r="D8" s="88" t="s">
        <v>150</v>
      </c>
      <c r="E8" s="88" t="s">
        <v>509</v>
      </c>
      <c r="F8" s="88" t="s">
        <v>510</v>
      </c>
      <c r="G8" s="88" t="s">
        <v>511</v>
      </c>
      <c r="H8" s="88" t="s">
        <v>512</v>
      </c>
      <c r="I8" s="88" t="s">
        <v>532</v>
      </c>
      <c r="J8" s="88" t="s">
        <v>896</v>
      </c>
      <c r="K8" s="88" t="s">
        <v>897</v>
      </c>
      <c r="L8" s="293" t="s">
        <v>898</v>
      </c>
      <c r="M8" s="7" t="s">
        <v>1477</v>
      </c>
      <c r="N8" s="7"/>
      <c r="O8" s="7"/>
      <c r="P8" s="7"/>
      <c r="Q8" s="7"/>
      <c r="R8" s="7"/>
      <c r="S8" s="7"/>
      <c r="T8" s="7"/>
      <c r="U8" s="7"/>
      <c r="V8" s="7"/>
      <c r="W8" s="7"/>
      <c r="X8" s="7"/>
      <c r="Y8" s="7"/>
      <c r="Z8" s="7"/>
      <c r="AA8" s="7"/>
      <c r="AB8" s="7"/>
      <c r="AC8" s="25"/>
      <c r="AD8" s="25"/>
      <c r="AE8" s="25"/>
      <c r="AF8" s="25"/>
    </row>
    <row r="9" spans="1:32" s="178" customFormat="1" ht="13.5" customHeight="1" x14ac:dyDescent="0.2">
      <c r="A9" s="298" t="s">
        <v>925</v>
      </c>
      <c r="B9" s="298" t="str">
        <f>LEFT(A9,10)</f>
        <v>FLU0010-ST</v>
      </c>
      <c r="C9" s="294" t="str">
        <f>VLOOKUP(LEFT(A9,7),'Tariff Schedule Lookup Table'!$A$8:$G$198,2,FALSE)</f>
        <v>Fluorescent 9</v>
      </c>
      <c r="D9" s="295">
        <f t="shared" ref="D9" si="0">1*MID(A9,12,4)</f>
        <v>1</v>
      </c>
      <c r="E9" s="294">
        <f t="shared" ref="E9" si="1">1*(MID(A9,17,3))</f>
        <v>6</v>
      </c>
      <c r="F9" s="294" t="str">
        <f>VLOOKUP(D9,'Tariff Schedule Lookup Table'!I$7:L$298,2,FALSE)</f>
        <v>NO CAPITAL</v>
      </c>
      <c r="G9" s="294" t="str">
        <f>IF(F9 = "BULKHEADS ETC", "SHARED OR NO POLE", VLOOKUP(D9,'Tariff Schedule Lookup Table'!I$7:L$298,3,FALSE))</f>
        <v>NO CAPITAL</v>
      </c>
      <c r="H9" s="294">
        <f>IF(F9 = "NO CAPITAL", 1, VLOOKUP(D9,'Tariff Schedule Lookup Table'!I$7:L$298,4,FALSE))</f>
        <v>1</v>
      </c>
      <c r="I9" s="296">
        <f>VLOOKUP(G9,'Input data'!$A$68:$B$72,2,FALSE)</f>
        <v>0</v>
      </c>
      <c r="J9" s="296">
        <v>0</v>
      </c>
      <c r="K9" s="296">
        <v>0</v>
      </c>
      <c r="L9" s="297">
        <f t="shared" ref="L9:L73" si="2">K9+J9+I9/H9</f>
        <v>0</v>
      </c>
      <c r="M9" s="287">
        <v>0</v>
      </c>
      <c r="N9" s="287"/>
      <c r="O9" s="287"/>
      <c r="P9" s="287"/>
      <c r="Q9" s="287"/>
      <c r="R9" s="287"/>
      <c r="S9" s="287"/>
      <c r="T9" s="287"/>
      <c r="U9" s="287"/>
      <c r="V9" s="287"/>
      <c r="W9" s="287"/>
      <c r="X9" s="287"/>
      <c r="Y9" s="287"/>
      <c r="Z9" s="287"/>
      <c r="AA9" s="287"/>
      <c r="AB9" s="287"/>
      <c r="AC9" s="288"/>
      <c r="AD9" s="288"/>
      <c r="AE9" s="288"/>
      <c r="AF9" s="288"/>
    </row>
    <row r="10" spans="1:32" s="178" customFormat="1" ht="13.5" customHeight="1" x14ac:dyDescent="0.2">
      <c r="A10" s="298" t="s">
        <v>926</v>
      </c>
      <c r="B10" s="298" t="str">
        <f t="shared" ref="B10:B73" si="3">LEFT(A10,10)</f>
        <v>FLU0010-ST</v>
      </c>
      <c r="C10" s="294" t="str">
        <f>VLOOKUP(LEFT(A10,7),'Tariff Schedule Lookup Table'!$A$8:$G$198,2,FALSE)</f>
        <v>Fluorescent 9</v>
      </c>
      <c r="D10" s="295">
        <f t="shared" ref="D10:D73" si="4">1*MID(A10,12,4)</f>
        <v>10</v>
      </c>
      <c r="E10" s="294">
        <f t="shared" ref="E10:E73" si="5">1*(MID(A10,17,3))</f>
        <v>2</v>
      </c>
      <c r="F10" s="294" t="str">
        <f>VLOOKUP(D10,'Tariff Schedule Lookup Table'!I$7:L$298,2,FALSE)</f>
        <v>MERCURY VAPOUR 80W</v>
      </c>
      <c r="G10" s="294" t="str">
        <f>IF(F10 = "BULKHEADS ETC", "SHARED OR NO POLE", VLOOKUP(D10,'Tariff Schedule Lookup Table'!I$7:L$298,3,FALSE))</f>
        <v>SHARED OR NO POLE</v>
      </c>
      <c r="H10" s="294">
        <f>IF(F10 = "NO CAPITAL", 1, VLOOKUP(D10,'Tariff Schedule Lookup Table'!I$7:L$298,4,FALSE))</f>
        <v>1</v>
      </c>
      <c r="I10" s="296">
        <f>VLOOKUP(G10,'Input data'!$A$68:$B$72,2,FALSE)</f>
        <v>0</v>
      </c>
      <c r="J10" s="296">
        <f>VLOOKUP($B10,'Maintenance Costs'!$A:$AB,22,FALSE)</f>
        <v>15.164812132151592</v>
      </c>
      <c r="K10" s="296">
        <f>VLOOKUP($B10,'Maintenance Costs'!$A:$AB,28,FALSE)</f>
        <v>12.515501041395373</v>
      </c>
      <c r="L10" s="297">
        <f t="shared" si="2"/>
        <v>27.680313173546963</v>
      </c>
      <c r="M10" s="287">
        <v>37.159715380641089</v>
      </c>
      <c r="N10" s="30">
        <f>L10-M10</f>
        <v>-9.4794022070941253</v>
      </c>
      <c r="O10" s="287"/>
      <c r="P10" s="287"/>
      <c r="Q10" s="287"/>
      <c r="R10" s="287"/>
      <c r="S10" s="287"/>
      <c r="T10" s="287"/>
      <c r="U10" s="287"/>
      <c r="V10" s="287"/>
      <c r="W10" s="287"/>
      <c r="X10" s="287"/>
      <c r="Y10" s="287"/>
      <c r="Z10" s="287"/>
      <c r="AA10" s="287"/>
      <c r="AB10" s="287"/>
      <c r="AC10" s="288"/>
      <c r="AD10" s="288"/>
      <c r="AE10" s="288"/>
      <c r="AF10" s="288"/>
    </row>
    <row r="11" spans="1:32" s="178" customFormat="1" ht="13.5" customHeight="1" x14ac:dyDescent="0.2">
      <c r="A11" s="298" t="s">
        <v>927</v>
      </c>
      <c r="B11" s="298" t="str">
        <f t="shared" si="3"/>
        <v>FLU0010-ST</v>
      </c>
      <c r="C11" s="294" t="str">
        <f>VLOOKUP(LEFT(A11,7),'Tariff Schedule Lookup Table'!$A$8:$G$198,2,FALSE)</f>
        <v>Fluorescent 9</v>
      </c>
      <c r="D11" s="295">
        <f t="shared" si="4"/>
        <v>990</v>
      </c>
      <c r="E11" s="294">
        <f t="shared" si="5"/>
        <v>1</v>
      </c>
      <c r="F11" s="294" t="str">
        <f>VLOOKUP(D11,'Tariff Schedule Lookup Table'!I$7:L$298,2,FALSE)</f>
        <v>MERCURY VAPOUR 80W</v>
      </c>
      <c r="G11" s="294" t="str">
        <f>IF(F11 = "BULKHEADS ETC", "SHARED OR NO POLE", VLOOKUP(D11,'Tariff Schedule Lookup Table'!I$7:L$298,3,FALSE))</f>
        <v>STEEL POLE</v>
      </c>
      <c r="H11" s="294">
        <f>IF(F11 = "NO CAPITAL", 1, VLOOKUP(D11,'Tariff Schedule Lookup Table'!I$7:L$298,4,FALSE))</f>
        <v>1</v>
      </c>
      <c r="I11" s="296">
        <f>VLOOKUP(G11,'Input data'!$A$68:$B$72,2,FALSE)</f>
        <v>9.8748837500000004</v>
      </c>
      <c r="J11" s="296">
        <f>VLOOKUP($B11,'Maintenance Costs'!$A:$AB,22,FALSE)</f>
        <v>15.164812132151592</v>
      </c>
      <c r="K11" s="296">
        <f>VLOOKUP($B11,'Maintenance Costs'!$A:$AB,28,FALSE)</f>
        <v>12.515501041395373</v>
      </c>
      <c r="L11" s="297">
        <f t="shared" si="2"/>
        <v>37.555196923546966</v>
      </c>
      <c r="M11" s="287">
        <v>47.034599130641091</v>
      </c>
      <c r="N11" s="30">
        <f t="shared" ref="N11:N74" si="6">L11-M11</f>
        <v>-9.4794022070941253</v>
      </c>
      <c r="O11" s="287"/>
      <c r="P11" s="287"/>
      <c r="Q11" s="287"/>
      <c r="R11" s="287"/>
      <c r="S11" s="287"/>
      <c r="T11" s="287"/>
      <c r="U11" s="287"/>
      <c r="V11" s="287"/>
      <c r="W11" s="287"/>
      <c r="X11" s="287"/>
      <c r="Y11" s="287"/>
      <c r="Z11" s="287"/>
      <c r="AA11" s="287"/>
      <c r="AB11" s="287"/>
      <c r="AC11" s="288"/>
      <c r="AD11" s="288"/>
      <c r="AE11" s="288"/>
      <c r="AF11" s="288"/>
    </row>
    <row r="12" spans="1:32" s="178" customFormat="1" ht="13.5" customHeight="1" x14ac:dyDescent="0.2">
      <c r="A12" s="298" t="s">
        <v>928</v>
      </c>
      <c r="B12" s="298" t="str">
        <f t="shared" si="3"/>
        <v>FLU0010-ST</v>
      </c>
      <c r="C12" s="294" t="str">
        <f>VLOOKUP(LEFT(A12,7),'Tariff Schedule Lookup Table'!$A$8:$G$198,2,FALSE)</f>
        <v>Fluorescent 9</v>
      </c>
      <c r="D12" s="295">
        <f t="shared" si="4"/>
        <v>990</v>
      </c>
      <c r="E12" s="294">
        <f t="shared" si="5"/>
        <v>2</v>
      </c>
      <c r="F12" s="294" t="str">
        <f>VLOOKUP(D12,'Tariff Schedule Lookup Table'!I$7:L$298,2,FALSE)</f>
        <v>MERCURY VAPOUR 80W</v>
      </c>
      <c r="G12" s="294" t="str">
        <f>IF(F12 = "BULKHEADS ETC", "SHARED OR NO POLE", VLOOKUP(D12,'Tariff Schedule Lookup Table'!I$7:L$298,3,FALSE))</f>
        <v>STEEL POLE</v>
      </c>
      <c r="H12" s="294">
        <f>IF(F12 = "NO CAPITAL", 1, VLOOKUP(D12,'Tariff Schedule Lookup Table'!I$7:L$298,4,FALSE))</f>
        <v>1</v>
      </c>
      <c r="I12" s="296">
        <f>VLOOKUP(G12,'Input data'!$A$68:$B$72,2,FALSE)</f>
        <v>9.8748837500000004</v>
      </c>
      <c r="J12" s="296">
        <f>VLOOKUP($B12,'Maintenance Costs'!$A:$AB,22,FALSE)</f>
        <v>15.164812132151592</v>
      </c>
      <c r="K12" s="296">
        <f>VLOOKUP($B12,'Maintenance Costs'!$A:$AB,28,FALSE)</f>
        <v>12.515501041395373</v>
      </c>
      <c r="L12" s="297">
        <f t="shared" si="2"/>
        <v>37.555196923546966</v>
      </c>
      <c r="M12" s="287">
        <v>47.034599130641091</v>
      </c>
      <c r="N12" s="30">
        <f t="shared" si="6"/>
        <v>-9.4794022070941253</v>
      </c>
      <c r="O12" s="287"/>
      <c r="P12" s="287"/>
      <c r="Q12" s="287"/>
      <c r="R12" s="287"/>
      <c r="S12" s="287"/>
      <c r="T12" s="287"/>
      <c r="U12" s="287"/>
      <c r="V12" s="287"/>
      <c r="W12" s="287"/>
      <c r="X12" s="287"/>
      <c r="Y12" s="287"/>
      <c r="Z12" s="287"/>
      <c r="AA12" s="287"/>
      <c r="AB12" s="287"/>
      <c r="AC12" s="288"/>
      <c r="AD12" s="288"/>
      <c r="AE12" s="288"/>
      <c r="AF12" s="288"/>
    </row>
    <row r="13" spans="1:32" s="178" customFormat="1" ht="13.5" customHeight="1" x14ac:dyDescent="0.2">
      <c r="A13" s="298" t="s">
        <v>929</v>
      </c>
      <c r="B13" s="298" t="str">
        <f t="shared" si="3"/>
        <v>FLU0040-ST</v>
      </c>
      <c r="C13" s="294" t="str">
        <f>VLOOKUP(LEFT(A13,7),'Tariff Schedule Lookup Table'!$A$8:$G$198,2,FALSE)</f>
        <v>Fluorescent 15</v>
      </c>
      <c r="D13" s="295">
        <f t="shared" si="4"/>
        <v>1</v>
      </c>
      <c r="E13" s="294">
        <f t="shared" si="5"/>
        <v>6</v>
      </c>
      <c r="F13" s="294" t="str">
        <f>VLOOKUP(D13,'Tariff Schedule Lookup Table'!I$7:L$298,2,FALSE)</f>
        <v>NO CAPITAL</v>
      </c>
      <c r="G13" s="294" t="str">
        <f>IF(F13 = "BULKHEADS ETC", "SHARED OR NO POLE", VLOOKUP(D13,'Tariff Schedule Lookup Table'!I$7:L$298,3,FALSE))</f>
        <v>NO CAPITAL</v>
      </c>
      <c r="H13" s="294">
        <f>IF(F13 = "NO CAPITAL", 1, VLOOKUP(D13,'Tariff Schedule Lookup Table'!I$7:L$298,4,FALSE))</f>
        <v>1</v>
      </c>
      <c r="I13" s="296">
        <f>VLOOKUP(G13,'Input data'!$A$68:$B$72,2,FALSE)</f>
        <v>0</v>
      </c>
      <c r="J13" s="296">
        <v>0</v>
      </c>
      <c r="K13" s="296">
        <v>0</v>
      </c>
      <c r="L13" s="297">
        <f t="shared" si="2"/>
        <v>0</v>
      </c>
      <c r="M13" s="287">
        <v>0</v>
      </c>
      <c r="N13" s="30">
        <f t="shared" si="6"/>
        <v>0</v>
      </c>
      <c r="O13" s="287"/>
      <c r="P13" s="287"/>
      <c r="Q13" s="287"/>
      <c r="R13" s="287"/>
      <c r="S13" s="287"/>
      <c r="T13" s="287"/>
      <c r="U13" s="287"/>
      <c r="V13" s="287"/>
      <c r="W13" s="287"/>
      <c r="X13" s="287"/>
      <c r="Y13" s="287"/>
      <c r="Z13" s="287"/>
      <c r="AA13" s="287"/>
      <c r="AB13" s="287"/>
      <c r="AC13" s="288"/>
      <c r="AD13" s="288"/>
      <c r="AE13" s="288"/>
      <c r="AF13" s="288"/>
    </row>
    <row r="14" spans="1:32" s="178" customFormat="1" ht="13.5" customHeight="1" x14ac:dyDescent="0.2">
      <c r="A14" s="298" t="s">
        <v>930</v>
      </c>
      <c r="B14" s="298" t="str">
        <f t="shared" si="3"/>
        <v>FLU0040-ST</v>
      </c>
      <c r="C14" s="294" t="str">
        <f>VLOOKUP(LEFT(A14,7),'Tariff Schedule Lookup Table'!$A$8:$G$198,2,FALSE)</f>
        <v>Fluorescent 15</v>
      </c>
      <c r="D14" s="295">
        <f t="shared" si="4"/>
        <v>10</v>
      </c>
      <c r="E14" s="294">
        <f t="shared" si="5"/>
        <v>2</v>
      </c>
      <c r="F14" s="294" t="str">
        <f>VLOOKUP(D14,'Tariff Schedule Lookup Table'!I$7:L$298,2,FALSE)</f>
        <v>MERCURY VAPOUR 80W</v>
      </c>
      <c r="G14" s="294" t="str">
        <f>IF(F14 = "BULKHEADS ETC", "SHARED OR NO POLE", VLOOKUP(D14,'Tariff Schedule Lookup Table'!I$7:L$298,3,FALSE))</f>
        <v>SHARED OR NO POLE</v>
      </c>
      <c r="H14" s="294">
        <f>IF(F14 = "NO CAPITAL", 1, VLOOKUP(D14,'Tariff Schedule Lookup Table'!I$7:L$298,4,FALSE))</f>
        <v>1</v>
      </c>
      <c r="I14" s="296">
        <f>VLOOKUP(G14,'Input data'!$A$68:$B$72,2,FALSE)</f>
        <v>0</v>
      </c>
      <c r="J14" s="296">
        <f>VLOOKUP($B14,'Maintenance Costs'!$A:$AB,22,FALSE)</f>
        <v>15.105326564395519</v>
      </c>
      <c r="K14" s="296">
        <f>VLOOKUP($B14,'Maintenance Costs'!$A:$AB,28,FALSE)</f>
        <v>12.515501041395373</v>
      </c>
      <c r="L14" s="297">
        <f>K14+J14+I14/H14</f>
        <v>27.620827605790893</v>
      </c>
      <c r="M14" s="287">
        <v>37.063763964057131</v>
      </c>
      <c r="N14" s="30">
        <f t="shared" si="6"/>
        <v>-9.4429363582662376</v>
      </c>
      <c r="O14" s="287"/>
      <c r="P14" s="287"/>
      <c r="Q14" s="287"/>
      <c r="R14" s="287"/>
      <c r="S14" s="287"/>
      <c r="T14" s="287"/>
      <c r="U14" s="287"/>
      <c r="V14" s="287"/>
      <c r="W14" s="287"/>
      <c r="X14" s="287"/>
      <c r="Y14" s="287"/>
      <c r="Z14" s="287"/>
      <c r="AA14" s="287"/>
      <c r="AB14" s="287"/>
      <c r="AC14" s="288"/>
      <c r="AD14" s="288"/>
      <c r="AE14" s="288"/>
      <c r="AF14" s="288"/>
    </row>
    <row r="15" spans="1:32" s="178" customFormat="1" ht="13.5" customHeight="1" x14ac:dyDescent="0.2">
      <c r="A15" s="298" t="s">
        <v>931</v>
      </c>
      <c r="B15" s="298" t="str">
        <f t="shared" si="3"/>
        <v>FLU0050-ST</v>
      </c>
      <c r="C15" s="294" t="str">
        <f>VLOOKUP(LEFT(A15,7),'Tariff Schedule Lookup Table'!$A$8:$G$198,2,FALSE)</f>
        <v>Fluorescent 20</v>
      </c>
      <c r="D15" s="295">
        <f t="shared" si="4"/>
        <v>1</v>
      </c>
      <c r="E15" s="294">
        <f t="shared" si="5"/>
        <v>6</v>
      </c>
      <c r="F15" s="294" t="str">
        <f>VLOOKUP(D15,'Tariff Schedule Lookup Table'!I$7:L$298,2,FALSE)</f>
        <v>NO CAPITAL</v>
      </c>
      <c r="G15" s="294" t="str">
        <f>IF(F15 = "BULKHEADS ETC", "SHARED OR NO POLE", VLOOKUP(D15,'Tariff Schedule Lookup Table'!I$7:L$298,3,FALSE))</f>
        <v>NO CAPITAL</v>
      </c>
      <c r="H15" s="294">
        <f>IF(F15 = "NO CAPITAL", 1, VLOOKUP(D15,'Tariff Schedule Lookup Table'!I$7:L$298,4,FALSE))</f>
        <v>1</v>
      </c>
      <c r="I15" s="296">
        <f>VLOOKUP(G15,'Input data'!$A$68:$B$72,2,FALSE)</f>
        <v>0</v>
      </c>
      <c r="J15" s="296">
        <v>0</v>
      </c>
      <c r="K15" s="296">
        <v>0</v>
      </c>
      <c r="L15" s="297">
        <f t="shared" si="2"/>
        <v>0</v>
      </c>
      <c r="M15" s="287">
        <v>0</v>
      </c>
      <c r="N15" s="30">
        <f t="shared" si="6"/>
        <v>0</v>
      </c>
      <c r="O15" s="287"/>
      <c r="P15" s="287"/>
      <c r="Q15" s="287"/>
      <c r="R15" s="287"/>
      <c r="S15" s="287"/>
      <c r="T15" s="287"/>
      <c r="U15" s="287"/>
      <c r="V15" s="287"/>
      <c r="W15" s="287"/>
      <c r="X15" s="287"/>
      <c r="Y15" s="287"/>
      <c r="Z15" s="287"/>
      <c r="AA15" s="287"/>
      <c r="AB15" s="287"/>
      <c r="AC15" s="288"/>
      <c r="AD15" s="288"/>
      <c r="AE15" s="288"/>
      <c r="AF15" s="288"/>
    </row>
    <row r="16" spans="1:32" s="178" customFormat="1" ht="13.5" customHeight="1" x14ac:dyDescent="0.2">
      <c r="A16" s="298" t="s">
        <v>932</v>
      </c>
      <c r="B16" s="298" t="str">
        <f t="shared" si="3"/>
        <v>FLU0050-ST</v>
      </c>
      <c r="C16" s="294" t="str">
        <f>VLOOKUP(LEFT(A16,7),'Tariff Schedule Lookup Table'!$A$8:$G$198,2,FALSE)</f>
        <v>Fluorescent 20</v>
      </c>
      <c r="D16" s="295">
        <f t="shared" si="4"/>
        <v>10</v>
      </c>
      <c r="E16" s="294">
        <f t="shared" si="5"/>
        <v>1</v>
      </c>
      <c r="F16" s="294" t="str">
        <f>VLOOKUP(D16,'Tariff Schedule Lookup Table'!I$7:L$298,2,FALSE)</f>
        <v>MERCURY VAPOUR 80W</v>
      </c>
      <c r="G16" s="294" t="str">
        <f>IF(F16 = "BULKHEADS ETC", "SHARED OR NO POLE", VLOOKUP(D16,'Tariff Schedule Lookup Table'!I$7:L$298,3,FALSE))</f>
        <v>SHARED OR NO POLE</v>
      </c>
      <c r="H16" s="294">
        <f>IF(F16 = "NO CAPITAL", 1, VLOOKUP(D16,'Tariff Schedule Lookup Table'!I$7:L$298,4,FALSE))</f>
        <v>1</v>
      </c>
      <c r="I16" s="296">
        <f>VLOOKUP(G16,'Input data'!$A$68:$B$72,2,FALSE)</f>
        <v>0</v>
      </c>
      <c r="J16" s="296">
        <f>VLOOKUP($B16,'Maintenance Costs'!$A:$AB,22,FALSE)</f>
        <v>15.135069348273554</v>
      </c>
      <c r="K16" s="296">
        <f>VLOOKUP($B16,'Maintenance Costs'!$A:$AB,28,FALSE)</f>
        <v>12.515501041395373</v>
      </c>
      <c r="L16" s="297">
        <f t="shared" si="2"/>
        <v>27.650570389668928</v>
      </c>
      <c r="M16" s="287">
        <v>37.214857306157569</v>
      </c>
      <c r="N16" s="30">
        <f t="shared" si="6"/>
        <v>-9.5642869164886406</v>
      </c>
      <c r="O16" s="287"/>
      <c r="P16" s="287"/>
      <c r="Q16" s="287"/>
      <c r="R16" s="287"/>
      <c r="S16" s="287"/>
      <c r="T16" s="287"/>
      <c r="U16" s="287"/>
      <c r="V16" s="287"/>
      <c r="W16" s="287"/>
      <c r="X16" s="287"/>
      <c r="Y16" s="287"/>
      <c r="Z16" s="287"/>
      <c r="AA16" s="287"/>
      <c r="AB16" s="287"/>
      <c r="AC16" s="288"/>
      <c r="AD16" s="288"/>
      <c r="AE16" s="288"/>
      <c r="AF16" s="288"/>
    </row>
    <row r="17" spans="1:32" s="178" customFormat="1" ht="13.5" customHeight="1" x14ac:dyDescent="0.2">
      <c r="A17" s="298" t="s">
        <v>933</v>
      </c>
      <c r="B17" s="298" t="str">
        <f t="shared" si="3"/>
        <v>FLU0050-ST</v>
      </c>
      <c r="C17" s="294" t="str">
        <f>VLOOKUP(LEFT(A17,7),'Tariff Schedule Lookup Table'!$A$8:$G$198,2,FALSE)</f>
        <v>Fluorescent 20</v>
      </c>
      <c r="D17" s="295">
        <f t="shared" si="4"/>
        <v>10</v>
      </c>
      <c r="E17" s="294">
        <f t="shared" si="5"/>
        <v>2</v>
      </c>
      <c r="F17" s="294" t="str">
        <f>VLOOKUP(D17,'Tariff Schedule Lookup Table'!I$7:L$298,2,FALSE)</f>
        <v>MERCURY VAPOUR 80W</v>
      </c>
      <c r="G17" s="294" t="str">
        <f>IF(F17 = "BULKHEADS ETC", "SHARED OR NO POLE", VLOOKUP(D17,'Tariff Schedule Lookup Table'!I$7:L$298,3,FALSE))</f>
        <v>SHARED OR NO POLE</v>
      </c>
      <c r="H17" s="294">
        <f>IF(F17 = "NO CAPITAL", 1, VLOOKUP(D17,'Tariff Schedule Lookup Table'!I$7:L$298,4,FALSE))</f>
        <v>1</v>
      </c>
      <c r="I17" s="296">
        <f>VLOOKUP(G17,'Input data'!$A$68:$B$72,2,FALSE)</f>
        <v>0</v>
      </c>
      <c r="J17" s="296">
        <f>VLOOKUP($B17,'Maintenance Costs'!$A:$AB,22,FALSE)</f>
        <v>15.135069348273554</v>
      </c>
      <c r="K17" s="296">
        <f>VLOOKUP($B17,'Maintenance Costs'!$A:$AB,28,FALSE)</f>
        <v>12.515501041395373</v>
      </c>
      <c r="L17" s="297">
        <f t="shared" si="2"/>
        <v>27.650570389668928</v>
      </c>
      <c r="M17" s="287">
        <v>37.214857306157569</v>
      </c>
      <c r="N17" s="30">
        <f t="shared" si="6"/>
        <v>-9.5642869164886406</v>
      </c>
      <c r="O17" s="287"/>
      <c r="P17" s="287"/>
      <c r="Q17" s="287"/>
      <c r="R17" s="287"/>
      <c r="S17" s="287"/>
      <c r="T17" s="287"/>
      <c r="U17" s="287"/>
      <c r="V17" s="287"/>
      <c r="W17" s="287"/>
      <c r="X17" s="287"/>
      <c r="Y17" s="287"/>
      <c r="Z17" s="287"/>
      <c r="AA17" s="287"/>
      <c r="AB17" s="287"/>
      <c r="AC17" s="288"/>
      <c r="AD17" s="288"/>
      <c r="AE17" s="288"/>
      <c r="AF17" s="288"/>
    </row>
    <row r="18" spans="1:32" s="178" customFormat="1" ht="13.5" customHeight="1" x14ac:dyDescent="0.2">
      <c r="A18" s="298" t="s">
        <v>934</v>
      </c>
      <c r="B18" s="298" t="str">
        <f t="shared" si="3"/>
        <v>FLU0050-ST</v>
      </c>
      <c r="C18" s="294" t="str">
        <f>VLOOKUP(LEFT(A18,7),'Tariff Schedule Lookup Table'!$A$8:$G$198,2,FALSE)</f>
        <v>Fluorescent 20</v>
      </c>
      <c r="D18" s="295">
        <f t="shared" si="4"/>
        <v>740</v>
      </c>
      <c r="E18" s="294">
        <f t="shared" si="5"/>
        <v>1</v>
      </c>
      <c r="F18" s="294" t="str">
        <f>VLOOKUP(D18,'Tariff Schedule Lookup Table'!I$7:L$298,2,FALSE)</f>
        <v>MERCURY VAPOUR 80W</v>
      </c>
      <c r="G18" s="294" t="str">
        <f>IF(F18 = "BULKHEADS ETC", "SHARED OR NO POLE", VLOOKUP(D18,'Tariff Schedule Lookup Table'!I$7:L$298,3,FALSE))</f>
        <v>SHARED OR NO POLE</v>
      </c>
      <c r="H18" s="294">
        <f>IF(F18 = "NO CAPITAL", 1, VLOOKUP(D18,'Tariff Schedule Lookup Table'!I$7:L$298,4,FALSE))</f>
        <v>2</v>
      </c>
      <c r="I18" s="296">
        <f>VLOOKUP(G18,'Input data'!$A$68:$B$72,2,FALSE)</f>
        <v>0</v>
      </c>
      <c r="J18" s="296">
        <f>VLOOKUP($B18,'Maintenance Costs'!$A:$AB,22,FALSE)</f>
        <v>15.135069348273554</v>
      </c>
      <c r="K18" s="296">
        <f>VLOOKUP($B18,'Maintenance Costs'!$A:$AB,28,FALSE)</f>
        <v>12.515501041395373</v>
      </c>
      <c r="L18" s="297">
        <f t="shared" si="2"/>
        <v>27.650570389668928</v>
      </c>
      <c r="M18" s="287">
        <v>37.214857306157569</v>
      </c>
      <c r="N18" s="30">
        <f t="shared" si="6"/>
        <v>-9.5642869164886406</v>
      </c>
      <c r="O18" s="287"/>
      <c r="P18" s="287"/>
      <c r="Q18" s="287"/>
      <c r="R18" s="287"/>
      <c r="S18" s="287"/>
      <c r="T18" s="287"/>
      <c r="U18" s="287"/>
      <c r="V18" s="287"/>
      <c r="W18" s="287"/>
      <c r="X18" s="287"/>
      <c r="Y18" s="287"/>
      <c r="Z18" s="287"/>
      <c r="AA18" s="287"/>
      <c r="AB18" s="287"/>
      <c r="AC18" s="288"/>
      <c r="AD18" s="288"/>
      <c r="AE18" s="288"/>
      <c r="AF18" s="288"/>
    </row>
    <row r="19" spans="1:32" s="178" customFormat="1" ht="13.5" customHeight="1" x14ac:dyDescent="0.2">
      <c r="A19" s="298" t="s">
        <v>935</v>
      </c>
      <c r="B19" s="298" t="str">
        <f t="shared" si="3"/>
        <v>FLU0050-ST</v>
      </c>
      <c r="C19" s="294" t="str">
        <f>VLOOKUP(LEFT(A19,7),'Tariff Schedule Lookup Table'!$A$8:$G$198,2,FALSE)</f>
        <v>Fluorescent 20</v>
      </c>
      <c r="D19" s="295">
        <f t="shared" si="4"/>
        <v>990</v>
      </c>
      <c r="E19" s="294">
        <f t="shared" si="5"/>
        <v>2</v>
      </c>
      <c r="F19" s="294" t="str">
        <f>VLOOKUP(D19,'Tariff Schedule Lookup Table'!I$7:L$298,2,FALSE)</f>
        <v>MERCURY VAPOUR 80W</v>
      </c>
      <c r="G19" s="294" t="str">
        <f>IF(F19 = "BULKHEADS ETC", "SHARED OR NO POLE", VLOOKUP(D19,'Tariff Schedule Lookup Table'!I$7:L$298,3,FALSE))</f>
        <v>STEEL POLE</v>
      </c>
      <c r="H19" s="294">
        <f>IF(F19 = "NO CAPITAL", 1, VLOOKUP(D19,'Tariff Schedule Lookup Table'!I$7:L$298,4,FALSE))</f>
        <v>1</v>
      </c>
      <c r="I19" s="296">
        <f>VLOOKUP(G19,'Input data'!$A$68:$B$72,2,FALSE)</f>
        <v>9.8748837500000004</v>
      </c>
      <c r="J19" s="296">
        <f>VLOOKUP($B19,'Maintenance Costs'!$A:$AB,22,FALSE)</f>
        <v>15.135069348273554</v>
      </c>
      <c r="K19" s="296">
        <f>VLOOKUP($B19,'Maintenance Costs'!$A:$AB,28,FALSE)</f>
        <v>12.515501041395373</v>
      </c>
      <c r="L19" s="297">
        <f t="shared" si="2"/>
        <v>37.525454139668931</v>
      </c>
      <c r="M19" s="287">
        <v>47.089741056157571</v>
      </c>
      <c r="N19" s="30">
        <f t="shared" si="6"/>
        <v>-9.5642869164886406</v>
      </c>
      <c r="O19" s="287"/>
      <c r="P19" s="287"/>
      <c r="Q19" s="287"/>
      <c r="R19" s="287"/>
      <c r="S19" s="287"/>
      <c r="T19" s="287"/>
      <c r="U19" s="287"/>
      <c r="V19" s="287"/>
      <c r="W19" s="287"/>
      <c r="X19" s="287"/>
      <c r="Y19" s="287"/>
      <c r="Z19" s="287"/>
      <c r="AA19" s="287"/>
      <c r="AB19" s="287"/>
      <c r="AC19" s="288"/>
      <c r="AD19" s="288"/>
      <c r="AE19" s="288"/>
      <c r="AF19" s="288"/>
    </row>
    <row r="20" spans="1:32" s="178" customFormat="1" ht="13.5" customHeight="1" x14ac:dyDescent="0.2">
      <c r="A20" s="298" t="s">
        <v>936</v>
      </c>
      <c r="B20" s="298" t="str">
        <f t="shared" si="3"/>
        <v>FLU0060-ST</v>
      </c>
      <c r="C20" s="294" t="str">
        <f>VLOOKUP(LEFT(A20,7),'Tariff Schedule Lookup Table'!$A$8:$G$198,2,FALSE)</f>
        <v>Fluorescent Twin 20</v>
      </c>
      <c r="D20" s="295">
        <f t="shared" si="4"/>
        <v>1</v>
      </c>
      <c r="E20" s="294">
        <f t="shared" si="5"/>
        <v>6</v>
      </c>
      <c r="F20" s="294" t="str">
        <f>VLOOKUP(D20,'Tariff Schedule Lookup Table'!I$7:L$298,2,FALSE)</f>
        <v>NO CAPITAL</v>
      </c>
      <c r="G20" s="294" t="str">
        <f>IF(F20 = "BULKHEADS ETC", "SHARED OR NO POLE", VLOOKUP(D20,'Tariff Schedule Lookup Table'!I$7:L$298,3,FALSE))</f>
        <v>NO CAPITAL</v>
      </c>
      <c r="H20" s="294">
        <f>IF(F20 = "NO CAPITAL", 1, VLOOKUP(D20,'Tariff Schedule Lookup Table'!I$7:L$298,4,FALSE))</f>
        <v>1</v>
      </c>
      <c r="I20" s="296">
        <f>VLOOKUP(G20,'Input data'!$A$68:$B$72,2,FALSE)</f>
        <v>0</v>
      </c>
      <c r="J20" s="296">
        <v>0</v>
      </c>
      <c r="K20" s="296">
        <v>0</v>
      </c>
      <c r="L20" s="297">
        <f t="shared" si="2"/>
        <v>0</v>
      </c>
      <c r="M20" s="287">
        <v>0</v>
      </c>
      <c r="N20" s="30">
        <f t="shared" si="6"/>
        <v>0</v>
      </c>
      <c r="O20" s="287"/>
      <c r="P20" s="287"/>
      <c r="Q20" s="287"/>
      <c r="R20" s="287"/>
      <c r="S20" s="287"/>
      <c r="T20" s="287"/>
      <c r="U20" s="287"/>
      <c r="V20" s="287"/>
      <c r="W20" s="287"/>
      <c r="X20" s="287"/>
      <c r="Y20" s="287"/>
      <c r="Z20" s="287"/>
      <c r="AA20" s="287"/>
      <c r="AB20" s="287"/>
      <c r="AC20" s="288"/>
      <c r="AD20" s="288"/>
      <c r="AE20" s="288"/>
      <c r="AF20" s="288"/>
    </row>
    <row r="21" spans="1:32" s="178" customFormat="1" ht="13.5" customHeight="1" x14ac:dyDescent="0.2">
      <c r="A21" s="298" t="s">
        <v>937</v>
      </c>
      <c r="B21" s="298" t="str">
        <f t="shared" si="3"/>
        <v>FLU0060-ST</v>
      </c>
      <c r="C21" s="294" t="str">
        <f>VLOOKUP(LEFT(A21,7),'Tariff Schedule Lookup Table'!$A$8:$G$198,2,FALSE)</f>
        <v>Fluorescent Twin 20</v>
      </c>
      <c r="D21" s="295">
        <f t="shared" si="4"/>
        <v>10</v>
      </c>
      <c r="E21" s="294">
        <f t="shared" si="5"/>
        <v>1</v>
      </c>
      <c r="F21" s="294" t="str">
        <f>VLOOKUP(D21,'Tariff Schedule Lookup Table'!I$7:L$298,2,FALSE)</f>
        <v>MERCURY VAPOUR 80W</v>
      </c>
      <c r="G21" s="294" t="str">
        <f>IF(F21 = "BULKHEADS ETC", "SHARED OR NO POLE", VLOOKUP(D21,'Tariff Schedule Lookup Table'!I$7:L$298,3,FALSE))</f>
        <v>SHARED OR NO POLE</v>
      </c>
      <c r="H21" s="294">
        <f>IF(F21 = "NO CAPITAL", 1, VLOOKUP(D21,'Tariff Schedule Lookup Table'!I$7:L$298,4,FALSE))</f>
        <v>1</v>
      </c>
      <c r="I21" s="296">
        <f>VLOOKUP(G21,'Input data'!$A$68:$B$72,2,FALSE)</f>
        <v>0</v>
      </c>
      <c r="J21" s="296">
        <f>VLOOKUP($B21,'Maintenance Costs'!$A:$AB,22,FALSE)</f>
        <v>15.351429764395519</v>
      </c>
      <c r="K21" s="296">
        <f>VLOOKUP($B21,'Maintenance Costs'!$A:$AB,28,FALSE)</f>
        <v>13.659665041395373</v>
      </c>
      <c r="L21" s="297">
        <f t="shared" si="2"/>
        <v>29.01109480579089</v>
      </c>
      <c r="M21" s="287">
        <v>38.904985984332669</v>
      </c>
      <c r="N21" s="30">
        <f t="shared" si="6"/>
        <v>-9.8938911785417787</v>
      </c>
      <c r="O21" s="287"/>
      <c r="P21" s="287"/>
      <c r="Q21" s="287"/>
      <c r="R21" s="287"/>
      <c r="S21" s="287"/>
      <c r="T21" s="287"/>
      <c r="U21" s="287"/>
      <c r="V21" s="287"/>
      <c r="W21" s="287"/>
      <c r="X21" s="287"/>
      <c r="Y21" s="287"/>
      <c r="Z21" s="287"/>
      <c r="AA21" s="287"/>
      <c r="AB21" s="287"/>
      <c r="AC21" s="288"/>
      <c r="AD21" s="288"/>
      <c r="AE21" s="288"/>
      <c r="AF21" s="288"/>
    </row>
    <row r="22" spans="1:32" s="178" customFormat="1" ht="13.5" customHeight="1" x14ac:dyDescent="0.2">
      <c r="A22" s="298" t="s">
        <v>938</v>
      </c>
      <c r="B22" s="298" t="str">
        <f t="shared" si="3"/>
        <v>FLU0060-ST</v>
      </c>
      <c r="C22" s="294" t="str">
        <f>VLOOKUP(LEFT(A22,7),'Tariff Schedule Lookup Table'!$A$8:$G$198,2,FALSE)</f>
        <v>Fluorescent Twin 20</v>
      </c>
      <c r="D22" s="295">
        <f t="shared" si="4"/>
        <v>10</v>
      </c>
      <c r="E22" s="294">
        <f t="shared" si="5"/>
        <v>2</v>
      </c>
      <c r="F22" s="294" t="str">
        <f>VLOOKUP(D22,'Tariff Schedule Lookup Table'!I$7:L$298,2,FALSE)</f>
        <v>MERCURY VAPOUR 80W</v>
      </c>
      <c r="G22" s="294" t="str">
        <f>IF(F22 = "BULKHEADS ETC", "SHARED OR NO POLE", VLOOKUP(D22,'Tariff Schedule Lookup Table'!I$7:L$298,3,FALSE))</f>
        <v>SHARED OR NO POLE</v>
      </c>
      <c r="H22" s="294">
        <f>IF(F22 = "NO CAPITAL", 1, VLOOKUP(D22,'Tariff Schedule Lookup Table'!I$7:L$298,4,FALSE))</f>
        <v>1</v>
      </c>
      <c r="I22" s="296">
        <f>VLOOKUP(G22,'Input data'!$A$68:$B$72,2,FALSE)</f>
        <v>0</v>
      </c>
      <c r="J22" s="296">
        <f>VLOOKUP($B22,'Maintenance Costs'!$A:$AB,22,FALSE)</f>
        <v>15.351429764395519</v>
      </c>
      <c r="K22" s="296">
        <f>VLOOKUP($B22,'Maintenance Costs'!$A:$AB,28,FALSE)</f>
        <v>13.659665041395373</v>
      </c>
      <c r="L22" s="297">
        <f t="shared" si="2"/>
        <v>29.01109480579089</v>
      </c>
      <c r="M22" s="287">
        <v>38.904985984332669</v>
      </c>
      <c r="N22" s="30">
        <f t="shared" si="6"/>
        <v>-9.8938911785417787</v>
      </c>
      <c r="O22" s="287"/>
      <c r="P22" s="287"/>
      <c r="Q22" s="287"/>
      <c r="R22" s="287"/>
      <c r="S22" s="287"/>
      <c r="T22" s="287"/>
      <c r="U22" s="287"/>
      <c r="V22" s="287"/>
      <c r="W22" s="287"/>
      <c r="X22" s="287"/>
      <c r="Y22" s="287"/>
      <c r="Z22" s="287"/>
      <c r="AA22" s="287"/>
      <c r="AB22" s="287"/>
      <c r="AC22" s="288"/>
      <c r="AD22" s="288"/>
      <c r="AE22" s="288"/>
      <c r="AF22" s="288"/>
    </row>
    <row r="23" spans="1:32" s="178" customFormat="1" ht="13.5" customHeight="1" x14ac:dyDescent="0.2">
      <c r="A23" s="298" t="s">
        <v>939</v>
      </c>
      <c r="B23" s="298" t="str">
        <f t="shared" si="3"/>
        <v>FLU0060-ST</v>
      </c>
      <c r="C23" s="294" t="str">
        <f>VLOOKUP(LEFT(A23,7),'Tariff Schedule Lookup Table'!$A$8:$G$198,2,FALSE)</f>
        <v>Fluorescent Twin 20</v>
      </c>
      <c r="D23" s="295">
        <f t="shared" si="4"/>
        <v>740</v>
      </c>
      <c r="E23" s="294">
        <f t="shared" si="5"/>
        <v>2</v>
      </c>
      <c r="F23" s="294" t="str">
        <f>VLOOKUP(D23,'Tariff Schedule Lookup Table'!I$7:L$298,2,FALSE)</f>
        <v>MERCURY VAPOUR 80W</v>
      </c>
      <c r="G23" s="294" t="str">
        <f>IF(F23 = "BULKHEADS ETC", "SHARED OR NO POLE", VLOOKUP(D23,'Tariff Schedule Lookup Table'!I$7:L$298,3,FALSE))</f>
        <v>SHARED OR NO POLE</v>
      </c>
      <c r="H23" s="294">
        <f>IF(F23 = "NO CAPITAL", 1, VLOOKUP(D23,'Tariff Schedule Lookup Table'!I$7:L$298,4,FALSE))</f>
        <v>2</v>
      </c>
      <c r="I23" s="296">
        <f>VLOOKUP(G23,'Input data'!$A$68:$B$72,2,FALSE)</f>
        <v>0</v>
      </c>
      <c r="J23" s="296">
        <f>VLOOKUP($B23,'Maintenance Costs'!$A:$AB,22,FALSE)</f>
        <v>15.351429764395519</v>
      </c>
      <c r="K23" s="296">
        <f>VLOOKUP($B23,'Maintenance Costs'!$A:$AB,28,FALSE)</f>
        <v>13.659665041395373</v>
      </c>
      <c r="L23" s="297">
        <f t="shared" si="2"/>
        <v>29.01109480579089</v>
      </c>
      <c r="M23" s="287">
        <v>38.904985984332669</v>
      </c>
      <c r="N23" s="30">
        <f t="shared" si="6"/>
        <v>-9.8938911785417787</v>
      </c>
      <c r="O23" s="287"/>
      <c r="P23" s="287"/>
      <c r="Q23" s="287"/>
      <c r="R23" s="287"/>
      <c r="S23" s="287"/>
      <c r="T23" s="287"/>
      <c r="U23" s="287"/>
      <c r="V23" s="287"/>
      <c r="W23" s="287"/>
      <c r="X23" s="287"/>
      <c r="Y23" s="287"/>
      <c r="Z23" s="287"/>
      <c r="AA23" s="287"/>
      <c r="AB23" s="287"/>
      <c r="AC23" s="288"/>
      <c r="AD23" s="288"/>
      <c r="AE23" s="288"/>
      <c r="AF23" s="288"/>
    </row>
    <row r="24" spans="1:32" s="178" customFormat="1" ht="13.5" customHeight="1" x14ac:dyDescent="0.2">
      <c r="A24" s="298" t="s">
        <v>940</v>
      </c>
      <c r="B24" s="298" t="str">
        <f t="shared" si="3"/>
        <v>FLU0060-ST</v>
      </c>
      <c r="C24" s="294" t="str">
        <f>VLOOKUP(LEFT(A24,7),'Tariff Schedule Lookup Table'!$A$8:$G$198,2,FALSE)</f>
        <v>Fluorescent Twin 20</v>
      </c>
      <c r="D24" s="295">
        <f t="shared" si="4"/>
        <v>810</v>
      </c>
      <c r="E24" s="294">
        <f t="shared" si="5"/>
        <v>1</v>
      </c>
      <c r="F24" s="294" t="str">
        <f>VLOOKUP(D24,'Tariff Schedule Lookup Table'!I$7:L$298,2,FALSE)</f>
        <v>MERCURY VAPOUR 80W</v>
      </c>
      <c r="G24" s="294" t="str">
        <f>IF(F24 = "BULKHEADS ETC", "SHARED OR NO POLE", VLOOKUP(D24,'Tariff Schedule Lookup Table'!I$7:L$298,3,FALSE))</f>
        <v>WOOD POLE</v>
      </c>
      <c r="H24" s="294">
        <f>IF(F24 = "NO CAPITAL", 1, VLOOKUP(D24,'Tariff Schedule Lookup Table'!I$7:L$298,4,FALSE))</f>
        <v>1</v>
      </c>
      <c r="I24" s="296">
        <f>VLOOKUP(G24,'Input data'!$A$68:$B$72,2,FALSE)</f>
        <v>10.809914000000001</v>
      </c>
      <c r="J24" s="296">
        <f>VLOOKUP($B24,'Maintenance Costs'!$A:$AB,22,FALSE)</f>
        <v>15.351429764395519</v>
      </c>
      <c r="K24" s="296">
        <f>VLOOKUP($B24,'Maintenance Costs'!$A:$AB,28,FALSE)</f>
        <v>13.659665041395373</v>
      </c>
      <c r="L24" s="297">
        <f t="shared" si="2"/>
        <v>39.821008805790889</v>
      </c>
      <c r="M24" s="287">
        <v>49.714899984332668</v>
      </c>
      <c r="N24" s="30">
        <f t="shared" si="6"/>
        <v>-9.8938911785417787</v>
      </c>
      <c r="O24" s="287"/>
      <c r="P24" s="287"/>
      <c r="Q24" s="287"/>
      <c r="R24" s="287"/>
      <c r="S24" s="287"/>
      <c r="T24" s="287"/>
      <c r="U24" s="287"/>
      <c r="V24" s="287"/>
      <c r="W24" s="287"/>
      <c r="X24" s="287"/>
      <c r="Y24" s="287"/>
      <c r="Z24" s="287"/>
      <c r="AA24" s="287"/>
      <c r="AB24" s="287"/>
      <c r="AC24" s="288"/>
      <c r="AD24" s="288"/>
      <c r="AE24" s="288"/>
      <c r="AF24" s="288"/>
    </row>
    <row r="25" spans="1:32" s="178" customFormat="1" ht="13.5" customHeight="1" x14ac:dyDescent="0.2">
      <c r="A25" s="298" t="s">
        <v>941</v>
      </c>
      <c r="B25" s="298" t="str">
        <f t="shared" si="3"/>
        <v>FLU0060-ST</v>
      </c>
      <c r="C25" s="294" t="str">
        <f>VLOOKUP(LEFT(A25,7),'Tariff Schedule Lookup Table'!$A$8:$G$198,2,FALSE)</f>
        <v>Fluorescent Twin 20</v>
      </c>
      <c r="D25" s="295">
        <f t="shared" si="4"/>
        <v>810</v>
      </c>
      <c r="E25" s="294">
        <f t="shared" si="5"/>
        <v>2</v>
      </c>
      <c r="F25" s="294" t="str">
        <f>VLOOKUP(D25,'Tariff Schedule Lookup Table'!I$7:L$298,2,FALSE)</f>
        <v>MERCURY VAPOUR 80W</v>
      </c>
      <c r="G25" s="294" t="str">
        <f>IF(F25 = "BULKHEADS ETC", "SHARED OR NO POLE", VLOOKUP(D25,'Tariff Schedule Lookup Table'!I$7:L$298,3,FALSE))</f>
        <v>WOOD POLE</v>
      </c>
      <c r="H25" s="294">
        <f>IF(F25 = "NO CAPITAL", 1, VLOOKUP(D25,'Tariff Schedule Lookup Table'!I$7:L$298,4,FALSE))</f>
        <v>1</v>
      </c>
      <c r="I25" s="296">
        <f>VLOOKUP(G25,'Input data'!$A$68:$B$72,2,FALSE)</f>
        <v>10.809914000000001</v>
      </c>
      <c r="J25" s="296">
        <f>VLOOKUP($B25,'Maintenance Costs'!$A:$AB,22,FALSE)</f>
        <v>15.351429764395519</v>
      </c>
      <c r="K25" s="296">
        <f>VLOOKUP($B25,'Maintenance Costs'!$A:$AB,28,FALSE)</f>
        <v>13.659665041395373</v>
      </c>
      <c r="L25" s="297">
        <f t="shared" si="2"/>
        <v>39.821008805790889</v>
      </c>
      <c r="M25" s="287">
        <v>49.714899984332668</v>
      </c>
      <c r="N25" s="30">
        <f t="shared" si="6"/>
        <v>-9.8938911785417787</v>
      </c>
      <c r="O25" s="287"/>
      <c r="P25" s="287"/>
      <c r="Q25" s="287"/>
      <c r="R25" s="287"/>
      <c r="S25" s="287"/>
      <c r="T25" s="287"/>
      <c r="U25" s="287"/>
      <c r="V25" s="287"/>
      <c r="W25" s="287"/>
      <c r="X25" s="287"/>
      <c r="Y25" s="287"/>
      <c r="Z25" s="287"/>
      <c r="AA25" s="287"/>
      <c r="AB25" s="287"/>
      <c r="AC25" s="288"/>
      <c r="AD25" s="288"/>
      <c r="AE25" s="288"/>
      <c r="AF25" s="288"/>
    </row>
    <row r="26" spans="1:32" s="178" customFormat="1" ht="13.5" customHeight="1" x14ac:dyDescent="0.2">
      <c r="A26" s="298" t="s">
        <v>942</v>
      </c>
      <c r="B26" s="298" t="str">
        <f t="shared" si="3"/>
        <v>FLU0060-ST</v>
      </c>
      <c r="C26" s="294" t="str">
        <f>VLOOKUP(LEFT(A26,7),'Tariff Schedule Lookup Table'!$A$8:$G$198,2,FALSE)</f>
        <v>Fluorescent Twin 20</v>
      </c>
      <c r="D26" s="295">
        <f t="shared" si="4"/>
        <v>830</v>
      </c>
      <c r="E26" s="294">
        <f t="shared" si="5"/>
        <v>2</v>
      </c>
      <c r="F26" s="294" t="str">
        <f>VLOOKUP(D26,'Tariff Schedule Lookup Table'!I$7:L$298,2,FALSE)</f>
        <v>MERCURY VAPOUR 80W</v>
      </c>
      <c r="G26" s="294" t="str">
        <f>IF(F26 = "BULKHEADS ETC", "SHARED OR NO POLE", VLOOKUP(D26,'Tariff Schedule Lookup Table'!I$7:L$298,3,FALSE))</f>
        <v>SHARED OR NO POLE</v>
      </c>
      <c r="H26" s="294">
        <f>IF(F26 = "NO CAPITAL", 1, VLOOKUP(D26,'Tariff Schedule Lookup Table'!I$7:L$298,4,FALSE))</f>
        <v>4</v>
      </c>
      <c r="I26" s="296">
        <f>VLOOKUP(G26,'Input data'!$A$68:$B$72,2,FALSE)</f>
        <v>0</v>
      </c>
      <c r="J26" s="296">
        <f>VLOOKUP($B26,'Maintenance Costs'!$A:$AB,22,FALSE)</f>
        <v>15.351429764395519</v>
      </c>
      <c r="K26" s="296">
        <f>VLOOKUP($B26,'Maintenance Costs'!$A:$AB,28,FALSE)</f>
        <v>13.659665041395373</v>
      </c>
      <c r="L26" s="297">
        <f t="shared" si="2"/>
        <v>29.01109480579089</v>
      </c>
      <c r="M26" s="287">
        <v>38.904985984332669</v>
      </c>
      <c r="N26" s="30">
        <f t="shared" si="6"/>
        <v>-9.8938911785417787</v>
      </c>
      <c r="O26" s="287"/>
      <c r="P26" s="287"/>
      <c r="Q26" s="287"/>
      <c r="R26" s="287"/>
      <c r="S26" s="287"/>
      <c r="T26" s="287"/>
      <c r="U26" s="287"/>
      <c r="V26" s="287"/>
      <c r="W26" s="287"/>
      <c r="X26" s="287"/>
      <c r="Y26" s="287"/>
      <c r="Z26" s="287"/>
      <c r="AA26" s="287"/>
      <c r="AB26" s="287"/>
      <c r="AC26" s="288"/>
      <c r="AD26" s="288"/>
      <c r="AE26" s="288"/>
      <c r="AF26" s="288"/>
    </row>
    <row r="27" spans="1:32" s="178" customFormat="1" ht="13.5" customHeight="1" x14ac:dyDescent="0.2">
      <c r="A27" s="298" t="s">
        <v>943</v>
      </c>
      <c r="B27" s="298" t="str">
        <f t="shared" si="3"/>
        <v>FLU0060-ST</v>
      </c>
      <c r="C27" s="294" t="str">
        <f>VLOOKUP(LEFT(A27,7),'Tariff Schedule Lookup Table'!$A$8:$G$198,2,FALSE)</f>
        <v>Fluorescent Twin 20</v>
      </c>
      <c r="D27" s="295">
        <f t="shared" si="4"/>
        <v>990</v>
      </c>
      <c r="E27" s="294">
        <f t="shared" si="5"/>
        <v>1</v>
      </c>
      <c r="F27" s="294" t="str">
        <f>VLOOKUP(D27,'Tariff Schedule Lookup Table'!I$7:L$298,2,FALSE)</f>
        <v>MERCURY VAPOUR 80W</v>
      </c>
      <c r="G27" s="294" t="str">
        <f>IF(F27 = "BULKHEADS ETC", "SHARED OR NO POLE", VLOOKUP(D27,'Tariff Schedule Lookup Table'!I$7:L$298,3,FALSE))</f>
        <v>STEEL POLE</v>
      </c>
      <c r="H27" s="294">
        <f>IF(F27 = "NO CAPITAL", 1, VLOOKUP(D27,'Tariff Schedule Lookup Table'!I$7:L$298,4,FALSE))</f>
        <v>1</v>
      </c>
      <c r="I27" s="296">
        <f>VLOOKUP(G27,'Input data'!$A$68:$B$72,2,FALSE)</f>
        <v>9.8748837500000004</v>
      </c>
      <c r="J27" s="296">
        <f>VLOOKUP($B27,'Maintenance Costs'!$A:$AB,22,FALSE)</f>
        <v>15.351429764395519</v>
      </c>
      <c r="K27" s="296">
        <f>VLOOKUP($B27,'Maintenance Costs'!$A:$AB,28,FALSE)</f>
        <v>13.659665041395373</v>
      </c>
      <c r="L27" s="297">
        <f t="shared" si="2"/>
        <v>38.885978555790892</v>
      </c>
      <c r="M27" s="287">
        <v>48.779869734332671</v>
      </c>
      <c r="N27" s="30">
        <f t="shared" si="6"/>
        <v>-9.8938911785417787</v>
      </c>
      <c r="O27" s="287"/>
      <c r="P27" s="287"/>
      <c r="Q27" s="287"/>
      <c r="R27" s="287"/>
      <c r="S27" s="287"/>
      <c r="T27" s="287"/>
      <c r="U27" s="287"/>
      <c r="V27" s="287"/>
      <c r="W27" s="287"/>
      <c r="X27" s="287"/>
      <c r="Y27" s="287"/>
      <c r="Z27" s="287"/>
      <c r="AA27" s="287"/>
      <c r="AB27" s="287"/>
      <c r="AC27" s="288"/>
      <c r="AD27" s="288"/>
      <c r="AE27" s="288"/>
      <c r="AF27" s="288"/>
    </row>
    <row r="28" spans="1:32" s="178" customFormat="1" ht="13.5" customHeight="1" x14ac:dyDescent="0.2">
      <c r="A28" s="298" t="s">
        <v>944</v>
      </c>
      <c r="B28" s="298" t="str">
        <f t="shared" si="3"/>
        <v>FLU0060-ST</v>
      </c>
      <c r="C28" s="294" t="str">
        <f>VLOOKUP(LEFT(A28,7),'Tariff Schedule Lookup Table'!$A$8:$G$198,2,FALSE)</f>
        <v>Fluorescent Twin 20</v>
      </c>
      <c r="D28" s="295">
        <f t="shared" si="4"/>
        <v>990</v>
      </c>
      <c r="E28" s="294">
        <f t="shared" si="5"/>
        <v>2</v>
      </c>
      <c r="F28" s="294" t="str">
        <f>VLOOKUP(D28,'Tariff Schedule Lookup Table'!I$7:L$298,2,FALSE)</f>
        <v>MERCURY VAPOUR 80W</v>
      </c>
      <c r="G28" s="294" t="str">
        <f>IF(F28 = "BULKHEADS ETC", "SHARED OR NO POLE", VLOOKUP(D28,'Tariff Schedule Lookup Table'!I$7:L$298,3,FALSE))</f>
        <v>STEEL POLE</v>
      </c>
      <c r="H28" s="294">
        <f>IF(F28 = "NO CAPITAL", 1, VLOOKUP(D28,'Tariff Schedule Lookup Table'!I$7:L$298,4,FALSE))</f>
        <v>1</v>
      </c>
      <c r="I28" s="296">
        <f>VLOOKUP(G28,'Input data'!$A$68:$B$72,2,FALSE)</f>
        <v>9.8748837500000004</v>
      </c>
      <c r="J28" s="296">
        <f>VLOOKUP($B28,'Maintenance Costs'!$A:$AB,22,FALSE)</f>
        <v>15.351429764395519</v>
      </c>
      <c r="K28" s="296">
        <f>VLOOKUP($B28,'Maintenance Costs'!$A:$AB,28,FALSE)</f>
        <v>13.659665041395373</v>
      </c>
      <c r="L28" s="297">
        <f t="shared" si="2"/>
        <v>38.885978555790892</v>
      </c>
      <c r="M28" s="287">
        <v>48.779869734332671</v>
      </c>
      <c r="N28" s="30">
        <f t="shared" si="6"/>
        <v>-9.8938911785417787</v>
      </c>
      <c r="O28" s="287"/>
      <c r="P28" s="287"/>
      <c r="Q28" s="287"/>
      <c r="R28" s="287"/>
      <c r="S28" s="287"/>
      <c r="T28" s="287"/>
      <c r="U28" s="287"/>
      <c r="V28" s="287"/>
      <c r="W28" s="287"/>
      <c r="X28" s="287"/>
      <c r="Y28" s="287"/>
      <c r="Z28" s="287"/>
      <c r="AA28" s="287"/>
      <c r="AB28" s="287"/>
      <c r="AC28" s="288"/>
      <c r="AD28" s="288"/>
      <c r="AE28" s="288"/>
      <c r="AF28" s="288"/>
    </row>
    <row r="29" spans="1:32" s="178" customFormat="1" ht="13.5" customHeight="1" x14ac:dyDescent="0.2">
      <c r="A29" s="298" t="s">
        <v>945</v>
      </c>
      <c r="B29" s="298" t="str">
        <f t="shared" si="3"/>
        <v>FLU0060-ST</v>
      </c>
      <c r="C29" s="294" t="str">
        <f>VLOOKUP(LEFT(A29,7),'Tariff Schedule Lookup Table'!$A$8:$G$198,2,FALSE)</f>
        <v>Fluorescent Twin 20</v>
      </c>
      <c r="D29" s="295">
        <f t="shared" si="4"/>
        <v>1000</v>
      </c>
      <c r="E29" s="294">
        <f t="shared" si="5"/>
        <v>2</v>
      </c>
      <c r="F29" s="294" t="str">
        <f>VLOOKUP(D29,'Tariff Schedule Lookup Table'!I$7:L$298,2,FALSE)</f>
        <v>MERCURY VAPOUR 80W</v>
      </c>
      <c r="G29" s="294" t="str">
        <f>IF(F29 = "BULKHEADS ETC", "SHARED OR NO POLE", VLOOKUP(D29,'Tariff Schedule Lookup Table'!I$7:L$298,3,FALSE))</f>
        <v>STEEL POLE</v>
      </c>
      <c r="H29" s="294">
        <f>IF(F29 = "NO CAPITAL", 1, VLOOKUP(D29,'Tariff Schedule Lookup Table'!I$7:L$298,4,FALSE))</f>
        <v>2</v>
      </c>
      <c r="I29" s="296">
        <f>VLOOKUP(G29,'Input data'!$A$68:$B$72,2,FALSE)</f>
        <v>9.8748837500000004</v>
      </c>
      <c r="J29" s="296">
        <f>VLOOKUP($B29,'Maintenance Costs'!$A:$AB,22,FALSE)</f>
        <v>15.351429764395519</v>
      </c>
      <c r="K29" s="296">
        <f>VLOOKUP($B29,'Maintenance Costs'!$A:$AB,28,FALSE)</f>
        <v>13.659665041395373</v>
      </c>
      <c r="L29" s="297">
        <f t="shared" si="2"/>
        <v>33.948536680790887</v>
      </c>
      <c r="M29" s="287">
        <v>43.842427859332666</v>
      </c>
      <c r="N29" s="30">
        <f t="shared" si="6"/>
        <v>-9.8938911785417787</v>
      </c>
      <c r="O29" s="287"/>
      <c r="P29" s="287"/>
      <c r="Q29" s="287"/>
      <c r="R29" s="287"/>
      <c r="S29" s="287"/>
      <c r="T29" s="287"/>
      <c r="U29" s="287"/>
      <c r="V29" s="287"/>
      <c r="W29" s="287"/>
      <c r="X29" s="287"/>
      <c r="Y29" s="287"/>
      <c r="Z29" s="287"/>
      <c r="AA29" s="287"/>
      <c r="AB29" s="287"/>
      <c r="AC29" s="288"/>
      <c r="AD29" s="288"/>
      <c r="AE29" s="288"/>
      <c r="AF29" s="288"/>
    </row>
    <row r="30" spans="1:32" s="178" customFormat="1" ht="13.5" customHeight="1" x14ac:dyDescent="0.2">
      <c r="A30" s="298" t="s">
        <v>946</v>
      </c>
      <c r="B30" s="298" t="str">
        <f t="shared" si="3"/>
        <v>FLU0070-ST</v>
      </c>
      <c r="C30" s="294" t="str">
        <f>VLOOKUP(LEFT(A30,7),'Tariff Schedule Lookup Table'!$A$8:$G$198,2,FALSE)</f>
        <v>Fluorescent 3x20</v>
      </c>
      <c r="D30" s="295">
        <f t="shared" si="4"/>
        <v>10</v>
      </c>
      <c r="E30" s="294">
        <f t="shared" si="5"/>
        <v>2</v>
      </c>
      <c r="F30" s="294" t="str">
        <f>VLOOKUP(D30,'Tariff Schedule Lookup Table'!I$7:L$298,2,FALSE)</f>
        <v>MERCURY VAPOUR 80W</v>
      </c>
      <c r="G30" s="294" t="str">
        <f>IF(F30 = "BULKHEADS ETC", "SHARED OR NO POLE", VLOOKUP(D30,'Tariff Schedule Lookup Table'!I$7:L$298,3,FALSE))</f>
        <v>SHARED OR NO POLE</v>
      </c>
      <c r="H30" s="294">
        <f>IF(F30 = "NO CAPITAL", 1, VLOOKUP(D30,'Tariff Schedule Lookup Table'!I$7:L$298,4,FALSE))</f>
        <v>1</v>
      </c>
      <c r="I30" s="296">
        <f>VLOOKUP(G30,'Input data'!$A$68:$B$72,2,FALSE)</f>
        <v>0</v>
      </c>
      <c r="J30" s="296">
        <f>VLOOKUP($B30,'Maintenance Costs'!$A:$AB,22,FALSE)</f>
        <v>15.627275748273554</v>
      </c>
      <c r="K30" s="296">
        <f>VLOOKUP($B30,'Maintenance Costs'!$A:$AB,28,FALSE)</f>
        <v>14.803829041395373</v>
      </c>
      <c r="L30" s="297">
        <f t="shared" si="2"/>
        <v>30.431104789668929</v>
      </c>
      <c r="M30" s="287">
        <v>40.828892943789157</v>
      </c>
      <c r="N30" s="30">
        <f t="shared" si="6"/>
        <v>-10.397788154120228</v>
      </c>
      <c r="O30" s="287"/>
      <c r="P30" s="287"/>
      <c r="Q30" s="287"/>
      <c r="R30" s="287"/>
      <c r="S30" s="287"/>
      <c r="T30" s="287"/>
      <c r="U30" s="287"/>
      <c r="V30" s="287"/>
      <c r="W30" s="287"/>
      <c r="X30" s="287"/>
      <c r="Y30" s="287"/>
      <c r="Z30" s="287"/>
      <c r="AA30" s="287"/>
      <c r="AB30" s="287"/>
      <c r="AC30" s="288"/>
      <c r="AD30" s="288"/>
      <c r="AE30" s="288"/>
      <c r="AF30" s="288"/>
    </row>
    <row r="31" spans="1:32" s="178" customFormat="1" ht="13.5" customHeight="1" x14ac:dyDescent="0.2">
      <c r="A31" s="298" t="s">
        <v>947</v>
      </c>
      <c r="B31" s="298" t="str">
        <f t="shared" si="3"/>
        <v>FLU0080-ST</v>
      </c>
      <c r="C31" s="294" t="str">
        <f>VLOOKUP(LEFT(A31,7),'Tariff Schedule Lookup Table'!$A$8:$G$198,2,FALSE)</f>
        <v>Fluorescent 4x20</v>
      </c>
      <c r="D31" s="295">
        <f t="shared" si="4"/>
        <v>1</v>
      </c>
      <c r="E31" s="294">
        <f t="shared" si="5"/>
        <v>6</v>
      </c>
      <c r="F31" s="294" t="str">
        <f>VLOOKUP(D31,'Tariff Schedule Lookup Table'!I$7:L$298,2,FALSE)</f>
        <v>NO CAPITAL</v>
      </c>
      <c r="G31" s="294" t="str">
        <f>IF(F31 = "BULKHEADS ETC", "SHARED OR NO POLE", VLOOKUP(D31,'Tariff Schedule Lookup Table'!I$7:L$298,3,FALSE))</f>
        <v>NO CAPITAL</v>
      </c>
      <c r="H31" s="294">
        <f>IF(F31 = "NO CAPITAL", 1, VLOOKUP(D31,'Tariff Schedule Lookup Table'!I$7:L$298,4,FALSE))</f>
        <v>1</v>
      </c>
      <c r="I31" s="296">
        <f>VLOOKUP(G31,'Input data'!$A$68:$B$72,2,FALSE)</f>
        <v>0</v>
      </c>
      <c r="J31" s="296">
        <v>0</v>
      </c>
      <c r="K31" s="296">
        <v>0</v>
      </c>
      <c r="L31" s="297">
        <f t="shared" si="2"/>
        <v>0</v>
      </c>
      <c r="M31" s="287">
        <v>0</v>
      </c>
      <c r="N31" s="30">
        <f t="shared" si="6"/>
        <v>0</v>
      </c>
      <c r="O31" s="287"/>
      <c r="P31" s="287"/>
      <c r="Q31" s="287"/>
      <c r="R31" s="287"/>
      <c r="S31" s="287"/>
      <c r="T31" s="287"/>
      <c r="U31" s="287"/>
      <c r="V31" s="287"/>
      <c r="W31" s="287"/>
      <c r="X31" s="287"/>
      <c r="Y31" s="287"/>
      <c r="Z31" s="287"/>
      <c r="AA31" s="287"/>
      <c r="AB31" s="287"/>
      <c r="AC31" s="288"/>
      <c r="AD31" s="288"/>
      <c r="AE31" s="288"/>
      <c r="AF31" s="288"/>
    </row>
    <row r="32" spans="1:32" s="178" customFormat="1" ht="13.5" customHeight="1" x14ac:dyDescent="0.2">
      <c r="A32" s="298" t="s">
        <v>948</v>
      </c>
      <c r="B32" s="298" t="str">
        <f t="shared" si="3"/>
        <v>FLU0080-ST</v>
      </c>
      <c r="C32" s="294" t="str">
        <f>VLOOKUP(LEFT(A32,7),'Tariff Schedule Lookup Table'!$A$8:$G$198,2,FALSE)</f>
        <v>Fluorescent 4x20</v>
      </c>
      <c r="D32" s="295">
        <f t="shared" si="4"/>
        <v>10</v>
      </c>
      <c r="E32" s="294">
        <f t="shared" si="5"/>
        <v>1</v>
      </c>
      <c r="F32" s="294" t="str">
        <f>VLOOKUP(D32,'Tariff Schedule Lookup Table'!I$7:L$298,2,FALSE)</f>
        <v>MERCURY VAPOUR 80W</v>
      </c>
      <c r="G32" s="294" t="str">
        <f>IF(F32 = "BULKHEADS ETC", "SHARED OR NO POLE", VLOOKUP(D32,'Tariff Schedule Lookup Table'!I$7:L$298,3,FALSE))</f>
        <v>SHARED OR NO POLE</v>
      </c>
      <c r="H32" s="294">
        <f>IF(F32 = "NO CAPITAL", 1, VLOOKUP(D32,'Tariff Schedule Lookup Table'!I$7:L$298,4,FALSE))</f>
        <v>1</v>
      </c>
      <c r="I32" s="296">
        <f>VLOOKUP(G32,'Input data'!$A$68:$B$72,2,FALSE)</f>
        <v>0</v>
      </c>
      <c r="J32" s="296">
        <f>VLOOKUP($B32,'Maintenance Costs'!$A:$AB,22,FALSE)</f>
        <v>15.873378948273555</v>
      </c>
      <c r="K32" s="296">
        <f>VLOOKUP($B32,'Maintenance Costs'!$A:$AB,28,FALSE)</f>
        <v>15.947993041395373</v>
      </c>
      <c r="L32" s="297">
        <f t="shared" si="2"/>
        <v>31.821371989668926</v>
      </c>
      <c r="M32" s="287">
        <v>42.738523366984182</v>
      </c>
      <c r="N32" s="30">
        <f t="shared" si="6"/>
        <v>-10.917151377315257</v>
      </c>
      <c r="O32" s="287"/>
      <c r="P32" s="287"/>
      <c r="Q32" s="287"/>
      <c r="R32" s="287"/>
      <c r="S32" s="287"/>
      <c r="T32" s="287"/>
      <c r="U32" s="287"/>
      <c r="V32" s="287"/>
      <c r="W32" s="287"/>
      <c r="X32" s="287"/>
      <c r="Y32" s="287"/>
      <c r="Z32" s="287"/>
      <c r="AA32" s="287"/>
      <c r="AB32" s="287"/>
      <c r="AC32" s="288"/>
      <c r="AD32" s="288"/>
      <c r="AE32" s="288"/>
      <c r="AF32" s="288"/>
    </row>
    <row r="33" spans="1:32" s="178" customFormat="1" ht="13.5" customHeight="1" x14ac:dyDescent="0.2">
      <c r="A33" s="298" t="s">
        <v>949</v>
      </c>
      <c r="B33" s="298" t="str">
        <f t="shared" si="3"/>
        <v>FLU0080-ST</v>
      </c>
      <c r="C33" s="294" t="str">
        <f>VLOOKUP(LEFT(A33,7),'Tariff Schedule Lookup Table'!$A$8:$G$198,2,FALSE)</f>
        <v>Fluorescent 4x20</v>
      </c>
      <c r="D33" s="295">
        <f t="shared" si="4"/>
        <v>10</v>
      </c>
      <c r="E33" s="294">
        <f t="shared" si="5"/>
        <v>2</v>
      </c>
      <c r="F33" s="294" t="str">
        <f>VLOOKUP(D33,'Tariff Schedule Lookup Table'!I$7:L$298,2,FALSE)</f>
        <v>MERCURY VAPOUR 80W</v>
      </c>
      <c r="G33" s="294" t="str">
        <f>IF(F33 = "BULKHEADS ETC", "SHARED OR NO POLE", VLOOKUP(D33,'Tariff Schedule Lookup Table'!I$7:L$298,3,FALSE))</f>
        <v>SHARED OR NO POLE</v>
      </c>
      <c r="H33" s="294">
        <f>IF(F33 = "NO CAPITAL", 1, VLOOKUP(D33,'Tariff Schedule Lookup Table'!I$7:L$298,4,FALSE))</f>
        <v>1</v>
      </c>
      <c r="I33" s="296">
        <f>VLOOKUP(G33,'Input data'!$A$68:$B$72,2,FALSE)</f>
        <v>0</v>
      </c>
      <c r="J33" s="296">
        <f>VLOOKUP($B33,'Maintenance Costs'!$A:$AB,22,FALSE)</f>
        <v>15.873378948273555</v>
      </c>
      <c r="K33" s="296">
        <f>VLOOKUP($B33,'Maintenance Costs'!$A:$AB,28,FALSE)</f>
        <v>15.947993041395373</v>
      </c>
      <c r="L33" s="297">
        <f t="shared" si="2"/>
        <v>31.821371989668926</v>
      </c>
      <c r="M33" s="287">
        <v>42.738523366984182</v>
      </c>
      <c r="N33" s="30">
        <f t="shared" si="6"/>
        <v>-10.917151377315257</v>
      </c>
      <c r="O33" s="287"/>
      <c r="P33" s="287"/>
      <c r="Q33" s="287"/>
      <c r="R33" s="287"/>
      <c r="S33" s="287"/>
      <c r="T33" s="287"/>
      <c r="U33" s="287"/>
      <c r="V33" s="287"/>
      <c r="W33" s="287"/>
      <c r="X33" s="287"/>
      <c r="Y33" s="287"/>
      <c r="Z33" s="287"/>
      <c r="AA33" s="287"/>
      <c r="AB33" s="287"/>
      <c r="AC33" s="288"/>
      <c r="AD33" s="288"/>
      <c r="AE33" s="288"/>
      <c r="AF33" s="288"/>
    </row>
    <row r="34" spans="1:32" s="178" customFormat="1" ht="13.5" customHeight="1" x14ac:dyDescent="0.2">
      <c r="A34" s="298" t="s">
        <v>950</v>
      </c>
      <c r="B34" s="298" t="str">
        <f t="shared" si="3"/>
        <v>FLU0080-ST</v>
      </c>
      <c r="C34" s="294" t="str">
        <f>VLOOKUP(LEFT(A34,7),'Tariff Schedule Lookup Table'!$A$8:$G$198,2,FALSE)</f>
        <v>Fluorescent 4x20</v>
      </c>
      <c r="D34" s="295">
        <f t="shared" si="4"/>
        <v>990</v>
      </c>
      <c r="E34" s="294">
        <f t="shared" si="5"/>
        <v>2</v>
      </c>
      <c r="F34" s="294" t="str">
        <f>VLOOKUP(D34,'Tariff Schedule Lookup Table'!I$7:L$298,2,FALSE)</f>
        <v>MERCURY VAPOUR 80W</v>
      </c>
      <c r="G34" s="294" t="str">
        <f>IF(F34 = "BULKHEADS ETC", "SHARED OR NO POLE", VLOOKUP(D34,'Tariff Schedule Lookup Table'!I$7:L$298,3,FALSE))</f>
        <v>STEEL POLE</v>
      </c>
      <c r="H34" s="294">
        <f>IF(F34 = "NO CAPITAL", 1, VLOOKUP(D34,'Tariff Schedule Lookup Table'!I$7:L$298,4,FALSE))</f>
        <v>1</v>
      </c>
      <c r="I34" s="296">
        <f>VLOOKUP(G34,'Input data'!$A$68:$B$72,2,FALSE)</f>
        <v>9.8748837500000004</v>
      </c>
      <c r="J34" s="296">
        <f>VLOOKUP($B34,'Maintenance Costs'!$A:$AB,22,FALSE)</f>
        <v>15.873378948273555</v>
      </c>
      <c r="K34" s="296">
        <f>VLOOKUP($B34,'Maintenance Costs'!$A:$AB,28,FALSE)</f>
        <v>15.947993041395373</v>
      </c>
      <c r="L34" s="297">
        <f t="shared" si="2"/>
        <v>41.696255739668928</v>
      </c>
      <c r="M34" s="287">
        <v>52.613407116984185</v>
      </c>
      <c r="N34" s="30">
        <f t="shared" si="6"/>
        <v>-10.917151377315257</v>
      </c>
      <c r="O34" s="287"/>
      <c r="P34" s="287"/>
      <c r="Q34" s="287"/>
      <c r="R34" s="287"/>
      <c r="S34" s="287"/>
      <c r="T34" s="287"/>
      <c r="U34" s="287"/>
      <c r="V34" s="287"/>
      <c r="W34" s="287"/>
      <c r="X34" s="287"/>
      <c r="Y34" s="287"/>
      <c r="Z34" s="287"/>
      <c r="AA34" s="287"/>
      <c r="AB34" s="287"/>
      <c r="AC34" s="288"/>
      <c r="AD34" s="288"/>
      <c r="AE34" s="288"/>
      <c r="AF34" s="288"/>
    </row>
    <row r="35" spans="1:32" s="178" customFormat="1" ht="13.5" customHeight="1" x14ac:dyDescent="0.2">
      <c r="A35" s="298" t="s">
        <v>951</v>
      </c>
      <c r="B35" s="298" t="str">
        <f t="shared" si="3"/>
        <v>FLU0100-ST</v>
      </c>
      <c r="C35" s="294" t="str">
        <f>VLOOKUP(LEFT(A35,7),'Tariff Schedule Lookup Table'!$A$8:$G$198,2,FALSE)</f>
        <v>Fluorescent 26</v>
      </c>
      <c r="D35" s="295">
        <f t="shared" si="4"/>
        <v>1</v>
      </c>
      <c r="E35" s="294">
        <f t="shared" si="5"/>
        <v>6</v>
      </c>
      <c r="F35" s="294" t="str">
        <f>VLOOKUP(D35,'Tariff Schedule Lookup Table'!I$7:L$298,2,FALSE)</f>
        <v>NO CAPITAL</v>
      </c>
      <c r="G35" s="294" t="str">
        <f>IF(F35 = "BULKHEADS ETC", "SHARED OR NO POLE", VLOOKUP(D35,'Tariff Schedule Lookup Table'!I$7:L$298,3,FALSE))</f>
        <v>NO CAPITAL</v>
      </c>
      <c r="H35" s="294">
        <f>IF(F35 = "NO CAPITAL", 1, VLOOKUP(D35,'Tariff Schedule Lookup Table'!I$7:L$298,4,FALSE))</f>
        <v>1</v>
      </c>
      <c r="I35" s="296">
        <f>VLOOKUP(G35,'Input data'!$A$68:$B$72,2,FALSE)</f>
        <v>0</v>
      </c>
      <c r="J35" s="296">
        <v>0</v>
      </c>
      <c r="K35" s="296">
        <v>0</v>
      </c>
      <c r="L35" s="297">
        <f t="shared" si="2"/>
        <v>0</v>
      </c>
      <c r="M35" s="287">
        <v>0</v>
      </c>
      <c r="N35" s="30">
        <f t="shared" si="6"/>
        <v>0</v>
      </c>
      <c r="O35" s="287"/>
      <c r="P35" s="287"/>
      <c r="Q35" s="287"/>
      <c r="R35" s="287"/>
      <c r="S35" s="287"/>
      <c r="T35" s="287"/>
      <c r="U35" s="287"/>
      <c r="V35" s="287"/>
      <c r="W35" s="287"/>
      <c r="X35" s="287"/>
      <c r="Y35" s="287"/>
      <c r="Z35" s="287"/>
      <c r="AA35" s="287"/>
      <c r="AB35" s="287"/>
      <c r="AC35" s="288"/>
      <c r="AD35" s="288"/>
      <c r="AE35" s="288"/>
      <c r="AF35" s="288"/>
    </row>
    <row r="36" spans="1:32" s="178" customFormat="1" ht="13.5" customHeight="1" x14ac:dyDescent="0.2">
      <c r="A36" s="298" t="s">
        <v>952</v>
      </c>
      <c r="B36" s="298" t="str">
        <f t="shared" si="3"/>
        <v>FLU0100-ST</v>
      </c>
      <c r="C36" s="294" t="str">
        <f>VLOOKUP(LEFT(A36,7),'Tariff Schedule Lookup Table'!$A$8:$G$198,2,FALSE)</f>
        <v>Fluorescent 26</v>
      </c>
      <c r="D36" s="295">
        <f t="shared" si="4"/>
        <v>10</v>
      </c>
      <c r="E36" s="294">
        <f t="shared" si="5"/>
        <v>1</v>
      </c>
      <c r="F36" s="294" t="str">
        <f>VLOOKUP(D36,'Tariff Schedule Lookup Table'!I$7:L$298,2,FALSE)</f>
        <v>MERCURY VAPOUR 80W</v>
      </c>
      <c r="G36" s="294" t="str">
        <f>IF(F36 = "BULKHEADS ETC", "SHARED OR NO POLE", VLOOKUP(D36,'Tariff Schedule Lookup Table'!I$7:L$298,3,FALSE))</f>
        <v>SHARED OR NO POLE</v>
      </c>
      <c r="H36" s="294">
        <f>IF(F36 = "NO CAPITAL", 1, VLOOKUP(D36,'Tariff Schedule Lookup Table'!I$7:L$298,4,FALSE))</f>
        <v>1</v>
      </c>
      <c r="I36" s="296">
        <f>VLOOKUP(G36,'Input data'!$A$68:$B$72,2,FALSE)</f>
        <v>0</v>
      </c>
      <c r="J36" s="296">
        <f>VLOOKUP($B36,'Maintenance Costs'!$A:$AB,22,FALSE)</f>
        <v>15.135069348273554</v>
      </c>
      <c r="K36" s="296">
        <f>VLOOKUP($B36,'Maintenance Costs'!$A:$AB,28,FALSE)</f>
        <v>12.515501041395373</v>
      </c>
      <c r="L36" s="297">
        <f t="shared" si="2"/>
        <v>27.650570389668928</v>
      </c>
      <c r="M36" s="287">
        <v>37.146448903238081</v>
      </c>
      <c r="N36" s="30">
        <f t="shared" si="6"/>
        <v>-9.4958785135691528</v>
      </c>
      <c r="O36" s="287"/>
      <c r="P36" s="287"/>
      <c r="Q36" s="287"/>
      <c r="R36" s="287"/>
      <c r="S36" s="287"/>
      <c r="T36" s="287"/>
      <c r="U36" s="287"/>
      <c r="V36" s="287"/>
      <c r="W36" s="287"/>
      <c r="X36" s="287"/>
      <c r="Y36" s="287"/>
      <c r="Z36" s="287"/>
      <c r="AA36" s="287"/>
      <c r="AB36" s="287"/>
      <c r="AC36" s="288"/>
      <c r="AD36" s="288"/>
      <c r="AE36" s="288"/>
      <c r="AF36" s="288"/>
    </row>
    <row r="37" spans="1:32" s="178" customFormat="1" ht="13.5" customHeight="1" x14ac:dyDescent="0.2">
      <c r="A37" s="298" t="s">
        <v>953</v>
      </c>
      <c r="B37" s="298" t="str">
        <f t="shared" si="3"/>
        <v>FLU0100-ST</v>
      </c>
      <c r="C37" s="294" t="str">
        <f>VLOOKUP(LEFT(A37,7),'Tariff Schedule Lookup Table'!$A$8:$G$198,2,FALSE)</f>
        <v>Fluorescent 26</v>
      </c>
      <c r="D37" s="295">
        <f t="shared" si="4"/>
        <v>10</v>
      </c>
      <c r="E37" s="294">
        <f t="shared" si="5"/>
        <v>2</v>
      </c>
      <c r="F37" s="294" t="str">
        <f>VLOOKUP(D37,'Tariff Schedule Lookup Table'!I$7:L$298,2,FALSE)</f>
        <v>MERCURY VAPOUR 80W</v>
      </c>
      <c r="G37" s="294" t="str">
        <f>IF(F37 = "BULKHEADS ETC", "SHARED OR NO POLE", VLOOKUP(D37,'Tariff Schedule Lookup Table'!I$7:L$298,3,FALSE))</f>
        <v>SHARED OR NO POLE</v>
      </c>
      <c r="H37" s="294">
        <f>IF(F37 = "NO CAPITAL", 1, VLOOKUP(D37,'Tariff Schedule Lookup Table'!I$7:L$298,4,FALSE))</f>
        <v>1</v>
      </c>
      <c r="I37" s="296">
        <f>VLOOKUP(G37,'Input data'!$A$68:$B$72,2,FALSE)</f>
        <v>0</v>
      </c>
      <c r="J37" s="296">
        <f>VLOOKUP($B37,'Maintenance Costs'!$A:$AB,22,FALSE)</f>
        <v>15.135069348273554</v>
      </c>
      <c r="K37" s="296">
        <f>VLOOKUP($B37,'Maintenance Costs'!$A:$AB,28,FALSE)</f>
        <v>12.515501041395373</v>
      </c>
      <c r="L37" s="297">
        <f t="shared" si="2"/>
        <v>27.650570389668928</v>
      </c>
      <c r="M37" s="287">
        <v>37.146448903238081</v>
      </c>
      <c r="N37" s="30">
        <f t="shared" si="6"/>
        <v>-9.4958785135691528</v>
      </c>
      <c r="O37" s="287"/>
      <c r="P37" s="287"/>
      <c r="Q37" s="287"/>
      <c r="R37" s="287"/>
      <c r="S37" s="287"/>
      <c r="T37" s="287"/>
      <c r="U37" s="287"/>
      <c r="V37" s="287"/>
      <c r="W37" s="287"/>
      <c r="X37" s="287"/>
      <c r="Y37" s="287"/>
      <c r="Z37" s="287"/>
      <c r="AA37" s="287"/>
      <c r="AB37" s="287"/>
      <c r="AC37" s="288"/>
      <c r="AD37" s="288"/>
      <c r="AE37" s="288"/>
      <c r="AF37" s="288"/>
    </row>
    <row r="38" spans="1:32" s="178" customFormat="1" ht="13.5" customHeight="1" x14ac:dyDescent="0.2">
      <c r="A38" s="298" t="s">
        <v>954</v>
      </c>
      <c r="B38" s="298" t="str">
        <f t="shared" si="3"/>
        <v>FLU0100-ST</v>
      </c>
      <c r="C38" s="294" t="str">
        <f>VLOOKUP(LEFT(A38,7),'Tariff Schedule Lookup Table'!$A$8:$G$198,2,FALSE)</f>
        <v>Fluorescent 26</v>
      </c>
      <c r="D38" s="295">
        <f t="shared" si="4"/>
        <v>990</v>
      </c>
      <c r="E38" s="294">
        <f t="shared" si="5"/>
        <v>2</v>
      </c>
      <c r="F38" s="294" t="str">
        <f>VLOOKUP(D38,'Tariff Schedule Lookup Table'!I$7:L$298,2,FALSE)</f>
        <v>MERCURY VAPOUR 80W</v>
      </c>
      <c r="G38" s="294" t="str">
        <f>IF(F38 = "BULKHEADS ETC", "SHARED OR NO POLE", VLOOKUP(D38,'Tariff Schedule Lookup Table'!I$7:L$298,3,FALSE))</f>
        <v>STEEL POLE</v>
      </c>
      <c r="H38" s="294">
        <f>IF(F38 = "NO CAPITAL", 1, VLOOKUP(D38,'Tariff Schedule Lookup Table'!I$7:L$298,4,FALSE))</f>
        <v>1</v>
      </c>
      <c r="I38" s="296">
        <f>VLOOKUP(G38,'Input data'!$A$68:$B$72,2,FALSE)</f>
        <v>9.8748837500000004</v>
      </c>
      <c r="J38" s="296">
        <f>VLOOKUP($B38,'Maintenance Costs'!$A:$AB,22,FALSE)</f>
        <v>15.135069348273554</v>
      </c>
      <c r="K38" s="296">
        <f>VLOOKUP($B38,'Maintenance Costs'!$A:$AB,28,FALSE)</f>
        <v>12.515501041395373</v>
      </c>
      <c r="L38" s="297">
        <f t="shared" si="2"/>
        <v>37.525454139668931</v>
      </c>
      <c r="M38" s="287">
        <v>47.021332653238083</v>
      </c>
      <c r="N38" s="30">
        <f t="shared" si="6"/>
        <v>-9.4958785135691528</v>
      </c>
      <c r="O38" s="287"/>
      <c r="P38" s="287"/>
      <c r="Q38" s="287"/>
      <c r="R38" s="287"/>
      <c r="S38" s="287"/>
      <c r="T38" s="287"/>
      <c r="U38" s="287"/>
      <c r="V38" s="287"/>
      <c r="W38" s="287"/>
      <c r="X38" s="287"/>
      <c r="Y38" s="287"/>
      <c r="Z38" s="287"/>
      <c r="AA38" s="287"/>
      <c r="AB38" s="287"/>
      <c r="AC38" s="288"/>
      <c r="AD38" s="288"/>
      <c r="AE38" s="288"/>
      <c r="AF38" s="288"/>
    </row>
    <row r="39" spans="1:32" s="178" customFormat="1" ht="13.5" customHeight="1" x14ac:dyDescent="0.2">
      <c r="A39" s="298" t="s">
        <v>955</v>
      </c>
      <c r="B39" s="298" t="str">
        <f t="shared" si="3"/>
        <v>FLU0100-ST</v>
      </c>
      <c r="C39" s="294" t="str">
        <f>VLOOKUP(LEFT(A39,7),'Tariff Schedule Lookup Table'!$A$8:$G$198,2,FALSE)</f>
        <v>Fluorescent 26</v>
      </c>
      <c r="D39" s="295">
        <f t="shared" si="4"/>
        <v>1000</v>
      </c>
      <c r="E39" s="294">
        <f t="shared" si="5"/>
        <v>2</v>
      </c>
      <c r="F39" s="294" t="str">
        <f>VLOOKUP(D39,'Tariff Schedule Lookup Table'!I$7:L$298,2,FALSE)</f>
        <v>MERCURY VAPOUR 80W</v>
      </c>
      <c r="G39" s="294" t="str">
        <f>IF(F39 = "BULKHEADS ETC", "SHARED OR NO POLE", VLOOKUP(D39,'Tariff Schedule Lookup Table'!I$7:L$298,3,FALSE))</f>
        <v>STEEL POLE</v>
      </c>
      <c r="H39" s="294">
        <f>IF(F39 = "NO CAPITAL", 1, VLOOKUP(D39,'Tariff Schedule Lookup Table'!I$7:L$298,4,FALSE))</f>
        <v>2</v>
      </c>
      <c r="I39" s="296">
        <f>VLOOKUP(G39,'Input data'!$A$68:$B$72,2,FALSE)</f>
        <v>9.8748837500000004</v>
      </c>
      <c r="J39" s="296">
        <f>VLOOKUP($B39,'Maintenance Costs'!$A:$AB,22,FALSE)</f>
        <v>15.135069348273554</v>
      </c>
      <c r="K39" s="296">
        <f>VLOOKUP($B39,'Maintenance Costs'!$A:$AB,28,FALSE)</f>
        <v>12.515501041395373</v>
      </c>
      <c r="L39" s="297">
        <f t="shared" si="2"/>
        <v>32.588012264668926</v>
      </c>
      <c r="M39" s="287">
        <v>42.083890778238079</v>
      </c>
      <c r="N39" s="30">
        <f t="shared" si="6"/>
        <v>-9.4958785135691528</v>
      </c>
      <c r="O39" s="287"/>
      <c r="P39" s="287"/>
      <c r="Q39" s="287"/>
      <c r="R39" s="287"/>
      <c r="S39" s="287"/>
      <c r="T39" s="287"/>
      <c r="U39" s="287"/>
      <c r="V39" s="287"/>
      <c r="W39" s="287"/>
      <c r="X39" s="287"/>
      <c r="Y39" s="287"/>
      <c r="Z39" s="287"/>
      <c r="AA39" s="287"/>
      <c r="AB39" s="287"/>
      <c r="AC39" s="288"/>
      <c r="AD39" s="288"/>
      <c r="AE39" s="288"/>
      <c r="AF39" s="288"/>
    </row>
    <row r="40" spans="1:32" s="178" customFormat="1" ht="13.5" customHeight="1" x14ac:dyDescent="0.2">
      <c r="A40" s="298" t="s">
        <v>956</v>
      </c>
      <c r="B40" s="298" t="str">
        <f t="shared" si="3"/>
        <v>FLU0130-ST</v>
      </c>
      <c r="C40" s="294" t="str">
        <f>VLOOKUP(LEFT(A40,7),'Tariff Schedule Lookup Table'!$A$8:$G$198,2,FALSE)</f>
        <v>Fluorescent 40</v>
      </c>
      <c r="D40" s="295">
        <f t="shared" si="4"/>
        <v>1</v>
      </c>
      <c r="E40" s="294">
        <f t="shared" si="5"/>
        <v>6</v>
      </c>
      <c r="F40" s="294" t="str">
        <f>VLOOKUP(D40,'Tariff Schedule Lookup Table'!I$7:L$298,2,FALSE)</f>
        <v>NO CAPITAL</v>
      </c>
      <c r="G40" s="294" t="str">
        <f>IF(F40 = "BULKHEADS ETC", "SHARED OR NO POLE", VLOOKUP(D40,'Tariff Schedule Lookup Table'!I$7:L$298,3,FALSE))</f>
        <v>NO CAPITAL</v>
      </c>
      <c r="H40" s="294">
        <f>IF(F40 = "NO CAPITAL", 1, VLOOKUP(D40,'Tariff Schedule Lookup Table'!I$7:L$298,4,FALSE))</f>
        <v>1</v>
      </c>
      <c r="I40" s="296">
        <f>VLOOKUP(G40,'Input data'!$A$68:$B$72,2,FALSE)</f>
        <v>0</v>
      </c>
      <c r="J40" s="296">
        <v>0</v>
      </c>
      <c r="K40" s="296">
        <v>0</v>
      </c>
      <c r="L40" s="297">
        <f t="shared" si="2"/>
        <v>0</v>
      </c>
      <c r="M40" s="287">
        <v>0</v>
      </c>
      <c r="N40" s="30">
        <f t="shared" si="6"/>
        <v>0</v>
      </c>
      <c r="O40" s="287"/>
      <c r="P40" s="287"/>
      <c r="Q40" s="287"/>
      <c r="R40" s="287"/>
      <c r="S40" s="287"/>
      <c r="T40" s="287"/>
      <c r="U40" s="287"/>
      <c r="V40" s="287"/>
      <c r="W40" s="287"/>
      <c r="X40" s="287"/>
      <c r="Y40" s="287"/>
      <c r="Z40" s="287"/>
      <c r="AA40" s="287"/>
      <c r="AB40" s="287"/>
      <c r="AC40" s="288"/>
      <c r="AD40" s="288"/>
      <c r="AE40" s="288"/>
      <c r="AF40" s="288"/>
    </row>
    <row r="41" spans="1:32" s="178" customFormat="1" ht="13.5" customHeight="1" x14ac:dyDescent="0.2">
      <c r="A41" s="298" t="s">
        <v>957</v>
      </c>
      <c r="B41" s="298" t="str">
        <f t="shared" si="3"/>
        <v>FLU0130-ST</v>
      </c>
      <c r="C41" s="294" t="str">
        <f>VLOOKUP(LEFT(A41,7),'Tariff Schedule Lookup Table'!$A$8:$G$198,2,FALSE)</f>
        <v>Fluorescent 40</v>
      </c>
      <c r="D41" s="295">
        <f t="shared" si="4"/>
        <v>10</v>
      </c>
      <c r="E41" s="294">
        <f t="shared" si="5"/>
        <v>1</v>
      </c>
      <c r="F41" s="294" t="str">
        <f>VLOOKUP(D41,'Tariff Schedule Lookup Table'!I$7:L$298,2,FALSE)</f>
        <v>MERCURY VAPOUR 80W</v>
      </c>
      <c r="G41" s="294" t="str">
        <f>IF(F41 = "BULKHEADS ETC", "SHARED OR NO POLE", VLOOKUP(D41,'Tariff Schedule Lookup Table'!I$7:L$298,3,FALSE))</f>
        <v>SHARED OR NO POLE</v>
      </c>
      <c r="H41" s="294">
        <f>IF(F41 = "NO CAPITAL", 1, VLOOKUP(D41,'Tariff Schedule Lookup Table'!I$7:L$298,4,FALSE))</f>
        <v>1</v>
      </c>
      <c r="I41" s="296">
        <f>VLOOKUP(G41,'Input data'!$A$68:$B$72,2,FALSE)</f>
        <v>0</v>
      </c>
      <c r="J41" s="296">
        <f>VLOOKUP($B41,'Maintenance Costs'!$A:$AB,22,FALSE)</f>
        <v>14.973855644395517</v>
      </c>
      <c r="K41" s="296">
        <f>VLOOKUP($B41,'Maintenance Costs'!$A:$AB,28,FALSE)</f>
        <v>11.967705541395373</v>
      </c>
      <c r="L41" s="297">
        <f t="shared" si="2"/>
        <v>26.941561185790889</v>
      </c>
      <c r="M41" s="287">
        <v>36.164735716383625</v>
      </c>
      <c r="N41" s="30">
        <f t="shared" si="6"/>
        <v>-9.2231745305927362</v>
      </c>
      <c r="O41" s="287"/>
      <c r="P41" s="287"/>
      <c r="Q41" s="287"/>
      <c r="R41" s="287"/>
      <c r="S41" s="287"/>
      <c r="T41" s="287"/>
      <c r="U41" s="287"/>
      <c r="V41" s="287"/>
      <c r="W41" s="287"/>
      <c r="X41" s="287"/>
      <c r="Y41" s="287"/>
      <c r="Z41" s="287"/>
      <c r="AA41" s="287"/>
      <c r="AB41" s="287"/>
      <c r="AC41" s="288"/>
      <c r="AD41" s="288"/>
      <c r="AE41" s="288"/>
      <c r="AF41" s="288"/>
    </row>
    <row r="42" spans="1:32" s="178" customFormat="1" ht="13.5" customHeight="1" x14ac:dyDescent="0.2">
      <c r="A42" s="298" t="s">
        <v>958</v>
      </c>
      <c r="B42" s="298" t="str">
        <f t="shared" si="3"/>
        <v>FLU0130-ST</v>
      </c>
      <c r="C42" s="294" t="str">
        <f>VLOOKUP(LEFT(A42,7),'Tariff Schedule Lookup Table'!$A$8:$G$198,2,FALSE)</f>
        <v>Fluorescent 40</v>
      </c>
      <c r="D42" s="295">
        <f t="shared" si="4"/>
        <v>10</v>
      </c>
      <c r="E42" s="294">
        <f t="shared" si="5"/>
        <v>2</v>
      </c>
      <c r="F42" s="294" t="str">
        <f>VLOOKUP(D42,'Tariff Schedule Lookup Table'!I$7:L$298,2,FALSE)</f>
        <v>MERCURY VAPOUR 80W</v>
      </c>
      <c r="G42" s="294" t="str">
        <f>IF(F42 = "BULKHEADS ETC", "SHARED OR NO POLE", VLOOKUP(D42,'Tariff Schedule Lookup Table'!I$7:L$298,3,FALSE))</f>
        <v>SHARED OR NO POLE</v>
      </c>
      <c r="H42" s="294">
        <f>IF(F42 = "NO CAPITAL", 1, VLOOKUP(D42,'Tariff Schedule Lookup Table'!I$7:L$298,4,FALSE))</f>
        <v>1</v>
      </c>
      <c r="I42" s="296">
        <f>VLOOKUP(G42,'Input data'!$A$68:$B$72,2,FALSE)</f>
        <v>0</v>
      </c>
      <c r="J42" s="296">
        <f>VLOOKUP($B42,'Maintenance Costs'!$A:$AB,22,FALSE)</f>
        <v>14.973855644395517</v>
      </c>
      <c r="K42" s="296">
        <f>VLOOKUP($B42,'Maintenance Costs'!$A:$AB,28,FALSE)</f>
        <v>11.967705541395373</v>
      </c>
      <c r="L42" s="297">
        <f t="shared" si="2"/>
        <v>26.941561185790889</v>
      </c>
      <c r="M42" s="287">
        <v>36.164735716383625</v>
      </c>
      <c r="N42" s="30">
        <f t="shared" si="6"/>
        <v>-9.2231745305927362</v>
      </c>
      <c r="O42" s="287"/>
      <c r="P42" s="287"/>
      <c r="Q42" s="287"/>
      <c r="R42" s="287"/>
      <c r="S42" s="287"/>
      <c r="T42" s="287"/>
      <c r="U42" s="287"/>
      <c r="V42" s="287"/>
      <c r="W42" s="287"/>
      <c r="X42" s="287"/>
      <c r="Y42" s="287"/>
      <c r="Z42" s="287"/>
      <c r="AA42" s="287"/>
      <c r="AB42" s="287"/>
      <c r="AC42" s="288"/>
      <c r="AD42" s="288"/>
      <c r="AE42" s="288"/>
      <c r="AF42" s="288"/>
    </row>
    <row r="43" spans="1:32" s="178" customFormat="1" ht="13.5" customHeight="1" x14ac:dyDescent="0.2">
      <c r="A43" s="298" t="s">
        <v>422</v>
      </c>
      <c r="B43" s="298" t="str">
        <f t="shared" si="3"/>
        <v>FLU0130-ST</v>
      </c>
      <c r="C43" s="294" t="str">
        <f>VLOOKUP(LEFT(A43,7),'Tariff Schedule Lookup Table'!$A$8:$G$198,2,FALSE)</f>
        <v>Fluorescent 40</v>
      </c>
      <c r="D43" s="295">
        <f t="shared" si="4"/>
        <v>10</v>
      </c>
      <c r="E43" s="294">
        <f t="shared" si="5"/>
        <v>4</v>
      </c>
      <c r="F43" s="294" t="str">
        <f>VLOOKUP(D43,'Tariff Schedule Lookup Table'!I$7:L$298,2,FALSE)</f>
        <v>MERCURY VAPOUR 80W</v>
      </c>
      <c r="G43" s="294" t="str">
        <f>IF(F43 = "BULKHEADS ETC", "SHARED OR NO POLE", VLOOKUP(D43,'Tariff Schedule Lookup Table'!I$7:L$298,3,FALSE))</f>
        <v>SHARED OR NO POLE</v>
      </c>
      <c r="H43" s="294">
        <f>IF(F43 = "NO CAPITAL", 1, VLOOKUP(D43,'Tariff Schedule Lookup Table'!I$7:L$298,4,FALSE))</f>
        <v>1</v>
      </c>
      <c r="I43" s="296">
        <f>VLOOKUP(G43,'Input data'!$A$68:$B$72,2,FALSE)</f>
        <v>0</v>
      </c>
      <c r="J43" s="296">
        <f>VLOOKUP($B43,'Maintenance Costs'!$A:$AB,22,FALSE)</f>
        <v>14.973855644395517</v>
      </c>
      <c r="K43" s="296">
        <f>VLOOKUP($B43,'Maintenance Costs'!$A:$AB,28,FALSE)</f>
        <v>11.967705541395373</v>
      </c>
      <c r="L43" s="297">
        <f t="shared" si="2"/>
        <v>26.941561185790889</v>
      </c>
      <c r="M43" s="287">
        <v>36.164735716383625</v>
      </c>
      <c r="N43" s="30">
        <f t="shared" si="6"/>
        <v>-9.2231745305927362</v>
      </c>
      <c r="O43" s="287"/>
      <c r="P43" s="287"/>
      <c r="Q43" s="287"/>
      <c r="R43" s="287"/>
      <c r="S43" s="287"/>
      <c r="T43" s="287"/>
      <c r="U43" s="287"/>
      <c r="V43" s="287"/>
      <c r="W43" s="287"/>
      <c r="X43" s="287"/>
      <c r="Y43" s="287"/>
      <c r="Z43" s="287"/>
      <c r="AA43" s="287"/>
      <c r="AB43" s="287"/>
      <c r="AC43" s="288"/>
      <c r="AD43" s="288"/>
      <c r="AE43" s="288"/>
      <c r="AF43" s="288"/>
    </row>
    <row r="44" spans="1:32" s="178" customFormat="1" ht="13.5" customHeight="1" x14ac:dyDescent="0.2">
      <c r="A44" s="298" t="s">
        <v>959</v>
      </c>
      <c r="B44" s="298" t="str">
        <f t="shared" si="3"/>
        <v>FLU0130-ST</v>
      </c>
      <c r="C44" s="294" t="str">
        <f>VLOOKUP(LEFT(A44,7),'Tariff Schedule Lookup Table'!$A$8:$G$198,2,FALSE)</f>
        <v>Fluorescent 40</v>
      </c>
      <c r="D44" s="295">
        <f t="shared" si="4"/>
        <v>740</v>
      </c>
      <c r="E44" s="294">
        <f t="shared" si="5"/>
        <v>1</v>
      </c>
      <c r="F44" s="294" t="str">
        <f>VLOOKUP(D44,'Tariff Schedule Lookup Table'!I$7:L$298,2,FALSE)</f>
        <v>MERCURY VAPOUR 80W</v>
      </c>
      <c r="G44" s="294" t="str">
        <f>IF(F44 = "BULKHEADS ETC", "SHARED OR NO POLE", VLOOKUP(D44,'Tariff Schedule Lookup Table'!I$7:L$298,3,FALSE))</f>
        <v>SHARED OR NO POLE</v>
      </c>
      <c r="H44" s="294">
        <f>IF(F44 = "NO CAPITAL", 1, VLOOKUP(D44,'Tariff Schedule Lookup Table'!I$7:L$298,4,FALSE))</f>
        <v>2</v>
      </c>
      <c r="I44" s="296">
        <f>VLOOKUP(G44,'Input data'!$A$68:$B$72,2,FALSE)</f>
        <v>0</v>
      </c>
      <c r="J44" s="296">
        <f>VLOOKUP($B44,'Maintenance Costs'!$A:$AB,22,FALSE)</f>
        <v>14.973855644395517</v>
      </c>
      <c r="K44" s="296">
        <f>VLOOKUP($B44,'Maintenance Costs'!$A:$AB,28,FALSE)</f>
        <v>11.967705541395373</v>
      </c>
      <c r="L44" s="297">
        <f t="shared" si="2"/>
        <v>26.941561185790889</v>
      </c>
      <c r="M44" s="287">
        <v>36.164735716383625</v>
      </c>
      <c r="N44" s="30">
        <f t="shared" si="6"/>
        <v>-9.2231745305927362</v>
      </c>
      <c r="O44" s="287"/>
      <c r="P44" s="287"/>
      <c r="Q44" s="287"/>
      <c r="R44" s="287"/>
      <c r="S44" s="287"/>
      <c r="T44" s="287"/>
      <c r="U44" s="287"/>
      <c r="V44" s="287"/>
      <c r="W44" s="287"/>
      <c r="X44" s="287"/>
      <c r="Y44" s="287"/>
      <c r="Z44" s="287"/>
      <c r="AA44" s="287"/>
      <c r="AB44" s="287"/>
      <c r="AC44" s="288"/>
      <c r="AD44" s="288"/>
      <c r="AE44" s="288"/>
      <c r="AF44" s="288"/>
    </row>
    <row r="45" spans="1:32" s="178" customFormat="1" x14ac:dyDescent="0.2">
      <c r="A45" s="298" t="s">
        <v>960</v>
      </c>
      <c r="B45" s="298" t="str">
        <f t="shared" si="3"/>
        <v>FLU0130-ST</v>
      </c>
      <c r="C45" s="294" t="str">
        <f>VLOOKUP(LEFT(A45,7),'Tariff Schedule Lookup Table'!$A$8:$G$198,2,FALSE)</f>
        <v>Fluorescent 40</v>
      </c>
      <c r="D45" s="295">
        <f t="shared" si="4"/>
        <v>740</v>
      </c>
      <c r="E45" s="294">
        <f t="shared" si="5"/>
        <v>2</v>
      </c>
      <c r="F45" s="294" t="str">
        <f>VLOOKUP(D45,'Tariff Schedule Lookup Table'!I$7:L$298,2,FALSE)</f>
        <v>MERCURY VAPOUR 80W</v>
      </c>
      <c r="G45" s="294" t="str">
        <f>IF(F45 = "BULKHEADS ETC", "SHARED OR NO POLE", VLOOKUP(D45,'Tariff Schedule Lookup Table'!I$7:L$298,3,FALSE))</f>
        <v>SHARED OR NO POLE</v>
      </c>
      <c r="H45" s="294">
        <f>IF(F45 = "NO CAPITAL", 1, VLOOKUP(D45,'Tariff Schedule Lookup Table'!I$7:L$298,4,FALSE))</f>
        <v>2</v>
      </c>
      <c r="I45" s="296">
        <f>VLOOKUP(G45,'Input data'!$A$68:$B$72,2,FALSE)</f>
        <v>0</v>
      </c>
      <c r="J45" s="296">
        <f>VLOOKUP($B45,'Maintenance Costs'!$A:$AB,22,FALSE)</f>
        <v>14.973855644395517</v>
      </c>
      <c r="K45" s="296">
        <f>VLOOKUP($B45,'Maintenance Costs'!$A:$AB,28,FALSE)</f>
        <v>11.967705541395373</v>
      </c>
      <c r="L45" s="297">
        <f t="shared" si="2"/>
        <v>26.941561185790889</v>
      </c>
      <c r="M45" s="287">
        <v>36.164735716383625</v>
      </c>
      <c r="N45" s="30">
        <f t="shared" si="6"/>
        <v>-9.2231745305927362</v>
      </c>
      <c r="O45" s="287"/>
      <c r="P45" s="287"/>
      <c r="Q45" s="287"/>
      <c r="R45" s="287"/>
      <c r="S45" s="287"/>
      <c r="T45" s="287"/>
      <c r="U45" s="287"/>
      <c r="V45" s="287"/>
      <c r="W45" s="287"/>
      <c r="X45" s="287"/>
      <c r="Y45" s="287"/>
      <c r="Z45" s="287"/>
      <c r="AA45" s="287"/>
      <c r="AB45" s="287"/>
      <c r="AC45" s="288"/>
      <c r="AD45" s="288"/>
      <c r="AE45" s="288"/>
      <c r="AF45" s="288"/>
    </row>
    <row r="46" spans="1:32" s="178" customFormat="1" x14ac:dyDescent="0.2">
      <c r="A46" s="298" t="s">
        <v>961</v>
      </c>
      <c r="B46" s="298" t="str">
        <f t="shared" si="3"/>
        <v>FLU0130-ST</v>
      </c>
      <c r="C46" s="294" t="str">
        <f>VLOOKUP(LEFT(A46,7),'Tariff Schedule Lookup Table'!$A$8:$G$198,2,FALSE)</f>
        <v>Fluorescent 40</v>
      </c>
      <c r="D46" s="295">
        <f t="shared" si="4"/>
        <v>810</v>
      </c>
      <c r="E46" s="294">
        <f t="shared" si="5"/>
        <v>1</v>
      </c>
      <c r="F46" s="294" t="str">
        <f>VLOOKUP(D46,'Tariff Schedule Lookup Table'!I$7:L$298,2,FALSE)</f>
        <v>MERCURY VAPOUR 80W</v>
      </c>
      <c r="G46" s="294" t="str">
        <f>IF(F46 = "BULKHEADS ETC", "SHARED OR NO POLE", VLOOKUP(D46,'Tariff Schedule Lookup Table'!I$7:L$298,3,FALSE))</f>
        <v>WOOD POLE</v>
      </c>
      <c r="H46" s="294">
        <f>IF(F46 = "NO CAPITAL", 1, VLOOKUP(D46,'Tariff Schedule Lookup Table'!I$7:L$298,4,FALSE))</f>
        <v>1</v>
      </c>
      <c r="I46" s="296">
        <f>VLOOKUP(G46,'Input data'!$A$68:$B$72,2,FALSE)</f>
        <v>10.809914000000001</v>
      </c>
      <c r="J46" s="296">
        <f>VLOOKUP($B46,'Maintenance Costs'!$A:$AB,22,FALSE)</f>
        <v>14.973855644395517</v>
      </c>
      <c r="K46" s="296">
        <f>VLOOKUP($B46,'Maintenance Costs'!$A:$AB,28,FALSE)</f>
        <v>11.967705541395373</v>
      </c>
      <c r="L46" s="297">
        <f t="shared" si="2"/>
        <v>37.751475185790888</v>
      </c>
      <c r="M46" s="287">
        <v>46.974649716383624</v>
      </c>
      <c r="N46" s="30">
        <f t="shared" si="6"/>
        <v>-9.2231745305927362</v>
      </c>
      <c r="O46" s="287"/>
      <c r="P46" s="287"/>
      <c r="Q46" s="287"/>
      <c r="R46" s="287"/>
      <c r="S46" s="287"/>
      <c r="T46" s="287"/>
      <c r="U46" s="287"/>
      <c r="V46" s="287"/>
      <c r="W46" s="287"/>
      <c r="X46" s="287"/>
      <c r="Y46" s="287"/>
      <c r="Z46" s="287"/>
      <c r="AA46" s="287"/>
      <c r="AB46" s="287"/>
      <c r="AC46" s="288"/>
      <c r="AD46" s="288"/>
      <c r="AE46" s="288"/>
      <c r="AF46" s="288"/>
    </row>
    <row r="47" spans="1:32" s="178" customFormat="1" x14ac:dyDescent="0.2">
      <c r="A47" s="298" t="s">
        <v>962</v>
      </c>
      <c r="B47" s="298" t="str">
        <f t="shared" si="3"/>
        <v>FLU0130-ST</v>
      </c>
      <c r="C47" s="294" t="str">
        <f>VLOOKUP(LEFT(A47,7),'Tariff Schedule Lookup Table'!$A$8:$G$198,2,FALSE)</f>
        <v>Fluorescent 40</v>
      </c>
      <c r="D47" s="295">
        <f t="shared" si="4"/>
        <v>810</v>
      </c>
      <c r="E47" s="294">
        <f t="shared" si="5"/>
        <v>2</v>
      </c>
      <c r="F47" s="294" t="str">
        <f>VLOOKUP(D47,'Tariff Schedule Lookup Table'!I$7:L$298,2,FALSE)</f>
        <v>MERCURY VAPOUR 80W</v>
      </c>
      <c r="G47" s="294" t="str">
        <f>IF(F47 = "BULKHEADS ETC", "SHARED OR NO POLE", VLOOKUP(D47,'Tariff Schedule Lookup Table'!I$7:L$298,3,FALSE))</f>
        <v>WOOD POLE</v>
      </c>
      <c r="H47" s="294">
        <f>IF(F47 = "NO CAPITAL", 1, VLOOKUP(D47,'Tariff Schedule Lookup Table'!I$7:L$298,4,FALSE))</f>
        <v>1</v>
      </c>
      <c r="I47" s="296">
        <f>VLOOKUP(G47,'Input data'!$A$68:$B$72,2,FALSE)</f>
        <v>10.809914000000001</v>
      </c>
      <c r="J47" s="296">
        <f>VLOOKUP($B47,'Maintenance Costs'!$A:$AB,22,FALSE)</f>
        <v>14.973855644395517</v>
      </c>
      <c r="K47" s="296">
        <f>VLOOKUP($B47,'Maintenance Costs'!$A:$AB,28,FALSE)</f>
        <v>11.967705541395373</v>
      </c>
      <c r="L47" s="297">
        <f t="shared" si="2"/>
        <v>37.751475185790888</v>
      </c>
      <c r="M47" s="287">
        <v>46.974649716383624</v>
      </c>
      <c r="N47" s="30">
        <f t="shared" si="6"/>
        <v>-9.2231745305927362</v>
      </c>
      <c r="O47" s="287"/>
      <c r="P47" s="287"/>
      <c r="Q47" s="287"/>
      <c r="R47" s="287"/>
      <c r="S47" s="287"/>
      <c r="T47" s="287"/>
      <c r="U47" s="287"/>
      <c r="V47" s="287"/>
      <c r="W47" s="287"/>
      <c r="X47" s="287"/>
      <c r="Y47" s="287"/>
      <c r="Z47" s="287"/>
      <c r="AA47" s="287"/>
      <c r="AB47" s="287"/>
      <c r="AC47" s="288"/>
      <c r="AD47" s="288"/>
      <c r="AE47" s="288"/>
      <c r="AF47" s="288"/>
    </row>
    <row r="48" spans="1:32" s="178" customFormat="1" x14ac:dyDescent="0.2">
      <c r="A48" s="298" t="s">
        <v>963</v>
      </c>
      <c r="B48" s="298" t="str">
        <f t="shared" si="3"/>
        <v>FLU0130-ST</v>
      </c>
      <c r="C48" s="294" t="str">
        <f>VLOOKUP(LEFT(A48,7),'Tariff Schedule Lookup Table'!$A$8:$G$198,2,FALSE)</f>
        <v>Fluorescent 40</v>
      </c>
      <c r="D48" s="295">
        <f t="shared" si="4"/>
        <v>990</v>
      </c>
      <c r="E48" s="294">
        <f t="shared" si="5"/>
        <v>1</v>
      </c>
      <c r="F48" s="294" t="str">
        <f>VLOOKUP(D48,'Tariff Schedule Lookup Table'!I$7:L$298,2,FALSE)</f>
        <v>MERCURY VAPOUR 80W</v>
      </c>
      <c r="G48" s="294" t="str">
        <f>IF(F48 = "BULKHEADS ETC", "SHARED OR NO POLE", VLOOKUP(D48,'Tariff Schedule Lookup Table'!I$7:L$298,3,FALSE))</f>
        <v>STEEL POLE</v>
      </c>
      <c r="H48" s="294">
        <f>IF(F48 = "NO CAPITAL", 1, VLOOKUP(D48,'Tariff Schedule Lookup Table'!I$7:L$298,4,FALSE))</f>
        <v>1</v>
      </c>
      <c r="I48" s="296">
        <f>VLOOKUP(G48,'Input data'!$A$68:$B$72,2,FALSE)</f>
        <v>9.8748837500000004</v>
      </c>
      <c r="J48" s="296">
        <f>VLOOKUP($B48,'Maintenance Costs'!$A:$AB,22,FALSE)</f>
        <v>14.973855644395517</v>
      </c>
      <c r="K48" s="296">
        <f>VLOOKUP($B48,'Maintenance Costs'!$A:$AB,28,FALSE)</f>
        <v>11.967705541395373</v>
      </c>
      <c r="L48" s="297">
        <f t="shared" si="2"/>
        <v>36.816444935790891</v>
      </c>
      <c r="M48" s="287">
        <v>46.039619466383627</v>
      </c>
      <c r="N48" s="30">
        <f t="shared" si="6"/>
        <v>-9.2231745305927362</v>
      </c>
      <c r="O48" s="287"/>
      <c r="P48" s="287"/>
      <c r="Q48" s="287"/>
      <c r="R48" s="287"/>
      <c r="S48" s="287"/>
      <c r="T48" s="287"/>
      <c r="U48" s="287"/>
      <c r="V48" s="287"/>
      <c r="W48" s="287"/>
      <c r="X48" s="287"/>
      <c r="Y48" s="287"/>
      <c r="Z48" s="287"/>
      <c r="AA48" s="287"/>
      <c r="AB48" s="287"/>
      <c r="AC48" s="288"/>
      <c r="AD48" s="288"/>
      <c r="AE48" s="288"/>
      <c r="AF48" s="288"/>
    </row>
    <row r="49" spans="1:32" s="178" customFormat="1" x14ac:dyDescent="0.2">
      <c r="A49" s="298" t="s">
        <v>964</v>
      </c>
      <c r="B49" s="298" t="str">
        <f t="shared" si="3"/>
        <v>FLU0130-ST</v>
      </c>
      <c r="C49" s="294" t="str">
        <f>VLOOKUP(LEFT(A49,7),'Tariff Schedule Lookup Table'!$A$8:$G$198,2,FALSE)</f>
        <v>Fluorescent 40</v>
      </c>
      <c r="D49" s="295">
        <f t="shared" si="4"/>
        <v>990</v>
      </c>
      <c r="E49" s="294">
        <f t="shared" si="5"/>
        <v>2</v>
      </c>
      <c r="F49" s="294" t="str">
        <f>VLOOKUP(D49,'Tariff Schedule Lookup Table'!I$7:L$298,2,FALSE)</f>
        <v>MERCURY VAPOUR 80W</v>
      </c>
      <c r="G49" s="294" t="str">
        <f>IF(F49 = "BULKHEADS ETC", "SHARED OR NO POLE", VLOOKUP(D49,'Tariff Schedule Lookup Table'!I$7:L$298,3,FALSE))</f>
        <v>STEEL POLE</v>
      </c>
      <c r="H49" s="294">
        <f>IF(F49 = "NO CAPITAL", 1, VLOOKUP(D49,'Tariff Schedule Lookup Table'!I$7:L$298,4,FALSE))</f>
        <v>1</v>
      </c>
      <c r="I49" s="296">
        <f>VLOOKUP(G49,'Input data'!$A$68:$B$72,2,FALSE)</f>
        <v>9.8748837500000004</v>
      </c>
      <c r="J49" s="296">
        <f>VLOOKUP($B49,'Maintenance Costs'!$A:$AB,22,FALSE)</f>
        <v>14.973855644395517</v>
      </c>
      <c r="K49" s="296">
        <f>VLOOKUP($B49,'Maintenance Costs'!$A:$AB,28,FALSE)</f>
        <v>11.967705541395373</v>
      </c>
      <c r="L49" s="297">
        <f t="shared" si="2"/>
        <v>36.816444935790891</v>
      </c>
      <c r="M49" s="287">
        <v>46.039619466383627</v>
      </c>
      <c r="N49" s="30">
        <f t="shared" si="6"/>
        <v>-9.2231745305927362</v>
      </c>
      <c r="O49" s="287"/>
      <c r="P49" s="287"/>
      <c r="Q49" s="287"/>
      <c r="R49" s="287"/>
      <c r="S49" s="287"/>
      <c r="T49" s="287"/>
      <c r="U49" s="287"/>
      <c r="V49" s="287"/>
      <c r="W49" s="287"/>
      <c r="X49" s="287"/>
      <c r="Y49" s="287"/>
      <c r="Z49" s="287"/>
      <c r="AA49" s="287"/>
      <c r="AB49" s="287"/>
      <c r="AC49" s="288"/>
      <c r="AD49" s="288"/>
      <c r="AE49" s="288"/>
      <c r="AF49" s="288"/>
    </row>
    <row r="50" spans="1:32" s="178" customFormat="1" x14ac:dyDescent="0.2">
      <c r="A50" s="298" t="s">
        <v>965</v>
      </c>
      <c r="B50" s="298" t="str">
        <f t="shared" si="3"/>
        <v>FLU0130-ST</v>
      </c>
      <c r="C50" s="294" t="str">
        <f>VLOOKUP(LEFT(A50,7),'Tariff Schedule Lookup Table'!$A$8:$G$198,2,FALSE)</f>
        <v>Fluorescent 40</v>
      </c>
      <c r="D50" s="295">
        <f t="shared" si="4"/>
        <v>1000</v>
      </c>
      <c r="E50" s="294">
        <f t="shared" si="5"/>
        <v>1</v>
      </c>
      <c r="F50" s="294" t="str">
        <f>VLOOKUP(D50,'Tariff Schedule Lookup Table'!I$7:L$298,2,FALSE)</f>
        <v>MERCURY VAPOUR 80W</v>
      </c>
      <c r="G50" s="294" t="str">
        <f>IF(F50 = "BULKHEADS ETC", "SHARED OR NO POLE", VLOOKUP(D50,'Tariff Schedule Lookup Table'!I$7:L$298,3,FALSE))</f>
        <v>STEEL POLE</v>
      </c>
      <c r="H50" s="294">
        <f>IF(F50 = "NO CAPITAL", 1, VLOOKUP(D50,'Tariff Schedule Lookup Table'!I$7:L$298,4,FALSE))</f>
        <v>2</v>
      </c>
      <c r="I50" s="296">
        <f>VLOOKUP(G50,'Input data'!$A$68:$B$72,2,FALSE)</f>
        <v>9.8748837500000004</v>
      </c>
      <c r="J50" s="296">
        <f>VLOOKUP($B50,'Maintenance Costs'!$A:$AB,22,FALSE)</f>
        <v>14.973855644395517</v>
      </c>
      <c r="K50" s="296">
        <f>VLOOKUP($B50,'Maintenance Costs'!$A:$AB,28,FALSE)</f>
        <v>11.967705541395373</v>
      </c>
      <c r="L50" s="297">
        <f t="shared" si="2"/>
        <v>31.87900306079089</v>
      </c>
      <c r="M50" s="287">
        <v>41.102177591383622</v>
      </c>
      <c r="N50" s="30">
        <f t="shared" si="6"/>
        <v>-9.2231745305927326</v>
      </c>
      <c r="O50" s="287"/>
      <c r="P50" s="287"/>
      <c r="Q50" s="287"/>
      <c r="R50" s="287"/>
      <c r="S50" s="287"/>
      <c r="T50" s="287"/>
      <c r="U50" s="287"/>
      <c r="V50" s="287"/>
      <c r="W50" s="287"/>
      <c r="X50" s="287"/>
      <c r="Y50" s="287"/>
      <c r="Z50" s="287"/>
      <c r="AA50" s="287"/>
      <c r="AB50" s="287"/>
      <c r="AC50" s="288"/>
      <c r="AD50" s="288"/>
      <c r="AE50" s="288"/>
      <c r="AF50" s="288"/>
    </row>
    <row r="51" spans="1:32" s="178" customFormat="1" x14ac:dyDescent="0.2">
      <c r="A51" s="298" t="s">
        <v>966</v>
      </c>
      <c r="B51" s="298" t="str">
        <f t="shared" si="3"/>
        <v>FLU0130-ST</v>
      </c>
      <c r="C51" s="294" t="str">
        <f>VLOOKUP(LEFT(A51,7),'Tariff Schedule Lookup Table'!$A$8:$G$198,2,FALSE)</f>
        <v>Fluorescent 40</v>
      </c>
      <c r="D51" s="295">
        <f t="shared" si="4"/>
        <v>1000</v>
      </c>
      <c r="E51" s="294">
        <f t="shared" si="5"/>
        <v>2</v>
      </c>
      <c r="F51" s="294" t="str">
        <f>VLOOKUP(D51,'Tariff Schedule Lookup Table'!I$7:L$298,2,FALSE)</f>
        <v>MERCURY VAPOUR 80W</v>
      </c>
      <c r="G51" s="294" t="str">
        <f>IF(F51 = "BULKHEADS ETC", "SHARED OR NO POLE", VLOOKUP(D51,'Tariff Schedule Lookup Table'!I$7:L$298,3,FALSE))</f>
        <v>STEEL POLE</v>
      </c>
      <c r="H51" s="294">
        <f>IF(F51 = "NO CAPITAL", 1, VLOOKUP(D51,'Tariff Schedule Lookup Table'!I$7:L$298,4,FALSE))</f>
        <v>2</v>
      </c>
      <c r="I51" s="296">
        <f>VLOOKUP(G51,'Input data'!$A$68:$B$72,2,FALSE)</f>
        <v>9.8748837500000004</v>
      </c>
      <c r="J51" s="296">
        <f>VLOOKUP($B51,'Maintenance Costs'!$A:$AB,22,FALSE)</f>
        <v>14.973855644395517</v>
      </c>
      <c r="K51" s="296">
        <f>VLOOKUP($B51,'Maintenance Costs'!$A:$AB,28,FALSE)</f>
        <v>11.967705541395373</v>
      </c>
      <c r="L51" s="297">
        <f t="shared" si="2"/>
        <v>31.87900306079089</v>
      </c>
      <c r="M51" s="287">
        <v>41.102177591383622</v>
      </c>
      <c r="N51" s="30">
        <f t="shared" si="6"/>
        <v>-9.2231745305927326</v>
      </c>
      <c r="O51" s="287"/>
      <c r="P51" s="287"/>
      <c r="Q51" s="287"/>
      <c r="R51" s="287"/>
      <c r="S51" s="287"/>
      <c r="T51" s="287"/>
      <c r="U51" s="287"/>
      <c r="V51" s="287"/>
      <c r="W51" s="287"/>
      <c r="X51" s="287"/>
      <c r="Y51" s="287"/>
      <c r="Z51" s="287"/>
      <c r="AA51" s="287"/>
      <c r="AB51" s="287"/>
      <c r="AC51" s="288"/>
      <c r="AD51" s="288"/>
      <c r="AE51" s="288"/>
      <c r="AF51" s="288"/>
    </row>
    <row r="52" spans="1:32" s="178" customFormat="1" x14ac:dyDescent="0.2">
      <c r="A52" s="298" t="s">
        <v>967</v>
      </c>
      <c r="B52" s="298" t="str">
        <f t="shared" si="3"/>
        <v>FLU0140-ST</v>
      </c>
      <c r="C52" s="294" t="str">
        <f>VLOOKUP(LEFT(A52,7),'Tariff Schedule Lookup Table'!$A$8:$G$198,2,FALSE)</f>
        <v>Fluorescent 2x40</v>
      </c>
      <c r="D52" s="295">
        <f t="shared" si="4"/>
        <v>1</v>
      </c>
      <c r="E52" s="294">
        <f t="shared" si="5"/>
        <v>6</v>
      </c>
      <c r="F52" s="294" t="str">
        <f>VLOOKUP(D52,'Tariff Schedule Lookup Table'!I$7:L$298,2,FALSE)</f>
        <v>NO CAPITAL</v>
      </c>
      <c r="G52" s="294" t="str">
        <f>IF(F52 = "BULKHEADS ETC", "SHARED OR NO POLE", VLOOKUP(D52,'Tariff Schedule Lookup Table'!I$7:L$298,3,FALSE))</f>
        <v>NO CAPITAL</v>
      </c>
      <c r="H52" s="294">
        <f>IF(F52 = "NO CAPITAL", 1, VLOOKUP(D52,'Tariff Schedule Lookup Table'!I$7:L$298,4,FALSE))</f>
        <v>1</v>
      </c>
      <c r="I52" s="296">
        <f>VLOOKUP(G52,'Input data'!$A$68:$B$72,2,FALSE)</f>
        <v>0</v>
      </c>
      <c r="J52" s="296">
        <v>0</v>
      </c>
      <c r="K52" s="296">
        <v>0</v>
      </c>
      <c r="L52" s="297">
        <f t="shared" si="2"/>
        <v>0</v>
      </c>
      <c r="M52" s="287">
        <v>0</v>
      </c>
      <c r="N52" s="30">
        <f t="shared" si="6"/>
        <v>0</v>
      </c>
      <c r="O52" s="287"/>
      <c r="P52" s="287"/>
      <c r="Q52" s="287"/>
      <c r="R52" s="287"/>
      <c r="S52" s="287"/>
      <c r="T52" s="287"/>
      <c r="U52" s="287"/>
      <c r="V52" s="287"/>
      <c r="W52" s="287"/>
      <c r="X52" s="287"/>
      <c r="Y52" s="287"/>
      <c r="Z52" s="287"/>
      <c r="AA52" s="287"/>
      <c r="AB52" s="287"/>
      <c r="AC52" s="288"/>
      <c r="AD52" s="288"/>
      <c r="AE52" s="288"/>
      <c r="AF52" s="288"/>
    </row>
    <row r="53" spans="1:32" s="178" customFormat="1" x14ac:dyDescent="0.2">
      <c r="A53" s="298" t="s">
        <v>968</v>
      </c>
      <c r="B53" s="298" t="str">
        <f t="shared" si="3"/>
        <v>FLU0140-ST</v>
      </c>
      <c r="C53" s="294" t="str">
        <f>VLOOKUP(LEFT(A53,7),'Tariff Schedule Lookup Table'!$A$8:$G$198,2,FALSE)</f>
        <v>Fluorescent 2x40</v>
      </c>
      <c r="D53" s="295">
        <f t="shared" si="4"/>
        <v>10</v>
      </c>
      <c r="E53" s="294">
        <f t="shared" si="5"/>
        <v>1</v>
      </c>
      <c r="F53" s="294" t="str">
        <f>VLOOKUP(D53,'Tariff Schedule Lookup Table'!I$7:L$298,2,FALSE)</f>
        <v>MERCURY VAPOUR 80W</v>
      </c>
      <c r="G53" s="294" t="str">
        <f>IF(F53 = "BULKHEADS ETC", "SHARED OR NO POLE", VLOOKUP(D53,'Tariff Schedule Lookup Table'!I$7:L$298,3,FALSE))</f>
        <v>SHARED OR NO POLE</v>
      </c>
      <c r="H53" s="294">
        <f>IF(F53 = "NO CAPITAL", 1, VLOOKUP(D53,'Tariff Schedule Lookup Table'!I$7:L$298,4,FALSE))</f>
        <v>1</v>
      </c>
      <c r="I53" s="296">
        <f>VLOOKUP(G53,'Input data'!$A$68:$B$72,2,FALSE)</f>
        <v>0</v>
      </c>
      <c r="J53" s="296">
        <f>VLOOKUP($B53,'Maintenance Costs'!$A:$AB,22,FALSE)</f>
        <v>15.093669044395519</v>
      </c>
      <c r="K53" s="296">
        <f>VLOOKUP($B53,'Maintenance Costs'!$A:$AB,28,FALSE)</f>
        <v>12.564074041395372</v>
      </c>
      <c r="L53" s="297">
        <f t="shared" si="2"/>
        <v>27.657743085790891</v>
      </c>
      <c r="M53" s="287">
        <v>37.113575173623033</v>
      </c>
      <c r="N53" s="30">
        <f t="shared" si="6"/>
        <v>-9.4558320878321425</v>
      </c>
      <c r="O53" s="287"/>
      <c r="P53" s="287"/>
      <c r="Q53" s="287"/>
      <c r="R53" s="287"/>
      <c r="S53" s="287"/>
      <c r="T53" s="287"/>
      <c r="U53" s="287"/>
      <c r="V53" s="287"/>
      <c r="W53" s="287"/>
      <c r="X53" s="287"/>
      <c r="Y53" s="287"/>
      <c r="Z53" s="287"/>
      <c r="AA53" s="287"/>
      <c r="AB53" s="287"/>
      <c r="AC53" s="288"/>
      <c r="AD53" s="288"/>
      <c r="AE53" s="288"/>
      <c r="AF53" s="288"/>
    </row>
    <row r="54" spans="1:32" s="178" customFormat="1" x14ac:dyDescent="0.2">
      <c r="A54" s="298" t="s">
        <v>969</v>
      </c>
      <c r="B54" s="298" t="str">
        <f t="shared" si="3"/>
        <v>FLU0140-ST</v>
      </c>
      <c r="C54" s="294" t="str">
        <f>VLOOKUP(LEFT(A54,7),'Tariff Schedule Lookup Table'!$A$8:$G$198,2,FALSE)</f>
        <v>Fluorescent 2x40</v>
      </c>
      <c r="D54" s="295">
        <f t="shared" si="4"/>
        <v>10</v>
      </c>
      <c r="E54" s="294">
        <f t="shared" si="5"/>
        <v>2</v>
      </c>
      <c r="F54" s="294" t="str">
        <f>VLOOKUP(D54,'Tariff Schedule Lookup Table'!I$7:L$298,2,FALSE)</f>
        <v>MERCURY VAPOUR 80W</v>
      </c>
      <c r="G54" s="294" t="str">
        <f>IF(F54 = "BULKHEADS ETC", "SHARED OR NO POLE", VLOOKUP(D54,'Tariff Schedule Lookup Table'!I$7:L$298,3,FALSE))</f>
        <v>SHARED OR NO POLE</v>
      </c>
      <c r="H54" s="294">
        <f>IF(F54 = "NO CAPITAL", 1, VLOOKUP(D54,'Tariff Schedule Lookup Table'!I$7:L$298,4,FALSE))</f>
        <v>1</v>
      </c>
      <c r="I54" s="296">
        <f>VLOOKUP(G54,'Input data'!$A$68:$B$72,2,FALSE)</f>
        <v>0</v>
      </c>
      <c r="J54" s="296">
        <f>VLOOKUP($B54,'Maintenance Costs'!$A:$AB,22,FALSE)</f>
        <v>15.093669044395519</v>
      </c>
      <c r="K54" s="296">
        <f>VLOOKUP($B54,'Maintenance Costs'!$A:$AB,28,FALSE)</f>
        <v>12.564074041395372</v>
      </c>
      <c r="L54" s="297">
        <f t="shared" si="2"/>
        <v>27.657743085790891</v>
      </c>
      <c r="M54" s="287">
        <v>37.113575173623033</v>
      </c>
      <c r="N54" s="30">
        <f t="shared" si="6"/>
        <v>-9.4558320878321425</v>
      </c>
      <c r="O54" s="287"/>
      <c r="P54" s="287"/>
      <c r="Q54" s="287"/>
      <c r="R54" s="287"/>
      <c r="S54" s="287"/>
      <c r="T54" s="287"/>
      <c r="U54" s="287"/>
      <c r="V54" s="287"/>
      <c r="W54" s="287"/>
      <c r="X54" s="287"/>
      <c r="Y54" s="287"/>
      <c r="Z54" s="287"/>
      <c r="AA54" s="287"/>
      <c r="AB54" s="287"/>
      <c r="AC54" s="288"/>
      <c r="AD54" s="288"/>
      <c r="AE54" s="288"/>
      <c r="AF54" s="288"/>
    </row>
    <row r="55" spans="1:32" s="178" customFormat="1" x14ac:dyDescent="0.2">
      <c r="A55" s="298" t="s">
        <v>970</v>
      </c>
      <c r="B55" s="298" t="str">
        <f t="shared" si="3"/>
        <v>FLU0140-ST</v>
      </c>
      <c r="C55" s="294" t="str">
        <f>VLOOKUP(LEFT(A55,7),'Tariff Schedule Lookup Table'!$A$8:$G$198,2,FALSE)</f>
        <v>Fluorescent 2x40</v>
      </c>
      <c r="D55" s="295">
        <f t="shared" si="4"/>
        <v>740</v>
      </c>
      <c r="E55" s="294">
        <f t="shared" si="5"/>
        <v>2</v>
      </c>
      <c r="F55" s="294" t="str">
        <f>VLOOKUP(D55,'Tariff Schedule Lookup Table'!I$7:L$298,2,FALSE)</f>
        <v>MERCURY VAPOUR 80W</v>
      </c>
      <c r="G55" s="294" t="str">
        <f>IF(F55 = "BULKHEADS ETC", "SHARED OR NO POLE", VLOOKUP(D55,'Tariff Schedule Lookup Table'!I$7:L$298,3,FALSE))</f>
        <v>SHARED OR NO POLE</v>
      </c>
      <c r="H55" s="294">
        <f>IF(F55 = "NO CAPITAL", 1, VLOOKUP(D55,'Tariff Schedule Lookup Table'!I$7:L$298,4,FALSE))</f>
        <v>2</v>
      </c>
      <c r="I55" s="296">
        <f>VLOOKUP(G55,'Input data'!$A$68:$B$72,2,FALSE)</f>
        <v>0</v>
      </c>
      <c r="J55" s="296">
        <f>VLOOKUP($B55,'Maintenance Costs'!$A:$AB,22,FALSE)</f>
        <v>15.093669044395519</v>
      </c>
      <c r="K55" s="296">
        <f>VLOOKUP($B55,'Maintenance Costs'!$A:$AB,28,FALSE)</f>
        <v>12.564074041395372</v>
      </c>
      <c r="L55" s="297">
        <f t="shared" si="2"/>
        <v>27.657743085790891</v>
      </c>
      <c r="M55" s="287">
        <v>37.113575173623033</v>
      </c>
      <c r="N55" s="30">
        <f t="shared" si="6"/>
        <v>-9.4558320878321425</v>
      </c>
      <c r="O55" s="287"/>
      <c r="P55" s="287"/>
      <c r="Q55" s="287"/>
      <c r="R55" s="287"/>
      <c r="S55" s="287"/>
      <c r="T55" s="287"/>
      <c r="U55" s="287"/>
      <c r="V55" s="287"/>
      <c r="W55" s="287"/>
      <c r="X55" s="287"/>
      <c r="Y55" s="287"/>
      <c r="Z55" s="287"/>
      <c r="AA55" s="287"/>
      <c r="AB55" s="287"/>
      <c r="AC55" s="288"/>
      <c r="AD55" s="288"/>
      <c r="AE55" s="288"/>
      <c r="AF55" s="288"/>
    </row>
    <row r="56" spans="1:32" s="178" customFormat="1" x14ac:dyDescent="0.2">
      <c r="A56" s="298" t="s">
        <v>971</v>
      </c>
      <c r="B56" s="298" t="str">
        <f t="shared" si="3"/>
        <v>FLU0140-ST</v>
      </c>
      <c r="C56" s="294" t="str">
        <f>VLOOKUP(LEFT(A56,7),'Tariff Schedule Lookup Table'!$A$8:$G$198,2,FALSE)</f>
        <v>Fluorescent 2x40</v>
      </c>
      <c r="D56" s="295">
        <f t="shared" si="4"/>
        <v>810</v>
      </c>
      <c r="E56" s="294">
        <f t="shared" si="5"/>
        <v>1</v>
      </c>
      <c r="F56" s="294" t="str">
        <f>VLOOKUP(D56,'Tariff Schedule Lookup Table'!I$7:L$298,2,FALSE)</f>
        <v>MERCURY VAPOUR 80W</v>
      </c>
      <c r="G56" s="294" t="str">
        <f>IF(F56 = "BULKHEADS ETC", "SHARED OR NO POLE", VLOOKUP(D56,'Tariff Schedule Lookup Table'!I$7:L$298,3,FALSE))</f>
        <v>WOOD POLE</v>
      </c>
      <c r="H56" s="294">
        <f>IF(F56 = "NO CAPITAL", 1, VLOOKUP(D56,'Tariff Schedule Lookup Table'!I$7:L$298,4,FALSE))</f>
        <v>1</v>
      </c>
      <c r="I56" s="296">
        <f>VLOOKUP(G56,'Input data'!$A$68:$B$72,2,FALSE)</f>
        <v>10.809914000000001</v>
      </c>
      <c r="J56" s="296">
        <f>VLOOKUP($B56,'Maintenance Costs'!$A:$AB,22,FALSE)</f>
        <v>15.093669044395519</v>
      </c>
      <c r="K56" s="296">
        <f>VLOOKUP($B56,'Maintenance Costs'!$A:$AB,28,FALSE)</f>
        <v>12.564074041395372</v>
      </c>
      <c r="L56" s="297">
        <f t="shared" si="2"/>
        <v>38.46765708579089</v>
      </c>
      <c r="M56" s="287">
        <v>47.923489173623032</v>
      </c>
      <c r="N56" s="30">
        <f t="shared" si="6"/>
        <v>-9.4558320878321425</v>
      </c>
      <c r="O56" s="287"/>
      <c r="P56" s="287"/>
      <c r="Q56" s="287"/>
      <c r="R56" s="287"/>
      <c r="S56" s="287"/>
      <c r="T56" s="287"/>
      <c r="U56" s="287"/>
      <c r="V56" s="287"/>
      <c r="W56" s="287"/>
      <c r="X56" s="287"/>
      <c r="Y56" s="287"/>
      <c r="Z56" s="287"/>
      <c r="AA56" s="287"/>
      <c r="AB56" s="287"/>
      <c r="AC56" s="288"/>
      <c r="AD56" s="288"/>
      <c r="AE56" s="288"/>
      <c r="AF56" s="288"/>
    </row>
    <row r="57" spans="1:32" s="178" customFormat="1" x14ac:dyDescent="0.2">
      <c r="A57" s="298" t="s">
        <v>972</v>
      </c>
      <c r="B57" s="298" t="str">
        <f t="shared" si="3"/>
        <v>FLU0140-ST</v>
      </c>
      <c r="C57" s="294" t="str">
        <f>VLOOKUP(LEFT(A57,7),'Tariff Schedule Lookup Table'!$A$8:$G$198,2,FALSE)</f>
        <v>Fluorescent 2x40</v>
      </c>
      <c r="D57" s="295">
        <f t="shared" si="4"/>
        <v>830</v>
      </c>
      <c r="E57" s="294">
        <f t="shared" si="5"/>
        <v>2</v>
      </c>
      <c r="F57" s="294" t="str">
        <f>VLOOKUP(D57,'Tariff Schedule Lookup Table'!I$7:L$298,2,FALSE)</f>
        <v>MERCURY VAPOUR 80W</v>
      </c>
      <c r="G57" s="294" t="str">
        <f>IF(F57 = "BULKHEADS ETC", "SHARED OR NO POLE", VLOOKUP(D57,'Tariff Schedule Lookup Table'!I$7:L$298,3,FALSE))</f>
        <v>SHARED OR NO POLE</v>
      </c>
      <c r="H57" s="294">
        <f>IF(F57 = "NO CAPITAL", 1, VLOOKUP(D57,'Tariff Schedule Lookup Table'!I$7:L$298,4,FALSE))</f>
        <v>4</v>
      </c>
      <c r="I57" s="296">
        <f>VLOOKUP(G57,'Input data'!$A$68:$B$72,2,FALSE)</f>
        <v>0</v>
      </c>
      <c r="J57" s="296">
        <f>VLOOKUP($B57,'Maintenance Costs'!$A:$AB,22,FALSE)</f>
        <v>15.093669044395519</v>
      </c>
      <c r="K57" s="296">
        <f>VLOOKUP($B57,'Maintenance Costs'!$A:$AB,28,FALSE)</f>
        <v>12.564074041395372</v>
      </c>
      <c r="L57" s="297">
        <f t="shared" si="2"/>
        <v>27.657743085790891</v>
      </c>
      <c r="M57" s="287">
        <v>37.113575173623033</v>
      </c>
      <c r="N57" s="30">
        <f t="shared" si="6"/>
        <v>-9.4558320878321425</v>
      </c>
      <c r="O57" s="287"/>
      <c r="P57" s="287"/>
      <c r="Q57" s="287"/>
      <c r="R57" s="287"/>
      <c r="S57" s="287"/>
      <c r="T57" s="287"/>
      <c r="U57" s="287"/>
      <c r="V57" s="287"/>
      <c r="W57" s="287"/>
      <c r="X57" s="287"/>
      <c r="Y57" s="287"/>
      <c r="Z57" s="287"/>
      <c r="AA57" s="287"/>
      <c r="AB57" s="287"/>
      <c r="AC57" s="288"/>
      <c r="AD57" s="288"/>
      <c r="AE57" s="288"/>
      <c r="AF57" s="288"/>
    </row>
    <row r="58" spans="1:32" s="178" customFormat="1" x14ac:dyDescent="0.2">
      <c r="A58" s="298" t="s">
        <v>973</v>
      </c>
      <c r="B58" s="298" t="str">
        <f t="shared" si="3"/>
        <v>FLU0140-ST</v>
      </c>
      <c r="C58" s="294" t="str">
        <f>VLOOKUP(LEFT(A58,7),'Tariff Schedule Lookup Table'!$A$8:$G$198,2,FALSE)</f>
        <v>Fluorescent 2x40</v>
      </c>
      <c r="D58" s="295">
        <f t="shared" si="4"/>
        <v>990</v>
      </c>
      <c r="E58" s="294">
        <f t="shared" si="5"/>
        <v>2</v>
      </c>
      <c r="F58" s="294" t="str">
        <f>VLOOKUP(D58,'Tariff Schedule Lookup Table'!I$7:L$298,2,FALSE)</f>
        <v>MERCURY VAPOUR 80W</v>
      </c>
      <c r="G58" s="294" t="str">
        <f>IF(F58 = "BULKHEADS ETC", "SHARED OR NO POLE", VLOOKUP(D58,'Tariff Schedule Lookup Table'!I$7:L$298,3,FALSE))</f>
        <v>STEEL POLE</v>
      </c>
      <c r="H58" s="294">
        <f>IF(F58 = "NO CAPITAL", 1, VLOOKUP(D58,'Tariff Schedule Lookup Table'!I$7:L$298,4,FALSE))</f>
        <v>1</v>
      </c>
      <c r="I58" s="296">
        <f>VLOOKUP(G58,'Input data'!$A$68:$B$72,2,FALSE)</f>
        <v>9.8748837500000004</v>
      </c>
      <c r="J58" s="296">
        <f>VLOOKUP($B58,'Maintenance Costs'!$A:$AB,22,FALSE)</f>
        <v>15.093669044395519</v>
      </c>
      <c r="K58" s="296">
        <f>VLOOKUP($B58,'Maintenance Costs'!$A:$AB,28,FALSE)</f>
        <v>12.564074041395372</v>
      </c>
      <c r="L58" s="297">
        <f t="shared" si="2"/>
        <v>37.532626835790893</v>
      </c>
      <c r="M58" s="287">
        <v>46.988458923623035</v>
      </c>
      <c r="N58" s="30">
        <f t="shared" si="6"/>
        <v>-9.4558320878321425</v>
      </c>
      <c r="O58" s="287"/>
      <c r="P58" s="287"/>
      <c r="Q58" s="287"/>
      <c r="R58" s="287"/>
      <c r="S58" s="287"/>
      <c r="T58" s="287"/>
      <c r="U58" s="287"/>
      <c r="V58" s="287"/>
      <c r="W58" s="287"/>
      <c r="X58" s="287"/>
      <c r="Y58" s="287"/>
      <c r="Z58" s="287"/>
      <c r="AA58" s="287"/>
      <c r="AB58" s="287"/>
      <c r="AC58" s="288"/>
      <c r="AD58" s="288"/>
      <c r="AE58" s="288"/>
      <c r="AF58" s="288"/>
    </row>
    <row r="59" spans="1:32" s="178" customFormat="1" x14ac:dyDescent="0.2">
      <c r="A59" s="298" t="s">
        <v>974</v>
      </c>
      <c r="B59" s="298" t="str">
        <f t="shared" si="3"/>
        <v>FLU0140-ST</v>
      </c>
      <c r="C59" s="294" t="str">
        <f>VLOOKUP(LEFT(A59,7),'Tariff Schedule Lookup Table'!$A$8:$G$198,2,FALSE)</f>
        <v>Fluorescent 2x40</v>
      </c>
      <c r="D59" s="295">
        <f t="shared" si="4"/>
        <v>1260</v>
      </c>
      <c r="E59" s="294">
        <f t="shared" si="5"/>
        <v>2</v>
      </c>
      <c r="F59" s="294" t="str">
        <f>VLOOKUP(D59,'Tariff Schedule Lookup Table'!I$7:L$298,2,FALSE)</f>
        <v>MERCURY VAPOUR 80W</v>
      </c>
      <c r="G59" s="294" t="str">
        <f>IF(F59 = "BULKHEADS ETC", "SHARED OR NO POLE", VLOOKUP(D59,'Tariff Schedule Lookup Table'!I$7:L$298,3,FALSE))</f>
        <v>WOOD POLE</v>
      </c>
      <c r="H59" s="294">
        <f>IF(F59 = "NO CAPITAL", 1, VLOOKUP(D59,'Tariff Schedule Lookup Table'!I$7:L$298,4,FALSE))</f>
        <v>2</v>
      </c>
      <c r="I59" s="296">
        <f>VLOOKUP(G59,'Input data'!$A$68:$B$72,2,FALSE)</f>
        <v>10.809914000000001</v>
      </c>
      <c r="J59" s="296">
        <f>VLOOKUP($B59,'Maintenance Costs'!$A:$AB,22,FALSE)</f>
        <v>15.093669044395519</v>
      </c>
      <c r="K59" s="296">
        <f>VLOOKUP($B59,'Maintenance Costs'!$A:$AB,28,FALSE)</f>
        <v>12.564074041395372</v>
      </c>
      <c r="L59" s="297">
        <f t="shared" si="2"/>
        <v>33.062700085790894</v>
      </c>
      <c r="M59" s="287">
        <v>42.518532173623036</v>
      </c>
      <c r="N59" s="30">
        <f t="shared" si="6"/>
        <v>-9.4558320878321425</v>
      </c>
      <c r="O59" s="287"/>
      <c r="P59" s="287"/>
      <c r="Q59" s="287"/>
      <c r="R59" s="287"/>
      <c r="S59" s="287"/>
      <c r="T59" s="287"/>
      <c r="U59" s="287"/>
      <c r="V59" s="287"/>
      <c r="W59" s="287"/>
      <c r="X59" s="287"/>
      <c r="Y59" s="287"/>
      <c r="Z59" s="287"/>
      <c r="AA59" s="287"/>
      <c r="AB59" s="287"/>
      <c r="AC59" s="288"/>
      <c r="AD59" s="288"/>
      <c r="AE59" s="288"/>
      <c r="AF59" s="288"/>
    </row>
    <row r="60" spans="1:32" s="178" customFormat="1" x14ac:dyDescent="0.2">
      <c r="A60" s="298" t="s">
        <v>975</v>
      </c>
      <c r="B60" s="298" t="str">
        <f t="shared" si="3"/>
        <v>FLU0190-ST</v>
      </c>
      <c r="C60" s="294" t="str">
        <f>VLOOKUP(LEFT(A60,7),'Tariff Schedule Lookup Table'!$A$8:$G$198,2,FALSE)</f>
        <v>Fluorescent 2x58</v>
      </c>
      <c r="D60" s="295">
        <f t="shared" si="4"/>
        <v>10</v>
      </c>
      <c r="E60" s="294">
        <f t="shared" si="5"/>
        <v>1</v>
      </c>
      <c r="F60" s="294" t="str">
        <f>VLOOKUP(D60,'Tariff Schedule Lookup Table'!I$7:L$298,2,FALSE)</f>
        <v>MERCURY VAPOUR 80W</v>
      </c>
      <c r="G60" s="294" t="str">
        <f>IF(F60 = "BULKHEADS ETC", "SHARED OR NO POLE", VLOOKUP(D60,'Tariff Schedule Lookup Table'!I$7:L$298,3,FALSE))</f>
        <v>SHARED OR NO POLE</v>
      </c>
      <c r="H60" s="294">
        <f>IF(F60 = "NO CAPITAL", 1, VLOOKUP(D60,'Tariff Schedule Lookup Table'!I$7:L$298,4,FALSE))</f>
        <v>1</v>
      </c>
      <c r="I60" s="296">
        <f>VLOOKUP(G60,'Input data'!$A$68:$B$72,2,FALSE)</f>
        <v>0</v>
      </c>
      <c r="J60" s="296">
        <f>VLOOKUP($B60,'Maintenance Costs'!$A:$AB,22,FALSE)</f>
        <v>15.153154612151592</v>
      </c>
      <c r="K60" s="296">
        <f>VLOOKUP($B60,'Maintenance Costs'!$A:$AB,28,FALSE)</f>
        <v>12.564074041395372</v>
      </c>
      <c r="L60" s="297">
        <f t="shared" si="2"/>
        <v>27.717228653546965</v>
      </c>
      <c r="M60" s="287">
        <v>37.300657284215887</v>
      </c>
      <c r="N60" s="30">
        <f t="shared" si="6"/>
        <v>-9.5834286306689229</v>
      </c>
      <c r="O60" s="287"/>
      <c r="P60" s="287"/>
      <c r="Q60" s="287"/>
      <c r="R60" s="287"/>
      <c r="S60" s="287"/>
      <c r="T60" s="287"/>
      <c r="U60" s="287"/>
      <c r="V60" s="287"/>
      <c r="W60" s="287"/>
      <c r="X60" s="287"/>
      <c r="Y60" s="287"/>
      <c r="Z60" s="287"/>
      <c r="AA60" s="287"/>
      <c r="AB60" s="287"/>
      <c r="AC60" s="288"/>
      <c r="AD60" s="288"/>
      <c r="AE60" s="288"/>
      <c r="AF60" s="288"/>
    </row>
    <row r="61" spans="1:32" s="178" customFormat="1" x14ac:dyDescent="0.2">
      <c r="A61" s="298" t="s">
        <v>976</v>
      </c>
      <c r="B61" s="298" t="str">
        <f t="shared" si="3"/>
        <v>FLU0220-ST</v>
      </c>
      <c r="C61" s="294" t="str">
        <f>VLOOKUP(LEFT(A61,7),'Tariff Schedule Lookup Table'!$A$8:$G$198,2,FALSE)</f>
        <v>Fluorescent 65</v>
      </c>
      <c r="D61" s="295">
        <f t="shared" si="4"/>
        <v>990</v>
      </c>
      <c r="E61" s="294">
        <f t="shared" si="5"/>
        <v>2</v>
      </c>
      <c r="F61" s="294" t="str">
        <f>VLOOKUP(D61,'Tariff Schedule Lookup Table'!I$7:L$298,2,FALSE)</f>
        <v>MERCURY VAPOUR 80W</v>
      </c>
      <c r="G61" s="294" t="str">
        <f>IF(F61 = "BULKHEADS ETC", "SHARED OR NO POLE", VLOOKUP(D61,'Tariff Schedule Lookup Table'!I$7:L$298,3,FALSE))</f>
        <v>STEEL POLE</v>
      </c>
      <c r="H61" s="294">
        <f>IF(F61 = "NO CAPITAL", 1, VLOOKUP(D61,'Tariff Schedule Lookup Table'!I$7:L$298,4,FALSE))</f>
        <v>1</v>
      </c>
      <c r="I61" s="296">
        <f>VLOOKUP(G61,'Input data'!$A$68:$B$72,2,FALSE)</f>
        <v>9.8748837500000004</v>
      </c>
      <c r="J61" s="296">
        <f>VLOOKUP($B61,'Maintenance Costs'!$A:$AB,22,FALSE)</f>
        <v>14.973855644395517</v>
      </c>
      <c r="K61" s="296">
        <f>VLOOKUP($B61,'Maintenance Costs'!$A:$AB,28,FALSE)</f>
        <v>11.967705541395373</v>
      </c>
      <c r="L61" s="297">
        <f t="shared" si="2"/>
        <v>36.816444935790891</v>
      </c>
      <c r="M61" s="287">
        <v>46.074715951359714</v>
      </c>
      <c r="N61" s="30">
        <f t="shared" si="6"/>
        <v>-9.2582710155688233</v>
      </c>
      <c r="O61" s="287"/>
      <c r="P61" s="287"/>
      <c r="Q61" s="287"/>
      <c r="R61" s="287"/>
      <c r="S61" s="287"/>
      <c r="T61" s="287"/>
      <c r="U61" s="287"/>
      <c r="V61" s="287"/>
      <c r="W61" s="287"/>
      <c r="X61" s="287"/>
      <c r="Y61" s="287"/>
      <c r="Z61" s="287"/>
      <c r="AA61" s="287"/>
      <c r="AB61" s="287"/>
      <c r="AC61" s="288"/>
      <c r="AD61" s="288"/>
      <c r="AE61" s="288"/>
      <c r="AF61" s="288"/>
    </row>
    <row r="62" spans="1:32" s="178" customFormat="1" x14ac:dyDescent="0.2">
      <c r="A62" s="298" t="s">
        <v>977</v>
      </c>
      <c r="B62" s="298" t="str">
        <f t="shared" si="3"/>
        <v>FLU0240-ST</v>
      </c>
      <c r="C62" s="294" t="str">
        <f>VLOOKUP(LEFT(A62,7),'Tariff Schedule Lookup Table'!$A$8:$G$198,2,FALSE)</f>
        <v>Fluorescent 80</v>
      </c>
      <c r="D62" s="295">
        <f t="shared" si="4"/>
        <v>1</v>
      </c>
      <c r="E62" s="294">
        <f t="shared" si="5"/>
        <v>6</v>
      </c>
      <c r="F62" s="294" t="str">
        <f>VLOOKUP(D62,'Tariff Schedule Lookup Table'!I$7:L$298,2,FALSE)</f>
        <v>NO CAPITAL</v>
      </c>
      <c r="G62" s="294" t="str">
        <f>IF(F62 = "BULKHEADS ETC", "SHARED OR NO POLE", VLOOKUP(D62,'Tariff Schedule Lookup Table'!I$7:L$298,3,FALSE))</f>
        <v>NO CAPITAL</v>
      </c>
      <c r="H62" s="294">
        <f>IF(F62 = "NO CAPITAL", 1, VLOOKUP(D62,'Tariff Schedule Lookup Table'!I$7:L$298,4,FALSE))</f>
        <v>1</v>
      </c>
      <c r="I62" s="296">
        <f>VLOOKUP(G62,'Input data'!$A$68:$B$72,2,FALSE)</f>
        <v>0</v>
      </c>
      <c r="J62" s="296">
        <v>0</v>
      </c>
      <c r="K62" s="296">
        <v>0</v>
      </c>
      <c r="L62" s="297">
        <f t="shared" si="2"/>
        <v>0</v>
      </c>
      <c r="M62" s="287">
        <v>0</v>
      </c>
      <c r="N62" s="30">
        <f t="shared" si="6"/>
        <v>0</v>
      </c>
      <c r="O62" s="287"/>
      <c r="P62" s="287"/>
      <c r="Q62" s="287"/>
      <c r="R62" s="287"/>
      <c r="S62" s="287"/>
      <c r="T62" s="287"/>
      <c r="U62" s="287"/>
      <c r="V62" s="287"/>
      <c r="W62" s="287"/>
      <c r="X62" s="287"/>
      <c r="Y62" s="287"/>
      <c r="Z62" s="287"/>
      <c r="AA62" s="287"/>
      <c r="AB62" s="287"/>
      <c r="AC62" s="288"/>
      <c r="AD62" s="288"/>
      <c r="AE62" s="288"/>
      <c r="AF62" s="288"/>
    </row>
    <row r="63" spans="1:32" s="178" customFormat="1" x14ac:dyDescent="0.2">
      <c r="A63" s="298" t="s">
        <v>978</v>
      </c>
      <c r="B63" s="298" t="str">
        <f t="shared" si="3"/>
        <v>FLU0240-ST</v>
      </c>
      <c r="C63" s="294" t="str">
        <f>VLOOKUP(LEFT(A63,7),'Tariff Schedule Lookup Table'!$A$8:$G$198,2,FALSE)</f>
        <v>Fluorescent 80</v>
      </c>
      <c r="D63" s="295">
        <f t="shared" si="4"/>
        <v>10</v>
      </c>
      <c r="E63" s="294">
        <f t="shared" si="5"/>
        <v>1</v>
      </c>
      <c r="F63" s="294" t="str">
        <f>VLOOKUP(D63,'Tariff Schedule Lookup Table'!I$7:L$298,2,FALSE)</f>
        <v>MERCURY VAPOUR 80W</v>
      </c>
      <c r="G63" s="294" t="str">
        <f>IF(F63 = "BULKHEADS ETC", "SHARED OR NO POLE", VLOOKUP(D63,'Tariff Schedule Lookup Table'!I$7:L$298,3,FALSE))</f>
        <v>SHARED OR NO POLE</v>
      </c>
      <c r="H63" s="294">
        <f>IF(F63 = "NO CAPITAL", 1, VLOOKUP(D63,'Tariff Schedule Lookup Table'!I$7:L$298,4,FALSE))</f>
        <v>1</v>
      </c>
      <c r="I63" s="296">
        <f>VLOOKUP(G63,'Input data'!$A$68:$B$72,2,FALSE)</f>
        <v>0</v>
      </c>
      <c r="J63" s="296">
        <f>VLOOKUP($B63,'Maintenance Costs'!$A:$AB,22,FALSE)</f>
        <v>14.973855644395517</v>
      </c>
      <c r="K63" s="296">
        <f>VLOOKUP($B63,'Maintenance Costs'!$A:$AB,28,FALSE)</f>
        <v>11.967705541395373</v>
      </c>
      <c r="L63" s="297">
        <f t="shared" si="2"/>
        <v>26.941561185790889</v>
      </c>
      <c r="M63" s="287">
        <v>36.199832201359712</v>
      </c>
      <c r="N63" s="30">
        <f t="shared" si="6"/>
        <v>-9.2582710155688233</v>
      </c>
      <c r="O63" s="287"/>
      <c r="P63" s="287"/>
      <c r="Q63" s="287"/>
      <c r="R63" s="287"/>
      <c r="S63" s="287"/>
      <c r="T63" s="287"/>
      <c r="U63" s="287"/>
      <c r="V63" s="287"/>
      <c r="W63" s="287"/>
      <c r="X63" s="287"/>
      <c r="Y63" s="287"/>
      <c r="Z63" s="287"/>
      <c r="AA63" s="287"/>
      <c r="AB63" s="287"/>
      <c r="AC63" s="288"/>
      <c r="AD63" s="288"/>
      <c r="AE63" s="288"/>
      <c r="AF63" s="288"/>
    </row>
    <row r="64" spans="1:32" s="178" customFormat="1" x14ac:dyDescent="0.2">
      <c r="A64" s="298" t="s">
        <v>979</v>
      </c>
      <c r="B64" s="298" t="str">
        <f t="shared" si="3"/>
        <v>FLU0240-ST</v>
      </c>
      <c r="C64" s="294" t="str">
        <f>VLOOKUP(LEFT(A64,7),'Tariff Schedule Lookup Table'!$A$8:$G$198,2,FALSE)</f>
        <v>Fluorescent 80</v>
      </c>
      <c r="D64" s="295">
        <f t="shared" si="4"/>
        <v>10</v>
      </c>
      <c r="E64" s="294">
        <f t="shared" si="5"/>
        <v>2</v>
      </c>
      <c r="F64" s="294" t="str">
        <f>VLOOKUP(D64,'Tariff Schedule Lookup Table'!I$7:L$298,2,FALSE)</f>
        <v>MERCURY VAPOUR 80W</v>
      </c>
      <c r="G64" s="294" t="str">
        <f>IF(F64 = "BULKHEADS ETC", "SHARED OR NO POLE", VLOOKUP(D64,'Tariff Schedule Lookup Table'!I$7:L$298,3,FALSE))</f>
        <v>SHARED OR NO POLE</v>
      </c>
      <c r="H64" s="294">
        <f>IF(F64 = "NO CAPITAL", 1, VLOOKUP(D64,'Tariff Schedule Lookup Table'!I$7:L$298,4,FALSE))</f>
        <v>1</v>
      </c>
      <c r="I64" s="296">
        <f>VLOOKUP(G64,'Input data'!$A$68:$B$72,2,FALSE)</f>
        <v>0</v>
      </c>
      <c r="J64" s="296">
        <f>VLOOKUP($B64,'Maintenance Costs'!$A:$AB,22,FALSE)</f>
        <v>14.973855644395517</v>
      </c>
      <c r="K64" s="296">
        <f>VLOOKUP($B64,'Maintenance Costs'!$A:$AB,28,FALSE)</f>
        <v>11.967705541395373</v>
      </c>
      <c r="L64" s="297">
        <f t="shared" si="2"/>
        <v>26.941561185790889</v>
      </c>
      <c r="M64" s="287">
        <v>36.199832201359712</v>
      </c>
      <c r="N64" s="30">
        <f t="shared" si="6"/>
        <v>-9.2582710155688233</v>
      </c>
      <c r="O64" s="287"/>
      <c r="P64" s="287"/>
      <c r="Q64" s="287"/>
      <c r="R64" s="287"/>
      <c r="S64" s="287"/>
      <c r="T64" s="287"/>
      <c r="U64" s="287"/>
      <c r="V64" s="287"/>
      <c r="W64" s="287"/>
      <c r="X64" s="287"/>
      <c r="Y64" s="287"/>
      <c r="Z64" s="287"/>
      <c r="AA64" s="287"/>
      <c r="AB64" s="287"/>
      <c r="AC64" s="288"/>
      <c r="AD64" s="288"/>
      <c r="AE64" s="288"/>
      <c r="AF64" s="288"/>
    </row>
    <row r="65" spans="1:32" s="178" customFormat="1" x14ac:dyDescent="0.2">
      <c r="A65" s="298" t="s">
        <v>538</v>
      </c>
      <c r="B65" s="298" t="str">
        <f t="shared" si="3"/>
        <v>FLU0240-ST</v>
      </c>
      <c r="C65" s="294" t="str">
        <f>VLOOKUP(LEFT(A65,7),'Tariff Schedule Lookup Table'!$A$8:$G$198,2,FALSE)</f>
        <v>Fluorescent 80</v>
      </c>
      <c r="D65" s="295">
        <f t="shared" si="4"/>
        <v>10</v>
      </c>
      <c r="E65" s="294">
        <f t="shared" si="5"/>
        <v>4</v>
      </c>
      <c r="F65" s="294" t="str">
        <f>VLOOKUP(D65,'Tariff Schedule Lookup Table'!I$7:L$298,2,FALSE)</f>
        <v>MERCURY VAPOUR 80W</v>
      </c>
      <c r="G65" s="294" t="str">
        <f>IF(F65 = "BULKHEADS ETC", "SHARED OR NO POLE", VLOOKUP(D65,'Tariff Schedule Lookup Table'!I$7:L$298,3,FALSE))</f>
        <v>SHARED OR NO POLE</v>
      </c>
      <c r="H65" s="294">
        <f>IF(F65 = "NO CAPITAL", 1, VLOOKUP(D65,'Tariff Schedule Lookup Table'!I$7:L$298,4,FALSE))</f>
        <v>1</v>
      </c>
      <c r="I65" s="296">
        <f>VLOOKUP(G65,'Input data'!$A$68:$B$72,2,FALSE)</f>
        <v>0</v>
      </c>
      <c r="J65" s="296">
        <f>VLOOKUP($B65,'Maintenance Costs'!$A:$AB,22,FALSE)</f>
        <v>14.973855644395517</v>
      </c>
      <c r="K65" s="296">
        <f>VLOOKUP($B65,'Maintenance Costs'!$A:$AB,28,FALSE)</f>
        <v>11.967705541395373</v>
      </c>
      <c r="L65" s="297">
        <f t="shared" si="2"/>
        <v>26.941561185790889</v>
      </c>
      <c r="M65" s="287">
        <v>36.199832201359712</v>
      </c>
      <c r="N65" s="30">
        <f t="shared" si="6"/>
        <v>-9.2582710155688233</v>
      </c>
      <c r="O65" s="287"/>
      <c r="P65" s="287"/>
      <c r="Q65" s="287"/>
      <c r="R65" s="287"/>
      <c r="S65" s="287"/>
      <c r="T65" s="287"/>
      <c r="U65" s="287"/>
      <c r="V65" s="287"/>
      <c r="W65" s="287"/>
      <c r="X65" s="287"/>
      <c r="Y65" s="287"/>
      <c r="Z65" s="287"/>
      <c r="AA65" s="287"/>
      <c r="AB65" s="287"/>
      <c r="AC65" s="288"/>
      <c r="AD65" s="288"/>
      <c r="AE65" s="288"/>
      <c r="AF65" s="288"/>
    </row>
    <row r="66" spans="1:32" s="178" customFormat="1" x14ac:dyDescent="0.2">
      <c r="A66" s="298" t="s">
        <v>980</v>
      </c>
      <c r="B66" s="298" t="str">
        <f t="shared" si="3"/>
        <v>FLU0240-ST</v>
      </c>
      <c r="C66" s="294" t="str">
        <f>VLOOKUP(LEFT(A66,7),'Tariff Schedule Lookup Table'!$A$8:$G$198,2,FALSE)</f>
        <v>Fluorescent 80</v>
      </c>
      <c r="D66" s="295">
        <f t="shared" si="4"/>
        <v>810</v>
      </c>
      <c r="E66" s="294">
        <f t="shared" si="5"/>
        <v>2</v>
      </c>
      <c r="F66" s="294" t="str">
        <f>VLOOKUP(D66,'Tariff Schedule Lookup Table'!I$7:L$298,2,FALSE)</f>
        <v>MERCURY VAPOUR 80W</v>
      </c>
      <c r="G66" s="294" t="str">
        <f>IF(F66 = "BULKHEADS ETC", "SHARED OR NO POLE", VLOOKUP(D66,'Tariff Schedule Lookup Table'!I$7:L$298,3,FALSE))</f>
        <v>WOOD POLE</v>
      </c>
      <c r="H66" s="294">
        <f>IF(F66 = "NO CAPITAL", 1, VLOOKUP(D66,'Tariff Schedule Lookup Table'!I$7:L$298,4,FALSE))</f>
        <v>1</v>
      </c>
      <c r="I66" s="296">
        <f>VLOOKUP(G66,'Input data'!$A$68:$B$72,2,FALSE)</f>
        <v>10.809914000000001</v>
      </c>
      <c r="J66" s="296">
        <f>VLOOKUP($B66,'Maintenance Costs'!$A:$AB,22,FALSE)</f>
        <v>14.973855644395517</v>
      </c>
      <c r="K66" s="296">
        <f>VLOOKUP($B66,'Maintenance Costs'!$A:$AB,28,FALSE)</f>
        <v>11.967705541395373</v>
      </c>
      <c r="L66" s="297">
        <f t="shared" si="2"/>
        <v>37.751475185790888</v>
      </c>
      <c r="M66" s="287">
        <v>47.009746201359711</v>
      </c>
      <c r="N66" s="30">
        <f t="shared" si="6"/>
        <v>-9.2582710155688233</v>
      </c>
      <c r="O66" s="287"/>
      <c r="P66" s="287"/>
      <c r="Q66" s="287"/>
      <c r="R66" s="287"/>
      <c r="S66" s="287"/>
      <c r="T66" s="287"/>
      <c r="U66" s="287"/>
      <c r="V66" s="287"/>
      <c r="W66" s="287"/>
      <c r="X66" s="287"/>
      <c r="Y66" s="287"/>
      <c r="Z66" s="287"/>
      <c r="AA66" s="287"/>
      <c r="AB66" s="287"/>
      <c r="AC66" s="288"/>
      <c r="AD66" s="288"/>
      <c r="AE66" s="288"/>
      <c r="AF66" s="288"/>
    </row>
    <row r="67" spans="1:32" s="178" customFormat="1" x14ac:dyDescent="0.2">
      <c r="A67" s="298" t="s">
        <v>981</v>
      </c>
      <c r="B67" s="298" t="str">
        <f t="shared" si="3"/>
        <v>FLU0240-ST</v>
      </c>
      <c r="C67" s="294" t="str">
        <f>VLOOKUP(LEFT(A67,7),'Tariff Schedule Lookup Table'!$A$8:$G$198,2,FALSE)</f>
        <v>Fluorescent 80</v>
      </c>
      <c r="D67" s="295">
        <f t="shared" si="4"/>
        <v>990</v>
      </c>
      <c r="E67" s="294">
        <f t="shared" si="5"/>
        <v>2</v>
      </c>
      <c r="F67" s="294" t="str">
        <f>VLOOKUP(D67,'Tariff Schedule Lookup Table'!I$7:L$298,2,FALSE)</f>
        <v>MERCURY VAPOUR 80W</v>
      </c>
      <c r="G67" s="294" t="str">
        <f>IF(F67 = "BULKHEADS ETC", "SHARED OR NO POLE", VLOOKUP(D67,'Tariff Schedule Lookup Table'!I$7:L$298,3,FALSE))</f>
        <v>STEEL POLE</v>
      </c>
      <c r="H67" s="294">
        <f>IF(F67 = "NO CAPITAL", 1, VLOOKUP(D67,'Tariff Schedule Lookup Table'!I$7:L$298,4,FALSE))</f>
        <v>1</v>
      </c>
      <c r="I67" s="296">
        <f>VLOOKUP(G67,'Input data'!$A$68:$B$72,2,FALSE)</f>
        <v>9.8748837500000004</v>
      </c>
      <c r="J67" s="296">
        <f>VLOOKUP($B67,'Maintenance Costs'!$A:$AB,22,FALSE)</f>
        <v>14.973855644395517</v>
      </c>
      <c r="K67" s="296">
        <f>VLOOKUP($B67,'Maintenance Costs'!$A:$AB,28,FALSE)</f>
        <v>11.967705541395373</v>
      </c>
      <c r="L67" s="297">
        <f t="shared" si="2"/>
        <v>36.816444935790891</v>
      </c>
      <c r="M67" s="287">
        <v>46.074715951359714</v>
      </c>
      <c r="N67" s="30">
        <f t="shared" si="6"/>
        <v>-9.2582710155688233</v>
      </c>
      <c r="O67" s="287"/>
      <c r="P67" s="287"/>
      <c r="Q67" s="287"/>
      <c r="R67" s="287"/>
      <c r="S67" s="287"/>
      <c r="T67" s="287"/>
      <c r="U67" s="287"/>
      <c r="V67" s="287"/>
      <c r="W67" s="287"/>
      <c r="X67" s="287"/>
      <c r="Y67" s="287"/>
      <c r="Z67" s="287"/>
      <c r="AA67" s="287"/>
      <c r="AB67" s="287"/>
      <c r="AC67" s="288"/>
      <c r="AD67" s="288"/>
      <c r="AE67" s="288"/>
      <c r="AF67" s="288"/>
    </row>
    <row r="68" spans="1:32" s="178" customFormat="1" x14ac:dyDescent="0.2">
      <c r="A68" s="298" t="s">
        <v>982</v>
      </c>
      <c r="B68" s="298" t="str">
        <f t="shared" si="3"/>
        <v>FLU0250-ST</v>
      </c>
      <c r="C68" s="294" t="str">
        <f>VLOOKUP(LEFT(A68,7),'Tariff Schedule Lookup Table'!$A$8:$G$198,2,FALSE)</f>
        <v>Fluorescent 2x80</v>
      </c>
      <c r="D68" s="295">
        <f t="shared" si="4"/>
        <v>10</v>
      </c>
      <c r="E68" s="294">
        <f t="shared" si="5"/>
        <v>2</v>
      </c>
      <c r="F68" s="294" t="str">
        <f>VLOOKUP(D68,'Tariff Schedule Lookup Table'!I$7:L$298,2,FALSE)</f>
        <v>MERCURY VAPOUR 80W</v>
      </c>
      <c r="G68" s="294" t="str">
        <f>IF(F68 = "BULKHEADS ETC", "SHARED OR NO POLE", VLOOKUP(D68,'Tariff Schedule Lookup Table'!I$7:L$298,3,FALSE))</f>
        <v>SHARED OR NO POLE</v>
      </c>
      <c r="H68" s="294">
        <f>IF(F68 = "NO CAPITAL", 1, VLOOKUP(D68,'Tariff Schedule Lookup Table'!I$7:L$298,4,FALSE))</f>
        <v>1</v>
      </c>
      <c r="I68" s="296">
        <f>VLOOKUP(G68,'Input data'!$A$68:$B$72,2,FALSE)</f>
        <v>0</v>
      </c>
      <c r="J68" s="296">
        <f>VLOOKUP($B68,'Maintenance Costs'!$A:$AB,22,FALSE)</f>
        <v>15.153154612151592</v>
      </c>
      <c r="K68" s="296">
        <f>VLOOKUP($B68,'Maintenance Costs'!$A:$AB,28,FALSE)</f>
        <v>12.564074041395372</v>
      </c>
      <c r="L68" s="297">
        <f t="shared" si="2"/>
        <v>27.717228653546965</v>
      </c>
      <c r="M68" s="287">
        <v>37.209526590206991</v>
      </c>
      <c r="N68" s="30">
        <f t="shared" si="6"/>
        <v>-9.4922979366600266</v>
      </c>
      <c r="O68" s="287"/>
      <c r="P68" s="287"/>
      <c r="Q68" s="287"/>
      <c r="R68" s="287"/>
      <c r="S68" s="287"/>
      <c r="T68" s="287"/>
      <c r="U68" s="287"/>
      <c r="V68" s="287"/>
      <c r="W68" s="287"/>
      <c r="X68" s="287"/>
      <c r="Y68" s="287"/>
      <c r="Z68" s="287"/>
      <c r="AA68" s="287"/>
      <c r="AB68" s="287"/>
      <c r="AC68" s="288"/>
      <c r="AD68" s="288"/>
      <c r="AE68" s="288"/>
      <c r="AF68" s="288"/>
    </row>
    <row r="69" spans="1:32" s="178" customFormat="1" x14ac:dyDescent="0.2">
      <c r="A69" s="298" t="s">
        <v>983</v>
      </c>
      <c r="B69" s="298" t="str">
        <f t="shared" si="3"/>
        <v>FLU0350-ST</v>
      </c>
      <c r="C69" s="294" t="str">
        <f>VLOOKUP(LEFT(A69,7),'Tariff Schedule Lookup Table'!$A$8:$G$198,2,FALSE)</f>
        <v>Compact Fluorescent 1x42</v>
      </c>
      <c r="D69" s="295">
        <f t="shared" si="4"/>
        <v>1</v>
      </c>
      <c r="E69" s="294">
        <f t="shared" si="5"/>
        <v>6</v>
      </c>
      <c r="F69" s="294" t="str">
        <f>VLOOKUP(D69,'Tariff Schedule Lookup Table'!I$7:L$298,2,FALSE)</f>
        <v>NO CAPITAL</v>
      </c>
      <c r="G69" s="294" t="str">
        <f>IF(F69 = "BULKHEADS ETC", "SHARED OR NO POLE", VLOOKUP(D69,'Tariff Schedule Lookup Table'!I$7:L$298,3,FALSE))</f>
        <v>NO CAPITAL</v>
      </c>
      <c r="H69" s="294">
        <f>IF(F69 = "NO CAPITAL", 1, VLOOKUP(D69,'Tariff Schedule Lookup Table'!I$7:L$298,4,FALSE))</f>
        <v>1</v>
      </c>
      <c r="I69" s="296">
        <f>VLOOKUP(G69,'Input data'!$A$68:$B$72,2,FALSE)</f>
        <v>0</v>
      </c>
      <c r="J69" s="296">
        <v>0</v>
      </c>
      <c r="K69" s="296">
        <v>0</v>
      </c>
      <c r="L69" s="297">
        <f t="shared" si="2"/>
        <v>0</v>
      </c>
      <c r="M69" s="287">
        <v>0</v>
      </c>
      <c r="N69" s="30">
        <f t="shared" si="6"/>
        <v>0</v>
      </c>
      <c r="O69" s="287"/>
      <c r="P69" s="287"/>
      <c r="Q69" s="287"/>
      <c r="R69" s="287"/>
      <c r="S69" s="287"/>
      <c r="T69" s="287"/>
      <c r="U69" s="287"/>
      <c r="V69" s="287"/>
      <c r="W69" s="287"/>
      <c r="X69" s="287"/>
      <c r="Y69" s="287"/>
      <c r="Z69" s="287"/>
      <c r="AA69" s="287"/>
      <c r="AB69" s="287"/>
      <c r="AC69" s="288"/>
      <c r="AD69" s="288"/>
      <c r="AE69" s="288"/>
      <c r="AF69" s="288"/>
    </row>
    <row r="70" spans="1:32" s="178" customFormat="1" x14ac:dyDescent="0.2">
      <c r="A70" s="298" t="s">
        <v>984</v>
      </c>
      <c r="B70" s="298" t="str">
        <f t="shared" si="3"/>
        <v>FLU0350-ST</v>
      </c>
      <c r="C70" s="294" t="str">
        <f>VLOOKUP(LEFT(A70,7),'Tariff Schedule Lookup Table'!$A$8:$G$198,2,FALSE)</f>
        <v>Compact Fluorescent 1x42</v>
      </c>
      <c r="D70" s="295">
        <f t="shared" si="4"/>
        <v>1620</v>
      </c>
      <c r="E70" s="294">
        <f t="shared" si="5"/>
        <v>1</v>
      </c>
      <c r="F70" s="294" t="str">
        <f>VLOOKUP(D70,'Tariff Schedule Lookup Table'!I$7:L$298,2,FALSE)</f>
        <v>COMPACT FLUORESCENT 42W</v>
      </c>
      <c r="G70" s="294" t="str">
        <f>IF(F70 = "BULKHEADS ETC", "SHARED OR NO POLE", VLOOKUP(D70,'Tariff Schedule Lookup Table'!I$7:L$298,3,FALSE))</f>
        <v>SHARED OR NO POLE</v>
      </c>
      <c r="H70" s="294">
        <f>IF(F70 = "NO CAPITAL", 1, VLOOKUP(D70,'Tariff Schedule Lookup Table'!I$7:L$298,4,FALSE))</f>
        <v>1</v>
      </c>
      <c r="I70" s="296">
        <f>VLOOKUP(G70,'Input data'!$A$68:$B$72,2,FALSE)</f>
        <v>0</v>
      </c>
      <c r="J70" s="296">
        <f>VLOOKUP($B70,'Maintenance Costs'!$A:$AB,22,FALSE)</f>
        <v>17.273484663393553</v>
      </c>
      <c r="K70" s="296">
        <f>VLOOKUP($B70,'Maintenance Costs'!$A:$AB,28,FALSE)</f>
        <v>20.208924541395373</v>
      </c>
      <c r="L70" s="297">
        <f t="shared" si="2"/>
        <v>37.482409204788922</v>
      </c>
      <c r="M70" s="287">
        <v>50.215643679333752</v>
      </c>
      <c r="N70" s="30">
        <f t="shared" si="6"/>
        <v>-12.73323447454483</v>
      </c>
      <c r="O70" s="287"/>
      <c r="P70" s="287"/>
      <c r="Q70" s="287"/>
      <c r="R70" s="287"/>
      <c r="S70" s="287"/>
      <c r="T70" s="287"/>
      <c r="U70" s="287"/>
      <c r="V70" s="287"/>
      <c r="W70" s="287"/>
      <c r="X70" s="287"/>
      <c r="Y70" s="287"/>
      <c r="Z70" s="287"/>
      <c r="AA70" s="287"/>
      <c r="AB70" s="287"/>
      <c r="AC70" s="288"/>
      <c r="AD70" s="288"/>
      <c r="AE70" s="288"/>
      <c r="AF70" s="288"/>
    </row>
    <row r="71" spans="1:32" s="178" customFormat="1" x14ac:dyDescent="0.2">
      <c r="A71" s="298" t="s">
        <v>985</v>
      </c>
      <c r="B71" s="298" t="str">
        <f t="shared" si="3"/>
        <v>FLU0350-ST</v>
      </c>
      <c r="C71" s="294" t="str">
        <f>VLOOKUP(LEFT(A71,7),'Tariff Schedule Lookup Table'!$A$8:$G$198,2,FALSE)</f>
        <v>Compact Fluorescent 1x42</v>
      </c>
      <c r="D71" s="295">
        <f t="shared" si="4"/>
        <v>1620</v>
      </c>
      <c r="E71" s="294">
        <f t="shared" si="5"/>
        <v>2</v>
      </c>
      <c r="F71" s="294" t="str">
        <f>VLOOKUP(D71,'Tariff Schedule Lookup Table'!I$7:L$298,2,FALSE)</f>
        <v>COMPACT FLUORESCENT 42W</v>
      </c>
      <c r="G71" s="294" t="str">
        <f>IF(F71 = "BULKHEADS ETC", "SHARED OR NO POLE", VLOOKUP(D71,'Tariff Schedule Lookup Table'!I$7:L$298,3,FALSE))</f>
        <v>SHARED OR NO POLE</v>
      </c>
      <c r="H71" s="294">
        <f>IF(F71 = "NO CAPITAL", 1, VLOOKUP(D71,'Tariff Schedule Lookup Table'!I$7:L$298,4,FALSE))</f>
        <v>1</v>
      </c>
      <c r="I71" s="296">
        <f>VLOOKUP(G71,'Input data'!$A$68:$B$72,2,FALSE)</f>
        <v>0</v>
      </c>
      <c r="J71" s="296">
        <f>VLOOKUP($B71,'Maintenance Costs'!$A:$AB,22,FALSE)</f>
        <v>17.273484663393553</v>
      </c>
      <c r="K71" s="296">
        <f>VLOOKUP($B71,'Maintenance Costs'!$A:$AB,28,FALSE)</f>
        <v>20.208924541395373</v>
      </c>
      <c r="L71" s="297">
        <f t="shared" si="2"/>
        <v>37.482409204788922</v>
      </c>
      <c r="M71" s="287">
        <v>50.215643679333752</v>
      </c>
      <c r="N71" s="30">
        <f t="shared" si="6"/>
        <v>-12.73323447454483</v>
      </c>
      <c r="O71" s="287"/>
      <c r="P71" s="287"/>
      <c r="Q71" s="287"/>
      <c r="R71" s="287"/>
      <c r="S71" s="287"/>
      <c r="T71" s="287"/>
      <c r="U71" s="287"/>
      <c r="V71" s="287"/>
      <c r="W71" s="287"/>
      <c r="X71" s="287"/>
      <c r="Y71" s="287"/>
      <c r="Z71" s="287"/>
      <c r="AA71" s="287"/>
      <c r="AB71" s="287"/>
      <c r="AC71" s="288"/>
      <c r="AD71" s="288"/>
      <c r="AE71" s="288"/>
      <c r="AF71" s="288"/>
    </row>
    <row r="72" spans="1:32" s="178" customFormat="1" x14ac:dyDescent="0.2">
      <c r="A72" s="298" t="s">
        <v>986</v>
      </c>
      <c r="B72" s="298" t="str">
        <f t="shared" si="3"/>
        <v>FLU0350-ST</v>
      </c>
      <c r="C72" s="294" t="str">
        <f>VLOOKUP(LEFT(A72,7),'Tariff Schedule Lookup Table'!$A$8:$G$198,2,FALSE)</f>
        <v>Compact Fluorescent 1x42</v>
      </c>
      <c r="D72" s="295">
        <f t="shared" si="4"/>
        <v>1620</v>
      </c>
      <c r="E72" s="294">
        <f t="shared" si="5"/>
        <v>3</v>
      </c>
      <c r="F72" s="294" t="str">
        <f>VLOOKUP(D72,'Tariff Schedule Lookup Table'!I$7:L$298,2,FALSE)</f>
        <v>COMPACT FLUORESCENT 42W</v>
      </c>
      <c r="G72" s="294" t="str">
        <f>IF(F72 = "BULKHEADS ETC", "SHARED OR NO POLE", VLOOKUP(D72,'Tariff Schedule Lookup Table'!I$7:L$298,3,FALSE))</f>
        <v>SHARED OR NO POLE</v>
      </c>
      <c r="H72" s="294">
        <f>IF(F72 = "NO CAPITAL", 1, VLOOKUP(D72,'Tariff Schedule Lookup Table'!I$7:L$298,4,FALSE))</f>
        <v>1</v>
      </c>
      <c r="I72" s="296">
        <f>VLOOKUP(G72,'Input data'!$A$68:$B$72,2,FALSE)</f>
        <v>0</v>
      </c>
      <c r="J72" s="296">
        <f>VLOOKUP($B72,'Maintenance Costs'!$A:$AB,22,FALSE)</f>
        <v>17.273484663393553</v>
      </c>
      <c r="K72" s="296">
        <f>VLOOKUP($B72,'Maintenance Costs'!$A:$AB,28,FALSE)</f>
        <v>20.208924541395373</v>
      </c>
      <c r="L72" s="297">
        <f t="shared" si="2"/>
        <v>37.482409204788922</v>
      </c>
      <c r="M72" s="287">
        <v>50.215643679333752</v>
      </c>
      <c r="N72" s="30">
        <f t="shared" si="6"/>
        <v>-12.73323447454483</v>
      </c>
      <c r="O72" s="287"/>
      <c r="P72" s="287"/>
      <c r="Q72" s="287"/>
      <c r="R72" s="287"/>
      <c r="S72" s="287"/>
      <c r="T72" s="287"/>
      <c r="U72" s="287"/>
      <c r="V72" s="287"/>
      <c r="W72" s="287"/>
      <c r="X72" s="287"/>
      <c r="Y72" s="287"/>
      <c r="Z72" s="287"/>
      <c r="AA72" s="287"/>
      <c r="AB72" s="287"/>
      <c r="AC72" s="288"/>
      <c r="AD72" s="288"/>
      <c r="AE72" s="288"/>
      <c r="AF72" s="288"/>
    </row>
    <row r="73" spans="1:32" s="178" customFormat="1" x14ac:dyDescent="0.2">
      <c r="A73" s="298" t="s">
        <v>612</v>
      </c>
      <c r="B73" s="298" t="str">
        <f t="shared" si="3"/>
        <v>FLU0350-ST</v>
      </c>
      <c r="C73" s="294" t="str">
        <f>VLOOKUP(LEFT(A73,7),'Tariff Schedule Lookup Table'!$A$8:$G$198,2,FALSE)</f>
        <v>Compact Fluorescent 1x42</v>
      </c>
      <c r="D73" s="295">
        <f t="shared" si="4"/>
        <v>1620</v>
      </c>
      <c r="E73" s="294">
        <f t="shared" si="5"/>
        <v>4</v>
      </c>
      <c r="F73" s="294" t="str">
        <f>VLOOKUP(D73,'Tariff Schedule Lookup Table'!I$7:L$298,2,FALSE)</f>
        <v>COMPACT FLUORESCENT 42W</v>
      </c>
      <c r="G73" s="294" t="str">
        <f>IF(F73 = "BULKHEADS ETC", "SHARED OR NO POLE", VLOOKUP(D73,'Tariff Schedule Lookup Table'!I$7:L$298,3,FALSE))</f>
        <v>SHARED OR NO POLE</v>
      </c>
      <c r="H73" s="294">
        <f>IF(F73 = "NO CAPITAL", 1, VLOOKUP(D73,'Tariff Schedule Lookup Table'!I$7:L$298,4,FALSE))</f>
        <v>1</v>
      </c>
      <c r="I73" s="296">
        <f>VLOOKUP(G73,'Input data'!$A$68:$B$72,2,FALSE)</f>
        <v>0</v>
      </c>
      <c r="J73" s="296">
        <f>VLOOKUP($B73,'Maintenance Costs'!$A:$AB,22,FALSE)</f>
        <v>17.273484663393553</v>
      </c>
      <c r="K73" s="296">
        <f>VLOOKUP($B73,'Maintenance Costs'!$A:$AB,28,FALSE)</f>
        <v>20.208924541395373</v>
      </c>
      <c r="L73" s="297">
        <f t="shared" si="2"/>
        <v>37.482409204788922</v>
      </c>
      <c r="M73" s="287">
        <v>50.215643679333752</v>
      </c>
      <c r="N73" s="30">
        <f t="shared" si="6"/>
        <v>-12.73323447454483</v>
      </c>
      <c r="O73" s="287"/>
      <c r="P73" s="287"/>
      <c r="Q73" s="287"/>
      <c r="R73" s="287"/>
      <c r="S73" s="287"/>
      <c r="T73" s="287"/>
      <c r="U73" s="287"/>
      <c r="V73" s="287"/>
      <c r="W73" s="287"/>
      <c r="X73" s="287"/>
      <c r="Y73" s="287"/>
      <c r="Z73" s="287"/>
      <c r="AA73" s="287"/>
      <c r="AB73" s="287"/>
      <c r="AC73" s="288"/>
      <c r="AD73" s="288"/>
      <c r="AE73" s="288"/>
      <c r="AF73" s="288"/>
    </row>
    <row r="74" spans="1:32" s="178" customFormat="1" x14ac:dyDescent="0.2">
      <c r="A74" s="298" t="s">
        <v>988</v>
      </c>
      <c r="B74" s="298" t="str">
        <f t="shared" ref="B74:B137" si="7">LEFT(A74,10)</f>
        <v>FLU0350-ST</v>
      </c>
      <c r="C74" s="294" t="str">
        <f>VLOOKUP(LEFT(A74,7),'Tariff Schedule Lookup Table'!$A$8:$G$198,2,FALSE)</f>
        <v>Compact Fluorescent 1x42</v>
      </c>
      <c r="D74" s="295">
        <f t="shared" ref="D74:D137" si="8">1*MID(A74,12,4)</f>
        <v>1630</v>
      </c>
      <c r="E74" s="294">
        <f t="shared" ref="E74:E137" si="9">1*(MID(A74,17,3))</f>
        <v>3</v>
      </c>
      <c r="F74" s="294" t="str">
        <f>VLOOKUP(D74,'Tariff Schedule Lookup Table'!I$7:L$298,2,FALSE)</f>
        <v>COMPACT FLUORESCENT 42W</v>
      </c>
      <c r="G74" s="294" t="str">
        <f>IF(F74 = "BULKHEADS ETC", "SHARED OR NO POLE", VLOOKUP(D74,'Tariff Schedule Lookup Table'!I$7:L$298,3,FALSE))</f>
        <v>SHARED OR NO POLE</v>
      </c>
      <c r="H74" s="294">
        <f>IF(F74 = "NO CAPITAL", 1, VLOOKUP(D74,'Tariff Schedule Lookup Table'!I$7:L$298,4,FALSE))</f>
        <v>2</v>
      </c>
      <c r="I74" s="296">
        <f>VLOOKUP(G74,'Input data'!$A$68:$B$72,2,FALSE)</f>
        <v>0</v>
      </c>
      <c r="J74" s="296">
        <f>VLOOKUP($B74,'Maintenance Costs'!$A:$AB,22,FALSE)</f>
        <v>17.273484663393553</v>
      </c>
      <c r="K74" s="296">
        <f>VLOOKUP($B74,'Maintenance Costs'!$A:$AB,28,FALSE)</f>
        <v>20.208924541395373</v>
      </c>
      <c r="L74" s="297">
        <f t="shared" ref="L74:L137" si="10">K74+J74+I74/H74</f>
        <v>37.482409204788922</v>
      </c>
      <c r="M74" s="287">
        <v>50.215643679333752</v>
      </c>
      <c r="N74" s="30">
        <f t="shared" si="6"/>
        <v>-12.73323447454483</v>
      </c>
      <c r="O74" s="287"/>
      <c r="P74" s="287"/>
      <c r="Q74" s="287"/>
      <c r="R74" s="287"/>
      <c r="S74" s="287"/>
      <c r="T74" s="287"/>
      <c r="U74" s="287"/>
      <c r="V74" s="287"/>
      <c r="W74" s="287"/>
      <c r="X74" s="287"/>
      <c r="Y74" s="287"/>
      <c r="Z74" s="287"/>
      <c r="AA74" s="287"/>
      <c r="AB74" s="287"/>
      <c r="AC74" s="288"/>
      <c r="AD74" s="288"/>
      <c r="AE74" s="288"/>
      <c r="AF74" s="288"/>
    </row>
    <row r="75" spans="1:32" s="178" customFormat="1" x14ac:dyDescent="0.2">
      <c r="A75" s="298" t="s">
        <v>613</v>
      </c>
      <c r="B75" s="298" t="str">
        <f t="shared" si="7"/>
        <v>FLU0350-ST</v>
      </c>
      <c r="C75" s="294" t="str">
        <f>VLOOKUP(LEFT(A75,7),'Tariff Schedule Lookup Table'!$A$8:$G$198,2,FALSE)</f>
        <v>Compact Fluorescent 1x42</v>
      </c>
      <c r="D75" s="295">
        <f t="shared" si="8"/>
        <v>1630</v>
      </c>
      <c r="E75" s="294">
        <f t="shared" si="9"/>
        <v>4</v>
      </c>
      <c r="F75" s="294" t="str">
        <f>VLOOKUP(D75,'Tariff Schedule Lookup Table'!I$7:L$298,2,FALSE)</f>
        <v>COMPACT FLUORESCENT 42W</v>
      </c>
      <c r="G75" s="294" t="str">
        <f>IF(F75 = "BULKHEADS ETC", "SHARED OR NO POLE", VLOOKUP(D75,'Tariff Schedule Lookup Table'!I$7:L$298,3,FALSE))</f>
        <v>SHARED OR NO POLE</v>
      </c>
      <c r="H75" s="294">
        <f>IF(F75 = "NO CAPITAL", 1, VLOOKUP(D75,'Tariff Schedule Lookup Table'!I$7:L$298,4,FALSE))</f>
        <v>2</v>
      </c>
      <c r="I75" s="296">
        <f>VLOOKUP(G75,'Input data'!$A$68:$B$72,2,FALSE)</f>
        <v>0</v>
      </c>
      <c r="J75" s="296">
        <f>VLOOKUP($B75,'Maintenance Costs'!$A:$AB,22,FALSE)</f>
        <v>17.273484663393553</v>
      </c>
      <c r="K75" s="296">
        <f>VLOOKUP($B75,'Maintenance Costs'!$A:$AB,28,FALSE)</f>
        <v>20.208924541395373</v>
      </c>
      <c r="L75" s="297">
        <f t="shared" si="10"/>
        <v>37.482409204788922</v>
      </c>
      <c r="M75" s="287">
        <v>50.215643679333752</v>
      </c>
      <c r="N75" s="30">
        <f t="shared" ref="N75:N138" si="11">L75-M75</f>
        <v>-12.73323447454483</v>
      </c>
      <c r="O75" s="287"/>
      <c r="P75" s="287"/>
      <c r="Q75" s="287"/>
      <c r="R75" s="287"/>
      <c r="S75" s="287"/>
      <c r="T75" s="287"/>
      <c r="U75" s="287"/>
      <c r="V75" s="287"/>
      <c r="W75" s="287"/>
      <c r="X75" s="287"/>
      <c r="Y75" s="287"/>
      <c r="Z75" s="287"/>
      <c r="AA75" s="287"/>
      <c r="AB75" s="287"/>
      <c r="AC75" s="288"/>
      <c r="AD75" s="288"/>
      <c r="AE75" s="288"/>
      <c r="AF75" s="288"/>
    </row>
    <row r="76" spans="1:32" s="178" customFormat="1" x14ac:dyDescent="0.2">
      <c r="A76" s="298" t="s">
        <v>614</v>
      </c>
      <c r="B76" s="298" t="str">
        <f t="shared" si="7"/>
        <v>FLU0350-ST</v>
      </c>
      <c r="C76" s="294" t="str">
        <f>VLOOKUP(LEFT(A76,7),'Tariff Schedule Lookup Table'!$A$8:$G$198,2,FALSE)</f>
        <v>Compact Fluorescent 1x42</v>
      </c>
      <c r="D76" s="295">
        <f t="shared" si="8"/>
        <v>1640</v>
      </c>
      <c r="E76" s="294">
        <f t="shared" si="9"/>
        <v>4</v>
      </c>
      <c r="F76" s="294" t="str">
        <f>VLOOKUP(D76,'Tariff Schedule Lookup Table'!I$7:L$298,2,FALSE)</f>
        <v>COMPACT FLUORESCENT 42W</v>
      </c>
      <c r="G76" s="294" t="str">
        <f>IF(F76 = "BULKHEADS ETC", "SHARED OR NO POLE", VLOOKUP(D76,'Tariff Schedule Lookup Table'!I$7:L$298,3,FALSE))</f>
        <v>SHARED OR NO POLE</v>
      </c>
      <c r="H76" s="294">
        <f>IF(F76 = "NO CAPITAL", 1, VLOOKUP(D76,'Tariff Schedule Lookup Table'!I$7:L$298,4,FALSE))</f>
        <v>3</v>
      </c>
      <c r="I76" s="296">
        <f>VLOOKUP(G76,'Input data'!$A$68:$B$72,2,FALSE)</f>
        <v>0</v>
      </c>
      <c r="J76" s="296">
        <f>VLOOKUP($B76,'Maintenance Costs'!$A:$AB,22,FALSE)</f>
        <v>17.273484663393553</v>
      </c>
      <c r="K76" s="296">
        <f>VLOOKUP($B76,'Maintenance Costs'!$A:$AB,28,FALSE)</f>
        <v>20.208924541395373</v>
      </c>
      <c r="L76" s="297">
        <f t="shared" si="10"/>
        <v>37.482409204788922</v>
      </c>
      <c r="M76" s="287">
        <v>50.215643679333752</v>
      </c>
      <c r="N76" s="30">
        <f t="shared" si="11"/>
        <v>-12.73323447454483</v>
      </c>
      <c r="O76" s="287"/>
      <c r="P76" s="287"/>
      <c r="Q76" s="287"/>
      <c r="R76" s="287"/>
      <c r="S76" s="287"/>
      <c r="T76" s="287"/>
      <c r="U76" s="287"/>
      <c r="V76" s="287"/>
      <c r="W76" s="287"/>
      <c r="X76" s="287"/>
      <c r="Y76" s="287"/>
      <c r="Z76" s="287"/>
      <c r="AA76" s="287"/>
      <c r="AB76" s="287"/>
      <c r="AC76" s="288"/>
      <c r="AD76" s="288"/>
      <c r="AE76" s="288"/>
      <c r="AF76" s="288"/>
    </row>
    <row r="77" spans="1:32" s="178" customFormat="1" x14ac:dyDescent="0.2">
      <c r="A77" s="298" t="s">
        <v>615</v>
      </c>
      <c r="B77" s="298" t="str">
        <f t="shared" si="7"/>
        <v>FLU0350-ST</v>
      </c>
      <c r="C77" s="294" t="str">
        <f>VLOOKUP(LEFT(A77,7),'Tariff Schedule Lookup Table'!$A$8:$G$198,2,FALSE)</f>
        <v>Compact Fluorescent 1x42</v>
      </c>
      <c r="D77" s="295">
        <f t="shared" si="8"/>
        <v>1650</v>
      </c>
      <c r="E77" s="294">
        <f t="shared" si="9"/>
        <v>4</v>
      </c>
      <c r="F77" s="294" t="str">
        <f>VLOOKUP(D77,'Tariff Schedule Lookup Table'!I$7:L$298,2,FALSE)</f>
        <v>COMPACT FLUORESCENT 42W</v>
      </c>
      <c r="G77" s="294" t="str">
        <f>IF(F77 = "BULKHEADS ETC", "SHARED OR NO POLE", VLOOKUP(D77,'Tariff Schedule Lookup Table'!I$7:L$298,3,FALSE))</f>
        <v>SHARED OR NO POLE</v>
      </c>
      <c r="H77" s="294">
        <f>IF(F77 = "NO CAPITAL", 1, VLOOKUP(D77,'Tariff Schedule Lookup Table'!I$7:L$298,4,FALSE))</f>
        <v>4</v>
      </c>
      <c r="I77" s="296">
        <f>VLOOKUP(G77,'Input data'!$A$68:$B$72,2,FALSE)</f>
        <v>0</v>
      </c>
      <c r="J77" s="296">
        <f>VLOOKUP($B77,'Maintenance Costs'!$A:$AB,22,FALSE)</f>
        <v>17.273484663393553</v>
      </c>
      <c r="K77" s="296">
        <f>VLOOKUP($B77,'Maintenance Costs'!$A:$AB,28,FALSE)</f>
        <v>20.208924541395373</v>
      </c>
      <c r="L77" s="297">
        <f t="shared" si="10"/>
        <v>37.482409204788922</v>
      </c>
      <c r="M77" s="287">
        <v>50.215643679333752</v>
      </c>
      <c r="N77" s="30">
        <f t="shared" si="11"/>
        <v>-12.73323447454483</v>
      </c>
      <c r="O77" s="287"/>
      <c r="P77" s="287"/>
      <c r="Q77" s="287"/>
      <c r="R77" s="287"/>
      <c r="S77" s="287"/>
      <c r="T77" s="287"/>
      <c r="U77" s="287"/>
      <c r="V77" s="287"/>
      <c r="W77" s="287"/>
      <c r="X77" s="287"/>
      <c r="Y77" s="287"/>
      <c r="Z77" s="287"/>
      <c r="AA77" s="287"/>
      <c r="AB77" s="287"/>
      <c r="AC77" s="288"/>
      <c r="AD77" s="288"/>
      <c r="AE77" s="288"/>
      <c r="AF77" s="288"/>
    </row>
    <row r="78" spans="1:32" x14ac:dyDescent="0.2">
      <c r="A78" s="299" t="s">
        <v>989</v>
      </c>
      <c r="B78" s="298" t="str">
        <f t="shared" si="7"/>
        <v>FLU0350-ST</v>
      </c>
      <c r="C78" s="294" t="str">
        <f>VLOOKUP(LEFT(A78,7),'Tariff Schedule Lookup Table'!$A$8:$G$198,2,FALSE)</f>
        <v>Compact Fluorescent 1x42</v>
      </c>
      <c r="D78" s="295">
        <f t="shared" si="8"/>
        <v>1660</v>
      </c>
      <c r="E78" s="294">
        <f t="shared" si="9"/>
        <v>2</v>
      </c>
      <c r="F78" s="294" t="str">
        <f>VLOOKUP(D78,'Tariff Schedule Lookup Table'!I$7:L$298,2,FALSE)</f>
        <v>COMPACT FLUORESCENT 42W</v>
      </c>
      <c r="G78" s="294" t="str">
        <f>IF(F78 = "BULKHEADS ETC", "SHARED OR NO POLE", VLOOKUP(D78,'Tariff Schedule Lookup Table'!I$7:L$298,3,FALSE))</f>
        <v>WOOD POLE</v>
      </c>
      <c r="H78" s="294">
        <f>IF(F78 = "NO CAPITAL", 1, VLOOKUP(D78,'Tariff Schedule Lookup Table'!I$7:L$298,4,FALSE))</f>
        <v>1</v>
      </c>
      <c r="I78" s="296">
        <f>VLOOKUP(G78,'Input data'!$A$68:$B$72,2,FALSE)</f>
        <v>10.809914000000001</v>
      </c>
      <c r="J78" s="296">
        <f>VLOOKUP($B78,'Maintenance Costs'!$A:$AB,22,FALSE)</f>
        <v>17.273484663393553</v>
      </c>
      <c r="K78" s="296">
        <f>VLOOKUP($B78,'Maintenance Costs'!$A:$AB,28,FALSE)</f>
        <v>20.208924541395373</v>
      </c>
      <c r="L78" s="297">
        <f t="shared" si="10"/>
        <v>48.292323204788921</v>
      </c>
      <c r="M78">
        <v>61.025557679333751</v>
      </c>
      <c r="N78" s="30">
        <f t="shared" si="11"/>
        <v>-12.73323447454483</v>
      </c>
    </row>
    <row r="79" spans="1:32" x14ac:dyDescent="0.2">
      <c r="A79" s="299" t="s">
        <v>990</v>
      </c>
      <c r="B79" s="298" t="str">
        <f t="shared" si="7"/>
        <v>FLU0350-ST</v>
      </c>
      <c r="C79" s="294" t="str">
        <f>VLOOKUP(LEFT(A79,7),'Tariff Schedule Lookup Table'!$A$8:$G$198,2,FALSE)</f>
        <v>Compact Fluorescent 1x42</v>
      </c>
      <c r="D79" s="295">
        <f t="shared" si="8"/>
        <v>1660</v>
      </c>
      <c r="E79" s="294">
        <f t="shared" si="9"/>
        <v>3</v>
      </c>
      <c r="F79" s="294" t="str">
        <f>VLOOKUP(D79,'Tariff Schedule Lookup Table'!I$7:L$298,2,FALSE)</f>
        <v>COMPACT FLUORESCENT 42W</v>
      </c>
      <c r="G79" s="294" t="str">
        <f>IF(F79 = "BULKHEADS ETC", "SHARED OR NO POLE", VLOOKUP(D79,'Tariff Schedule Lookup Table'!I$7:L$298,3,FALSE))</f>
        <v>WOOD POLE</v>
      </c>
      <c r="H79" s="294">
        <f>IF(F79 = "NO CAPITAL", 1, VLOOKUP(D79,'Tariff Schedule Lookup Table'!I$7:L$298,4,FALSE))</f>
        <v>1</v>
      </c>
      <c r="I79" s="296">
        <f>VLOOKUP(G79,'Input data'!$A$68:$B$72,2,FALSE)</f>
        <v>10.809914000000001</v>
      </c>
      <c r="J79" s="296">
        <f>VLOOKUP($B79,'Maintenance Costs'!$A:$AB,22,FALSE)</f>
        <v>17.273484663393553</v>
      </c>
      <c r="K79" s="296">
        <f>VLOOKUP($B79,'Maintenance Costs'!$A:$AB,28,FALSE)</f>
        <v>20.208924541395373</v>
      </c>
      <c r="L79" s="297">
        <f t="shared" si="10"/>
        <v>48.292323204788921</v>
      </c>
      <c r="M79">
        <v>61.025557679333751</v>
      </c>
      <c r="N79" s="30">
        <f t="shared" si="11"/>
        <v>-12.73323447454483</v>
      </c>
    </row>
    <row r="80" spans="1:32" x14ac:dyDescent="0.2">
      <c r="A80" s="299" t="s">
        <v>616</v>
      </c>
      <c r="B80" s="298" t="str">
        <f t="shared" si="7"/>
        <v>FLU0350-ST</v>
      </c>
      <c r="C80" s="294" t="str">
        <f>VLOOKUP(LEFT(A80,7),'Tariff Schedule Lookup Table'!$A$8:$G$198,2,FALSE)</f>
        <v>Compact Fluorescent 1x42</v>
      </c>
      <c r="D80" s="295">
        <f t="shared" si="8"/>
        <v>1660</v>
      </c>
      <c r="E80" s="294">
        <f t="shared" si="9"/>
        <v>4</v>
      </c>
      <c r="F80" s="294" t="str">
        <f>VLOOKUP(D80,'Tariff Schedule Lookup Table'!I$7:L$298,2,FALSE)</f>
        <v>COMPACT FLUORESCENT 42W</v>
      </c>
      <c r="G80" s="294" t="str">
        <f>IF(F80 = "BULKHEADS ETC", "SHARED OR NO POLE", VLOOKUP(D80,'Tariff Schedule Lookup Table'!I$7:L$298,3,FALSE))</f>
        <v>WOOD POLE</v>
      </c>
      <c r="H80" s="294">
        <f>IF(F80 = "NO CAPITAL", 1, VLOOKUP(D80,'Tariff Schedule Lookup Table'!I$7:L$298,4,FALSE))</f>
        <v>1</v>
      </c>
      <c r="I80" s="296">
        <f>VLOOKUP(G80,'Input data'!$A$68:$B$72,2,FALSE)</f>
        <v>10.809914000000001</v>
      </c>
      <c r="J80" s="296">
        <f>VLOOKUP($B80,'Maintenance Costs'!$A:$AB,22,FALSE)</f>
        <v>17.273484663393553</v>
      </c>
      <c r="K80" s="296">
        <f>VLOOKUP($B80,'Maintenance Costs'!$A:$AB,28,FALSE)</f>
        <v>20.208924541395373</v>
      </c>
      <c r="L80" s="297">
        <f t="shared" si="10"/>
        <v>48.292323204788921</v>
      </c>
      <c r="M80">
        <v>61.025557679333751</v>
      </c>
      <c r="N80" s="30">
        <f t="shared" si="11"/>
        <v>-12.73323447454483</v>
      </c>
    </row>
    <row r="81" spans="1:14" x14ac:dyDescent="0.2">
      <c r="A81" s="299" t="s">
        <v>991</v>
      </c>
      <c r="B81" s="298" t="str">
        <f t="shared" si="7"/>
        <v>FLU0350-ST</v>
      </c>
      <c r="C81" s="294" t="str">
        <f>VLOOKUP(LEFT(A81,7),'Tariff Schedule Lookup Table'!$A$8:$G$198,2,FALSE)</f>
        <v>Compact Fluorescent 1x42</v>
      </c>
      <c r="D81" s="295">
        <f t="shared" si="8"/>
        <v>1670</v>
      </c>
      <c r="E81" s="294">
        <f t="shared" si="9"/>
        <v>3</v>
      </c>
      <c r="F81" s="294" t="str">
        <f>VLOOKUP(D81,'Tariff Schedule Lookup Table'!I$7:L$298,2,FALSE)</f>
        <v>COMPACT FLUORESCENT 42W</v>
      </c>
      <c r="G81" s="294" t="str">
        <f>IF(F81 = "BULKHEADS ETC", "SHARED OR NO POLE", VLOOKUP(D81,'Tariff Schedule Lookup Table'!I$7:L$298,3,FALSE))</f>
        <v>WOOD POLE</v>
      </c>
      <c r="H81" s="294">
        <f>IF(F81 = "NO CAPITAL", 1, VLOOKUP(D81,'Tariff Schedule Lookup Table'!I$7:L$298,4,FALSE))</f>
        <v>2</v>
      </c>
      <c r="I81" s="296">
        <f>VLOOKUP(G81,'Input data'!$A$68:$B$72,2,FALSE)</f>
        <v>10.809914000000001</v>
      </c>
      <c r="J81" s="296">
        <f>VLOOKUP($B81,'Maintenance Costs'!$A:$AB,22,FALSE)</f>
        <v>17.273484663393553</v>
      </c>
      <c r="K81" s="296">
        <f>VLOOKUP($B81,'Maintenance Costs'!$A:$AB,28,FALSE)</f>
        <v>20.208924541395373</v>
      </c>
      <c r="L81" s="297">
        <f t="shared" si="10"/>
        <v>42.887366204788925</v>
      </c>
      <c r="M81">
        <v>55.620600679333755</v>
      </c>
      <c r="N81" s="30">
        <f t="shared" si="11"/>
        <v>-12.73323447454483</v>
      </c>
    </row>
    <row r="82" spans="1:14" x14ac:dyDescent="0.2">
      <c r="A82" s="299" t="s">
        <v>617</v>
      </c>
      <c r="B82" s="298" t="str">
        <f t="shared" si="7"/>
        <v>FLU0350-ST</v>
      </c>
      <c r="C82" s="294" t="str">
        <f>VLOOKUP(LEFT(A82,7),'Tariff Schedule Lookup Table'!$A$8:$G$198,2,FALSE)</f>
        <v>Compact Fluorescent 1x42</v>
      </c>
      <c r="D82" s="295">
        <f t="shared" si="8"/>
        <v>1670</v>
      </c>
      <c r="E82" s="294">
        <f t="shared" si="9"/>
        <v>4</v>
      </c>
      <c r="F82" s="294" t="str">
        <f>VLOOKUP(D82,'Tariff Schedule Lookup Table'!I$7:L$298,2,FALSE)</f>
        <v>COMPACT FLUORESCENT 42W</v>
      </c>
      <c r="G82" s="294" t="str">
        <f>IF(F82 = "BULKHEADS ETC", "SHARED OR NO POLE", VLOOKUP(D82,'Tariff Schedule Lookup Table'!I$7:L$298,3,FALSE))</f>
        <v>WOOD POLE</v>
      </c>
      <c r="H82" s="294">
        <f>IF(F82 = "NO CAPITAL", 1, VLOOKUP(D82,'Tariff Schedule Lookup Table'!I$7:L$298,4,FALSE))</f>
        <v>2</v>
      </c>
      <c r="I82" s="296">
        <f>VLOOKUP(G82,'Input data'!$A$68:$B$72,2,FALSE)</f>
        <v>10.809914000000001</v>
      </c>
      <c r="J82" s="296">
        <f>VLOOKUP($B82,'Maintenance Costs'!$A:$AB,22,FALSE)</f>
        <v>17.273484663393553</v>
      </c>
      <c r="K82" s="296">
        <f>VLOOKUP($B82,'Maintenance Costs'!$A:$AB,28,FALSE)</f>
        <v>20.208924541395373</v>
      </c>
      <c r="L82" s="297">
        <f t="shared" si="10"/>
        <v>42.887366204788925</v>
      </c>
      <c r="M82">
        <v>55.620600679333755</v>
      </c>
      <c r="N82" s="30">
        <f t="shared" si="11"/>
        <v>-12.73323447454483</v>
      </c>
    </row>
    <row r="83" spans="1:14" x14ac:dyDescent="0.2">
      <c r="A83" s="299" t="s">
        <v>992</v>
      </c>
      <c r="B83" s="298" t="str">
        <f t="shared" si="7"/>
        <v>FLU0350-ST</v>
      </c>
      <c r="C83" s="294" t="str">
        <f>VLOOKUP(LEFT(A83,7),'Tariff Schedule Lookup Table'!$A$8:$G$198,2,FALSE)</f>
        <v>Compact Fluorescent 1x42</v>
      </c>
      <c r="D83" s="295">
        <f t="shared" si="8"/>
        <v>1700</v>
      </c>
      <c r="E83" s="294">
        <f t="shared" si="9"/>
        <v>2</v>
      </c>
      <c r="F83" s="294" t="str">
        <f>VLOOKUP(D83,'Tariff Schedule Lookup Table'!I$7:L$298,2,FALSE)</f>
        <v>COMPACT FLUORESCENT 42W</v>
      </c>
      <c r="G83" s="294" t="str">
        <f>IF(F83 = "BULKHEADS ETC", "SHARED OR NO POLE", VLOOKUP(D83,'Tariff Schedule Lookup Table'!I$7:L$298,3,FALSE))</f>
        <v>STEEL POLE</v>
      </c>
      <c r="H83" s="294">
        <f>IF(F83 = "NO CAPITAL", 1, VLOOKUP(D83,'Tariff Schedule Lookup Table'!I$7:L$298,4,FALSE))</f>
        <v>1</v>
      </c>
      <c r="I83" s="296">
        <f>VLOOKUP(G83,'Input data'!$A$68:$B$72,2,FALSE)</f>
        <v>9.8748837500000004</v>
      </c>
      <c r="J83" s="296">
        <f>VLOOKUP($B83,'Maintenance Costs'!$A:$AB,22,FALSE)</f>
        <v>17.273484663393553</v>
      </c>
      <c r="K83" s="296">
        <f>VLOOKUP($B83,'Maintenance Costs'!$A:$AB,28,FALSE)</f>
        <v>20.208924541395373</v>
      </c>
      <c r="L83" s="297">
        <f t="shared" si="10"/>
        <v>47.357292954788925</v>
      </c>
      <c r="M83">
        <v>60.090527429333754</v>
      </c>
      <c r="N83" s="30">
        <f t="shared" si="11"/>
        <v>-12.73323447454483</v>
      </c>
    </row>
    <row r="84" spans="1:14" x14ac:dyDescent="0.2">
      <c r="A84" s="299" t="s">
        <v>993</v>
      </c>
      <c r="B84" s="298" t="str">
        <f t="shared" si="7"/>
        <v>FLU0350-ST</v>
      </c>
      <c r="C84" s="294" t="str">
        <f>VLOOKUP(LEFT(A84,7),'Tariff Schedule Lookup Table'!$A$8:$G$198,2,FALSE)</f>
        <v>Compact Fluorescent 1x42</v>
      </c>
      <c r="D84" s="295">
        <f t="shared" si="8"/>
        <v>1700</v>
      </c>
      <c r="E84" s="294">
        <f t="shared" si="9"/>
        <v>3</v>
      </c>
      <c r="F84" s="294" t="str">
        <f>VLOOKUP(D84,'Tariff Schedule Lookup Table'!I$7:L$298,2,FALSE)</f>
        <v>COMPACT FLUORESCENT 42W</v>
      </c>
      <c r="G84" s="294" t="str">
        <f>IF(F84 = "BULKHEADS ETC", "SHARED OR NO POLE", VLOOKUP(D84,'Tariff Schedule Lookup Table'!I$7:L$298,3,FALSE))</f>
        <v>STEEL POLE</v>
      </c>
      <c r="H84" s="294">
        <f>IF(F84 = "NO CAPITAL", 1, VLOOKUP(D84,'Tariff Schedule Lookup Table'!I$7:L$298,4,FALSE))</f>
        <v>1</v>
      </c>
      <c r="I84" s="296">
        <f>VLOOKUP(G84,'Input data'!$A$68:$B$72,2,FALSE)</f>
        <v>9.8748837500000004</v>
      </c>
      <c r="J84" s="296">
        <f>VLOOKUP($B84,'Maintenance Costs'!$A:$AB,22,FALSE)</f>
        <v>17.273484663393553</v>
      </c>
      <c r="K84" s="296">
        <f>VLOOKUP($B84,'Maintenance Costs'!$A:$AB,28,FALSE)</f>
        <v>20.208924541395373</v>
      </c>
      <c r="L84" s="297">
        <f t="shared" si="10"/>
        <v>47.357292954788925</v>
      </c>
      <c r="M84">
        <v>60.090527429333754</v>
      </c>
      <c r="N84" s="30">
        <f t="shared" si="11"/>
        <v>-12.73323447454483</v>
      </c>
    </row>
    <row r="85" spans="1:14" x14ac:dyDescent="0.2">
      <c r="A85" s="299" t="s">
        <v>618</v>
      </c>
      <c r="B85" s="298" t="str">
        <f t="shared" si="7"/>
        <v>FLU0350-ST</v>
      </c>
      <c r="C85" s="294" t="str">
        <f>VLOOKUP(LEFT(A85,7),'Tariff Schedule Lookup Table'!$A$8:$G$198,2,FALSE)</f>
        <v>Compact Fluorescent 1x42</v>
      </c>
      <c r="D85" s="295">
        <f t="shared" si="8"/>
        <v>1700</v>
      </c>
      <c r="E85" s="294">
        <f t="shared" si="9"/>
        <v>4</v>
      </c>
      <c r="F85" s="294" t="str">
        <f>VLOOKUP(D85,'Tariff Schedule Lookup Table'!I$7:L$298,2,FALSE)</f>
        <v>COMPACT FLUORESCENT 42W</v>
      </c>
      <c r="G85" s="294" t="str">
        <f>IF(F85 = "BULKHEADS ETC", "SHARED OR NO POLE", VLOOKUP(D85,'Tariff Schedule Lookup Table'!I$7:L$298,3,FALSE))</f>
        <v>STEEL POLE</v>
      </c>
      <c r="H85" s="294">
        <f>IF(F85 = "NO CAPITAL", 1, VLOOKUP(D85,'Tariff Schedule Lookup Table'!I$7:L$298,4,FALSE))</f>
        <v>1</v>
      </c>
      <c r="I85" s="296">
        <f>VLOOKUP(G85,'Input data'!$A$68:$B$72,2,FALSE)</f>
        <v>9.8748837500000004</v>
      </c>
      <c r="J85" s="296">
        <f>VLOOKUP($B85,'Maintenance Costs'!$A:$AB,22,FALSE)</f>
        <v>17.273484663393553</v>
      </c>
      <c r="K85" s="296">
        <f>VLOOKUP($B85,'Maintenance Costs'!$A:$AB,28,FALSE)</f>
        <v>20.208924541395373</v>
      </c>
      <c r="L85" s="297">
        <f t="shared" si="10"/>
        <v>47.357292954788925</v>
      </c>
      <c r="M85">
        <v>60.090527429333754</v>
      </c>
      <c r="N85" s="30">
        <f t="shared" si="11"/>
        <v>-12.73323447454483</v>
      </c>
    </row>
    <row r="86" spans="1:14" x14ac:dyDescent="0.2">
      <c r="A86" s="299" t="s">
        <v>994</v>
      </c>
      <c r="B86" s="298" t="str">
        <f t="shared" si="7"/>
        <v>FLU0350-ST</v>
      </c>
      <c r="C86" s="294" t="str">
        <f>VLOOKUP(LEFT(A86,7),'Tariff Schedule Lookup Table'!$A$8:$G$198,2,FALSE)</f>
        <v>Compact Fluorescent 1x42</v>
      </c>
      <c r="D86" s="295">
        <f t="shared" si="8"/>
        <v>1710</v>
      </c>
      <c r="E86" s="294">
        <f t="shared" si="9"/>
        <v>3</v>
      </c>
      <c r="F86" s="294" t="str">
        <f>VLOOKUP(D86,'Tariff Schedule Lookup Table'!I$7:L$298,2,FALSE)</f>
        <v>COMPACT FLUORESCENT 42W</v>
      </c>
      <c r="G86" s="294" t="str">
        <f>IF(F86 = "BULKHEADS ETC", "SHARED OR NO POLE", VLOOKUP(D86,'Tariff Schedule Lookup Table'!I$7:L$298,3,FALSE))</f>
        <v>STEEL POLE</v>
      </c>
      <c r="H86" s="294">
        <f>IF(F86 = "NO CAPITAL", 1, VLOOKUP(D86,'Tariff Schedule Lookup Table'!I$7:L$298,4,FALSE))</f>
        <v>2</v>
      </c>
      <c r="I86" s="296">
        <f>VLOOKUP(G86,'Input data'!$A$68:$B$72,2,FALSE)</f>
        <v>9.8748837500000004</v>
      </c>
      <c r="J86" s="296">
        <f>VLOOKUP($B86,'Maintenance Costs'!$A:$AB,22,FALSE)</f>
        <v>17.273484663393553</v>
      </c>
      <c r="K86" s="296">
        <f>VLOOKUP($B86,'Maintenance Costs'!$A:$AB,28,FALSE)</f>
        <v>20.208924541395373</v>
      </c>
      <c r="L86" s="297">
        <f t="shared" si="10"/>
        <v>42.41985107978892</v>
      </c>
      <c r="M86">
        <v>55.153085554333749</v>
      </c>
      <c r="N86" s="30">
        <f t="shared" si="11"/>
        <v>-12.73323447454483</v>
      </c>
    </row>
    <row r="87" spans="1:14" x14ac:dyDescent="0.2">
      <c r="A87" s="299" t="s">
        <v>619</v>
      </c>
      <c r="B87" s="298" t="str">
        <f t="shared" si="7"/>
        <v>FLU0350-ST</v>
      </c>
      <c r="C87" s="294" t="str">
        <f>VLOOKUP(LEFT(A87,7),'Tariff Schedule Lookup Table'!$A$8:$G$198,2,FALSE)</f>
        <v>Compact Fluorescent 1x42</v>
      </c>
      <c r="D87" s="295">
        <f t="shared" si="8"/>
        <v>1710</v>
      </c>
      <c r="E87" s="294">
        <f t="shared" si="9"/>
        <v>4</v>
      </c>
      <c r="F87" s="294" t="str">
        <f>VLOOKUP(D87,'Tariff Schedule Lookup Table'!I$7:L$298,2,FALSE)</f>
        <v>COMPACT FLUORESCENT 42W</v>
      </c>
      <c r="G87" s="294" t="str">
        <f>IF(F87 = "BULKHEADS ETC", "SHARED OR NO POLE", VLOOKUP(D87,'Tariff Schedule Lookup Table'!I$7:L$298,3,FALSE))</f>
        <v>STEEL POLE</v>
      </c>
      <c r="H87" s="294">
        <f>IF(F87 = "NO CAPITAL", 1, VLOOKUP(D87,'Tariff Schedule Lookup Table'!I$7:L$298,4,FALSE))</f>
        <v>2</v>
      </c>
      <c r="I87" s="296">
        <f>VLOOKUP(G87,'Input data'!$A$68:$B$72,2,FALSE)</f>
        <v>9.8748837500000004</v>
      </c>
      <c r="J87" s="296">
        <f>VLOOKUP($B87,'Maintenance Costs'!$A:$AB,22,FALSE)</f>
        <v>17.273484663393553</v>
      </c>
      <c r="K87" s="296">
        <f>VLOOKUP($B87,'Maintenance Costs'!$A:$AB,28,FALSE)</f>
        <v>20.208924541395373</v>
      </c>
      <c r="L87" s="297">
        <f t="shared" si="10"/>
        <v>42.41985107978892</v>
      </c>
      <c r="M87">
        <v>55.153085554333749</v>
      </c>
      <c r="N87" s="30">
        <f t="shared" si="11"/>
        <v>-12.73323447454483</v>
      </c>
    </row>
    <row r="88" spans="1:14" x14ac:dyDescent="0.2">
      <c r="A88" s="299" t="s">
        <v>620</v>
      </c>
      <c r="B88" s="298" t="str">
        <f t="shared" si="7"/>
        <v>FLU0350-ST</v>
      </c>
      <c r="C88" s="294" t="str">
        <f>VLOOKUP(LEFT(A88,7),'Tariff Schedule Lookup Table'!$A$8:$G$198,2,FALSE)</f>
        <v>Compact Fluorescent 1x42</v>
      </c>
      <c r="D88" s="295">
        <f t="shared" si="8"/>
        <v>1720</v>
      </c>
      <c r="E88" s="294">
        <f t="shared" si="9"/>
        <v>4</v>
      </c>
      <c r="F88" s="294" t="str">
        <f>VLOOKUP(D88,'Tariff Schedule Lookup Table'!I$7:L$298,2,FALSE)</f>
        <v>COMPACT FLUORESCENT 42W</v>
      </c>
      <c r="G88" s="294" t="str">
        <f>IF(F88 = "BULKHEADS ETC", "SHARED OR NO POLE", VLOOKUP(D88,'Tariff Schedule Lookup Table'!I$7:L$298,3,FALSE))</f>
        <v>STEEL POLE</v>
      </c>
      <c r="H88" s="294">
        <f>IF(F88 = "NO CAPITAL", 1, VLOOKUP(D88,'Tariff Schedule Lookup Table'!I$7:L$298,4,FALSE))</f>
        <v>3</v>
      </c>
      <c r="I88" s="296">
        <f>VLOOKUP(G88,'Input data'!$A$68:$B$72,2,FALSE)</f>
        <v>9.8748837500000004</v>
      </c>
      <c r="J88" s="296">
        <f>VLOOKUP($B88,'Maintenance Costs'!$A:$AB,22,FALSE)</f>
        <v>17.273484663393553</v>
      </c>
      <c r="K88" s="296">
        <f>VLOOKUP($B88,'Maintenance Costs'!$A:$AB,28,FALSE)</f>
        <v>20.208924541395373</v>
      </c>
      <c r="L88" s="297">
        <f t="shared" si="10"/>
        <v>40.774037121455592</v>
      </c>
      <c r="M88">
        <v>53.507271596000422</v>
      </c>
      <c r="N88" s="30">
        <f t="shared" si="11"/>
        <v>-12.73323447454483</v>
      </c>
    </row>
    <row r="89" spans="1:14" x14ac:dyDescent="0.2">
      <c r="A89" s="299" t="s">
        <v>621</v>
      </c>
      <c r="B89" s="298" t="str">
        <f t="shared" si="7"/>
        <v>FLU0350-ST</v>
      </c>
      <c r="C89" s="294" t="str">
        <f>VLOOKUP(LEFT(A89,7),'Tariff Schedule Lookup Table'!$A$8:$G$198,2,FALSE)</f>
        <v>Compact Fluorescent 1x42</v>
      </c>
      <c r="D89" s="295">
        <f t="shared" si="8"/>
        <v>1730</v>
      </c>
      <c r="E89" s="294">
        <f t="shared" si="9"/>
        <v>4</v>
      </c>
      <c r="F89" s="294" t="str">
        <f>VLOOKUP(D89,'Tariff Schedule Lookup Table'!I$7:L$298,2,FALSE)</f>
        <v>COMPACT FLUORESCENT 42W</v>
      </c>
      <c r="G89" s="294" t="str">
        <f>IF(F89 = "BULKHEADS ETC", "SHARED OR NO POLE", VLOOKUP(D89,'Tariff Schedule Lookup Table'!I$7:L$298,3,FALSE))</f>
        <v>STEEL POLE</v>
      </c>
      <c r="H89" s="294">
        <f>IF(F89 = "NO CAPITAL", 1, VLOOKUP(D89,'Tariff Schedule Lookup Table'!I$7:L$298,4,FALSE))</f>
        <v>4</v>
      </c>
      <c r="I89" s="296">
        <f>VLOOKUP(G89,'Input data'!$A$68:$B$72,2,FALSE)</f>
        <v>9.8748837500000004</v>
      </c>
      <c r="J89" s="296">
        <f>VLOOKUP($B89,'Maintenance Costs'!$A:$AB,22,FALSE)</f>
        <v>17.273484663393553</v>
      </c>
      <c r="K89" s="296">
        <f>VLOOKUP($B89,'Maintenance Costs'!$A:$AB,28,FALSE)</f>
        <v>20.208924541395373</v>
      </c>
      <c r="L89" s="297">
        <f t="shared" si="10"/>
        <v>39.951130142288925</v>
      </c>
      <c r="M89">
        <v>52.684364616833754</v>
      </c>
      <c r="N89" s="30">
        <f t="shared" si="11"/>
        <v>-12.73323447454483</v>
      </c>
    </row>
    <row r="90" spans="1:14" x14ac:dyDescent="0.2">
      <c r="A90" s="299" t="s">
        <v>995</v>
      </c>
      <c r="B90" s="298" t="str">
        <f t="shared" si="7"/>
        <v>FLU0355-ST</v>
      </c>
      <c r="C90" s="294" t="str">
        <f>VLOOKUP(LEFT(A90,7),'Tariff Schedule Lookup Table'!$A$8:$G$198,2,FALSE)</f>
        <v>Compact Fluorescent 1x32</v>
      </c>
      <c r="D90" s="295">
        <f t="shared" si="8"/>
        <v>1980</v>
      </c>
      <c r="E90" s="294">
        <f t="shared" si="9"/>
        <v>3</v>
      </c>
      <c r="F90" s="294" t="str">
        <f>VLOOKUP(D90,'Tariff Schedule Lookup Table'!I$7:L$298,2,FALSE)</f>
        <v>COMPACT FLUORESCENT 32W</v>
      </c>
      <c r="G90" s="294" t="str">
        <f>IF(F90 = "BULKHEADS ETC", "SHARED OR NO POLE", VLOOKUP(D90,'Tariff Schedule Lookup Table'!I$7:L$298,3,FALSE))</f>
        <v>SHARED OR NO POLE</v>
      </c>
      <c r="H90" s="294">
        <f>IF(F90 = "NO CAPITAL", 1, VLOOKUP(D90,'Tariff Schedule Lookup Table'!I$7:L$298,4,FALSE))</f>
        <v>1</v>
      </c>
      <c r="I90" s="296">
        <f>VLOOKUP(G90,'Input data'!$A$68:$B$72,2,FALSE)</f>
        <v>0</v>
      </c>
      <c r="J90" s="296">
        <f>VLOOKUP($B90,'Maintenance Costs'!$A:$AB,22,FALSE)</f>
        <v>12.465639746827147</v>
      </c>
      <c r="K90" s="296">
        <f>VLOOKUP($B90,'Maintenance Costs'!$A:$AB,28,FALSE)</f>
        <v>19.491123541395375</v>
      </c>
      <c r="L90" s="297">
        <f t="shared" si="10"/>
        <v>31.956763288222522</v>
      </c>
      <c r="M90">
        <v>48.982464739624405</v>
      </c>
      <c r="N90" s="30">
        <f t="shared" si="11"/>
        <v>-17.025701451401883</v>
      </c>
    </row>
    <row r="91" spans="1:14" x14ac:dyDescent="0.2">
      <c r="A91" s="299" t="s">
        <v>460</v>
      </c>
      <c r="B91" s="298" t="str">
        <f t="shared" si="7"/>
        <v>FLU0355-ST</v>
      </c>
      <c r="C91" s="294" t="str">
        <f>VLOOKUP(LEFT(A91,7),'Tariff Schedule Lookup Table'!$A$8:$G$198,2,FALSE)</f>
        <v>Compact Fluorescent 1x32</v>
      </c>
      <c r="D91" s="295">
        <f t="shared" si="8"/>
        <v>1980</v>
      </c>
      <c r="E91" s="294">
        <f t="shared" si="9"/>
        <v>4</v>
      </c>
      <c r="F91" s="294" t="str">
        <f>VLOOKUP(D91,'Tariff Schedule Lookup Table'!I$7:L$298,2,FALSE)</f>
        <v>COMPACT FLUORESCENT 32W</v>
      </c>
      <c r="G91" s="294" t="str">
        <f>IF(F91 = "BULKHEADS ETC", "SHARED OR NO POLE", VLOOKUP(D91,'Tariff Schedule Lookup Table'!I$7:L$298,3,FALSE))</f>
        <v>SHARED OR NO POLE</v>
      </c>
      <c r="H91" s="294">
        <f>IF(F91 = "NO CAPITAL", 1, VLOOKUP(D91,'Tariff Schedule Lookup Table'!I$7:L$298,4,FALSE))</f>
        <v>1</v>
      </c>
      <c r="I91" s="296">
        <f>VLOOKUP(G91,'Input data'!$A$68:$B$72,2,FALSE)</f>
        <v>0</v>
      </c>
      <c r="J91" s="296">
        <f>VLOOKUP($B91,'Maintenance Costs'!$A:$AB,22,FALSE)</f>
        <v>12.465639746827147</v>
      </c>
      <c r="K91" s="296">
        <f>VLOOKUP($B91,'Maintenance Costs'!$A:$AB,28,FALSE)</f>
        <v>19.491123541395375</v>
      </c>
      <c r="L91" s="297">
        <f t="shared" si="10"/>
        <v>31.956763288222522</v>
      </c>
      <c r="M91">
        <v>48.982464739624405</v>
      </c>
      <c r="N91" s="30">
        <f t="shared" si="11"/>
        <v>-17.025701451401883</v>
      </c>
    </row>
    <row r="92" spans="1:14" x14ac:dyDescent="0.2">
      <c r="A92" s="299" t="s">
        <v>996</v>
      </c>
      <c r="B92" s="298" t="str">
        <f t="shared" si="7"/>
        <v>FLU0355-ST</v>
      </c>
      <c r="C92" s="294" t="str">
        <f>VLOOKUP(LEFT(A92,7),'Tariff Schedule Lookup Table'!$A$8:$G$198,2,FALSE)</f>
        <v>Compact Fluorescent 1x32</v>
      </c>
      <c r="D92" s="295">
        <f t="shared" si="8"/>
        <v>2060</v>
      </c>
      <c r="E92" s="294">
        <f t="shared" si="9"/>
        <v>3</v>
      </c>
      <c r="F92" s="294" t="str">
        <f>VLOOKUP(D92,'Tariff Schedule Lookup Table'!I$7:L$298,2,FALSE)</f>
        <v>COMPACT FLUORESCENT 32W</v>
      </c>
      <c r="G92" s="294" t="str">
        <f>IF(F92 = "BULKHEADS ETC", "SHARED OR NO POLE", VLOOKUP(D92,'Tariff Schedule Lookup Table'!I$7:L$298,3,FALSE))</f>
        <v>STEEL POLE</v>
      </c>
      <c r="H92" s="294">
        <f>IF(F92 = "NO CAPITAL", 1, VLOOKUP(D92,'Tariff Schedule Lookup Table'!I$7:L$298,4,FALSE))</f>
        <v>1</v>
      </c>
      <c r="I92" s="296">
        <f>VLOOKUP(G92,'Input data'!$A$68:$B$72,2,FALSE)</f>
        <v>9.8748837500000004</v>
      </c>
      <c r="J92" s="296">
        <f>VLOOKUP($B92,'Maintenance Costs'!$A:$AB,22,FALSE)</f>
        <v>12.465639746827147</v>
      </c>
      <c r="K92" s="296">
        <f>VLOOKUP($B92,'Maintenance Costs'!$A:$AB,28,FALSE)</f>
        <v>19.491123541395375</v>
      </c>
      <c r="L92" s="297">
        <f t="shared" si="10"/>
        <v>41.831647038222521</v>
      </c>
      <c r="M92">
        <v>58.857348489624407</v>
      </c>
      <c r="N92" s="30">
        <f t="shared" si="11"/>
        <v>-17.025701451401886</v>
      </c>
    </row>
    <row r="93" spans="1:14" x14ac:dyDescent="0.2">
      <c r="A93" s="299" t="s">
        <v>461</v>
      </c>
      <c r="B93" s="298" t="str">
        <f t="shared" si="7"/>
        <v>FLU0355-ST</v>
      </c>
      <c r="C93" s="294" t="str">
        <f>VLOOKUP(LEFT(A93,7),'Tariff Schedule Lookup Table'!$A$8:$G$198,2,FALSE)</f>
        <v>Compact Fluorescent 1x32</v>
      </c>
      <c r="D93" s="295">
        <f t="shared" si="8"/>
        <v>2060</v>
      </c>
      <c r="E93" s="294">
        <f t="shared" si="9"/>
        <v>4</v>
      </c>
      <c r="F93" s="294" t="str">
        <f>VLOOKUP(D93,'Tariff Schedule Lookup Table'!I$7:L$298,2,FALSE)</f>
        <v>COMPACT FLUORESCENT 32W</v>
      </c>
      <c r="G93" s="294" t="str">
        <f>IF(F93 = "BULKHEADS ETC", "SHARED OR NO POLE", VLOOKUP(D93,'Tariff Schedule Lookup Table'!I$7:L$298,3,FALSE))</f>
        <v>STEEL POLE</v>
      </c>
      <c r="H93" s="294">
        <f>IF(F93 = "NO CAPITAL", 1, VLOOKUP(D93,'Tariff Schedule Lookup Table'!I$7:L$298,4,FALSE))</f>
        <v>1</v>
      </c>
      <c r="I93" s="296">
        <f>VLOOKUP(G93,'Input data'!$A$68:$B$72,2,FALSE)</f>
        <v>9.8748837500000004</v>
      </c>
      <c r="J93" s="296">
        <f>VLOOKUP($B93,'Maintenance Costs'!$A:$AB,22,FALSE)</f>
        <v>12.465639746827147</v>
      </c>
      <c r="K93" s="296">
        <f>VLOOKUP($B93,'Maintenance Costs'!$A:$AB,28,FALSE)</f>
        <v>19.491123541395375</v>
      </c>
      <c r="L93" s="297">
        <f t="shared" si="10"/>
        <v>41.831647038222521</v>
      </c>
      <c r="M93">
        <v>58.857348489624407</v>
      </c>
      <c r="N93" s="30">
        <f t="shared" si="11"/>
        <v>-17.025701451401886</v>
      </c>
    </row>
    <row r="94" spans="1:14" x14ac:dyDescent="0.2">
      <c r="A94" s="299" t="s">
        <v>997</v>
      </c>
      <c r="B94" s="298" t="str">
        <f t="shared" si="7"/>
        <v>HPS0010-ST</v>
      </c>
      <c r="C94" s="294" t="str">
        <f>VLOOKUP(LEFT(A94,7),'Tariff Schedule Lookup Table'!$A$8:$G$198,2,FALSE)</f>
        <v>High Pressure Sodium 50</v>
      </c>
      <c r="D94" s="295">
        <f t="shared" si="8"/>
        <v>1</v>
      </c>
      <c r="E94" s="294">
        <f t="shared" si="9"/>
        <v>6</v>
      </c>
      <c r="F94" s="294" t="str">
        <f>VLOOKUP(D94,'Tariff Schedule Lookup Table'!I$7:L$298,2,FALSE)</f>
        <v>NO CAPITAL</v>
      </c>
      <c r="G94" s="294" t="str">
        <f>IF(F94 = "BULKHEADS ETC", "SHARED OR NO POLE", VLOOKUP(D94,'Tariff Schedule Lookup Table'!I$7:L$298,3,FALSE))</f>
        <v>NO CAPITAL</v>
      </c>
      <c r="H94" s="294">
        <f>IF(F94 = "NO CAPITAL", 1, VLOOKUP(D94,'Tariff Schedule Lookup Table'!I$7:L$298,4,FALSE))</f>
        <v>1</v>
      </c>
      <c r="I94" s="296">
        <f>VLOOKUP(G94,'Input data'!$A$68:$B$72,2,FALSE)</f>
        <v>0</v>
      </c>
      <c r="J94" s="296">
        <v>0</v>
      </c>
      <c r="K94" s="296">
        <v>0</v>
      </c>
      <c r="L94" s="297">
        <f t="shared" si="10"/>
        <v>0</v>
      </c>
      <c r="M94">
        <v>0</v>
      </c>
      <c r="N94" s="30">
        <f t="shared" si="11"/>
        <v>0</v>
      </c>
    </row>
    <row r="95" spans="1:14" x14ac:dyDescent="0.2">
      <c r="A95" s="299" t="s">
        <v>998</v>
      </c>
      <c r="B95" s="298" t="str">
        <f t="shared" si="7"/>
        <v>HPS0010-ST</v>
      </c>
      <c r="C95" s="294" t="str">
        <f>VLOOKUP(LEFT(A95,7),'Tariff Schedule Lookup Table'!$A$8:$G$198,2,FALSE)</f>
        <v>High Pressure Sodium 50</v>
      </c>
      <c r="D95" s="295">
        <f t="shared" si="8"/>
        <v>40</v>
      </c>
      <c r="E95" s="294">
        <f t="shared" si="9"/>
        <v>1</v>
      </c>
      <c r="F95" s="294" t="str">
        <f>VLOOKUP(D95,'Tariff Schedule Lookup Table'!I$7:L$298,2,FALSE)</f>
        <v>HIGH PRESSURE SODIUM 70W (100)</v>
      </c>
      <c r="G95" s="294" t="str">
        <f>IF(F95 = "BULKHEADS ETC", "SHARED OR NO POLE", VLOOKUP(D95,'Tariff Schedule Lookup Table'!I$7:L$298,3,FALSE))</f>
        <v>SHARED OR NO POLE</v>
      </c>
      <c r="H95" s="294">
        <f>IF(F95 = "NO CAPITAL", 1, VLOOKUP(D95,'Tariff Schedule Lookup Table'!I$7:L$298,4,FALSE))</f>
        <v>1</v>
      </c>
      <c r="I95" s="296">
        <f>VLOOKUP(G95,'Input data'!$A$68:$B$72,2,FALSE)</f>
        <v>0</v>
      </c>
      <c r="J95" s="296">
        <f>VLOOKUP($B95,'Maintenance Costs'!$A:$AB,22,FALSE)</f>
        <v>14.826410533171334</v>
      </c>
      <c r="K95" s="296">
        <f>VLOOKUP($B95,'Maintenance Costs'!$A:$AB,28,FALSE)</f>
        <v>21.299118541395373</v>
      </c>
      <c r="L95" s="297">
        <f t="shared" si="10"/>
        <v>36.125529074566707</v>
      </c>
      <c r="M95">
        <v>56.33275615280926</v>
      </c>
      <c r="N95" s="30">
        <f t="shared" si="11"/>
        <v>-20.207227078242553</v>
      </c>
    </row>
    <row r="96" spans="1:14" x14ac:dyDescent="0.2">
      <c r="A96" s="299" t="s">
        <v>999</v>
      </c>
      <c r="B96" s="298" t="str">
        <f t="shared" si="7"/>
        <v>HPS0010-ST</v>
      </c>
      <c r="C96" s="294" t="str">
        <f>VLOOKUP(LEFT(A96,7),'Tariff Schedule Lookup Table'!$A$8:$G$198,2,FALSE)</f>
        <v>High Pressure Sodium 50</v>
      </c>
      <c r="D96" s="295">
        <f t="shared" si="8"/>
        <v>40</v>
      </c>
      <c r="E96" s="294">
        <f t="shared" si="9"/>
        <v>2</v>
      </c>
      <c r="F96" s="294" t="str">
        <f>VLOOKUP(D96,'Tariff Schedule Lookup Table'!I$7:L$298,2,FALSE)</f>
        <v>HIGH PRESSURE SODIUM 70W (100)</v>
      </c>
      <c r="G96" s="294" t="str">
        <f>IF(F96 = "BULKHEADS ETC", "SHARED OR NO POLE", VLOOKUP(D96,'Tariff Schedule Lookup Table'!I$7:L$298,3,FALSE))</f>
        <v>SHARED OR NO POLE</v>
      </c>
      <c r="H96" s="294">
        <f>IF(F96 = "NO CAPITAL", 1, VLOOKUP(D96,'Tariff Schedule Lookup Table'!I$7:L$298,4,FALSE))</f>
        <v>1</v>
      </c>
      <c r="I96" s="296">
        <f>VLOOKUP(G96,'Input data'!$A$68:$B$72,2,FALSE)</f>
        <v>0</v>
      </c>
      <c r="J96" s="296">
        <f>VLOOKUP($B96,'Maintenance Costs'!$A:$AB,22,FALSE)</f>
        <v>14.826410533171334</v>
      </c>
      <c r="K96" s="296">
        <f>VLOOKUP($B96,'Maintenance Costs'!$A:$AB,28,FALSE)</f>
        <v>21.299118541395373</v>
      </c>
      <c r="L96" s="297">
        <f t="shared" si="10"/>
        <v>36.125529074566707</v>
      </c>
      <c r="M96">
        <v>56.33275615280926</v>
      </c>
      <c r="N96" s="30">
        <f t="shared" si="11"/>
        <v>-20.207227078242553</v>
      </c>
    </row>
    <row r="97" spans="1:14" x14ac:dyDescent="0.2">
      <c r="A97" s="299" t="s">
        <v>1000</v>
      </c>
      <c r="B97" s="298" t="str">
        <f t="shared" si="7"/>
        <v>HPS0010-ST</v>
      </c>
      <c r="C97" s="294" t="str">
        <f>VLOOKUP(LEFT(A97,7),'Tariff Schedule Lookup Table'!$A$8:$G$198,2,FALSE)</f>
        <v>High Pressure Sodium 50</v>
      </c>
      <c r="D97" s="295">
        <f t="shared" si="8"/>
        <v>350</v>
      </c>
      <c r="E97" s="294">
        <f t="shared" si="9"/>
        <v>2</v>
      </c>
      <c r="F97" s="294" t="str">
        <f>VLOOKUP(D97,'Tariff Schedule Lookup Table'!I$7:L$298,2,FALSE)</f>
        <v>HIGH PRESSURE SODIUM 70W (100)</v>
      </c>
      <c r="G97" s="294" t="str">
        <f>IF(F97 = "BULKHEADS ETC", "SHARED OR NO POLE", VLOOKUP(D97,'Tariff Schedule Lookup Table'!I$7:L$298,3,FALSE))</f>
        <v>WOOD POLE</v>
      </c>
      <c r="H97" s="294">
        <f>IF(F97 = "NO CAPITAL", 1, VLOOKUP(D97,'Tariff Schedule Lookup Table'!I$7:L$298,4,FALSE))</f>
        <v>1</v>
      </c>
      <c r="I97" s="296">
        <f>VLOOKUP(G97,'Input data'!$A$68:$B$72,2,FALSE)</f>
        <v>10.809914000000001</v>
      </c>
      <c r="J97" s="296">
        <f>VLOOKUP($B97,'Maintenance Costs'!$A:$AB,22,FALSE)</f>
        <v>14.826410533171334</v>
      </c>
      <c r="K97" s="296">
        <f>VLOOKUP($B97,'Maintenance Costs'!$A:$AB,28,FALSE)</f>
        <v>21.299118541395373</v>
      </c>
      <c r="L97" s="297">
        <f t="shared" si="10"/>
        <v>46.935443074566706</v>
      </c>
      <c r="M97">
        <v>67.142670152809259</v>
      </c>
      <c r="N97" s="30">
        <f t="shared" si="11"/>
        <v>-20.207227078242553</v>
      </c>
    </row>
    <row r="98" spans="1:14" x14ac:dyDescent="0.2">
      <c r="A98" s="299" t="s">
        <v>1001</v>
      </c>
      <c r="B98" s="298" t="str">
        <f t="shared" si="7"/>
        <v>HPS0010-ST</v>
      </c>
      <c r="C98" s="294" t="str">
        <f>VLOOKUP(LEFT(A98,7),'Tariff Schedule Lookup Table'!$A$8:$G$198,2,FALSE)</f>
        <v>High Pressure Sodium 50</v>
      </c>
      <c r="D98" s="295">
        <f t="shared" si="8"/>
        <v>360</v>
      </c>
      <c r="E98" s="294">
        <f t="shared" si="9"/>
        <v>1</v>
      </c>
      <c r="F98" s="294" t="str">
        <f>VLOOKUP(D98,'Tariff Schedule Lookup Table'!I$7:L$298,2,FALSE)</f>
        <v>HIGH PRESSURE SODIUM 70W (100)</v>
      </c>
      <c r="G98" s="294" t="str">
        <f>IF(F98 = "BULKHEADS ETC", "SHARED OR NO POLE", VLOOKUP(D98,'Tariff Schedule Lookup Table'!I$7:L$298,3,FALSE))</f>
        <v>STEEL POLE</v>
      </c>
      <c r="H98" s="294">
        <f>IF(F98 = "NO CAPITAL", 1, VLOOKUP(D98,'Tariff Schedule Lookup Table'!I$7:L$298,4,FALSE))</f>
        <v>1</v>
      </c>
      <c r="I98" s="296">
        <f>VLOOKUP(G98,'Input data'!$A$68:$B$72,2,FALSE)</f>
        <v>9.8748837500000004</v>
      </c>
      <c r="J98" s="296">
        <f>VLOOKUP($B98,'Maintenance Costs'!$A:$AB,22,FALSE)</f>
        <v>14.826410533171334</v>
      </c>
      <c r="K98" s="296">
        <f>VLOOKUP($B98,'Maintenance Costs'!$A:$AB,28,FALSE)</f>
        <v>21.299118541395373</v>
      </c>
      <c r="L98" s="297">
        <f t="shared" si="10"/>
        <v>46.000412824566709</v>
      </c>
      <c r="M98">
        <v>66.207639902809262</v>
      </c>
      <c r="N98" s="30">
        <f t="shared" si="11"/>
        <v>-20.207227078242553</v>
      </c>
    </row>
    <row r="99" spans="1:14" x14ac:dyDescent="0.2">
      <c r="A99" s="299" t="s">
        <v>1002</v>
      </c>
      <c r="B99" s="298" t="str">
        <f t="shared" si="7"/>
        <v>HPS0010-ST</v>
      </c>
      <c r="C99" s="294" t="str">
        <f>VLOOKUP(LEFT(A99,7),'Tariff Schedule Lookup Table'!$A$8:$G$198,2,FALSE)</f>
        <v>High Pressure Sodium 50</v>
      </c>
      <c r="D99" s="295">
        <f t="shared" si="8"/>
        <v>360</v>
      </c>
      <c r="E99" s="294">
        <f t="shared" si="9"/>
        <v>2</v>
      </c>
      <c r="F99" s="294" t="str">
        <f>VLOOKUP(D99,'Tariff Schedule Lookup Table'!I$7:L$298,2,FALSE)</f>
        <v>HIGH PRESSURE SODIUM 70W (100)</v>
      </c>
      <c r="G99" s="294" t="str">
        <f>IF(F99 = "BULKHEADS ETC", "SHARED OR NO POLE", VLOOKUP(D99,'Tariff Schedule Lookup Table'!I$7:L$298,3,FALSE))</f>
        <v>STEEL POLE</v>
      </c>
      <c r="H99" s="294">
        <f>IF(F99 = "NO CAPITAL", 1, VLOOKUP(D99,'Tariff Schedule Lookup Table'!I$7:L$298,4,FALSE))</f>
        <v>1</v>
      </c>
      <c r="I99" s="296">
        <f>VLOOKUP(G99,'Input data'!$A$68:$B$72,2,FALSE)</f>
        <v>9.8748837500000004</v>
      </c>
      <c r="J99" s="296">
        <f>VLOOKUP($B99,'Maintenance Costs'!$A:$AB,22,FALSE)</f>
        <v>14.826410533171334</v>
      </c>
      <c r="K99" s="296">
        <f>VLOOKUP($B99,'Maintenance Costs'!$A:$AB,28,FALSE)</f>
        <v>21.299118541395373</v>
      </c>
      <c r="L99" s="297">
        <f t="shared" si="10"/>
        <v>46.000412824566709</v>
      </c>
      <c r="M99">
        <v>66.207639902809262</v>
      </c>
      <c r="N99" s="30">
        <f t="shared" si="11"/>
        <v>-20.207227078242553</v>
      </c>
    </row>
    <row r="100" spans="1:14" x14ac:dyDescent="0.2">
      <c r="A100" s="299" t="s">
        <v>1003</v>
      </c>
      <c r="B100" s="298" t="str">
        <f t="shared" si="7"/>
        <v>HPS0010-ST</v>
      </c>
      <c r="C100" s="294" t="str">
        <f>VLOOKUP(LEFT(A100,7),'Tariff Schedule Lookup Table'!$A$8:$G$198,2,FALSE)</f>
        <v>High Pressure Sodium 50</v>
      </c>
      <c r="D100" s="295">
        <f t="shared" si="8"/>
        <v>890</v>
      </c>
      <c r="E100" s="294">
        <f t="shared" si="9"/>
        <v>2</v>
      </c>
      <c r="F100" s="294" t="str">
        <f>VLOOKUP(D100,'Tariff Schedule Lookup Table'!I$7:L$298,2,FALSE)</f>
        <v>HIGH PRESSURE SODIUM 70W (100)</v>
      </c>
      <c r="G100" s="294" t="str">
        <f>IF(F100 = "BULKHEADS ETC", "SHARED OR NO POLE", VLOOKUP(D100,'Tariff Schedule Lookup Table'!I$7:L$298,3,FALSE))</f>
        <v>SHARED OR NO POLE</v>
      </c>
      <c r="H100" s="294">
        <f>IF(F100 = "NO CAPITAL", 1, VLOOKUP(D100,'Tariff Schedule Lookup Table'!I$7:L$298,4,FALSE))</f>
        <v>2</v>
      </c>
      <c r="I100" s="296">
        <f>VLOOKUP(G100,'Input data'!$A$68:$B$72,2,FALSE)</f>
        <v>0</v>
      </c>
      <c r="J100" s="296">
        <f>VLOOKUP($B100,'Maintenance Costs'!$A:$AB,22,FALSE)</f>
        <v>14.826410533171334</v>
      </c>
      <c r="K100" s="296">
        <f>VLOOKUP($B100,'Maintenance Costs'!$A:$AB,28,FALSE)</f>
        <v>21.299118541395373</v>
      </c>
      <c r="L100" s="297">
        <f t="shared" si="10"/>
        <v>36.125529074566707</v>
      </c>
      <c r="M100">
        <v>56.33275615280926</v>
      </c>
      <c r="N100" s="30">
        <f t="shared" si="11"/>
        <v>-20.207227078242553</v>
      </c>
    </row>
    <row r="101" spans="1:14" x14ac:dyDescent="0.2">
      <c r="A101" s="299" t="s">
        <v>1004</v>
      </c>
      <c r="B101" s="298" t="str">
        <f t="shared" si="7"/>
        <v>HPS0010-ST</v>
      </c>
      <c r="C101" s="294" t="str">
        <f>VLOOKUP(LEFT(A101,7),'Tariff Schedule Lookup Table'!$A$8:$G$198,2,FALSE)</f>
        <v>High Pressure Sodium 50</v>
      </c>
      <c r="D101" s="295">
        <f t="shared" si="8"/>
        <v>910</v>
      </c>
      <c r="E101" s="294">
        <f t="shared" si="9"/>
        <v>2</v>
      </c>
      <c r="F101" s="294" t="str">
        <f>VLOOKUP(D101,'Tariff Schedule Lookup Table'!I$7:L$298,2,FALSE)</f>
        <v>HIGH PRESSURE SODIUM 70W (100)</v>
      </c>
      <c r="G101" s="294" t="str">
        <f>IF(F101 = "BULKHEADS ETC", "SHARED OR NO POLE", VLOOKUP(D101,'Tariff Schedule Lookup Table'!I$7:L$298,3,FALSE))</f>
        <v>WOOD POLE</v>
      </c>
      <c r="H101" s="294">
        <f>IF(F101 = "NO CAPITAL", 1, VLOOKUP(D101,'Tariff Schedule Lookup Table'!I$7:L$298,4,FALSE))</f>
        <v>2</v>
      </c>
      <c r="I101" s="296">
        <f>VLOOKUP(G101,'Input data'!$A$68:$B$72,2,FALSE)</f>
        <v>10.809914000000001</v>
      </c>
      <c r="J101" s="296">
        <f>VLOOKUP($B101,'Maintenance Costs'!$A:$AB,22,FALSE)</f>
        <v>14.826410533171334</v>
      </c>
      <c r="K101" s="296">
        <f>VLOOKUP($B101,'Maintenance Costs'!$A:$AB,28,FALSE)</f>
        <v>21.299118541395373</v>
      </c>
      <c r="L101" s="297">
        <f t="shared" si="10"/>
        <v>41.53048607456671</v>
      </c>
      <c r="M101">
        <v>61.737713152809263</v>
      </c>
      <c r="N101" s="30">
        <f t="shared" si="11"/>
        <v>-20.207227078242553</v>
      </c>
    </row>
    <row r="102" spans="1:14" x14ac:dyDescent="0.2">
      <c r="A102" s="299" t="s">
        <v>1005</v>
      </c>
      <c r="B102" s="298" t="str">
        <f t="shared" si="7"/>
        <v>HPS0010-TA</v>
      </c>
      <c r="C102" s="294" t="str">
        <f>VLOOKUP(LEFT(A102,7),'Tariff Schedule Lookup Table'!$A$8:$G$198,2,FALSE)</f>
        <v>High Pressure Sodium 50</v>
      </c>
      <c r="D102" s="295">
        <f t="shared" si="8"/>
        <v>90</v>
      </c>
      <c r="E102" s="294">
        <f t="shared" si="9"/>
        <v>1</v>
      </c>
      <c r="F102" s="294" t="str">
        <f>VLOOKUP(D102,'Tariff Schedule Lookup Table'!I$7:L$298,2,FALSE)</f>
        <v>HIGH PRESSURE SODIUM 70W TWIN ARC</v>
      </c>
      <c r="G102" s="294" t="str">
        <f>IF(F102 = "BULKHEADS ETC", "SHARED OR NO POLE", VLOOKUP(D102,'Tariff Schedule Lookup Table'!I$7:L$298,3,FALSE))</f>
        <v>SHARED OR NO POLE</v>
      </c>
      <c r="H102" s="294">
        <f>IF(F102 = "NO CAPITAL", 1, VLOOKUP(D102,'Tariff Schedule Lookup Table'!I$7:L$298,4,FALSE))</f>
        <v>1</v>
      </c>
      <c r="I102" s="296">
        <f>VLOOKUP(G102,'Input data'!$A$68:$B$72,2,FALSE)</f>
        <v>0</v>
      </c>
      <c r="J102" s="296">
        <f>VLOOKUP($B102,'Maintenance Costs'!$A:$AB,22,FALSE)</f>
        <v>15.471951017049371</v>
      </c>
      <c r="K102" s="296">
        <f>VLOOKUP($B102,'Maintenance Costs'!$A:$AB,28,FALSE)</f>
        <v>24.378107041395374</v>
      </c>
      <c r="L102" s="297">
        <f t="shared" si="10"/>
        <v>39.850058058444745</v>
      </c>
      <c r="M102">
        <v>55.310219386456723</v>
      </c>
      <c r="N102" s="30">
        <f t="shared" si="11"/>
        <v>-15.460161328011978</v>
      </c>
    </row>
    <row r="103" spans="1:14" x14ac:dyDescent="0.2">
      <c r="A103" s="299" t="s">
        <v>1006</v>
      </c>
      <c r="B103" s="298" t="str">
        <f t="shared" si="7"/>
        <v>HPS0010-TA</v>
      </c>
      <c r="C103" s="294" t="str">
        <f>VLOOKUP(LEFT(A103,7),'Tariff Schedule Lookup Table'!$A$8:$G$198,2,FALSE)</f>
        <v>High Pressure Sodium 50</v>
      </c>
      <c r="D103" s="295">
        <f t="shared" si="8"/>
        <v>90</v>
      </c>
      <c r="E103" s="294">
        <f t="shared" si="9"/>
        <v>2</v>
      </c>
      <c r="F103" s="294" t="str">
        <f>VLOOKUP(D103,'Tariff Schedule Lookup Table'!I$7:L$298,2,FALSE)</f>
        <v>HIGH PRESSURE SODIUM 70W TWIN ARC</v>
      </c>
      <c r="G103" s="294" t="str">
        <f>IF(F103 = "BULKHEADS ETC", "SHARED OR NO POLE", VLOOKUP(D103,'Tariff Schedule Lookup Table'!I$7:L$298,3,FALSE))</f>
        <v>SHARED OR NO POLE</v>
      </c>
      <c r="H103" s="294">
        <f>IF(F103 = "NO CAPITAL", 1, VLOOKUP(D103,'Tariff Schedule Lookup Table'!I$7:L$298,4,FALSE))</f>
        <v>1</v>
      </c>
      <c r="I103" s="296">
        <f>VLOOKUP(G103,'Input data'!$A$68:$B$72,2,FALSE)</f>
        <v>0</v>
      </c>
      <c r="J103" s="296">
        <f>VLOOKUP($B103,'Maintenance Costs'!$A:$AB,22,FALSE)</f>
        <v>15.471951017049371</v>
      </c>
      <c r="K103" s="296">
        <f>VLOOKUP($B103,'Maintenance Costs'!$A:$AB,28,FALSE)</f>
        <v>24.378107041395374</v>
      </c>
      <c r="L103" s="297">
        <f t="shared" si="10"/>
        <v>39.850058058444745</v>
      </c>
      <c r="M103">
        <v>55.310219386456723</v>
      </c>
      <c r="N103" s="30">
        <f t="shared" si="11"/>
        <v>-15.460161328011978</v>
      </c>
    </row>
    <row r="104" spans="1:14" x14ac:dyDescent="0.2">
      <c r="A104" s="299" t="s">
        <v>1007</v>
      </c>
      <c r="B104" s="298" t="str">
        <f t="shared" si="7"/>
        <v>HPS0010-TA</v>
      </c>
      <c r="C104" s="294" t="str">
        <f>VLOOKUP(LEFT(A104,7),'Tariff Schedule Lookup Table'!$A$8:$G$198,2,FALSE)</f>
        <v>High Pressure Sodium 50</v>
      </c>
      <c r="D104" s="295">
        <f t="shared" si="8"/>
        <v>90</v>
      </c>
      <c r="E104" s="294">
        <f t="shared" si="9"/>
        <v>3</v>
      </c>
      <c r="F104" s="294" t="str">
        <f>VLOOKUP(D104,'Tariff Schedule Lookup Table'!I$7:L$298,2,FALSE)</f>
        <v>HIGH PRESSURE SODIUM 70W TWIN ARC</v>
      </c>
      <c r="G104" s="294" t="str">
        <f>IF(F104 = "BULKHEADS ETC", "SHARED OR NO POLE", VLOOKUP(D104,'Tariff Schedule Lookup Table'!I$7:L$298,3,FALSE))</f>
        <v>SHARED OR NO POLE</v>
      </c>
      <c r="H104" s="294">
        <f>IF(F104 = "NO CAPITAL", 1, VLOOKUP(D104,'Tariff Schedule Lookup Table'!I$7:L$298,4,FALSE))</f>
        <v>1</v>
      </c>
      <c r="I104" s="296">
        <f>VLOOKUP(G104,'Input data'!$A$68:$B$72,2,FALSE)</f>
        <v>0</v>
      </c>
      <c r="J104" s="296">
        <f>VLOOKUP($B104,'Maintenance Costs'!$A:$AB,22,FALSE)</f>
        <v>15.471951017049371</v>
      </c>
      <c r="K104" s="296">
        <f>VLOOKUP($B104,'Maintenance Costs'!$A:$AB,28,FALSE)</f>
        <v>24.378107041395374</v>
      </c>
      <c r="L104" s="297">
        <f t="shared" si="10"/>
        <v>39.850058058444745</v>
      </c>
      <c r="M104">
        <v>55.310219386456723</v>
      </c>
      <c r="N104" s="30">
        <f t="shared" si="11"/>
        <v>-15.460161328011978</v>
      </c>
    </row>
    <row r="105" spans="1:14" x14ac:dyDescent="0.2">
      <c r="A105" s="299" t="s">
        <v>826</v>
      </c>
      <c r="B105" s="298" t="str">
        <f t="shared" si="7"/>
        <v>HPS0010-TA</v>
      </c>
      <c r="C105" s="294" t="str">
        <f>VLOOKUP(LEFT(A105,7),'Tariff Schedule Lookup Table'!$A$8:$G$198,2,FALSE)</f>
        <v>High Pressure Sodium 50</v>
      </c>
      <c r="D105" s="295">
        <f t="shared" si="8"/>
        <v>90</v>
      </c>
      <c r="E105" s="294">
        <f t="shared" si="9"/>
        <v>4</v>
      </c>
      <c r="F105" s="294" t="str">
        <f>VLOOKUP(D105,'Tariff Schedule Lookup Table'!I$7:L$298,2,FALSE)</f>
        <v>HIGH PRESSURE SODIUM 70W TWIN ARC</v>
      </c>
      <c r="G105" s="294" t="str">
        <f>IF(F105 = "BULKHEADS ETC", "SHARED OR NO POLE", VLOOKUP(D105,'Tariff Schedule Lookup Table'!I$7:L$298,3,FALSE))</f>
        <v>SHARED OR NO POLE</v>
      </c>
      <c r="H105" s="294">
        <f>IF(F105 = "NO CAPITAL", 1, VLOOKUP(D105,'Tariff Schedule Lookup Table'!I$7:L$298,4,FALSE))</f>
        <v>1</v>
      </c>
      <c r="I105" s="296">
        <f>VLOOKUP(G105,'Input data'!$A$68:$B$72,2,FALSE)</f>
        <v>0</v>
      </c>
      <c r="J105" s="296">
        <f>VLOOKUP($B105,'Maintenance Costs'!$A:$AB,22,FALSE)</f>
        <v>15.471951017049371</v>
      </c>
      <c r="K105" s="296">
        <f>VLOOKUP($B105,'Maintenance Costs'!$A:$AB,28,FALSE)</f>
        <v>24.378107041395374</v>
      </c>
      <c r="L105" s="297">
        <f t="shared" si="10"/>
        <v>39.850058058444745</v>
      </c>
      <c r="M105">
        <v>55.310219386456723</v>
      </c>
      <c r="N105" s="30">
        <f t="shared" si="11"/>
        <v>-15.460161328011978</v>
      </c>
    </row>
    <row r="106" spans="1:14" x14ac:dyDescent="0.2">
      <c r="A106" s="299" t="s">
        <v>1008</v>
      </c>
      <c r="B106" s="298" t="str">
        <f t="shared" si="7"/>
        <v>HPS0010-TA</v>
      </c>
      <c r="C106" s="294" t="str">
        <f>VLOOKUP(LEFT(A106,7),'Tariff Schedule Lookup Table'!$A$8:$G$198,2,FALSE)</f>
        <v>High Pressure Sodium 50</v>
      </c>
      <c r="D106" s="295">
        <f t="shared" si="8"/>
        <v>140</v>
      </c>
      <c r="E106" s="294">
        <f t="shared" si="9"/>
        <v>1</v>
      </c>
      <c r="F106" s="294" t="str">
        <f>VLOOKUP(D106,'Tariff Schedule Lookup Table'!I$7:L$298,2,FALSE)</f>
        <v>HIGH PRESSURE SODIUM 70W TWIN ARC</v>
      </c>
      <c r="G106" s="294" t="str">
        <f>IF(F106 = "BULKHEADS ETC", "SHARED OR NO POLE", VLOOKUP(D106,'Tariff Schedule Lookup Table'!I$7:L$298,3,FALSE))</f>
        <v>WOOD POLE</v>
      </c>
      <c r="H106" s="294">
        <f>IF(F106 = "NO CAPITAL", 1, VLOOKUP(D106,'Tariff Schedule Lookup Table'!I$7:L$298,4,FALSE))</f>
        <v>1</v>
      </c>
      <c r="I106" s="296">
        <f>VLOOKUP(G106,'Input data'!$A$68:$B$72,2,FALSE)</f>
        <v>10.809914000000001</v>
      </c>
      <c r="J106" s="296">
        <f>VLOOKUP($B106,'Maintenance Costs'!$A:$AB,22,FALSE)</f>
        <v>15.471951017049371</v>
      </c>
      <c r="K106" s="296">
        <f>VLOOKUP($B106,'Maintenance Costs'!$A:$AB,28,FALSE)</f>
        <v>24.378107041395374</v>
      </c>
      <c r="L106" s="297">
        <f t="shared" si="10"/>
        <v>50.659972058444744</v>
      </c>
      <c r="M106">
        <v>66.120133386456729</v>
      </c>
      <c r="N106" s="30">
        <f t="shared" si="11"/>
        <v>-15.460161328011985</v>
      </c>
    </row>
    <row r="107" spans="1:14" x14ac:dyDescent="0.2">
      <c r="A107" s="299" t="s">
        <v>1009</v>
      </c>
      <c r="B107" s="298" t="str">
        <f t="shared" si="7"/>
        <v>HPS0010-TA</v>
      </c>
      <c r="C107" s="294" t="str">
        <f>VLOOKUP(LEFT(A107,7),'Tariff Schedule Lookup Table'!$A$8:$G$198,2,FALSE)</f>
        <v>High Pressure Sodium 50</v>
      </c>
      <c r="D107" s="295">
        <f t="shared" si="8"/>
        <v>140</v>
      </c>
      <c r="E107" s="294">
        <f t="shared" si="9"/>
        <v>2</v>
      </c>
      <c r="F107" s="294" t="str">
        <f>VLOOKUP(D107,'Tariff Schedule Lookup Table'!I$7:L$298,2,FALSE)</f>
        <v>HIGH PRESSURE SODIUM 70W TWIN ARC</v>
      </c>
      <c r="G107" s="294" t="str">
        <f>IF(F107 = "BULKHEADS ETC", "SHARED OR NO POLE", VLOOKUP(D107,'Tariff Schedule Lookup Table'!I$7:L$298,3,FALSE))</f>
        <v>WOOD POLE</v>
      </c>
      <c r="H107" s="294">
        <f>IF(F107 = "NO CAPITAL", 1, VLOOKUP(D107,'Tariff Schedule Lookup Table'!I$7:L$298,4,FALSE))</f>
        <v>1</v>
      </c>
      <c r="I107" s="296">
        <f>VLOOKUP(G107,'Input data'!$A$68:$B$72,2,FALSE)</f>
        <v>10.809914000000001</v>
      </c>
      <c r="J107" s="296">
        <f>VLOOKUP($B107,'Maintenance Costs'!$A:$AB,22,FALSE)</f>
        <v>15.471951017049371</v>
      </c>
      <c r="K107" s="296">
        <f>VLOOKUP($B107,'Maintenance Costs'!$A:$AB,28,FALSE)</f>
        <v>24.378107041395374</v>
      </c>
      <c r="L107" s="297">
        <f t="shared" si="10"/>
        <v>50.659972058444744</v>
      </c>
      <c r="M107">
        <v>66.120133386456729</v>
      </c>
      <c r="N107" s="30">
        <f t="shared" si="11"/>
        <v>-15.460161328011985</v>
      </c>
    </row>
    <row r="108" spans="1:14" x14ac:dyDescent="0.2">
      <c r="A108" s="299" t="s">
        <v>1010</v>
      </c>
      <c r="B108" s="298" t="str">
        <f t="shared" si="7"/>
        <v>HPS0010-TA</v>
      </c>
      <c r="C108" s="294" t="str">
        <f>VLOOKUP(LEFT(A108,7),'Tariff Schedule Lookup Table'!$A$8:$G$198,2,FALSE)</f>
        <v>High Pressure Sodium 50</v>
      </c>
      <c r="D108" s="295">
        <f t="shared" si="8"/>
        <v>140</v>
      </c>
      <c r="E108" s="294">
        <f t="shared" si="9"/>
        <v>3</v>
      </c>
      <c r="F108" s="294" t="str">
        <f>VLOOKUP(D108,'Tariff Schedule Lookup Table'!I$7:L$298,2,FALSE)</f>
        <v>HIGH PRESSURE SODIUM 70W TWIN ARC</v>
      </c>
      <c r="G108" s="294" t="str">
        <f>IF(F108 = "BULKHEADS ETC", "SHARED OR NO POLE", VLOOKUP(D108,'Tariff Schedule Lookup Table'!I$7:L$298,3,FALSE))</f>
        <v>WOOD POLE</v>
      </c>
      <c r="H108" s="294">
        <f>IF(F108 = "NO CAPITAL", 1, VLOOKUP(D108,'Tariff Schedule Lookup Table'!I$7:L$298,4,FALSE))</f>
        <v>1</v>
      </c>
      <c r="I108" s="296">
        <f>VLOOKUP(G108,'Input data'!$A$68:$B$72,2,FALSE)</f>
        <v>10.809914000000001</v>
      </c>
      <c r="J108" s="296">
        <f>VLOOKUP($B108,'Maintenance Costs'!$A:$AB,22,FALSE)</f>
        <v>15.471951017049371</v>
      </c>
      <c r="K108" s="296">
        <f>VLOOKUP($B108,'Maintenance Costs'!$A:$AB,28,FALSE)</f>
        <v>24.378107041395374</v>
      </c>
      <c r="L108" s="297">
        <f t="shared" si="10"/>
        <v>50.659972058444744</v>
      </c>
      <c r="M108">
        <v>66.120133386456729</v>
      </c>
      <c r="N108" s="30">
        <f t="shared" si="11"/>
        <v>-15.460161328011985</v>
      </c>
    </row>
    <row r="109" spans="1:14" x14ac:dyDescent="0.2">
      <c r="A109" s="299" t="s">
        <v>827</v>
      </c>
      <c r="B109" s="298" t="str">
        <f t="shared" si="7"/>
        <v>HPS0010-TA</v>
      </c>
      <c r="C109" s="294" t="str">
        <f>VLOOKUP(LEFT(A109,7),'Tariff Schedule Lookup Table'!$A$8:$G$198,2,FALSE)</f>
        <v>High Pressure Sodium 50</v>
      </c>
      <c r="D109" s="295">
        <f t="shared" si="8"/>
        <v>140</v>
      </c>
      <c r="E109" s="294">
        <f t="shared" si="9"/>
        <v>4</v>
      </c>
      <c r="F109" s="294" t="str">
        <f>VLOOKUP(D109,'Tariff Schedule Lookup Table'!I$7:L$298,2,FALSE)</f>
        <v>HIGH PRESSURE SODIUM 70W TWIN ARC</v>
      </c>
      <c r="G109" s="294" t="str">
        <f>IF(F109 = "BULKHEADS ETC", "SHARED OR NO POLE", VLOOKUP(D109,'Tariff Schedule Lookup Table'!I$7:L$298,3,FALSE))</f>
        <v>WOOD POLE</v>
      </c>
      <c r="H109" s="294">
        <f>IF(F109 = "NO CAPITAL", 1, VLOOKUP(D109,'Tariff Schedule Lookup Table'!I$7:L$298,4,FALSE))</f>
        <v>1</v>
      </c>
      <c r="I109" s="296">
        <f>VLOOKUP(G109,'Input data'!$A$68:$B$72,2,FALSE)</f>
        <v>10.809914000000001</v>
      </c>
      <c r="J109" s="296">
        <f>VLOOKUP($B109,'Maintenance Costs'!$A:$AB,22,FALSE)</f>
        <v>15.471951017049371</v>
      </c>
      <c r="K109" s="296">
        <f>VLOOKUP($B109,'Maintenance Costs'!$A:$AB,28,FALSE)</f>
        <v>24.378107041395374</v>
      </c>
      <c r="L109" s="297">
        <f t="shared" si="10"/>
        <v>50.659972058444744</v>
      </c>
      <c r="M109">
        <v>66.120133386456729</v>
      </c>
      <c r="N109" s="30">
        <f t="shared" si="11"/>
        <v>-15.460161328011985</v>
      </c>
    </row>
    <row r="110" spans="1:14" x14ac:dyDescent="0.2">
      <c r="A110" s="299" t="s">
        <v>1011</v>
      </c>
      <c r="B110" s="298" t="str">
        <f t="shared" si="7"/>
        <v>HPS0010-TA</v>
      </c>
      <c r="C110" s="294" t="str">
        <f>VLOOKUP(LEFT(A110,7),'Tariff Schedule Lookup Table'!$A$8:$G$198,2,FALSE)</f>
        <v>High Pressure Sodium 50</v>
      </c>
      <c r="D110" s="295">
        <f t="shared" si="8"/>
        <v>170</v>
      </c>
      <c r="E110" s="294">
        <f t="shared" si="9"/>
        <v>1</v>
      </c>
      <c r="F110" s="294" t="str">
        <f>VLOOKUP(D110,'Tariff Schedule Lookup Table'!I$7:L$298,2,FALSE)</f>
        <v>HIGH PRESSURE SODIUM 70W TWIN ARC</v>
      </c>
      <c r="G110" s="294" t="str">
        <f>IF(F110 = "BULKHEADS ETC", "SHARED OR NO POLE", VLOOKUP(D110,'Tariff Schedule Lookup Table'!I$7:L$298,3,FALSE))</f>
        <v>STEEL POLE</v>
      </c>
      <c r="H110" s="294">
        <f>IF(F110 = "NO CAPITAL", 1, VLOOKUP(D110,'Tariff Schedule Lookup Table'!I$7:L$298,4,FALSE))</f>
        <v>1</v>
      </c>
      <c r="I110" s="296">
        <f>VLOOKUP(G110,'Input data'!$A$68:$B$72,2,FALSE)</f>
        <v>9.8748837500000004</v>
      </c>
      <c r="J110" s="296">
        <f>VLOOKUP($B110,'Maintenance Costs'!$A:$AB,22,FALSE)</f>
        <v>15.471951017049371</v>
      </c>
      <c r="K110" s="296">
        <f>VLOOKUP($B110,'Maintenance Costs'!$A:$AB,28,FALSE)</f>
        <v>24.378107041395374</v>
      </c>
      <c r="L110" s="297">
        <f t="shared" si="10"/>
        <v>49.724941808444747</v>
      </c>
      <c r="M110">
        <v>65.185103136456718</v>
      </c>
      <c r="N110" s="30">
        <f t="shared" si="11"/>
        <v>-15.460161328011971</v>
      </c>
    </row>
    <row r="111" spans="1:14" x14ac:dyDescent="0.2">
      <c r="A111" s="299" t="s">
        <v>1012</v>
      </c>
      <c r="B111" s="298" t="str">
        <f t="shared" si="7"/>
        <v>HPS0010-TA</v>
      </c>
      <c r="C111" s="294" t="str">
        <f>VLOOKUP(LEFT(A111,7),'Tariff Schedule Lookup Table'!$A$8:$G$198,2,FALSE)</f>
        <v>High Pressure Sodium 50</v>
      </c>
      <c r="D111" s="295">
        <f t="shared" si="8"/>
        <v>170</v>
      </c>
      <c r="E111" s="294">
        <f t="shared" si="9"/>
        <v>2</v>
      </c>
      <c r="F111" s="294" t="str">
        <f>VLOOKUP(D111,'Tariff Schedule Lookup Table'!I$7:L$298,2,FALSE)</f>
        <v>HIGH PRESSURE SODIUM 70W TWIN ARC</v>
      </c>
      <c r="G111" s="294" t="str">
        <f>IF(F111 = "BULKHEADS ETC", "SHARED OR NO POLE", VLOOKUP(D111,'Tariff Schedule Lookup Table'!I$7:L$298,3,FALSE))</f>
        <v>STEEL POLE</v>
      </c>
      <c r="H111" s="294">
        <f>IF(F111 = "NO CAPITAL", 1, VLOOKUP(D111,'Tariff Schedule Lookup Table'!I$7:L$298,4,FALSE))</f>
        <v>1</v>
      </c>
      <c r="I111" s="296">
        <f>VLOOKUP(G111,'Input data'!$A$68:$B$72,2,FALSE)</f>
        <v>9.8748837500000004</v>
      </c>
      <c r="J111" s="296">
        <f>VLOOKUP($B111,'Maintenance Costs'!$A:$AB,22,FALSE)</f>
        <v>15.471951017049371</v>
      </c>
      <c r="K111" s="296">
        <f>VLOOKUP($B111,'Maintenance Costs'!$A:$AB,28,FALSE)</f>
        <v>24.378107041395374</v>
      </c>
      <c r="L111" s="297">
        <f t="shared" si="10"/>
        <v>49.724941808444747</v>
      </c>
      <c r="M111">
        <v>65.185103136456718</v>
      </c>
      <c r="N111" s="30">
        <f t="shared" si="11"/>
        <v>-15.460161328011971</v>
      </c>
    </row>
    <row r="112" spans="1:14" x14ac:dyDescent="0.2">
      <c r="A112" s="299" t="s">
        <v>1013</v>
      </c>
      <c r="B112" s="298" t="str">
        <f t="shared" si="7"/>
        <v>HPS0010-TA</v>
      </c>
      <c r="C112" s="294" t="str">
        <f>VLOOKUP(LEFT(A112,7),'Tariff Schedule Lookup Table'!$A$8:$G$198,2,FALSE)</f>
        <v>High Pressure Sodium 50</v>
      </c>
      <c r="D112" s="295">
        <f t="shared" si="8"/>
        <v>170</v>
      </c>
      <c r="E112" s="294">
        <f t="shared" si="9"/>
        <v>3</v>
      </c>
      <c r="F112" s="294" t="str">
        <f>VLOOKUP(D112,'Tariff Schedule Lookup Table'!I$7:L$298,2,FALSE)</f>
        <v>HIGH PRESSURE SODIUM 70W TWIN ARC</v>
      </c>
      <c r="G112" s="294" t="str">
        <f>IF(F112 = "BULKHEADS ETC", "SHARED OR NO POLE", VLOOKUP(D112,'Tariff Schedule Lookup Table'!I$7:L$298,3,FALSE))</f>
        <v>STEEL POLE</v>
      </c>
      <c r="H112" s="294">
        <f>IF(F112 = "NO CAPITAL", 1, VLOOKUP(D112,'Tariff Schedule Lookup Table'!I$7:L$298,4,FALSE))</f>
        <v>1</v>
      </c>
      <c r="I112" s="296">
        <f>VLOOKUP(G112,'Input data'!$A$68:$B$72,2,FALSE)</f>
        <v>9.8748837500000004</v>
      </c>
      <c r="J112" s="296">
        <f>VLOOKUP($B112,'Maintenance Costs'!$A:$AB,22,FALSE)</f>
        <v>15.471951017049371</v>
      </c>
      <c r="K112" s="296">
        <f>VLOOKUP($B112,'Maintenance Costs'!$A:$AB,28,FALSE)</f>
        <v>24.378107041395374</v>
      </c>
      <c r="L112" s="297">
        <f t="shared" si="10"/>
        <v>49.724941808444747</v>
      </c>
      <c r="M112">
        <v>65.185103136456718</v>
      </c>
      <c r="N112" s="30">
        <f t="shared" si="11"/>
        <v>-15.460161328011971</v>
      </c>
    </row>
    <row r="113" spans="1:14" x14ac:dyDescent="0.2">
      <c r="A113" s="299" t="s">
        <v>539</v>
      </c>
      <c r="B113" s="298" t="str">
        <f t="shared" si="7"/>
        <v>HPS0010-TA</v>
      </c>
      <c r="C113" s="294" t="str">
        <f>VLOOKUP(LEFT(A113,7),'Tariff Schedule Lookup Table'!$A$8:$G$198,2,FALSE)</f>
        <v>High Pressure Sodium 50</v>
      </c>
      <c r="D113" s="295">
        <f t="shared" si="8"/>
        <v>170</v>
      </c>
      <c r="E113" s="294">
        <f t="shared" si="9"/>
        <v>4</v>
      </c>
      <c r="F113" s="294" t="str">
        <f>VLOOKUP(D113,'Tariff Schedule Lookup Table'!I$7:L$298,2,FALSE)</f>
        <v>HIGH PRESSURE SODIUM 70W TWIN ARC</v>
      </c>
      <c r="G113" s="294" t="str">
        <f>IF(F113 = "BULKHEADS ETC", "SHARED OR NO POLE", VLOOKUP(D113,'Tariff Schedule Lookup Table'!I$7:L$298,3,FALSE))</f>
        <v>STEEL POLE</v>
      </c>
      <c r="H113" s="294">
        <f>IF(F113 = "NO CAPITAL", 1, VLOOKUP(D113,'Tariff Schedule Lookup Table'!I$7:L$298,4,FALSE))</f>
        <v>1</v>
      </c>
      <c r="I113" s="296">
        <f>VLOOKUP(G113,'Input data'!$A$68:$B$72,2,FALSE)</f>
        <v>9.8748837500000004</v>
      </c>
      <c r="J113" s="296">
        <f>VLOOKUP($B113,'Maintenance Costs'!$A:$AB,22,FALSE)</f>
        <v>15.471951017049371</v>
      </c>
      <c r="K113" s="296">
        <f>VLOOKUP($B113,'Maintenance Costs'!$A:$AB,28,FALSE)</f>
        <v>24.378107041395374</v>
      </c>
      <c r="L113" s="297">
        <f t="shared" si="10"/>
        <v>49.724941808444747</v>
      </c>
      <c r="M113">
        <v>65.185103136456718</v>
      </c>
      <c r="N113" s="30">
        <f t="shared" si="11"/>
        <v>-15.460161328011971</v>
      </c>
    </row>
    <row r="114" spans="1:14" x14ac:dyDescent="0.2">
      <c r="A114" s="299" t="s">
        <v>1014</v>
      </c>
      <c r="B114" s="298" t="str">
        <f t="shared" si="7"/>
        <v>HPS0010-TA</v>
      </c>
      <c r="C114" s="294" t="str">
        <f>VLOOKUP(LEFT(A114,7),'Tariff Schedule Lookup Table'!$A$8:$G$198,2,FALSE)</f>
        <v>High Pressure Sodium 50</v>
      </c>
      <c r="D114" s="295">
        <f t="shared" si="8"/>
        <v>1210</v>
      </c>
      <c r="E114" s="294">
        <f t="shared" si="9"/>
        <v>1</v>
      </c>
      <c r="F114" s="294" t="str">
        <f>VLOOKUP(D114,'Tariff Schedule Lookup Table'!I$7:L$298,2,FALSE)</f>
        <v>HIGH PRESSURE SODIUM 70W TWIN ARC</v>
      </c>
      <c r="G114" s="294" t="str">
        <f>IF(F114 = "BULKHEADS ETC", "SHARED OR NO POLE", VLOOKUP(D114,'Tariff Schedule Lookup Table'!I$7:L$298,3,FALSE))</f>
        <v>WOOD POLE</v>
      </c>
      <c r="H114" s="294">
        <f>IF(F114 = "NO CAPITAL", 1, VLOOKUP(D114,'Tariff Schedule Lookup Table'!I$7:L$298,4,FALSE))</f>
        <v>2</v>
      </c>
      <c r="I114" s="296">
        <f>VLOOKUP(G114,'Input data'!$A$68:$B$72,2,FALSE)</f>
        <v>10.809914000000001</v>
      </c>
      <c r="J114" s="296">
        <f>VLOOKUP($B114,'Maintenance Costs'!$A:$AB,22,FALSE)</f>
        <v>15.471951017049371</v>
      </c>
      <c r="K114" s="296">
        <f>VLOOKUP($B114,'Maintenance Costs'!$A:$AB,28,FALSE)</f>
        <v>24.378107041395374</v>
      </c>
      <c r="L114" s="297">
        <f t="shared" si="10"/>
        <v>45.255015058444748</v>
      </c>
      <c r="M114">
        <v>60.715176386456726</v>
      </c>
      <c r="N114" s="30">
        <f t="shared" si="11"/>
        <v>-15.460161328011978</v>
      </c>
    </row>
    <row r="115" spans="1:14" x14ac:dyDescent="0.2">
      <c r="A115" s="299" t="s">
        <v>1015</v>
      </c>
      <c r="B115" s="298" t="str">
        <f t="shared" si="7"/>
        <v>HPS0020-ST</v>
      </c>
      <c r="C115" s="294" t="str">
        <f>VLOOKUP(LEFT(A115,7),'Tariff Schedule Lookup Table'!$A$8:$G$198,2,FALSE)</f>
        <v>High Pressure Sodium 70</v>
      </c>
      <c r="D115" s="295">
        <f t="shared" si="8"/>
        <v>1</v>
      </c>
      <c r="E115" s="294">
        <f t="shared" si="9"/>
        <v>6</v>
      </c>
      <c r="F115" s="294" t="str">
        <f>VLOOKUP(D115,'Tariff Schedule Lookup Table'!I$7:L$298,2,FALSE)</f>
        <v>NO CAPITAL</v>
      </c>
      <c r="G115" s="294" t="str">
        <f>IF(F115 = "BULKHEADS ETC", "SHARED OR NO POLE", VLOOKUP(D115,'Tariff Schedule Lookup Table'!I$7:L$298,3,FALSE))</f>
        <v>NO CAPITAL</v>
      </c>
      <c r="H115" s="294">
        <f>IF(F115 = "NO CAPITAL", 1, VLOOKUP(D115,'Tariff Schedule Lookup Table'!I$7:L$298,4,FALSE))</f>
        <v>1</v>
      </c>
      <c r="I115" s="296">
        <f>VLOOKUP(G115,'Input data'!$A$68:$B$72,2,FALSE)</f>
        <v>0</v>
      </c>
      <c r="J115" s="296">
        <v>0</v>
      </c>
      <c r="K115" s="296">
        <v>0</v>
      </c>
      <c r="L115" s="297">
        <f t="shared" si="10"/>
        <v>0</v>
      </c>
      <c r="M115">
        <v>0</v>
      </c>
      <c r="N115" s="30">
        <f t="shared" si="11"/>
        <v>0</v>
      </c>
    </row>
    <row r="116" spans="1:14" x14ac:dyDescent="0.2">
      <c r="A116" s="299" t="s">
        <v>1016</v>
      </c>
      <c r="B116" s="298" t="str">
        <f t="shared" si="7"/>
        <v>HPS0020-ST</v>
      </c>
      <c r="C116" s="294" t="str">
        <f>VLOOKUP(LEFT(A116,7),'Tariff Schedule Lookup Table'!$A$8:$G$198,2,FALSE)</f>
        <v>High Pressure Sodium 70</v>
      </c>
      <c r="D116" s="295">
        <f t="shared" si="8"/>
        <v>40</v>
      </c>
      <c r="E116" s="294">
        <f t="shared" si="9"/>
        <v>1</v>
      </c>
      <c r="F116" s="294" t="str">
        <f>VLOOKUP(D116,'Tariff Schedule Lookup Table'!I$7:L$298,2,FALSE)</f>
        <v>HIGH PRESSURE SODIUM 70W (100)</v>
      </c>
      <c r="G116" s="294" t="str">
        <f>IF(F116 = "BULKHEADS ETC", "SHARED OR NO POLE", VLOOKUP(D116,'Tariff Schedule Lookup Table'!I$7:L$298,3,FALSE))</f>
        <v>SHARED OR NO POLE</v>
      </c>
      <c r="H116" s="294">
        <f>IF(F116 = "NO CAPITAL", 1, VLOOKUP(D116,'Tariff Schedule Lookup Table'!I$7:L$298,4,FALSE))</f>
        <v>1</v>
      </c>
      <c r="I116" s="296">
        <f>VLOOKUP(G116,'Input data'!$A$68:$B$72,2,FALSE)</f>
        <v>0</v>
      </c>
      <c r="J116" s="296">
        <f>VLOOKUP($B116,'Maintenance Costs'!$A:$AB,22,FALSE)</f>
        <v>14.608972032752845</v>
      </c>
      <c r="K116" s="296">
        <f>VLOOKUP($B116,'Maintenance Costs'!$A:$AB,28,FALSE)</f>
        <v>20.476076041395373</v>
      </c>
      <c r="L116" s="297">
        <f t="shared" si="10"/>
        <v>35.085048074148219</v>
      </c>
      <c r="M116">
        <v>54.87331009726519</v>
      </c>
      <c r="N116" s="30">
        <f t="shared" si="11"/>
        <v>-19.788262023116971</v>
      </c>
    </row>
    <row r="117" spans="1:14" x14ac:dyDescent="0.2">
      <c r="A117" s="299" t="s">
        <v>1017</v>
      </c>
      <c r="B117" s="298" t="str">
        <f t="shared" si="7"/>
        <v>HPS0020-ST</v>
      </c>
      <c r="C117" s="294" t="str">
        <f>VLOOKUP(LEFT(A117,7),'Tariff Schedule Lookup Table'!$A$8:$G$198,2,FALSE)</f>
        <v>High Pressure Sodium 70</v>
      </c>
      <c r="D117" s="295">
        <f t="shared" si="8"/>
        <v>40</v>
      </c>
      <c r="E117" s="294">
        <f t="shared" si="9"/>
        <v>2</v>
      </c>
      <c r="F117" s="294" t="str">
        <f>VLOOKUP(D117,'Tariff Schedule Lookup Table'!I$7:L$298,2,FALSE)</f>
        <v>HIGH PRESSURE SODIUM 70W (100)</v>
      </c>
      <c r="G117" s="294" t="str">
        <f>IF(F117 = "BULKHEADS ETC", "SHARED OR NO POLE", VLOOKUP(D117,'Tariff Schedule Lookup Table'!I$7:L$298,3,FALSE))</f>
        <v>SHARED OR NO POLE</v>
      </c>
      <c r="H117" s="294">
        <f>IF(F117 = "NO CAPITAL", 1, VLOOKUP(D117,'Tariff Schedule Lookup Table'!I$7:L$298,4,FALSE))</f>
        <v>1</v>
      </c>
      <c r="I117" s="296">
        <f>VLOOKUP(G117,'Input data'!$A$68:$B$72,2,FALSE)</f>
        <v>0</v>
      </c>
      <c r="J117" s="296">
        <f>VLOOKUP($B117,'Maintenance Costs'!$A:$AB,22,FALSE)</f>
        <v>14.608972032752845</v>
      </c>
      <c r="K117" s="296">
        <f>VLOOKUP($B117,'Maintenance Costs'!$A:$AB,28,FALSE)</f>
        <v>20.476076041395373</v>
      </c>
      <c r="L117" s="297">
        <f t="shared" si="10"/>
        <v>35.085048074148219</v>
      </c>
      <c r="M117">
        <v>54.87331009726519</v>
      </c>
      <c r="N117" s="30">
        <f t="shared" si="11"/>
        <v>-19.788262023116971</v>
      </c>
    </row>
    <row r="118" spans="1:14" x14ac:dyDescent="0.2">
      <c r="A118" s="299" t="s">
        <v>1018</v>
      </c>
      <c r="B118" s="298" t="str">
        <f t="shared" si="7"/>
        <v>HPS0020-ST</v>
      </c>
      <c r="C118" s="294" t="str">
        <f>VLOOKUP(LEFT(A118,7),'Tariff Schedule Lookup Table'!$A$8:$G$198,2,FALSE)</f>
        <v>High Pressure Sodium 70</v>
      </c>
      <c r="D118" s="295">
        <f t="shared" si="8"/>
        <v>40</v>
      </c>
      <c r="E118" s="294">
        <f t="shared" si="9"/>
        <v>3</v>
      </c>
      <c r="F118" s="294" t="str">
        <f>VLOOKUP(D118,'Tariff Schedule Lookup Table'!I$7:L$298,2,FALSE)</f>
        <v>HIGH PRESSURE SODIUM 70W (100)</v>
      </c>
      <c r="G118" s="294" t="str">
        <f>IF(F118 = "BULKHEADS ETC", "SHARED OR NO POLE", VLOOKUP(D118,'Tariff Schedule Lookup Table'!I$7:L$298,3,FALSE))</f>
        <v>SHARED OR NO POLE</v>
      </c>
      <c r="H118" s="294">
        <f>IF(F118 = "NO CAPITAL", 1, VLOOKUP(D118,'Tariff Schedule Lookup Table'!I$7:L$298,4,FALSE))</f>
        <v>1</v>
      </c>
      <c r="I118" s="296">
        <f>VLOOKUP(G118,'Input data'!$A$68:$B$72,2,FALSE)</f>
        <v>0</v>
      </c>
      <c r="J118" s="296">
        <f>VLOOKUP($B118,'Maintenance Costs'!$A:$AB,22,FALSE)</f>
        <v>14.608972032752845</v>
      </c>
      <c r="K118" s="296">
        <f>VLOOKUP($B118,'Maintenance Costs'!$A:$AB,28,FALSE)</f>
        <v>20.476076041395373</v>
      </c>
      <c r="L118" s="297">
        <f t="shared" si="10"/>
        <v>35.085048074148219</v>
      </c>
      <c r="M118">
        <v>54.87331009726519</v>
      </c>
      <c r="N118" s="30">
        <f t="shared" si="11"/>
        <v>-19.788262023116971</v>
      </c>
    </row>
    <row r="119" spans="1:14" x14ac:dyDescent="0.2">
      <c r="A119" s="299" t="s">
        <v>547</v>
      </c>
      <c r="B119" s="298" t="str">
        <f t="shared" si="7"/>
        <v>HPS0020-ST</v>
      </c>
      <c r="C119" s="294" t="str">
        <f>VLOOKUP(LEFT(A119,7),'Tariff Schedule Lookup Table'!$A$8:$G$198,2,FALSE)</f>
        <v>High Pressure Sodium 70</v>
      </c>
      <c r="D119" s="295">
        <f t="shared" si="8"/>
        <v>40</v>
      </c>
      <c r="E119" s="294">
        <f t="shared" si="9"/>
        <v>4</v>
      </c>
      <c r="F119" s="294" t="str">
        <f>VLOOKUP(D119,'Tariff Schedule Lookup Table'!I$7:L$298,2,FALSE)</f>
        <v>HIGH PRESSURE SODIUM 70W (100)</v>
      </c>
      <c r="G119" s="294" t="str">
        <f>IF(F119 = "BULKHEADS ETC", "SHARED OR NO POLE", VLOOKUP(D119,'Tariff Schedule Lookup Table'!I$7:L$298,3,FALSE))</f>
        <v>SHARED OR NO POLE</v>
      </c>
      <c r="H119" s="294">
        <f>IF(F119 = "NO CAPITAL", 1, VLOOKUP(D119,'Tariff Schedule Lookup Table'!I$7:L$298,4,FALSE))</f>
        <v>1</v>
      </c>
      <c r="I119" s="296">
        <f>VLOOKUP(G119,'Input data'!$A$68:$B$72,2,FALSE)</f>
        <v>0</v>
      </c>
      <c r="J119" s="296">
        <f>VLOOKUP($B119,'Maintenance Costs'!$A:$AB,22,FALSE)</f>
        <v>14.608972032752845</v>
      </c>
      <c r="K119" s="296">
        <f>VLOOKUP($B119,'Maintenance Costs'!$A:$AB,28,FALSE)</f>
        <v>20.476076041395373</v>
      </c>
      <c r="L119" s="297">
        <f t="shared" si="10"/>
        <v>35.085048074148219</v>
      </c>
      <c r="M119">
        <v>54.87331009726519</v>
      </c>
      <c r="N119" s="30">
        <f t="shared" si="11"/>
        <v>-19.788262023116971</v>
      </c>
    </row>
    <row r="120" spans="1:14" x14ac:dyDescent="0.2">
      <c r="A120" s="299" t="s">
        <v>1020</v>
      </c>
      <c r="B120" s="298" t="str">
        <f t="shared" si="7"/>
        <v>HPS0020-ST</v>
      </c>
      <c r="C120" s="294" t="str">
        <f>VLOOKUP(LEFT(A120,7),'Tariff Schedule Lookup Table'!$A$8:$G$198,2,FALSE)</f>
        <v>High Pressure Sodium 70</v>
      </c>
      <c r="D120" s="295">
        <f t="shared" si="8"/>
        <v>350</v>
      </c>
      <c r="E120" s="294">
        <f t="shared" si="9"/>
        <v>1</v>
      </c>
      <c r="F120" s="294" t="str">
        <f>VLOOKUP(D120,'Tariff Schedule Lookup Table'!I$7:L$298,2,FALSE)</f>
        <v>HIGH PRESSURE SODIUM 70W (100)</v>
      </c>
      <c r="G120" s="294" t="str">
        <f>IF(F120 = "BULKHEADS ETC", "SHARED OR NO POLE", VLOOKUP(D120,'Tariff Schedule Lookup Table'!I$7:L$298,3,FALSE))</f>
        <v>WOOD POLE</v>
      </c>
      <c r="H120" s="294">
        <f>IF(F120 = "NO CAPITAL", 1, VLOOKUP(D120,'Tariff Schedule Lookup Table'!I$7:L$298,4,FALSE))</f>
        <v>1</v>
      </c>
      <c r="I120" s="296">
        <f>VLOOKUP(G120,'Input data'!$A$68:$B$72,2,FALSE)</f>
        <v>10.809914000000001</v>
      </c>
      <c r="J120" s="296">
        <f>VLOOKUP($B120,'Maintenance Costs'!$A:$AB,22,FALSE)</f>
        <v>14.608972032752845</v>
      </c>
      <c r="K120" s="296">
        <f>VLOOKUP($B120,'Maintenance Costs'!$A:$AB,28,FALSE)</f>
        <v>20.476076041395373</v>
      </c>
      <c r="L120" s="297">
        <f t="shared" si="10"/>
        <v>45.894962074148218</v>
      </c>
      <c r="M120">
        <v>65.683224097265196</v>
      </c>
      <c r="N120" s="30">
        <f t="shared" si="11"/>
        <v>-19.788262023116978</v>
      </c>
    </row>
    <row r="121" spans="1:14" x14ac:dyDescent="0.2">
      <c r="A121" s="299" t="s">
        <v>1021</v>
      </c>
      <c r="B121" s="298" t="str">
        <f t="shared" si="7"/>
        <v>HPS0020-ST</v>
      </c>
      <c r="C121" s="294" t="str">
        <f>VLOOKUP(LEFT(A121,7),'Tariff Schedule Lookup Table'!$A$8:$G$198,2,FALSE)</f>
        <v>High Pressure Sodium 70</v>
      </c>
      <c r="D121" s="295">
        <f t="shared" si="8"/>
        <v>350</v>
      </c>
      <c r="E121" s="294">
        <f t="shared" si="9"/>
        <v>2</v>
      </c>
      <c r="F121" s="294" t="str">
        <f>VLOOKUP(D121,'Tariff Schedule Lookup Table'!I$7:L$298,2,FALSE)</f>
        <v>HIGH PRESSURE SODIUM 70W (100)</v>
      </c>
      <c r="G121" s="294" t="str">
        <f>IF(F121 = "BULKHEADS ETC", "SHARED OR NO POLE", VLOOKUP(D121,'Tariff Schedule Lookup Table'!I$7:L$298,3,FALSE))</f>
        <v>WOOD POLE</v>
      </c>
      <c r="H121" s="294">
        <f>IF(F121 = "NO CAPITAL", 1, VLOOKUP(D121,'Tariff Schedule Lookup Table'!I$7:L$298,4,FALSE))</f>
        <v>1</v>
      </c>
      <c r="I121" s="296">
        <f>VLOOKUP(G121,'Input data'!$A$68:$B$72,2,FALSE)</f>
        <v>10.809914000000001</v>
      </c>
      <c r="J121" s="296">
        <f>VLOOKUP($B121,'Maintenance Costs'!$A:$AB,22,FALSE)</f>
        <v>14.608972032752845</v>
      </c>
      <c r="K121" s="296">
        <f>VLOOKUP($B121,'Maintenance Costs'!$A:$AB,28,FALSE)</f>
        <v>20.476076041395373</v>
      </c>
      <c r="L121" s="297">
        <f t="shared" si="10"/>
        <v>45.894962074148218</v>
      </c>
      <c r="M121">
        <v>65.683224097265196</v>
      </c>
      <c r="N121" s="30">
        <f t="shared" si="11"/>
        <v>-19.788262023116978</v>
      </c>
    </row>
    <row r="122" spans="1:14" x14ac:dyDescent="0.2">
      <c r="A122" s="299" t="s">
        <v>1022</v>
      </c>
      <c r="B122" s="298" t="str">
        <f t="shared" si="7"/>
        <v>HPS0020-ST</v>
      </c>
      <c r="C122" s="294" t="str">
        <f>VLOOKUP(LEFT(A122,7),'Tariff Schedule Lookup Table'!$A$8:$G$198,2,FALSE)</f>
        <v>High Pressure Sodium 70</v>
      </c>
      <c r="D122" s="295">
        <f t="shared" si="8"/>
        <v>350</v>
      </c>
      <c r="E122" s="294">
        <f t="shared" si="9"/>
        <v>3</v>
      </c>
      <c r="F122" s="294" t="str">
        <f>VLOOKUP(D122,'Tariff Schedule Lookup Table'!I$7:L$298,2,FALSE)</f>
        <v>HIGH PRESSURE SODIUM 70W (100)</v>
      </c>
      <c r="G122" s="294" t="str">
        <f>IF(F122 = "BULKHEADS ETC", "SHARED OR NO POLE", VLOOKUP(D122,'Tariff Schedule Lookup Table'!I$7:L$298,3,FALSE))</f>
        <v>WOOD POLE</v>
      </c>
      <c r="H122" s="294">
        <f>IF(F122 = "NO CAPITAL", 1, VLOOKUP(D122,'Tariff Schedule Lookup Table'!I$7:L$298,4,FALSE))</f>
        <v>1</v>
      </c>
      <c r="I122" s="296">
        <f>VLOOKUP(G122,'Input data'!$A$68:$B$72,2,FALSE)</f>
        <v>10.809914000000001</v>
      </c>
      <c r="J122" s="296">
        <f>VLOOKUP($B122,'Maintenance Costs'!$A:$AB,22,FALSE)</f>
        <v>14.608972032752845</v>
      </c>
      <c r="K122" s="296">
        <f>VLOOKUP($B122,'Maintenance Costs'!$A:$AB,28,FALSE)</f>
        <v>20.476076041395373</v>
      </c>
      <c r="L122" s="297">
        <f t="shared" si="10"/>
        <v>45.894962074148218</v>
      </c>
      <c r="M122">
        <v>65.683224097265196</v>
      </c>
      <c r="N122" s="30">
        <f t="shared" si="11"/>
        <v>-19.788262023116978</v>
      </c>
    </row>
    <row r="123" spans="1:14" x14ac:dyDescent="0.2">
      <c r="A123" s="299" t="s">
        <v>548</v>
      </c>
      <c r="B123" s="298" t="str">
        <f t="shared" si="7"/>
        <v>HPS0020-ST</v>
      </c>
      <c r="C123" s="294" t="str">
        <f>VLOOKUP(LEFT(A123,7),'Tariff Schedule Lookup Table'!$A$8:$G$198,2,FALSE)</f>
        <v>High Pressure Sodium 70</v>
      </c>
      <c r="D123" s="295">
        <f t="shared" si="8"/>
        <v>350</v>
      </c>
      <c r="E123" s="294">
        <f t="shared" si="9"/>
        <v>4</v>
      </c>
      <c r="F123" s="294" t="str">
        <f>VLOOKUP(D123,'Tariff Schedule Lookup Table'!I$7:L$298,2,FALSE)</f>
        <v>HIGH PRESSURE SODIUM 70W (100)</v>
      </c>
      <c r="G123" s="294" t="str">
        <f>IF(F123 = "BULKHEADS ETC", "SHARED OR NO POLE", VLOOKUP(D123,'Tariff Schedule Lookup Table'!I$7:L$298,3,FALSE))</f>
        <v>WOOD POLE</v>
      </c>
      <c r="H123" s="294">
        <f>IF(F123 = "NO CAPITAL", 1, VLOOKUP(D123,'Tariff Schedule Lookup Table'!I$7:L$298,4,FALSE))</f>
        <v>1</v>
      </c>
      <c r="I123" s="296">
        <f>VLOOKUP(G123,'Input data'!$A$68:$B$72,2,FALSE)</f>
        <v>10.809914000000001</v>
      </c>
      <c r="J123" s="296">
        <f>VLOOKUP($B123,'Maintenance Costs'!$A:$AB,22,FALSE)</f>
        <v>14.608972032752845</v>
      </c>
      <c r="K123" s="296">
        <f>VLOOKUP($B123,'Maintenance Costs'!$A:$AB,28,FALSE)</f>
        <v>20.476076041395373</v>
      </c>
      <c r="L123" s="297">
        <f t="shared" si="10"/>
        <v>45.894962074148218</v>
      </c>
      <c r="M123">
        <v>65.683224097265196</v>
      </c>
      <c r="N123" s="30">
        <f t="shared" si="11"/>
        <v>-19.788262023116978</v>
      </c>
    </row>
    <row r="124" spans="1:14" x14ac:dyDescent="0.2">
      <c r="A124" s="299" t="s">
        <v>1024</v>
      </c>
      <c r="B124" s="298" t="str">
        <f t="shared" si="7"/>
        <v>HPS0020-ST</v>
      </c>
      <c r="C124" s="294" t="str">
        <f>VLOOKUP(LEFT(A124,7),'Tariff Schedule Lookup Table'!$A$8:$G$198,2,FALSE)</f>
        <v>High Pressure Sodium 70</v>
      </c>
      <c r="D124" s="295">
        <f t="shared" si="8"/>
        <v>360</v>
      </c>
      <c r="E124" s="294">
        <f t="shared" si="9"/>
        <v>1</v>
      </c>
      <c r="F124" s="294" t="str">
        <f>VLOOKUP(D124,'Tariff Schedule Lookup Table'!I$7:L$298,2,FALSE)</f>
        <v>HIGH PRESSURE SODIUM 70W (100)</v>
      </c>
      <c r="G124" s="294" t="str">
        <f>IF(F124 = "BULKHEADS ETC", "SHARED OR NO POLE", VLOOKUP(D124,'Tariff Schedule Lookup Table'!I$7:L$298,3,FALSE))</f>
        <v>STEEL POLE</v>
      </c>
      <c r="H124" s="294">
        <f>IF(F124 = "NO CAPITAL", 1, VLOOKUP(D124,'Tariff Schedule Lookup Table'!I$7:L$298,4,FALSE))</f>
        <v>1</v>
      </c>
      <c r="I124" s="296">
        <f>VLOOKUP(G124,'Input data'!$A$68:$B$72,2,FALSE)</f>
        <v>9.8748837500000004</v>
      </c>
      <c r="J124" s="296">
        <f>VLOOKUP($B124,'Maintenance Costs'!$A:$AB,22,FALSE)</f>
        <v>14.608972032752845</v>
      </c>
      <c r="K124" s="296">
        <f>VLOOKUP($B124,'Maintenance Costs'!$A:$AB,28,FALSE)</f>
        <v>20.476076041395373</v>
      </c>
      <c r="L124" s="297">
        <f t="shared" si="10"/>
        <v>44.959931824148221</v>
      </c>
      <c r="M124">
        <v>64.748193847265185</v>
      </c>
      <c r="N124" s="30">
        <f t="shared" si="11"/>
        <v>-19.788262023116964</v>
      </c>
    </row>
    <row r="125" spans="1:14" x14ac:dyDescent="0.2">
      <c r="A125" s="299" t="s">
        <v>1025</v>
      </c>
      <c r="B125" s="298" t="str">
        <f t="shared" si="7"/>
        <v>HPS0020-ST</v>
      </c>
      <c r="C125" s="294" t="str">
        <f>VLOOKUP(LEFT(A125,7),'Tariff Schedule Lookup Table'!$A$8:$G$198,2,FALSE)</f>
        <v>High Pressure Sodium 70</v>
      </c>
      <c r="D125" s="295">
        <f t="shared" si="8"/>
        <v>360</v>
      </c>
      <c r="E125" s="294">
        <f t="shared" si="9"/>
        <v>2</v>
      </c>
      <c r="F125" s="294" t="str">
        <f>VLOOKUP(D125,'Tariff Schedule Lookup Table'!I$7:L$298,2,FALSE)</f>
        <v>HIGH PRESSURE SODIUM 70W (100)</v>
      </c>
      <c r="G125" s="294" t="str">
        <f>IF(F125 = "BULKHEADS ETC", "SHARED OR NO POLE", VLOOKUP(D125,'Tariff Schedule Lookup Table'!I$7:L$298,3,FALSE))</f>
        <v>STEEL POLE</v>
      </c>
      <c r="H125" s="294">
        <f>IF(F125 = "NO CAPITAL", 1, VLOOKUP(D125,'Tariff Schedule Lookup Table'!I$7:L$298,4,FALSE))</f>
        <v>1</v>
      </c>
      <c r="I125" s="296">
        <f>VLOOKUP(G125,'Input data'!$A$68:$B$72,2,FALSE)</f>
        <v>9.8748837500000004</v>
      </c>
      <c r="J125" s="296">
        <f>VLOOKUP($B125,'Maintenance Costs'!$A:$AB,22,FALSE)</f>
        <v>14.608972032752845</v>
      </c>
      <c r="K125" s="296">
        <f>VLOOKUP($B125,'Maintenance Costs'!$A:$AB,28,FALSE)</f>
        <v>20.476076041395373</v>
      </c>
      <c r="L125" s="297">
        <f t="shared" si="10"/>
        <v>44.959931824148221</v>
      </c>
      <c r="M125">
        <v>64.748193847265185</v>
      </c>
      <c r="N125" s="30">
        <f t="shared" si="11"/>
        <v>-19.788262023116964</v>
      </c>
    </row>
    <row r="126" spans="1:14" x14ac:dyDescent="0.2">
      <c r="A126" s="299" t="s">
        <v>1026</v>
      </c>
      <c r="B126" s="298" t="str">
        <f t="shared" si="7"/>
        <v>HPS0020-ST</v>
      </c>
      <c r="C126" s="294" t="str">
        <f>VLOOKUP(LEFT(A126,7),'Tariff Schedule Lookup Table'!$A$8:$G$198,2,FALSE)</f>
        <v>High Pressure Sodium 70</v>
      </c>
      <c r="D126" s="295">
        <f t="shared" si="8"/>
        <v>360</v>
      </c>
      <c r="E126" s="294">
        <f t="shared" si="9"/>
        <v>3</v>
      </c>
      <c r="F126" s="294" t="str">
        <f>VLOOKUP(D126,'Tariff Schedule Lookup Table'!I$7:L$298,2,FALSE)</f>
        <v>HIGH PRESSURE SODIUM 70W (100)</v>
      </c>
      <c r="G126" s="294" t="str">
        <f>IF(F126 = "BULKHEADS ETC", "SHARED OR NO POLE", VLOOKUP(D126,'Tariff Schedule Lookup Table'!I$7:L$298,3,FALSE))</f>
        <v>STEEL POLE</v>
      </c>
      <c r="H126" s="294">
        <f>IF(F126 = "NO CAPITAL", 1, VLOOKUP(D126,'Tariff Schedule Lookup Table'!I$7:L$298,4,FALSE))</f>
        <v>1</v>
      </c>
      <c r="I126" s="296">
        <f>VLOOKUP(G126,'Input data'!$A$68:$B$72,2,FALSE)</f>
        <v>9.8748837500000004</v>
      </c>
      <c r="J126" s="296">
        <f>VLOOKUP($B126,'Maintenance Costs'!$A:$AB,22,FALSE)</f>
        <v>14.608972032752845</v>
      </c>
      <c r="K126" s="296">
        <f>VLOOKUP($B126,'Maintenance Costs'!$A:$AB,28,FALSE)</f>
        <v>20.476076041395373</v>
      </c>
      <c r="L126" s="297">
        <f t="shared" si="10"/>
        <v>44.959931824148221</v>
      </c>
      <c r="M126">
        <v>64.748193847265185</v>
      </c>
      <c r="N126" s="30">
        <f t="shared" si="11"/>
        <v>-19.788262023116964</v>
      </c>
    </row>
    <row r="127" spans="1:14" x14ac:dyDescent="0.2">
      <c r="A127" s="299" t="s">
        <v>549</v>
      </c>
      <c r="B127" s="298" t="str">
        <f t="shared" si="7"/>
        <v>HPS0020-ST</v>
      </c>
      <c r="C127" s="294" t="str">
        <f>VLOOKUP(LEFT(A127,7),'Tariff Schedule Lookup Table'!$A$8:$G$198,2,FALSE)</f>
        <v>High Pressure Sodium 70</v>
      </c>
      <c r="D127" s="295">
        <f t="shared" si="8"/>
        <v>360</v>
      </c>
      <c r="E127" s="294">
        <f t="shared" si="9"/>
        <v>4</v>
      </c>
      <c r="F127" s="294" t="str">
        <f>VLOOKUP(D127,'Tariff Schedule Lookup Table'!I$7:L$298,2,FALSE)</f>
        <v>HIGH PRESSURE SODIUM 70W (100)</v>
      </c>
      <c r="G127" s="294" t="str">
        <f>IF(F127 = "BULKHEADS ETC", "SHARED OR NO POLE", VLOOKUP(D127,'Tariff Schedule Lookup Table'!I$7:L$298,3,FALSE))</f>
        <v>STEEL POLE</v>
      </c>
      <c r="H127" s="294">
        <f>IF(F127 = "NO CAPITAL", 1, VLOOKUP(D127,'Tariff Schedule Lookup Table'!I$7:L$298,4,FALSE))</f>
        <v>1</v>
      </c>
      <c r="I127" s="296">
        <f>VLOOKUP(G127,'Input data'!$A$68:$B$72,2,FALSE)</f>
        <v>9.8748837500000004</v>
      </c>
      <c r="J127" s="296">
        <f>VLOOKUP($B127,'Maintenance Costs'!$A:$AB,22,FALSE)</f>
        <v>14.608972032752845</v>
      </c>
      <c r="K127" s="296">
        <f>VLOOKUP($B127,'Maintenance Costs'!$A:$AB,28,FALSE)</f>
        <v>20.476076041395373</v>
      </c>
      <c r="L127" s="297">
        <f t="shared" si="10"/>
        <v>44.959931824148221</v>
      </c>
      <c r="M127">
        <v>64.748193847265185</v>
      </c>
      <c r="N127" s="30">
        <f t="shared" si="11"/>
        <v>-19.788262023116964</v>
      </c>
    </row>
    <row r="128" spans="1:14" x14ac:dyDescent="0.2">
      <c r="A128" s="299" t="s">
        <v>1028</v>
      </c>
      <c r="B128" s="298" t="str">
        <f t="shared" si="7"/>
        <v>HPS0020-ST</v>
      </c>
      <c r="C128" s="294" t="str">
        <f>VLOOKUP(LEFT(A128,7),'Tariff Schedule Lookup Table'!$A$8:$G$198,2,FALSE)</f>
        <v>High Pressure Sodium 70</v>
      </c>
      <c r="D128" s="295">
        <f t="shared" si="8"/>
        <v>730</v>
      </c>
      <c r="E128" s="294">
        <f t="shared" si="9"/>
        <v>1</v>
      </c>
      <c r="F128" s="294" t="str">
        <f>VLOOKUP(D128,'Tariff Schedule Lookup Table'!I$7:L$298,2,FALSE)</f>
        <v>HIGH PRESSURE SODIUM 70W (100)</v>
      </c>
      <c r="G128" s="294" t="str">
        <f>IF(F128 = "BULKHEADS ETC", "SHARED OR NO POLE", VLOOKUP(D128,'Tariff Schedule Lookup Table'!I$7:L$298,3,FALSE))</f>
        <v>STEEL POLE</v>
      </c>
      <c r="H128" s="294">
        <f>IF(F128 = "NO CAPITAL", 1, VLOOKUP(D128,'Tariff Schedule Lookup Table'!I$7:L$298,4,FALSE))</f>
        <v>2</v>
      </c>
      <c r="I128" s="296">
        <f>VLOOKUP(G128,'Input data'!$A$68:$B$72,2,FALSE)</f>
        <v>9.8748837500000004</v>
      </c>
      <c r="J128" s="296">
        <f>VLOOKUP($B128,'Maintenance Costs'!$A:$AB,22,FALSE)</f>
        <v>14.608972032752845</v>
      </c>
      <c r="K128" s="296">
        <f>VLOOKUP($B128,'Maintenance Costs'!$A:$AB,28,FALSE)</f>
        <v>20.476076041395373</v>
      </c>
      <c r="L128" s="297">
        <f t="shared" si="10"/>
        <v>40.022489949148216</v>
      </c>
      <c r="M128">
        <v>59.810751972265187</v>
      </c>
      <c r="N128" s="30">
        <f t="shared" si="11"/>
        <v>-19.788262023116971</v>
      </c>
    </row>
    <row r="129" spans="1:14" x14ac:dyDescent="0.2">
      <c r="A129" s="299" t="s">
        <v>1029</v>
      </c>
      <c r="B129" s="298" t="str">
        <f t="shared" si="7"/>
        <v>HPS0020-ST</v>
      </c>
      <c r="C129" s="294" t="str">
        <f>VLOOKUP(LEFT(A129,7),'Tariff Schedule Lookup Table'!$A$8:$G$198,2,FALSE)</f>
        <v>High Pressure Sodium 70</v>
      </c>
      <c r="D129" s="295">
        <f t="shared" si="8"/>
        <v>730</v>
      </c>
      <c r="E129" s="294">
        <f t="shared" si="9"/>
        <v>2</v>
      </c>
      <c r="F129" s="294" t="str">
        <f>VLOOKUP(D129,'Tariff Schedule Lookup Table'!I$7:L$298,2,FALSE)</f>
        <v>HIGH PRESSURE SODIUM 70W (100)</v>
      </c>
      <c r="G129" s="294" t="str">
        <f>IF(F129 = "BULKHEADS ETC", "SHARED OR NO POLE", VLOOKUP(D129,'Tariff Schedule Lookup Table'!I$7:L$298,3,FALSE))</f>
        <v>STEEL POLE</v>
      </c>
      <c r="H129" s="294">
        <f>IF(F129 = "NO CAPITAL", 1, VLOOKUP(D129,'Tariff Schedule Lookup Table'!I$7:L$298,4,FALSE))</f>
        <v>2</v>
      </c>
      <c r="I129" s="296">
        <f>VLOOKUP(G129,'Input data'!$A$68:$B$72,2,FALSE)</f>
        <v>9.8748837500000004</v>
      </c>
      <c r="J129" s="296">
        <f>VLOOKUP($B129,'Maintenance Costs'!$A:$AB,22,FALSE)</f>
        <v>14.608972032752845</v>
      </c>
      <c r="K129" s="296">
        <f>VLOOKUP($B129,'Maintenance Costs'!$A:$AB,28,FALSE)</f>
        <v>20.476076041395373</v>
      </c>
      <c r="L129" s="297">
        <f t="shared" si="10"/>
        <v>40.022489949148216</v>
      </c>
      <c r="M129">
        <v>59.810751972265187</v>
      </c>
      <c r="N129" s="30">
        <f t="shared" si="11"/>
        <v>-19.788262023116971</v>
      </c>
    </row>
    <row r="130" spans="1:14" x14ac:dyDescent="0.2">
      <c r="A130" s="299" t="s">
        <v>1030</v>
      </c>
      <c r="B130" s="298" t="str">
        <f t="shared" si="7"/>
        <v>HPS0020-ST</v>
      </c>
      <c r="C130" s="294" t="str">
        <f>VLOOKUP(LEFT(A130,7),'Tariff Schedule Lookup Table'!$A$8:$G$198,2,FALSE)</f>
        <v>High Pressure Sodium 70</v>
      </c>
      <c r="D130" s="295">
        <f t="shared" si="8"/>
        <v>730</v>
      </c>
      <c r="E130" s="294">
        <f t="shared" si="9"/>
        <v>3</v>
      </c>
      <c r="F130" s="294" t="str">
        <f>VLOOKUP(D130,'Tariff Schedule Lookup Table'!I$7:L$298,2,FALSE)</f>
        <v>HIGH PRESSURE SODIUM 70W (100)</v>
      </c>
      <c r="G130" s="294" t="str">
        <f>IF(F130 = "BULKHEADS ETC", "SHARED OR NO POLE", VLOOKUP(D130,'Tariff Schedule Lookup Table'!I$7:L$298,3,FALSE))</f>
        <v>STEEL POLE</v>
      </c>
      <c r="H130" s="294">
        <f>IF(F130 = "NO CAPITAL", 1, VLOOKUP(D130,'Tariff Schedule Lookup Table'!I$7:L$298,4,FALSE))</f>
        <v>2</v>
      </c>
      <c r="I130" s="296">
        <f>VLOOKUP(G130,'Input data'!$A$68:$B$72,2,FALSE)</f>
        <v>9.8748837500000004</v>
      </c>
      <c r="J130" s="296">
        <f>VLOOKUP($B130,'Maintenance Costs'!$A:$AB,22,FALSE)</f>
        <v>14.608972032752845</v>
      </c>
      <c r="K130" s="296">
        <f>VLOOKUP($B130,'Maintenance Costs'!$A:$AB,28,FALSE)</f>
        <v>20.476076041395373</v>
      </c>
      <c r="L130" s="297">
        <f t="shared" si="10"/>
        <v>40.022489949148216</v>
      </c>
      <c r="M130">
        <v>59.810751972265187</v>
      </c>
      <c r="N130" s="30">
        <f t="shared" si="11"/>
        <v>-19.788262023116971</v>
      </c>
    </row>
    <row r="131" spans="1:14" x14ac:dyDescent="0.2">
      <c r="A131" s="299" t="s">
        <v>550</v>
      </c>
      <c r="B131" s="298" t="str">
        <f t="shared" si="7"/>
        <v>HPS0020-ST</v>
      </c>
      <c r="C131" s="294" t="str">
        <f>VLOOKUP(LEFT(A131,7),'Tariff Schedule Lookup Table'!$A$8:$G$198,2,FALSE)</f>
        <v>High Pressure Sodium 70</v>
      </c>
      <c r="D131" s="295">
        <f t="shared" si="8"/>
        <v>730</v>
      </c>
      <c r="E131" s="294">
        <f t="shared" si="9"/>
        <v>4</v>
      </c>
      <c r="F131" s="294" t="str">
        <f>VLOOKUP(D131,'Tariff Schedule Lookup Table'!I$7:L$298,2,FALSE)</f>
        <v>HIGH PRESSURE SODIUM 70W (100)</v>
      </c>
      <c r="G131" s="294" t="str">
        <f>IF(F131 = "BULKHEADS ETC", "SHARED OR NO POLE", VLOOKUP(D131,'Tariff Schedule Lookup Table'!I$7:L$298,3,FALSE))</f>
        <v>STEEL POLE</v>
      </c>
      <c r="H131" s="294">
        <f>IF(F131 = "NO CAPITAL", 1, VLOOKUP(D131,'Tariff Schedule Lookup Table'!I$7:L$298,4,FALSE))</f>
        <v>2</v>
      </c>
      <c r="I131" s="296">
        <f>VLOOKUP(G131,'Input data'!$A$68:$B$72,2,FALSE)</f>
        <v>9.8748837500000004</v>
      </c>
      <c r="J131" s="296">
        <f>VLOOKUP($B131,'Maintenance Costs'!$A:$AB,22,FALSE)</f>
        <v>14.608972032752845</v>
      </c>
      <c r="K131" s="296">
        <f>VLOOKUP($B131,'Maintenance Costs'!$A:$AB,28,FALSE)</f>
        <v>20.476076041395373</v>
      </c>
      <c r="L131" s="297">
        <f t="shared" si="10"/>
        <v>40.022489949148216</v>
      </c>
      <c r="M131">
        <v>59.810751972265187</v>
      </c>
      <c r="N131" s="30">
        <f t="shared" si="11"/>
        <v>-19.788262023116971</v>
      </c>
    </row>
    <row r="132" spans="1:14" x14ac:dyDescent="0.2">
      <c r="A132" s="299" t="s">
        <v>1032</v>
      </c>
      <c r="B132" s="298" t="str">
        <f t="shared" si="7"/>
        <v>HPS0020-ST</v>
      </c>
      <c r="C132" s="294" t="str">
        <f>VLOOKUP(LEFT(A132,7),'Tariff Schedule Lookup Table'!$A$8:$G$198,2,FALSE)</f>
        <v>High Pressure Sodium 70</v>
      </c>
      <c r="D132" s="295">
        <f t="shared" si="8"/>
        <v>750</v>
      </c>
      <c r="E132" s="294">
        <f t="shared" si="9"/>
        <v>1</v>
      </c>
      <c r="F132" s="294" t="str">
        <f>VLOOKUP(D132,'Tariff Schedule Lookup Table'!I$7:L$298,2,FALSE)</f>
        <v>HIGH PRESSURE SODIUM 70W (100)</v>
      </c>
      <c r="G132" s="294" t="str">
        <f>IF(F132 = "BULKHEADS ETC", "SHARED OR NO POLE", VLOOKUP(D132,'Tariff Schedule Lookup Table'!I$7:L$298,3,FALSE))</f>
        <v>SHARED OR NO POLE</v>
      </c>
      <c r="H132" s="294">
        <f>IF(F132 = "NO CAPITAL", 1, VLOOKUP(D132,'Tariff Schedule Lookup Table'!I$7:L$298,4,FALSE))</f>
        <v>3</v>
      </c>
      <c r="I132" s="296">
        <f>VLOOKUP(G132,'Input data'!$A$68:$B$72,2,FALSE)</f>
        <v>0</v>
      </c>
      <c r="J132" s="296">
        <f>VLOOKUP($B132,'Maintenance Costs'!$A:$AB,22,FALSE)</f>
        <v>14.608972032752845</v>
      </c>
      <c r="K132" s="296">
        <f>VLOOKUP($B132,'Maintenance Costs'!$A:$AB,28,FALSE)</f>
        <v>20.476076041395373</v>
      </c>
      <c r="L132" s="297">
        <f t="shared" si="10"/>
        <v>35.085048074148219</v>
      </c>
      <c r="M132">
        <v>54.87331009726519</v>
      </c>
      <c r="N132" s="30">
        <f t="shared" si="11"/>
        <v>-19.788262023116971</v>
      </c>
    </row>
    <row r="133" spans="1:14" x14ac:dyDescent="0.2">
      <c r="A133" s="299" t="s">
        <v>1033</v>
      </c>
      <c r="B133" s="298" t="str">
        <f t="shared" si="7"/>
        <v>HPS0020-ST</v>
      </c>
      <c r="C133" s="294" t="str">
        <f>VLOOKUP(LEFT(A133,7),'Tariff Schedule Lookup Table'!$A$8:$G$198,2,FALSE)</f>
        <v>High Pressure Sodium 70</v>
      </c>
      <c r="D133" s="295">
        <f t="shared" si="8"/>
        <v>750</v>
      </c>
      <c r="E133" s="294">
        <f t="shared" si="9"/>
        <v>2</v>
      </c>
      <c r="F133" s="294" t="str">
        <f>VLOOKUP(D133,'Tariff Schedule Lookup Table'!I$7:L$298,2,FALSE)</f>
        <v>HIGH PRESSURE SODIUM 70W (100)</v>
      </c>
      <c r="G133" s="294" t="str">
        <f>IF(F133 = "BULKHEADS ETC", "SHARED OR NO POLE", VLOOKUP(D133,'Tariff Schedule Lookup Table'!I$7:L$298,3,FALSE))</f>
        <v>SHARED OR NO POLE</v>
      </c>
      <c r="H133" s="294">
        <f>IF(F133 = "NO CAPITAL", 1, VLOOKUP(D133,'Tariff Schedule Lookup Table'!I$7:L$298,4,FALSE))</f>
        <v>3</v>
      </c>
      <c r="I133" s="296">
        <f>VLOOKUP(G133,'Input data'!$A$68:$B$72,2,FALSE)</f>
        <v>0</v>
      </c>
      <c r="J133" s="296">
        <f>VLOOKUP($B133,'Maintenance Costs'!$A:$AB,22,FALSE)</f>
        <v>14.608972032752845</v>
      </c>
      <c r="K133" s="296">
        <f>VLOOKUP($B133,'Maintenance Costs'!$A:$AB,28,FALSE)</f>
        <v>20.476076041395373</v>
      </c>
      <c r="L133" s="297">
        <f t="shared" si="10"/>
        <v>35.085048074148219</v>
      </c>
      <c r="M133">
        <v>54.87331009726519</v>
      </c>
      <c r="N133" s="30">
        <f t="shared" si="11"/>
        <v>-19.788262023116971</v>
      </c>
    </row>
    <row r="134" spans="1:14" x14ac:dyDescent="0.2">
      <c r="A134" s="299" t="s">
        <v>1034</v>
      </c>
      <c r="B134" s="298" t="str">
        <f t="shared" si="7"/>
        <v>HPS0020-ST</v>
      </c>
      <c r="C134" s="294" t="str">
        <f>VLOOKUP(LEFT(A134,7),'Tariff Schedule Lookup Table'!$A$8:$G$198,2,FALSE)</f>
        <v>High Pressure Sodium 70</v>
      </c>
      <c r="D134" s="295">
        <f t="shared" si="8"/>
        <v>880</v>
      </c>
      <c r="E134" s="294">
        <f t="shared" si="9"/>
        <v>2</v>
      </c>
      <c r="F134" s="294" t="str">
        <f>VLOOKUP(D134,'Tariff Schedule Lookup Table'!I$7:L$298,2,FALSE)</f>
        <v>HIGH PRESSURE SODIUM 70W (100)</v>
      </c>
      <c r="G134" s="294" t="str">
        <f>IF(F134 = "BULKHEADS ETC", "SHARED OR NO POLE", VLOOKUP(D134,'Tariff Schedule Lookup Table'!I$7:L$298,3,FALSE))</f>
        <v>STEEL POLE</v>
      </c>
      <c r="H134" s="294">
        <f>IF(F134 = "NO CAPITAL", 1, VLOOKUP(D134,'Tariff Schedule Lookup Table'!I$7:L$298,4,FALSE))</f>
        <v>4</v>
      </c>
      <c r="I134" s="296">
        <f>VLOOKUP(G134,'Input data'!$A$68:$B$72,2,FALSE)</f>
        <v>9.8748837500000004</v>
      </c>
      <c r="J134" s="296">
        <f>VLOOKUP($B134,'Maintenance Costs'!$A:$AB,22,FALSE)</f>
        <v>14.608972032752845</v>
      </c>
      <c r="K134" s="296">
        <f>VLOOKUP($B134,'Maintenance Costs'!$A:$AB,28,FALSE)</f>
        <v>20.476076041395373</v>
      </c>
      <c r="L134" s="297">
        <f t="shared" si="10"/>
        <v>37.553769011648221</v>
      </c>
      <c r="M134">
        <v>57.342031034765192</v>
      </c>
      <c r="N134" s="30">
        <f t="shared" si="11"/>
        <v>-19.788262023116971</v>
      </c>
    </row>
    <row r="135" spans="1:14" x14ac:dyDescent="0.2">
      <c r="A135" s="299" t="s">
        <v>551</v>
      </c>
      <c r="B135" s="298" t="str">
        <f t="shared" si="7"/>
        <v>HPS0020-ST</v>
      </c>
      <c r="C135" s="294" t="str">
        <f>VLOOKUP(LEFT(A135,7),'Tariff Schedule Lookup Table'!$A$8:$G$198,2,FALSE)</f>
        <v>High Pressure Sodium 70</v>
      </c>
      <c r="D135" s="295">
        <f t="shared" si="8"/>
        <v>880</v>
      </c>
      <c r="E135" s="294">
        <f t="shared" si="9"/>
        <v>4</v>
      </c>
      <c r="F135" s="294" t="str">
        <f>VLOOKUP(D135,'Tariff Schedule Lookup Table'!I$7:L$298,2,FALSE)</f>
        <v>HIGH PRESSURE SODIUM 70W (100)</v>
      </c>
      <c r="G135" s="294" t="str">
        <f>IF(F135 = "BULKHEADS ETC", "SHARED OR NO POLE", VLOOKUP(D135,'Tariff Schedule Lookup Table'!I$7:L$298,3,FALSE))</f>
        <v>STEEL POLE</v>
      </c>
      <c r="H135" s="294">
        <f>IF(F135 = "NO CAPITAL", 1, VLOOKUP(D135,'Tariff Schedule Lookup Table'!I$7:L$298,4,FALSE))</f>
        <v>4</v>
      </c>
      <c r="I135" s="296">
        <f>VLOOKUP(G135,'Input data'!$A$68:$B$72,2,FALSE)</f>
        <v>9.8748837500000004</v>
      </c>
      <c r="J135" s="296">
        <f>VLOOKUP($B135,'Maintenance Costs'!$A:$AB,22,FALSE)</f>
        <v>14.608972032752845</v>
      </c>
      <c r="K135" s="296">
        <f>VLOOKUP($B135,'Maintenance Costs'!$A:$AB,28,FALSE)</f>
        <v>20.476076041395373</v>
      </c>
      <c r="L135" s="297">
        <f t="shared" si="10"/>
        <v>37.553769011648221</v>
      </c>
      <c r="M135">
        <v>57.342031034765192</v>
      </c>
      <c r="N135" s="30">
        <f t="shared" si="11"/>
        <v>-19.788262023116971</v>
      </c>
    </row>
    <row r="136" spans="1:14" x14ac:dyDescent="0.2">
      <c r="A136" s="299" t="s">
        <v>1035</v>
      </c>
      <c r="B136" s="298" t="str">
        <f t="shared" si="7"/>
        <v>HPS0020-ST</v>
      </c>
      <c r="C136" s="294" t="str">
        <f>VLOOKUP(LEFT(A136,7),'Tariff Schedule Lookup Table'!$A$8:$G$198,2,FALSE)</f>
        <v>High Pressure Sodium 70</v>
      </c>
      <c r="D136" s="295">
        <f t="shared" si="8"/>
        <v>890</v>
      </c>
      <c r="E136" s="294">
        <f t="shared" si="9"/>
        <v>1</v>
      </c>
      <c r="F136" s="294" t="str">
        <f>VLOOKUP(D136,'Tariff Schedule Lookup Table'!I$7:L$298,2,FALSE)</f>
        <v>HIGH PRESSURE SODIUM 70W (100)</v>
      </c>
      <c r="G136" s="294" t="str">
        <f>IF(F136 = "BULKHEADS ETC", "SHARED OR NO POLE", VLOOKUP(D136,'Tariff Schedule Lookup Table'!I$7:L$298,3,FALSE))</f>
        <v>SHARED OR NO POLE</v>
      </c>
      <c r="H136" s="294">
        <f>IF(F136 = "NO CAPITAL", 1, VLOOKUP(D136,'Tariff Schedule Lookup Table'!I$7:L$298,4,FALSE))</f>
        <v>2</v>
      </c>
      <c r="I136" s="296">
        <f>VLOOKUP(G136,'Input data'!$A$68:$B$72,2,FALSE)</f>
        <v>0</v>
      </c>
      <c r="J136" s="296">
        <f>VLOOKUP($B136,'Maintenance Costs'!$A:$AB,22,FALSE)</f>
        <v>14.608972032752845</v>
      </c>
      <c r="K136" s="296">
        <f>VLOOKUP($B136,'Maintenance Costs'!$A:$AB,28,FALSE)</f>
        <v>20.476076041395373</v>
      </c>
      <c r="L136" s="297">
        <f t="shared" si="10"/>
        <v>35.085048074148219</v>
      </c>
      <c r="M136">
        <v>54.87331009726519</v>
      </c>
      <c r="N136" s="30">
        <f t="shared" si="11"/>
        <v>-19.788262023116971</v>
      </c>
    </row>
    <row r="137" spans="1:14" x14ac:dyDescent="0.2">
      <c r="A137" s="299" t="s">
        <v>1036</v>
      </c>
      <c r="B137" s="298" t="str">
        <f t="shared" si="7"/>
        <v>HPS0020-ST</v>
      </c>
      <c r="C137" s="294" t="str">
        <f>VLOOKUP(LEFT(A137,7),'Tariff Schedule Lookup Table'!$A$8:$G$198,2,FALSE)</f>
        <v>High Pressure Sodium 70</v>
      </c>
      <c r="D137" s="295">
        <f t="shared" si="8"/>
        <v>890</v>
      </c>
      <c r="E137" s="294">
        <f t="shared" si="9"/>
        <v>2</v>
      </c>
      <c r="F137" s="294" t="str">
        <f>VLOOKUP(D137,'Tariff Schedule Lookup Table'!I$7:L$298,2,FALSE)</f>
        <v>HIGH PRESSURE SODIUM 70W (100)</v>
      </c>
      <c r="G137" s="294" t="str">
        <f>IF(F137 = "BULKHEADS ETC", "SHARED OR NO POLE", VLOOKUP(D137,'Tariff Schedule Lookup Table'!I$7:L$298,3,FALSE))</f>
        <v>SHARED OR NO POLE</v>
      </c>
      <c r="H137" s="294">
        <f>IF(F137 = "NO CAPITAL", 1, VLOOKUP(D137,'Tariff Schedule Lookup Table'!I$7:L$298,4,FALSE))</f>
        <v>2</v>
      </c>
      <c r="I137" s="296">
        <f>VLOOKUP(G137,'Input data'!$A$68:$B$72,2,FALSE)</f>
        <v>0</v>
      </c>
      <c r="J137" s="296">
        <f>VLOOKUP($B137,'Maintenance Costs'!$A:$AB,22,FALSE)</f>
        <v>14.608972032752845</v>
      </c>
      <c r="K137" s="296">
        <f>VLOOKUP($B137,'Maintenance Costs'!$A:$AB,28,FALSE)</f>
        <v>20.476076041395373</v>
      </c>
      <c r="L137" s="297">
        <f t="shared" si="10"/>
        <v>35.085048074148219</v>
      </c>
      <c r="M137">
        <v>54.87331009726519</v>
      </c>
      <c r="N137" s="30">
        <f t="shared" si="11"/>
        <v>-19.788262023116971</v>
      </c>
    </row>
    <row r="138" spans="1:14" x14ac:dyDescent="0.2">
      <c r="A138" s="299" t="s">
        <v>1037</v>
      </c>
      <c r="B138" s="298" t="str">
        <f t="shared" ref="B138:B201" si="12">LEFT(A138,10)</f>
        <v>HPS0020-ST</v>
      </c>
      <c r="C138" s="294" t="str">
        <f>VLOOKUP(LEFT(A138,7),'Tariff Schedule Lookup Table'!$A$8:$G$198,2,FALSE)</f>
        <v>High Pressure Sodium 70</v>
      </c>
      <c r="D138" s="295">
        <f t="shared" ref="D138:D201" si="13">1*MID(A138,12,4)</f>
        <v>890</v>
      </c>
      <c r="E138" s="294">
        <f t="shared" ref="E138:E201" si="14">1*(MID(A138,17,3))</f>
        <v>3</v>
      </c>
      <c r="F138" s="294" t="str">
        <f>VLOOKUP(D138,'Tariff Schedule Lookup Table'!I$7:L$298,2,FALSE)</f>
        <v>HIGH PRESSURE SODIUM 70W (100)</v>
      </c>
      <c r="G138" s="294" t="str">
        <f>IF(F138 = "BULKHEADS ETC", "SHARED OR NO POLE", VLOOKUP(D138,'Tariff Schedule Lookup Table'!I$7:L$298,3,FALSE))</f>
        <v>SHARED OR NO POLE</v>
      </c>
      <c r="H138" s="294">
        <f>IF(F138 = "NO CAPITAL", 1, VLOOKUP(D138,'Tariff Schedule Lookup Table'!I$7:L$298,4,FALSE))</f>
        <v>2</v>
      </c>
      <c r="I138" s="296">
        <f>VLOOKUP(G138,'Input data'!$A$68:$B$72,2,FALSE)</f>
        <v>0</v>
      </c>
      <c r="J138" s="296">
        <f>VLOOKUP($B138,'Maintenance Costs'!$A:$AB,22,FALSE)</f>
        <v>14.608972032752845</v>
      </c>
      <c r="K138" s="296">
        <f>VLOOKUP($B138,'Maintenance Costs'!$A:$AB,28,FALSE)</f>
        <v>20.476076041395373</v>
      </c>
      <c r="L138" s="297">
        <f t="shared" ref="L138:L201" si="15">K138+J138+I138/H138</f>
        <v>35.085048074148219</v>
      </c>
      <c r="M138">
        <v>54.87331009726519</v>
      </c>
      <c r="N138" s="30">
        <f t="shared" si="11"/>
        <v>-19.788262023116971</v>
      </c>
    </row>
    <row r="139" spans="1:14" x14ac:dyDescent="0.2">
      <c r="A139" s="299" t="s">
        <v>552</v>
      </c>
      <c r="B139" s="298" t="str">
        <f t="shared" si="12"/>
        <v>HPS0020-ST</v>
      </c>
      <c r="C139" s="294" t="str">
        <f>VLOOKUP(LEFT(A139,7),'Tariff Schedule Lookup Table'!$A$8:$G$198,2,FALSE)</f>
        <v>High Pressure Sodium 70</v>
      </c>
      <c r="D139" s="295">
        <f t="shared" si="13"/>
        <v>890</v>
      </c>
      <c r="E139" s="294">
        <f t="shared" si="14"/>
        <v>4</v>
      </c>
      <c r="F139" s="294" t="str">
        <f>VLOOKUP(D139,'Tariff Schedule Lookup Table'!I$7:L$298,2,FALSE)</f>
        <v>HIGH PRESSURE SODIUM 70W (100)</v>
      </c>
      <c r="G139" s="294" t="str">
        <f>IF(F139 = "BULKHEADS ETC", "SHARED OR NO POLE", VLOOKUP(D139,'Tariff Schedule Lookup Table'!I$7:L$298,3,FALSE))</f>
        <v>SHARED OR NO POLE</v>
      </c>
      <c r="H139" s="294">
        <f>IF(F139 = "NO CAPITAL", 1, VLOOKUP(D139,'Tariff Schedule Lookup Table'!I$7:L$298,4,FALSE))</f>
        <v>2</v>
      </c>
      <c r="I139" s="296">
        <f>VLOOKUP(G139,'Input data'!$A$68:$B$72,2,FALSE)</f>
        <v>0</v>
      </c>
      <c r="J139" s="296">
        <f>VLOOKUP($B139,'Maintenance Costs'!$A:$AB,22,FALSE)</f>
        <v>14.608972032752845</v>
      </c>
      <c r="K139" s="296">
        <f>VLOOKUP($B139,'Maintenance Costs'!$A:$AB,28,FALSE)</f>
        <v>20.476076041395373</v>
      </c>
      <c r="L139" s="297">
        <f t="shared" si="15"/>
        <v>35.085048074148219</v>
      </c>
      <c r="M139">
        <v>54.87331009726519</v>
      </c>
      <c r="N139" s="30">
        <f t="shared" ref="N139:N202" si="16">L139-M139</f>
        <v>-19.788262023116971</v>
      </c>
    </row>
    <row r="140" spans="1:14" x14ac:dyDescent="0.2">
      <c r="A140" s="299" t="s">
        <v>1039</v>
      </c>
      <c r="B140" s="298" t="str">
        <f t="shared" si="12"/>
        <v>HPS0020-ST</v>
      </c>
      <c r="C140" s="294" t="str">
        <f>VLOOKUP(LEFT(A140,7),'Tariff Schedule Lookup Table'!$A$8:$G$198,2,FALSE)</f>
        <v>High Pressure Sodium 70</v>
      </c>
      <c r="D140" s="295">
        <f t="shared" si="13"/>
        <v>910</v>
      </c>
      <c r="E140" s="294">
        <f t="shared" si="14"/>
        <v>1</v>
      </c>
      <c r="F140" s="294" t="str">
        <f>VLOOKUP(D140,'Tariff Schedule Lookup Table'!I$7:L$298,2,FALSE)</f>
        <v>HIGH PRESSURE SODIUM 70W (100)</v>
      </c>
      <c r="G140" s="294" t="str">
        <f>IF(F140 = "BULKHEADS ETC", "SHARED OR NO POLE", VLOOKUP(D140,'Tariff Schedule Lookup Table'!I$7:L$298,3,FALSE))</f>
        <v>WOOD POLE</v>
      </c>
      <c r="H140" s="294">
        <f>IF(F140 = "NO CAPITAL", 1, VLOOKUP(D140,'Tariff Schedule Lookup Table'!I$7:L$298,4,FALSE))</f>
        <v>2</v>
      </c>
      <c r="I140" s="296">
        <f>VLOOKUP(G140,'Input data'!$A$68:$B$72,2,FALSE)</f>
        <v>10.809914000000001</v>
      </c>
      <c r="J140" s="296">
        <f>VLOOKUP($B140,'Maintenance Costs'!$A:$AB,22,FALSE)</f>
        <v>14.608972032752845</v>
      </c>
      <c r="K140" s="296">
        <f>VLOOKUP($B140,'Maintenance Costs'!$A:$AB,28,FALSE)</f>
        <v>20.476076041395373</v>
      </c>
      <c r="L140" s="297">
        <f t="shared" si="15"/>
        <v>40.490005074148222</v>
      </c>
      <c r="M140">
        <v>60.278267097265193</v>
      </c>
      <c r="N140" s="30">
        <f t="shared" si="16"/>
        <v>-19.788262023116971</v>
      </c>
    </row>
    <row r="141" spans="1:14" x14ac:dyDescent="0.2">
      <c r="A141" s="299" t="s">
        <v>1040</v>
      </c>
      <c r="B141" s="298" t="str">
        <f t="shared" si="12"/>
        <v>HPS0020-ST</v>
      </c>
      <c r="C141" s="294" t="str">
        <f>VLOOKUP(LEFT(A141,7),'Tariff Schedule Lookup Table'!$A$8:$G$198,2,FALSE)</f>
        <v>High Pressure Sodium 70</v>
      </c>
      <c r="D141" s="295">
        <f t="shared" si="13"/>
        <v>910</v>
      </c>
      <c r="E141" s="294">
        <f t="shared" si="14"/>
        <v>2</v>
      </c>
      <c r="F141" s="294" t="str">
        <f>VLOOKUP(D141,'Tariff Schedule Lookup Table'!I$7:L$298,2,FALSE)</f>
        <v>HIGH PRESSURE SODIUM 70W (100)</v>
      </c>
      <c r="G141" s="294" t="str">
        <f>IF(F141 = "BULKHEADS ETC", "SHARED OR NO POLE", VLOOKUP(D141,'Tariff Schedule Lookup Table'!I$7:L$298,3,FALSE))</f>
        <v>WOOD POLE</v>
      </c>
      <c r="H141" s="294">
        <f>IF(F141 = "NO CAPITAL", 1, VLOOKUP(D141,'Tariff Schedule Lookup Table'!I$7:L$298,4,FALSE))</f>
        <v>2</v>
      </c>
      <c r="I141" s="296">
        <f>VLOOKUP(G141,'Input data'!$A$68:$B$72,2,FALSE)</f>
        <v>10.809914000000001</v>
      </c>
      <c r="J141" s="296">
        <f>VLOOKUP($B141,'Maintenance Costs'!$A:$AB,22,FALSE)</f>
        <v>14.608972032752845</v>
      </c>
      <c r="K141" s="296">
        <f>VLOOKUP($B141,'Maintenance Costs'!$A:$AB,28,FALSE)</f>
        <v>20.476076041395373</v>
      </c>
      <c r="L141" s="297">
        <f t="shared" si="15"/>
        <v>40.490005074148222</v>
      </c>
      <c r="M141">
        <v>60.278267097265193</v>
      </c>
      <c r="N141" s="30">
        <f t="shared" si="16"/>
        <v>-19.788262023116971</v>
      </c>
    </row>
    <row r="142" spans="1:14" x14ac:dyDescent="0.2">
      <c r="A142" s="299" t="s">
        <v>553</v>
      </c>
      <c r="B142" s="298" t="str">
        <f t="shared" si="12"/>
        <v>HPS0020-ST</v>
      </c>
      <c r="C142" s="294" t="str">
        <f>VLOOKUP(LEFT(A142,7),'Tariff Schedule Lookup Table'!$A$8:$G$198,2,FALSE)</f>
        <v>High Pressure Sodium 70</v>
      </c>
      <c r="D142" s="295">
        <f t="shared" si="13"/>
        <v>910</v>
      </c>
      <c r="E142" s="294">
        <f t="shared" si="14"/>
        <v>4</v>
      </c>
      <c r="F142" s="294" t="str">
        <f>VLOOKUP(D142,'Tariff Schedule Lookup Table'!I$7:L$298,2,FALSE)</f>
        <v>HIGH PRESSURE SODIUM 70W (100)</v>
      </c>
      <c r="G142" s="294" t="str">
        <f>IF(F142 = "BULKHEADS ETC", "SHARED OR NO POLE", VLOOKUP(D142,'Tariff Schedule Lookup Table'!I$7:L$298,3,FALSE))</f>
        <v>WOOD POLE</v>
      </c>
      <c r="H142" s="294">
        <f>IF(F142 = "NO CAPITAL", 1, VLOOKUP(D142,'Tariff Schedule Lookup Table'!I$7:L$298,4,FALSE))</f>
        <v>2</v>
      </c>
      <c r="I142" s="296">
        <f>VLOOKUP(G142,'Input data'!$A$68:$B$72,2,FALSE)</f>
        <v>10.809914000000001</v>
      </c>
      <c r="J142" s="296">
        <f>VLOOKUP($B142,'Maintenance Costs'!$A:$AB,22,FALSE)</f>
        <v>14.608972032752845</v>
      </c>
      <c r="K142" s="296">
        <f>VLOOKUP($B142,'Maintenance Costs'!$A:$AB,28,FALSE)</f>
        <v>20.476076041395373</v>
      </c>
      <c r="L142" s="297">
        <f t="shared" si="15"/>
        <v>40.490005074148222</v>
      </c>
      <c r="M142">
        <v>60.278267097265193</v>
      </c>
      <c r="N142" s="30">
        <f t="shared" si="16"/>
        <v>-19.788262023116971</v>
      </c>
    </row>
    <row r="143" spans="1:14" x14ac:dyDescent="0.2">
      <c r="A143" s="299" t="s">
        <v>1042</v>
      </c>
      <c r="B143" s="298" t="str">
        <f t="shared" si="12"/>
        <v>HPS0020-TA</v>
      </c>
      <c r="C143" s="294" t="str">
        <f>VLOOKUP(LEFT(A143,7),'Tariff Schedule Lookup Table'!$A$8:$G$198,2,FALSE)</f>
        <v>High Pressure Sodium 70</v>
      </c>
      <c r="D143" s="295">
        <f t="shared" si="13"/>
        <v>90</v>
      </c>
      <c r="E143" s="294">
        <f t="shared" si="14"/>
        <v>1</v>
      </c>
      <c r="F143" s="294" t="str">
        <f>VLOOKUP(D143,'Tariff Schedule Lookup Table'!I$7:L$298,2,FALSE)</f>
        <v>HIGH PRESSURE SODIUM 70W TWIN ARC</v>
      </c>
      <c r="G143" s="294" t="str">
        <f>IF(F143 = "BULKHEADS ETC", "SHARED OR NO POLE", VLOOKUP(D143,'Tariff Schedule Lookup Table'!I$7:L$298,3,FALSE))</f>
        <v>SHARED OR NO POLE</v>
      </c>
      <c r="H143" s="294">
        <f>IF(F143 = "NO CAPITAL", 1, VLOOKUP(D143,'Tariff Schedule Lookup Table'!I$7:L$298,4,FALSE))</f>
        <v>1</v>
      </c>
      <c r="I143" s="296">
        <f>VLOOKUP(G143,'Input data'!$A$68:$B$72,2,FALSE)</f>
        <v>0</v>
      </c>
      <c r="J143" s="296">
        <f>VLOOKUP($B143,'Maintenance Costs'!$A:$AB,22,FALSE)</f>
        <v>15.961350977049367</v>
      </c>
      <c r="K143" s="296">
        <f>VLOOKUP($B143,'Maintenance Costs'!$A:$AB,28,FALSE)</f>
        <v>25.214642041395376</v>
      </c>
      <c r="L143" s="297">
        <f t="shared" si="15"/>
        <v>41.175993018444743</v>
      </c>
      <c r="M143">
        <v>57.135229328456717</v>
      </c>
      <c r="N143" s="30">
        <f t="shared" si="16"/>
        <v>-15.959236310011974</v>
      </c>
    </row>
    <row r="144" spans="1:14" x14ac:dyDescent="0.2">
      <c r="A144" s="299" t="s">
        <v>1043</v>
      </c>
      <c r="B144" s="298" t="str">
        <f t="shared" si="12"/>
        <v>HPS0020-TA</v>
      </c>
      <c r="C144" s="294" t="str">
        <f>VLOOKUP(LEFT(A144,7),'Tariff Schedule Lookup Table'!$A$8:$G$198,2,FALSE)</f>
        <v>High Pressure Sodium 70</v>
      </c>
      <c r="D144" s="295">
        <f t="shared" si="13"/>
        <v>90</v>
      </c>
      <c r="E144" s="294">
        <f t="shared" si="14"/>
        <v>2</v>
      </c>
      <c r="F144" s="294" t="str">
        <f>VLOOKUP(D144,'Tariff Schedule Lookup Table'!I$7:L$298,2,FALSE)</f>
        <v>HIGH PRESSURE SODIUM 70W TWIN ARC</v>
      </c>
      <c r="G144" s="294" t="str">
        <f>IF(F144 = "BULKHEADS ETC", "SHARED OR NO POLE", VLOOKUP(D144,'Tariff Schedule Lookup Table'!I$7:L$298,3,FALSE))</f>
        <v>SHARED OR NO POLE</v>
      </c>
      <c r="H144" s="294">
        <f>IF(F144 = "NO CAPITAL", 1, VLOOKUP(D144,'Tariff Schedule Lookup Table'!I$7:L$298,4,FALSE))</f>
        <v>1</v>
      </c>
      <c r="I144" s="296">
        <f>VLOOKUP(G144,'Input data'!$A$68:$B$72,2,FALSE)</f>
        <v>0</v>
      </c>
      <c r="J144" s="296">
        <f>VLOOKUP($B144,'Maintenance Costs'!$A:$AB,22,FALSE)</f>
        <v>15.961350977049367</v>
      </c>
      <c r="K144" s="296">
        <f>VLOOKUP($B144,'Maintenance Costs'!$A:$AB,28,FALSE)</f>
        <v>25.214642041395376</v>
      </c>
      <c r="L144" s="297">
        <f t="shared" si="15"/>
        <v>41.175993018444743</v>
      </c>
      <c r="M144">
        <v>57.135229328456717</v>
      </c>
      <c r="N144" s="30">
        <f t="shared" si="16"/>
        <v>-15.959236310011974</v>
      </c>
    </row>
    <row r="145" spans="1:14" x14ac:dyDescent="0.2">
      <c r="A145" s="299" t="s">
        <v>1044</v>
      </c>
      <c r="B145" s="298" t="str">
        <f t="shared" si="12"/>
        <v>HPS0020-TA</v>
      </c>
      <c r="C145" s="294" t="str">
        <f>VLOOKUP(LEFT(A145,7),'Tariff Schedule Lookup Table'!$A$8:$G$198,2,FALSE)</f>
        <v>High Pressure Sodium 70</v>
      </c>
      <c r="D145" s="295">
        <f t="shared" si="13"/>
        <v>90</v>
      </c>
      <c r="E145" s="294">
        <f t="shared" si="14"/>
        <v>3</v>
      </c>
      <c r="F145" s="294" t="str">
        <f>VLOOKUP(D145,'Tariff Schedule Lookup Table'!I$7:L$298,2,FALSE)</f>
        <v>HIGH PRESSURE SODIUM 70W TWIN ARC</v>
      </c>
      <c r="G145" s="294" t="str">
        <f>IF(F145 = "BULKHEADS ETC", "SHARED OR NO POLE", VLOOKUP(D145,'Tariff Schedule Lookup Table'!I$7:L$298,3,FALSE))</f>
        <v>SHARED OR NO POLE</v>
      </c>
      <c r="H145" s="294">
        <f>IF(F145 = "NO CAPITAL", 1, VLOOKUP(D145,'Tariff Schedule Lookup Table'!I$7:L$298,4,FALSE))</f>
        <v>1</v>
      </c>
      <c r="I145" s="296">
        <f>VLOOKUP(G145,'Input data'!$A$68:$B$72,2,FALSE)</f>
        <v>0</v>
      </c>
      <c r="J145" s="296">
        <f>VLOOKUP($B145,'Maintenance Costs'!$A:$AB,22,FALSE)</f>
        <v>15.961350977049367</v>
      </c>
      <c r="K145" s="296">
        <f>VLOOKUP($B145,'Maintenance Costs'!$A:$AB,28,FALSE)</f>
        <v>25.214642041395376</v>
      </c>
      <c r="L145" s="297">
        <f t="shared" si="15"/>
        <v>41.175993018444743</v>
      </c>
      <c r="M145">
        <v>57.135229328456717</v>
      </c>
      <c r="N145" s="30">
        <f t="shared" si="16"/>
        <v>-15.959236310011974</v>
      </c>
    </row>
    <row r="146" spans="1:14" x14ac:dyDescent="0.2">
      <c r="A146" s="299" t="s">
        <v>554</v>
      </c>
      <c r="B146" s="298" t="str">
        <f t="shared" si="12"/>
        <v>HPS0020-TA</v>
      </c>
      <c r="C146" s="294" t="str">
        <f>VLOOKUP(LEFT(A146,7),'Tariff Schedule Lookup Table'!$A$8:$G$198,2,FALSE)</f>
        <v>High Pressure Sodium 70</v>
      </c>
      <c r="D146" s="295">
        <f t="shared" si="13"/>
        <v>90</v>
      </c>
      <c r="E146" s="294">
        <f t="shared" si="14"/>
        <v>4</v>
      </c>
      <c r="F146" s="294" t="str">
        <f>VLOOKUP(D146,'Tariff Schedule Lookup Table'!I$7:L$298,2,FALSE)</f>
        <v>HIGH PRESSURE SODIUM 70W TWIN ARC</v>
      </c>
      <c r="G146" s="294" t="str">
        <f>IF(F146 = "BULKHEADS ETC", "SHARED OR NO POLE", VLOOKUP(D146,'Tariff Schedule Lookup Table'!I$7:L$298,3,FALSE))</f>
        <v>SHARED OR NO POLE</v>
      </c>
      <c r="H146" s="294">
        <f>IF(F146 = "NO CAPITAL", 1, VLOOKUP(D146,'Tariff Schedule Lookup Table'!I$7:L$298,4,FALSE))</f>
        <v>1</v>
      </c>
      <c r="I146" s="296">
        <f>VLOOKUP(G146,'Input data'!$A$68:$B$72,2,FALSE)</f>
        <v>0</v>
      </c>
      <c r="J146" s="296">
        <f>VLOOKUP($B146,'Maintenance Costs'!$A:$AB,22,FALSE)</f>
        <v>15.961350977049367</v>
      </c>
      <c r="K146" s="296">
        <f>VLOOKUP($B146,'Maintenance Costs'!$A:$AB,28,FALSE)</f>
        <v>25.214642041395376</v>
      </c>
      <c r="L146" s="297">
        <f t="shared" si="15"/>
        <v>41.175993018444743</v>
      </c>
      <c r="M146">
        <v>57.135229328456717</v>
      </c>
      <c r="N146" s="30">
        <f t="shared" si="16"/>
        <v>-15.959236310011974</v>
      </c>
    </row>
    <row r="147" spans="1:14" x14ac:dyDescent="0.2">
      <c r="A147" s="299" t="s">
        <v>1045</v>
      </c>
      <c r="B147" s="298" t="str">
        <f t="shared" si="12"/>
        <v>HPS0020-TA</v>
      </c>
      <c r="C147" s="294" t="str">
        <f>VLOOKUP(LEFT(A147,7),'Tariff Schedule Lookup Table'!$A$8:$G$198,2,FALSE)</f>
        <v>High Pressure Sodium 70</v>
      </c>
      <c r="D147" s="295">
        <f t="shared" si="13"/>
        <v>140</v>
      </c>
      <c r="E147" s="294">
        <f t="shared" si="14"/>
        <v>1</v>
      </c>
      <c r="F147" s="294" t="str">
        <f>VLOOKUP(D147,'Tariff Schedule Lookup Table'!I$7:L$298,2,FALSE)</f>
        <v>HIGH PRESSURE SODIUM 70W TWIN ARC</v>
      </c>
      <c r="G147" s="294" t="str">
        <f>IF(F147 = "BULKHEADS ETC", "SHARED OR NO POLE", VLOOKUP(D147,'Tariff Schedule Lookup Table'!I$7:L$298,3,FALSE))</f>
        <v>WOOD POLE</v>
      </c>
      <c r="H147" s="294">
        <f>IF(F147 = "NO CAPITAL", 1, VLOOKUP(D147,'Tariff Schedule Lookup Table'!I$7:L$298,4,FALSE))</f>
        <v>1</v>
      </c>
      <c r="I147" s="296">
        <f>VLOOKUP(G147,'Input data'!$A$68:$B$72,2,FALSE)</f>
        <v>10.809914000000001</v>
      </c>
      <c r="J147" s="296">
        <f>VLOOKUP($B147,'Maintenance Costs'!$A:$AB,22,FALSE)</f>
        <v>15.961350977049367</v>
      </c>
      <c r="K147" s="296">
        <f>VLOOKUP($B147,'Maintenance Costs'!$A:$AB,28,FALSE)</f>
        <v>25.214642041395376</v>
      </c>
      <c r="L147" s="297">
        <f t="shared" si="15"/>
        <v>51.985907018444742</v>
      </c>
      <c r="M147">
        <v>67.945143328456723</v>
      </c>
      <c r="N147" s="30">
        <f t="shared" si="16"/>
        <v>-15.959236310011981</v>
      </c>
    </row>
    <row r="148" spans="1:14" x14ac:dyDescent="0.2">
      <c r="A148" s="299" t="s">
        <v>1046</v>
      </c>
      <c r="B148" s="298" t="str">
        <f t="shared" si="12"/>
        <v>HPS0020-TA</v>
      </c>
      <c r="C148" s="294" t="str">
        <f>VLOOKUP(LEFT(A148,7),'Tariff Schedule Lookup Table'!$A$8:$G$198,2,FALSE)</f>
        <v>High Pressure Sodium 70</v>
      </c>
      <c r="D148" s="295">
        <f t="shared" si="13"/>
        <v>140</v>
      </c>
      <c r="E148" s="294">
        <f t="shared" si="14"/>
        <v>2</v>
      </c>
      <c r="F148" s="294" t="str">
        <f>VLOOKUP(D148,'Tariff Schedule Lookup Table'!I$7:L$298,2,FALSE)</f>
        <v>HIGH PRESSURE SODIUM 70W TWIN ARC</v>
      </c>
      <c r="G148" s="294" t="str">
        <f>IF(F148 = "BULKHEADS ETC", "SHARED OR NO POLE", VLOOKUP(D148,'Tariff Schedule Lookup Table'!I$7:L$298,3,FALSE))</f>
        <v>WOOD POLE</v>
      </c>
      <c r="H148" s="294">
        <f>IF(F148 = "NO CAPITAL", 1, VLOOKUP(D148,'Tariff Schedule Lookup Table'!I$7:L$298,4,FALSE))</f>
        <v>1</v>
      </c>
      <c r="I148" s="296">
        <f>VLOOKUP(G148,'Input data'!$A$68:$B$72,2,FALSE)</f>
        <v>10.809914000000001</v>
      </c>
      <c r="J148" s="296">
        <f>VLOOKUP($B148,'Maintenance Costs'!$A:$AB,22,FALSE)</f>
        <v>15.961350977049367</v>
      </c>
      <c r="K148" s="296">
        <f>VLOOKUP($B148,'Maintenance Costs'!$A:$AB,28,FALSE)</f>
        <v>25.214642041395376</v>
      </c>
      <c r="L148" s="297">
        <f t="shared" si="15"/>
        <v>51.985907018444742</v>
      </c>
      <c r="M148">
        <v>67.945143328456723</v>
      </c>
      <c r="N148" s="30">
        <f t="shared" si="16"/>
        <v>-15.959236310011981</v>
      </c>
    </row>
    <row r="149" spans="1:14" x14ac:dyDescent="0.2">
      <c r="A149" s="299" t="s">
        <v>1047</v>
      </c>
      <c r="B149" s="298" t="str">
        <f t="shared" si="12"/>
        <v>HPS0020-TA</v>
      </c>
      <c r="C149" s="294" t="str">
        <f>VLOOKUP(LEFT(A149,7),'Tariff Schedule Lookup Table'!$A$8:$G$198,2,FALSE)</f>
        <v>High Pressure Sodium 70</v>
      </c>
      <c r="D149" s="295">
        <f t="shared" si="13"/>
        <v>140</v>
      </c>
      <c r="E149" s="294">
        <f t="shared" si="14"/>
        <v>3</v>
      </c>
      <c r="F149" s="294" t="str">
        <f>VLOOKUP(D149,'Tariff Schedule Lookup Table'!I$7:L$298,2,FALSE)</f>
        <v>HIGH PRESSURE SODIUM 70W TWIN ARC</v>
      </c>
      <c r="G149" s="294" t="str">
        <f>IF(F149 = "BULKHEADS ETC", "SHARED OR NO POLE", VLOOKUP(D149,'Tariff Schedule Lookup Table'!I$7:L$298,3,FALSE))</f>
        <v>WOOD POLE</v>
      </c>
      <c r="H149" s="294">
        <f>IF(F149 = "NO CAPITAL", 1, VLOOKUP(D149,'Tariff Schedule Lookup Table'!I$7:L$298,4,FALSE))</f>
        <v>1</v>
      </c>
      <c r="I149" s="296">
        <f>VLOOKUP(G149,'Input data'!$A$68:$B$72,2,FALSE)</f>
        <v>10.809914000000001</v>
      </c>
      <c r="J149" s="296">
        <f>VLOOKUP($B149,'Maintenance Costs'!$A:$AB,22,FALSE)</f>
        <v>15.961350977049367</v>
      </c>
      <c r="K149" s="296">
        <f>VLOOKUP($B149,'Maintenance Costs'!$A:$AB,28,FALSE)</f>
        <v>25.214642041395376</v>
      </c>
      <c r="L149" s="297">
        <f t="shared" si="15"/>
        <v>51.985907018444742</v>
      </c>
      <c r="M149">
        <v>67.945143328456723</v>
      </c>
      <c r="N149" s="30">
        <f t="shared" si="16"/>
        <v>-15.959236310011981</v>
      </c>
    </row>
    <row r="150" spans="1:14" x14ac:dyDescent="0.2">
      <c r="A150" s="299" t="s">
        <v>555</v>
      </c>
      <c r="B150" s="298" t="str">
        <f t="shared" si="12"/>
        <v>HPS0020-TA</v>
      </c>
      <c r="C150" s="294" t="str">
        <f>VLOOKUP(LEFT(A150,7),'Tariff Schedule Lookup Table'!$A$8:$G$198,2,FALSE)</f>
        <v>High Pressure Sodium 70</v>
      </c>
      <c r="D150" s="295">
        <f t="shared" si="13"/>
        <v>140</v>
      </c>
      <c r="E150" s="294">
        <f t="shared" si="14"/>
        <v>4</v>
      </c>
      <c r="F150" s="294" t="str">
        <f>VLOOKUP(D150,'Tariff Schedule Lookup Table'!I$7:L$298,2,FALSE)</f>
        <v>HIGH PRESSURE SODIUM 70W TWIN ARC</v>
      </c>
      <c r="G150" s="294" t="str">
        <f>IF(F150 = "BULKHEADS ETC", "SHARED OR NO POLE", VLOOKUP(D150,'Tariff Schedule Lookup Table'!I$7:L$298,3,FALSE))</f>
        <v>WOOD POLE</v>
      </c>
      <c r="H150" s="294">
        <f>IF(F150 = "NO CAPITAL", 1, VLOOKUP(D150,'Tariff Schedule Lookup Table'!I$7:L$298,4,FALSE))</f>
        <v>1</v>
      </c>
      <c r="I150" s="296">
        <f>VLOOKUP(G150,'Input data'!$A$68:$B$72,2,FALSE)</f>
        <v>10.809914000000001</v>
      </c>
      <c r="J150" s="296">
        <f>VLOOKUP($B150,'Maintenance Costs'!$A:$AB,22,FALSE)</f>
        <v>15.961350977049367</v>
      </c>
      <c r="K150" s="296">
        <f>VLOOKUP($B150,'Maintenance Costs'!$A:$AB,28,FALSE)</f>
        <v>25.214642041395376</v>
      </c>
      <c r="L150" s="297">
        <f t="shared" si="15"/>
        <v>51.985907018444742</v>
      </c>
      <c r="M150">
        <v>67.945143328456723</v>
      </c>
      <c r="N150" s="30">
        <f t="shared" si="16"/>
        <v>-15.959236310011981</v>
      </c>
    </row>
    <row r="151" spans="1:14" x14ac:dyDescent="0.2">
      <c r="A151" s="299" t="s">
        <v>1048</v>
      </c>
      <c r="B151" s="298" t="str">
        <f t="shared" si="12"/>
        <v>HPS0020-TA</v>
      </c>
      <c r="C151" s="294" t="str">
        <f>VLOOKUP(LEFT(A151,7),'Tariff Schedule Lookup Table'!$A$8:$G$198,2,FALSE)</f>
        <v>High Pressure Sodium 70</v>
      </c>
      <c r="D151" s="295">
        <f t="shared" si="13"/>
        <v>170</v>
      </c>
      <c r="E151" s="294">
        <f t="shared" si="14"/>
        <v>1</v>
      </c>
      <c r="F151" s="294" t="str">
        <f>VLOOKUP(D151,'Tariff Schedule Lookup Table'!I$7:L$298,2,FALSE)</f>
        <v>HIGH PRESSURE SODIUM 70W TWIN ARC</v>
      </c>
      <c r="G151" s="294" t="str">
        <f>IF(F151 = "BULKHEADS ETC", "SHARED OR NO POLE", VLOOKUP(D151,'Tariff Schedule Lookup Table'!I$7:L$298,3,FALSE))</f>
        <v>STEEL POLE</v>
      </c>
      <c r="H151" s="294">
        <f>IF(F151 = "NO CAPITAL", 1, VLOOKUP(D151,'Tariff Schedule Lookup Table'!I$7:L$298,4,FALSE))</f>
        <v>1</v>
      </c>
      <c r="I151" s="296">
        <f>VLOOKUP(G151,'Input data'!$A$68:$B$72,2,FALSE)</f>
        <v>9.8748837500000004</v>
      </c>
      <c r="J151" s="296">
        <f>VLOOKUP($B151,'Maintenance Costs'!$A:$AB,22,FALSE)</f>
        <v>15.961350977049367</v>
      </c>
      <c r="K151" s="296">
        <f>VLOOKUP($B151,'Maintenance Costs'!$A:$AB,28,FALSE)</f>
        <v>25.214642041395376</v>
      </c>
      <c r="L151" s="297">
        <f t="shared" si="15"/>
        <v>51.050876768444745</v>
      </c>
      <c r="M151">
        <v>67.010113078456712</v>
      </c>
      <c r="N151" s="30">
        <f t="shared" si="16"/>
        <v>-15.959236310011967</v>
      </c>
    </row>
    <row r="152" spans="1:14" x14ac:dyDescent="0.2">
      <c r="A152" s="299" t="s">
        <v>1049</v>
      </c>
      <c r="B152" s="298" t="str">
        <f t="shared" si="12"/>
        <v>HPS0020-TA</v>
      </c>
      <c r="C152" s="294" t="str">
        <f>VLOOKUP(LEFT(A152,7),'Tariff Schedule Lookup Table'!$A$8:$G$198,2,FALSE)</f>
        <v>High Pressure Sodium 70</v>
      </c>
      <c r="D152" s="295">
        <f t="shared" si="13"/>
        <v>170</v>
      </c>
      <c r="E152" s="294">
        <f t="shared" si="14"/>
        <v>2</v>
      </c>
      <c r="F152" s="294" t="str">
        <f>VLOOKUP(D152,'Tariff Schedule Lookup Table'!I$7:L$298,2,FALSE)</f>
        <v>HIGH PRESSURE SODIUM 70W TWIN ARC</v>
      </c>
      <c r="G152" s="294" t="str">
        <f>IF(F152 = "BULKHEADS ETC", "SHARED OR NO POLE", VLOOKUP(D152,'Tariff Schedule Lookup Table'!I$7:L$298,3,FALSE))</f>
        <v>STEEL POLE</v>
      </c>
      <c r="H152" s="294">
        <f>IF(F152 = "NO CAPITAL", 1, VLOOKUP(D152,'Tariff Schedule Lookup Table'!I$7:L$298,4,FALSE))</f>
        <v>1</v>
      </c>
      <c r="I152" s="296">
        <f>VLOOKUP(G152,'Input data'!$A$68:$B$72,2,FALSE)</f>
        <v>9.8748837500000004</v>
      </c>
      <c r="J152" s="296">
        <f>VLOOKUP($B152,'Maintenance Costs'!$A:$AB,22,FALSE)</f>
        <v>15.961350977049367</v>
      </c>
      <c r="K152" s="296">
        <f>VLOOKUP($B152,'Maintenance Costs'!$A:$AB,28,FALSE)</f>
        <v>25.214642041395376</v>
      </c>
      <c r="L152" s="297">
        <f t="shared" si="15"/>
        <v>51.050876768444745</v>
      </c>
      <c r="M152">
        <v>67.010113078456712</v>
      </c>
      <c r="N152" s="30">
        <f t="shared" si="16"/>
        <v>-15.959236310011967</v>
      </c>
    </row>
    <row r="153" spans="1:14" x14ac:dyDescent="0.2">
      <c r="A153" s="299" t="s">
        <v>1050</v>
      </c>
      <c r="B153" s="298" t="str">
        <f t="shared" si="12"/>
        <v>HPS0020-TA</v>
      </c>
      <c r="C153" s="294" t="str">
        <f>VLOOKUP(LEFT(A153,7),'Tariff Schedule Lookup Table'!$A$8:$G$198,2,FALSE)</f>
        <v>High Pressure Sodium 70</v>
      </c>
      <c r="D153" s="295">
        <f t="shared" si="13"/>
        <v>170</v>
      </c>
      <c r="E153" s="294">
        <f t="shared" si="14"/>
        <v>3</v>
      </c>
      <c r="F153" s="294" t="str">
        <f>VLOOKUP(D153,'Tariff Schedule Lookup Table'!I$7:L$298,2,FALSE)</f>
        <v>HIGH PRESSURE SODIUM 70W TWIN ARC</v>
      </c>
      <c r="G153" s="294" t="str">
        <f>IF(F153 = "BULKHEADS ETC", "SHARED OR NO POLE", VLOOKUP(D153,'Tariff Schedule Lookup Table'!I$7:L$298,3,FALSE))</f>
        <v>STEEL POLE</v>
      </c>
      <c r="H153" s="294">
        <f>IF(F153 = "NO CAPITAL", 1, VLOOKUP(D153,'Tariff Schedule Lookup Table'!I$7:L$298,4,FALSE))</f>
        <v>1</v>
      </c>
      <c r="I153" s="296">
        <f>VLOOKUP(G153,'Input data'!$A$68:$B$72,2,FALSE)</f>
        <v>9.8748837500000004</v>
      </c>
      <c r="J153" s="296">
        <f>VLOOKUP($B153,'Maintenance Costs'!$A:$AB,22,FALSE)</f>
        <v>15.961350977049367</v>
      </c>
      <c r="K153" s="296">
        <f>VLOOKUP($B153,'Maintenance Costs'!$A:$AB,28,FALSE)</f>
        <v>25.214642041395376</v>
      </c>
      <c r="L153" s="297">
        <f t="shared" si="15"/>
        <v>51.050876768444745</v>
      </c>
      <c r="M153">
        <v>67.010113078456712</v>
      </c>
      <c r="N153" s="30">
        <f t="shared" si="16"/>
        <v>-15.959236310011967</v>
      </c>
    </row>
    <row r="154" spans="1:14" x14ac:dyDescent="0.2">
      <c r="A154" s="299" t="s">
        <v>556</v>
      </c>
      <c r="B154" s="298" t="str">
        <f t="shared" si="12"/>
        <v>HPS0020-TA</v>
      </c>
      <c r="C154" s="294" t="str">
        <f>VLOOKUP(LEFT(A154,7),'Tariff Schedule Lookup Table'!$A$8:$G$198,2,FALSE)</f>
        <v>High Pressure Sodium 70</v>
      </c>
      <c r="D154" s="295">
        <f t="shared" si="13"/>
        <v>170</v>
      </c>
      <c r="E154" s="294">
        <f t="shared" si="14"/>
        <v>4</v>
      </c>
      <c r="F154" s="294" t="str">
        <f>VLOOKUP(D154,'Tariff Schedule Lookup Table'!I$7:L$298,2,FALSE)</f>
        <v>HIGH PRESSURE SODIUM 70W TWIN ARC</v>
      </c>
      <c r="G154" s="294" t="str">
        <f>IF(F154 = "BULKHEADS ETC", "SHARED OR NO POLE", VLOOKUP(D154,'Tariff Schedule Lookup Table'!I$7:L$298,3,FALSE))</f>
        <v>STEEL POLE</v>
      </c>
      <c r="H154" s="294">
        <f>IF(F154 = "NO CAPITAL", 1, VLOOKUP(D154,'Tariff Schedule Lookup Table'!I$7:L$298,4,FALSE))</f>
        <v>1</v>
      </c>
      <c r="I154" s="296">
        <f>VLOOKUP(G154,'Input data'!$A$68:$B$72,2,FALSE)</f>
        <v>9.8748837500000004</v>
      </c>
      <c r="J154" s="296">
        <f>VLOOKUP($B154,'Maintenance Costs'!$A:$AB,22,FALSE)</f>
        <v>15.961350977049367</v>
      </c>
      <c r="K154" s="296">
        <f>VLOOKUP($B154,'Maintenance Costs'!$A:$AB,28,FALSE)</f>
        <v>25.214642041395376</v>
      </c>
      <c r="L154" s="297">
        <f t="shared" si="15"/>
        <v>51.050876768444745</v>
      </c>
      <c r="M154">
        <v>67.010113078456712</v>
      </c>
      <c r="N154" s="30">
        <f t="shared" si="16"/>
        <v>-15.959236310011967</v>
      </c>
    </row>
    <row r="155" spans="1:14" x14ac:dyDescent="0.2">
      <c r="A155" s="299" t="s">
        <v>1051</v>
      </c>
      <c r="B155" s="298" t="str">
        <f t="shared" si="12"/>
        <v>HPS0070-ST</v>
      </c>
      <c r="C155" s="294" t="str">
        <f>VLOOKUP(LEFT(A155,7),'Tariff Schedule Lookup Table'!$A$8:$G$198,2,FALSE)</f>
        <v>High Pressure Sodium 100</v>
      </c>
      <c r="D155" s="295">
        <f t="shared" si="13"/>
        <v>40</v>
      </c>
      <c r="E155" s="294">
        <f t="shared" si="14"/>
        <v>1</v>
      </c>
      <c r="F155" s="294" t="str">
        <f>VLOOKUP(D155,'Tariff Schedule Lookup Table'!I$7:L$298,2,FALSE)</f>
        <v>HIGH PRESSURE SODIUM 70W (100)</v>
      </c>
      <c r="G155" s="294" t="str">
        <f>IF(F155 = "BULKHEADS ETC", "SHARED OR NO POLE", VLOOKUP(D155,'Tariff Schedule Lookup Table'!I$7:L$298,3,FALSE))</f>
        <v>SHARED OR NO POLE</v>
      </c>
      <c r="H155" s="294">
        <f>IF(F155 = "NO CAPITAL", 1, VLOOKUP(D155,'Tariff Schedule Lookup Table'!I$7:L$298,4,FALSE))</f>
        <v>1</v>
      </c>
      <c r="I155" s="296">
        <f>VLOOKUP(G155,'Input data'!$A$68:$B$72,2,FALSE)</f>
        <v>0</v>
      </c>
      <c r="J155" s="296">
        <f>VLOOKUP($B155,'Maintenance Costs'!$A:$AB,22,FALSE)</f>
        <v>14.608972032752845</v>
      </c>
      <c r="K155" s="296">
        <f>VLOOKUP($B155,'Maintenance Costs'!$A:$AB,28,FALSE)</f>
        <v>20.476076041395373</v>
      </c>
      <c r="L155" s="297">
        <f t="shared" si="15"/>
        <v>35.085048074148219</v>
      </c>
      <c r="M155">
        <v>54.87331009726519</v>
      </c>
      <c r="N155" s="30">
        <f t="shared" si="16"/>
        <v>-19.788262023116971</v>
      </c>
    </row>
    <row r="156" spans="1:14" x14ac:dyDescent="0.2">
      <c r="A156" s="299" t="s">
        <v>1052</v>
      </c>
      <c r="B156" s="298" t="str">
        <f t="shared" si="12"/>
        <v>HPS0070-ST</v>
      </c>
      <c r="C156" s="294" t="str">
        <f>VLOOKUP(LEFT(A156,7),'Tariff Schedule Lookup Table'!$A$8:$G$198,2,FALSE)</f>
        <v>High Pressure Sodium 100</v>
      </c>
      <c r="D156" s="295">
        <f t="shared" si="13"/>
        <v>40</v>
      </c>
      <c r="E156" s="294">
        <f t="shared" si="14"/>
        <v>2</v>
      </c>
      <c r="F156" s="294" t="str">
        <f>VLOOKUP(D156,'Tariff Schedule Lookup Table'!I$7:L$298,2,FALSE)</f>
        <v>HIGH PRESSURE SODIUM 70W (100)</v>
      </c>
      <c r="G156" s="294" t="str">
        <f>IF(F156 = "BULKHEADS ETC", "SHARED OR NO POLE", VLOOKUP(D156,'Tariff Schedule Lookup Table'!I$7:L$298,3,FALSE))</f>
        <v>SHARED OR NO POLE</v>
      </c>
      <c r="H156" s="294">
        <f>IF(F156 = "NO CAPITAL", 1, VLOOKUP(D156,'Tariff Schedule Lookup Table'!I$7:L$298,4,FALSE))</f>
        <v>1</v>
      </c>
      <c r="I156" s="296">
        <f>VLOOKUP(G156,'Input data'!$A$68:$B$72,2,FALSE)</f>
        <v>0</v>
      </c>
      <c r="J156" s="296">
        <f>VLOOKUP($B156,'Maintenance Costs'!$A:$AB,22,FALSE)</f>
        <v>14.608972032752845</v>
      </c>
      <c r="K156" s="296">
        <f>VLOOKUP($B156,'Maintenance Costs'!$A:$AB,28,FALSE)</f>
        <v>20.476076041395373</v>
      </c>
      <c r="L156" s="297">
        <f t="shared" si="15"/>
        <v>35.085048074148219</v>
      </c>
      <c r="M156">
        <v>54.87331009726519</v>
      </c>
      <c r="N156" s="30">
        <f t="shared" si="16"/>
        <v>-19.788262023116971</v>
      </c>
    </row>
    <row r="157" spans="1:14" x14ac:dyDescent="0.2">
      <c r="A157" s="299" t="s">
        <v>1053</v>
      </c>
      <c r="B157" s="298" t="str">
        <f t="shared" si="12"/>
        <v>HPS0070-ST</v>
      </c>
      <c r="C157" s="294" t="str">
        <f>VLOOKUP(LEFT(A157,7),'Tariff Schedule Lookup Table'!$A$8:$G$198,2,FALSE)</f>
        <v>High Pressure Sodium 100</v>
      </c>
      <c r="D157" s="295">
        <f t="shared" si="13"/>
        <v>350</v>
      </c>
      <c r="E157" s="294">
        <f t="shared" si="14"/>
        <v>2</v>
      </c>
      <c r="F157" s="294" t="str">
        <f>VLOOKUP(D157,'Tariff Schedule Lookup Table'!I$7:L$298,2,FALSE)</f>
        <v>HIGH PRESSURE SODIUM 70W (100)</v>
      </c>
      <c r="G157" s="294" t="str">
        <f>IF(F157 = "BULKHEADS ETC", "SHARED OR NO POLE", VLOOKUP(D157,'Tariff Schedule Lookup Table'!I$7:L$298,3,FALSE))</f>
        <v>WOOD POLE</v>
      </c>
      <c r="H157" s="294">
        <f>IF(F157 = "NO CAPITAL", 1, VLOOKUP(D157,'Tariff Schedule Lookup Table'!I$7:L$298,4,FALSE))</f>
        <v>1</v>
      </c>
      <c r="I157" s="296">
        <f>VLOOKUP(G157,'Input data'!$A$68:$B$72,2,FALSE)</f>
        <v>10.809914000000001</v>
      </c>
      <c r="J157" s="296">
        <f>VLOOKUP($B157,'Maintenance Costs'!$A:$AB,22,FALSE)</f>
        <v>14.608972032752845</v>
      </c>
      <c r="K157" s="296">
        <f>VLOOKUP($B157,'Maintenance Costs'!$A:$AB,28,FALSE)</f>
        <v>20.476076041395373</v>
      </c>
      <c r="L157" s="297">
        <f t="shared" si="15"/>
        <v>45.894962074148218</v>
      </c>
      <c r="M157">
        <v>65.683224097265196</v>
      </c>
      <c r="N157" s="30">
        <f t="shared" si="16"/>
        <v>-19.788262023116978</v>
      </c>
    </row>
    <row r="158" spans="1:14" x14ac:dyDescent="0.2">
      <c r="A158" s="299" t="s">
        <v>1054</v>
      </c>
      <c r="B158" s="298" t="str">
        <f t="shared" si="12"/>
        <v>HPS0070-ST</v>
      </c>
      <c r="C158" s="294" t="str">
        <f>VLOOKUP(LEFT(A158,7),'Tariff Schedule Lookup Table'!$A$8:$G$198,2,FALSE)</f>
        <v>High Pressure Sodium 100</v>
      </c>
      <c r="D158" s="295">
        <f t="shared" si="13"/>
        <v>360</v>
      </c>
      <c r="E158" s="294">
        <f t="shared" si="14"/>
        <v>2</v>
      </c>
      <c r="F158" s="294" t="str">
        <f>VLOOKUP(D158,'Tariff Schedule Lookup Table'!I$7:L$298,2,FALSE)</f>
        <v>HIGH PRESSURE SODIUM 70W (100)</v>
      </c>
      <c r="G158" s="294" t="str">
        <f>IF(F158 = "BULKHEADS ETC", "SHARED OR NO POLE", VLOOKUP(D158,'Tariff Schedule Lookup Table'!I$7:L$298,3,FALSE))</f>
        <v>STEEL POLE</v>
      </c>
      <c r="H158" s="294">
        <f>IF(F158 = "NO CAPITAL", 1, VLOOKUP(D158,'Tariff Schedule Lookup Table'!I$7:L$298,4,FALSE))</f>
        <v>1</v>
      </c>
      <c r="I158" s="296">
        <f>VLOOKUP(G158,'Input data'!$A$68:$B$72,2,FALSE)</f>
        <v>9.8748837500000004</v>
      </c>
      <c r="J158" s="296">
        <f>VLOOKUP($B158,'Maintenance Costs'!$A:$AB,22,FALSE)</f>
        <v>14.608972032752845</v>
      </c>
      <c r="K158" s="296">
        <f>VLOOKUP($B158,'Maintenance Costs'!$A:$AB,28,FALSE)</f>
        <v>20.476076041395373</v>
      </c>
      <c r="L158" s="297">
        <f t="shared" si="15"/>
        <v>44.959931824148221</v>
      </c>
      <c r="M158">
        <v>64.748193847265185</v>
      </c>
      <c r="N158" s="30">
        <f t="shared" si="16"/>
        <v>-19.788262023116964</v>
      </c>
    </row>
    <row r="159" spans="1:14" x14ac:dyDescent="0.2">
      <c r="A159" s="299" t="s">
        <v>1055</v>
      </c>
      <c r="B159" s="298" t="str">
        <f t="shared" si="12"/>
        <v>HPS0080-ST</v>
      </c>
      <c r="C159" s="294" t="str">
        <f>VLOOKUP(LEFT(A159,7),'Tariff Schedule Lookup Table'!$A$8:$G$198,2,FALSE)</f>
        <v>High Pressure Sodium 120</v>
      </c>
      <c r="D159" s="295">
        <f t="shared" si="13"/>
        <v>1</v>
      </c>
      <c r="E159" s="294">
        <f t="shared" si="14"/>
        <v>6</v>
      </c>
      <c r="F159" s="294" t="str">
        <f>VLOOKUP(D159,'Tariff Schedule Lookup Table'!I$7:L$298,2,FALSE)</f>
        <v>NO CAPITAL</v>
      </c>
      <c r="G159" s="294" t="str">
        <f>IF(F159 = "BULKHEADS ETC", "SHARED OR NO POLE", VLOOKUP(D159,'Tariff Schedule Lookup Table'!I$7:L$298,3,FALSE))</f>
        <v>NO CAPITAL</v>
      </c>
      <c r="H159" s="294">
        <f>IF(F159 = "NO CAPITAL", 1, VLOOKUP(D159,'Tariff Schedule Lookup Table'!I$7:L$298,4,FALSE))</f>
        <v>1</v>
      </c>
      <c r="I159" s="296">
        <f>VLOOKUP(G159,'Input data'!$A$68:$B$72,2,FALSE)</f>
        <v>0</v>
      </c>
      <c r="J159" s="296">
        <v>0</v>
      </c>
      <c r="K159" s="296">
        <v>0</v>
      </c>
      <c r="L159" s="297">
        <f t="shared" si="15"/>
        <v>0</v>
      </c>
      <c r="M159">
        <v>0</v>
      </c>
      <c r="N159" s="30">
        <f t="shared" si="16"/>
        <v>0</v>
      </c>
    </row>
    <row r="160" spans="1:14" x14ac:dyDescent="0.2">
      <c r="A160" s="299" t="s">
        <v>1056</v>
      </c>
      <c r="B160" s="298" t="str">
        <f t="shared" si="12"/>
        <v>HPS0080-ST</v>
      </c>
      <c r="C160" s="294" t="str">
        <f>VLOOKUP(LEFT(A160,7),'Tariff Schedule Lookup Table'!$A$8:$G$198,2,FALSE)</f>
        <v>High Pressure Sodium 120</v>
      </c>
      <c r="D160" s="295">
        <f t="shared" si="13"/>
        <v>50</v>
      </c>
      <c r="E160" s="294">
        <f t="shared" si="14"/>
        <v>2</v>
      </c>
      <c r="F160" s="294" t="str">
        <f>VLOOKUP(D160,'Tariff Schedule Lookup Table'!I$7:L$298,2,FALSE)</f>
        <v>HIGH PRESSURE SODIUM 150W</v>
      </c>
      <c r="G160" s="294" t="str">
        <f>IF(F160 = "BULKHEADS ETC", "SHARED OR NO POLE", VLOOKUP(D160,'Tariff Schedule Lookup Table'!I$7:L$298,3,FALSE))</f>
        <v>SHARED OR NO POLE</v>
      </c>
      <c r="H160" s="294">
        <f>IF(F160 = "NO CAPITAL", 1, VLOOKUP(D160,'Tariff Schedule Lookup Table'!I$7:L$298,4,FALSE))</f>
        <v>1</v>
      </c>
      <c r="I160" s="296">
        <f>VLOOKUP(G160,'Input data'!$A$68:$B$72,2,FALSE)</f>
        <v>0</v>
      </c>
      <c r="J160" s="296">
        <f>VLOOKUP($B160,'Maintenance Costs'!$A:$AB,22,FALSE)</f>
        <v>14.900840477049368</v>
      </c>
      <c r="K160" s="296">
        <f>VLOOKUP($B160,'Maintenance Costs'!$A:$AB,28,FALSE)</f>
        <v>20.103683041395374</v>
      </c>
      <c r="L160" s="297">
        <f t="shared" si="15"/>
        <v>35.004523518444742</v>
      </c>
      <c r="M160">
        <v>54.837461105812281</v>
      </c>
      <c r="N160" s="30">
        <f t="shared" si="16"/>
        <v>-19.832937587367539</v>
      </c>
    </row>
    <row r="161" spans="1:14" x14ac:dyDescent="0.2">
      <c r="A161" s="299" t="s">
        <v>1057</v>
      </c>
      <c r="B161" s="298" t="str">
        <f t="shared" si="12"/>
        <v>HPS0080-ST</v>
      </c>
      <c r="C161" s="294" t="str">
        <f>VLOOKUP(LEFT(A161,7),'Tariff Schedule Lookup Table'!$A$8:$G$198,2,FALSE)</f>
        <v>High Pressure Sodium 120</v>
      </c>
      <c r="D161" s="295">
        <f t="shared" si="13"/>
        <v>310</v>
      </c>
      <c r="E161" s="294">
        <f t="shared" si="14"/>
        <v>2</v>
      </c>
      <c r="F161" s="294" t="str">
        <f>VLOOKUP(D161,'Tariff Schedule Lookup Table'!I$7:L$298,2,FALSE)</f>
        <v>HIGH PRESSURE SODIUM 150W</v>
      </c>
      <c r="G161" s="294" t="str">
        <f>IF(F161 = "BULKHEADS ETC", "SHARED OR NO POLE", VLOOKUP(D161,'Tariff Schedule Lookup Table'!I$7:L$298,3,FALSE))</f>
        <v>STEEL POLE</v>
      </c>
      <c r="H161" s="294">
        <f>IF(F161 = "NO CAPITAL", 1, VLOOKUP(D161,'Tariff Schedule Lookup Table'!I$7:L$298,4,FALSE))</f>
        <v>1</v>
      </c>
      <c r="I161" s="296">
        <f>VLOOKUP(G161,'Input data'!$A$68:$B$72,2,FALSE)</f>
        <v>9.8748837500000004</v>
      </c>
      <c r="J161" s="296">
        <f>VLOOKUP($B161,'Maintenance Costs'!$A:$AB,22,FALSE)</f>
        <v>14.900840477049368</v>
      </c>
      <c r="K161" s="296">
        <f>VLOOKUP($B161,'Maintenance Costs'!$A:$AB,28,FALSE)</f>
        <v>20.103683041395374</v>
      </c>
      <c r="L161" s="297">
        <f t="shared" si="15"/>
        <v>44.879407268444744</v>
      </c>
      <c r="M161">
        <v>64.712344855812276</v>
      </c>
      <c r="N161" s="30">
        <f t="shared" si="16"/>
        <v>-19.832937587367532</v>
      </c>
    </row>
    <row r="162" spans="1:14" x14ac:dyDescent="0.2">
      <c r="A162" s="299" t="s">
        <v>1058</v>
      </c>
      <c r="B162" s="298" t="str">
        <f t="shared" si="12"/>
        <v>HPS0090-ST</v>
      </c>
      <c r="C162" s="294" t="str">
        <f>VLOOKUP(LEFT(A162,7),'Tariff Schedule Lookup Table'!$A$8:$G$198,2,FALSE)</f>
        <v>High Pressure Sodium 150</v>
      </c>
      <c r="D162" s="295">
        <f t="shared" si="13"/>
        <v>1</v>
      </c>
      <c r="E162" s="294">
        <f t="shared" si="14"/>
        <v>6</v>
      </c>
      <c r="F162" s="294" t="str">
        <f>VLOOKUP(D162,'Tariff Schedule Lookup Table'!I$7:L$298,2,FALSE)</f>
        <v>NO CAPITAL</v>
      </c>
      <c r="G162" s="294" t="str">
        <f>IF(F162 = "BULKHEADS ETC", "SHARED OR NO POLE", VLOOKUP(D162,'Tariff Schedule Lookup Table'!I$7:L$298,3,FALSE))</f>
        <v>NO CAPITAL</v>
      </c>
      <c r="H162" s="294">
        <f>IF(F162 = "NO CAPITAL", 1, VLOOKUP(D162,'Tariff Schedule Lookup Table'!I$7:L$298,4,FALSE))</f>
        <v>1</v>
      </c>
      <c r="I162" s="296">
        <f>VLOOKUP(G162,'Input data'!$A$68:$B$72,2,FALSE)</f>
        <v>0</v>
      </c>
      <c r="J162" s="296">
        <v>0</v>
      </c>
      <c r="K162" s="296">
        <v>0</v>
      </c>
      <c r="L162" s="297">
        <f t="shared" si="15"/>
        <v>0</v>
      </c>
      <c r="M162">
        <v>0</v>
      </c>
      <c r="N162" s="30">
        <f t="shared" si="16"/>
        <v>0</v>
      </c>
    </row>
    <row r="163" spans="1:14" x14ac:dyDescent="0.2">
      <c r="A163" s="299" t="s">
        <v>1059</v>
      </c>
      <c r="B163" s="298" t="str">
        <f t="shared" si="12"/>
        <v>HPS0090-ST</v>
      </c>
      <c r="C163" s="294" t="str">
        <f>VLOOKUP(LEFT(A163,7),'Tariff Schedule Lookup Table'!$A$8:$G$198,2,FALSE)</f>
        <v>High Pressure Sodium 150</v>
      </c>
      <c r="D163" s="295">
        <f t="shared" si="13"/>
        <v>50</v>
      </c>
      <c r="E163" s="294">
        <f t="shared" si="14"/>
        <v>1</v>
      </c>
      <c r="F163" s="294" t="str">
        <f>VLOOKUP(D163,'Tariff Schedule Lookup Table'!I$7:L$298,2,FALSE)</f>
        <v>HIGH PRESSURE SODIUM 150W</v>
      </c>
      <c r="G163" s="294" t="str">
        <f>IF(F163 = "BULKHEADS ETC", "SHARED OR NO POLE", VLOOKUP(D163,'Tariff Schedule Lookup Table'!I$7:L$298,3,FALSE))</f>
        <v>SHARED OR NO POLE</v>
      </c>
      <c r="H163" s="294">
        <f>IF(F163 = "NO CAPITAL", 1, VLOOKUP(D163,'Tariff Schedule Lookup Table'!I$7:L$298,4,FALSE))</f>
        <v>1</v>
      </c>
      <c r="I163" s="296">
        <f>VLOOKUP(G163,'Input data'!$A$68:$B$72,2,FALSE)</f>
        <v>0</v>
      </c>
      <c r="J163" s="296">
        <f>VLOOKUP($B163,'Maintenance Costs'!$A:$AB,22,FALSE)</f>
        <v>26.110000210382704</v>
      </c>
      <c r="K163" s="296">
        <f>VLOOKUP($B163,'Maintenance Costs'!$A:$AB,28,FALSE)</f>
        <v>20.103683041395374</v>
      </c>
      <c r="L163" s="297">
        <f t="shared" si="15"/>
        <v>46.213683251778079</v>
      </c>
      <c r="M163">
        <v>76.246956196478934</v>
      </c>
      <c r="N163" s="30">
        <f t="shared" si="16"/>
        <v>-30.033272944700855</v>
      </c>
    </row>
    <row r="164" spans="1:14" x14ac:dyDescent="0.2">
      <c r="A164" s="299" t="s">
        <v>1060</v>
      </c>
      <c r="B164" s="298" t="str">
        <f t="shared" si="12"/>
        <v>HPS0090-ST</v>
      </c>
      <c r="C164" s="294" t="str">
        <f>VLOOKUP(LEFT(A164,7),'Tariff Schedule Lookup Table'!$A$8:$G$198,2,FALSE)</f>
        <v>High Pressure Sodium 150</v>
      </c>
      <c r="D164" s="295">
        <f t="shared" si="13"/>
        <v>50</v>
      </c>
      <c r="E164" s="294">
        <f t="shared" si="14"/>
        <v>2</v>
      </c>
      <c r="F164" s="294" t="str">
        <f>VLOOKUP(D164,'Tariff Schedule Lookup Table'!I$7:L$298,2,FALSE)</f>
        <v>HIGH PRESSURE SODIUM 150W</v>
      </c>
      <c r="G164" s="294" t="str">
        <f>IF(F164 = "BULKHEADS ETC", "SHARED OR NO POLE", VLOOKUP(D164,'Tariff Schedule Lookup Table'!I$7:L$298,3,FALSE))</f>
        <v>SHARED OR NO POLE</v>
      </c>
      <c r="H164" s="294">
        <f>IF(F164 = "NO CAPITAL", 1, VLOOKUP(D164,'Tariff Schedule Lookup Table'!I$7:L$298,4,FALSE))</f>
        <v>1</v>
      </c>
      <c r="I164" s="296">
        <f>VLOOKUP(G164,'Input data'!$A$68:$B$72,2,FALSE)</f>
        <v>0</v>
      </c>
      <c r="J164" s="296">
        <f>VLOOKUP($B164,'Maintenance Costs'!$A:$AB,22,FALSE)</f>
        <v>26.110000210382704</v>
      </c>
      <c r="K164" s="296">
        <f>VLOOKUP($B164,'Maintenance Costs'!$A:$AB,28,FALSE)</f>
        <v>20.103683041395374</v>
      </c>
      <c r="L164" s="297">
        <f t="shared" si="15"/>
        <v>46.213683251778079</v>
      </c>
      <c r="M164">
        <v>76.246956196478934</v>
      </c>
      <c r="N164" s="30">
        <f t="shared" si="16"/>
        <v>-30.033272944700855</v>
      </c>
    </row>
    <row r="165" spans="1:14" x14ac:dyDescent="0.2">
      <c r="A165" s="299" t="s">
        <v>1061</v>
      </c>
      <c r="B165" s="298" t="str">
        <f t="shared" si="12"/>
        <v>HPS0090-ST</v>
      </c>
      <c r="C165" s="294" t="str">
        <f>VLOOKUP(LEFT(A165,7),'Tariff Schedule Lookup Table'!$A$8:$G$198,2,FALSE)</f>
        <v>High Pressure Sodium 150</v>
      </c>
      <c r="D165" s="295">
        <f t="shared" si="13"/>
        <v>50</v>
      </c>
      <c r="E165" s="294">
        <f t="shared" si="14"/>
        <v>3</v>
      </c>
      <c r="F165" s="294" t="str">
        <f>VLOOKUP(D165,'Tariff Schedule Lookup Table'!I$7:L$298,2,FALSE)</f>
        <v>HIGH PRESSURE SODIUM 150W</v>
      </c>
      <c r="G165" s="294" t="str">
        <f>IF(F165 = "BULKHEADS ETC", "SHARED OR NO POLE", VLOOKUP(D165,'Tariff Schedule Lookup Table'!I$7:L$298,3,FALSE))</f>
        <v>SHARED OR NO POLE</v>
      </c>
      <c r="H165" s="294">
        <f>IF(F165 = "NO CAPITAL", 1, VLOOKUP(D165,'Tariff Schedule Lookup Table'!I$7:L$298,4,FALSE))</f>
        <v>1</v>
      </c>
      <c r="I165" s="296">
        <f>VLOOKUP(G165,'Input data'!$A$68:$B$72,2,FALSE)</f>
        <v>0</v>
      </c>
      <c r="J165" s="296">
        <f>VLOOKUP($B165,'Maintenance Costs'!$A:$AB,22,FALSE)</f>
        <v>26.110000210382704</v>
      </c>
      <c r="K165" s="296">
        <f>VLOOKUP($B165,'Maintenance Costs'!$A:$AB,28,FALSE)</f>
        <v>20.103683041395374</v>
      </c>
      <c r="L165" s="297">
        <f t="shared" si="15"/>
        <v>46.213683251778079</v>
      </c>
      <c r="M165">
        <v>76.246956196478934</v>
      </c>
      <c r="N165" s="30">
        <f t="shared" si="16"/>
        <v>-30.033272944700855</v>
      </c>
    </row>
    <row r="166" spans="1:14" x14ac:dyDescent="0.2">
      <c r="A166" s="299" t="s">
        <v>557</v>
      </c>
      <c r="B166" s="298" t="str">
        <f t="shared" si="12"/>
        <v>HPS0090-ST</v>
      </c>
      <c r="C166" s="294" t="str">
        <f>VLOOKUP(LEFT(A166,7),'Tariff Schedule Lookup Table'!$A$8:$G$198,2,FALSE)</f>
        <v>High Pressure Sodium 150</v>
      </c>
      <c r="D166" s="295">
        <f t="shared" si="13"/>
        <v>50</v>
      </c>
      <c r="E166" s="294">
        <f t="shared" si="14"/>
        <v>4</v>
      </c>
      <c r="F166" s="294" t="str">
        <f>VLOOKUP(D166,'Tariff Schedule Lookup Table'!I$7:L$298,2,FALSE)</f>
        <v>HIGH PRESSURE SODIUM 150W</v>
      </c>
      <c r="G166" s="294" t="str">
        <f>IF(F166 = "BULKHEADS ETC", "SHARED OR NO POLE", VLOOKUP(D166,'Tariff Schedule Lookup Table'!I$7:L$298,3,FALSE))</f>
        <v>SHARED OR NO POLE</v>
      </c>
      <c r="H166" s="294">
        <f>IF(F166 = "NO CAPITAL", 1, VLOOKUP(D166,'Tariff Schedule Lookup Table'!I$7:L$298,4,FALSE))</f>
        <v>1</v>
      </c>
      <c r="I166" s="296">
        <f>VLOOKUP(G166,'Input data'!$A$68:$B$72,2,FALSE)</f>
        <v>0</v>
      </c>
      <c r="J166" s="296">
        <f>VLOOKUP($B166,'Maintenance Costs'!$A:$AB,22,FALSE)</f>
        <v>26.110000210382704</v>
      </c>
      <c r="K166" s="296">
        <f>VLOOKUP($B166,'Maintenance Costs'!$A:$AB,28,FALSE)</f>
        <v>20.103683041395374</v>
      </c>
      <c r="L166" s="297">
        <f t="shared" si="15"/>
        <v>46.213683251778079</v>
      </c>
      <c r="M166">
        <v>76.246956196478934</v>
      </c>
      <c r="N166" s="30">
        <f t="shared" si="16"/>
        <v>-30.033272944700855</v>
      </c>
    </row>
    <row r="167" spans="1:14" x14ac:dyDescent="0.2">
      <c r="A167" s="299" t="s">
        <v>1063</v>
      </c>
      <c r="B167" s="298" t="str">
        <f t="shared" si="12"/>
        <v>HPS0090-ST</v>
      </c>
      <c r="C167" s="294" t="str">
        <f>VLOOKUP(LEFT(A167,7),'Tariff Schedule Lookup Table'!$A$8:$G$198,2,FALSE)</f>
        <v>High Pressure Sodium 150</v>
      </c>
      <c r="D167" s="295">
        <f t="shared" si="13"/>
        <v>220</v>
      </c>
      <c r="E167" s="294">
        <f t="shared" si="14"/>
        <v>1</v>
      </c>
      <c r="F167" s="294" t="str">
        <f>VLOOKUP(D167,'Tariff Schedule Lookup Table'!I$7:L$298,2,FALSE)</f>
        <v>HIGH PRESSURE SODIUM 150W</v>
      </c>
      <c r="G167" s="294" t="str">
        <f>IF(F167 = "BULKHEADS ETC", "SHARED OR NO POLE", VLOOKUP(D167,'Tariff Schedule Lookup Table'!I$7:L$298,3,FALSE))</f>
        <v>WOOD POLE</v>
      </c>
      <c r="H167" s="294">
        <f>IF(F167 = "NO CAPITAL", 1, VLOOKUP(D167,'Tariff Schedule Lookup Table'!I$7:L$298,4,FALSE))</f>
        <v>1</v>
      </c>
      <c r="I167" s="296">
        <f>VLOOKUP(G167,'Input data'!$A$68:$B$72,2,FALSE)</f>
        <v>10.809914000000001</v>
      </c>
      <c r="J167" s="296">
        <f>VLOOKUP($B167,'Maintenance Costs'!$A:$AB,22,FALSE)</f>
        <v>26.110000210382704</v>
      </c>
      <c r="K167" s="296">
        <f>VLOOKUP($B167,'Maintenance Costs'!$A:$AB,28,FALSE)</f>
        <v>20.103683041395374</v>
      </c>
      <c r="L167" s="297">
        <f t="shared" si="15"/>
        <v>57.023597251778078</v>
      </c>
      <c r="M167">
        <v>87.05687019647894</v>
      </c>
      <c r="N167" s="30">
        <f t="shared" si="16"/>
        <v>-30.033272944700862</v>
      </c>
    </row>
    <row r="168" spans="1:14" x14ac:dyDescent="0.2">
      <c r="A168" s="299" t="s">
        <v>1064</v>
      </c>
      <c r="B168" s="298" t="str">
        <f t="shared" si="12"/>
        <v>HPS0090-ST</v>
      </c>
      <c r="C168" s="294" t="str">
        <f>VLOOKUP(LEFT(A168,7),'Tariff Schedule Lookup Table'!$A$8:$G$198,2,FALSE)</f>
        <v>High Pressure Sodium 150</v>
      </c>
      <c r="D168" s="295">
        <f t="shared" si="13"/>
        <v>220</v>
      </c>
      <c r="E168" s="294">
        <f t="shared" si="14"/>
        <v>2</v>
      </c>
      <c r="F168" s="294" t="str">
        <f>VLOOKUP(D168,'Tariff Schedule Lookup Table'!I$7:L$298,2,FALSE)</f>
        <v>HIGH PRESSURE SODIUM 150W</v>
      </c>
      <c r="G168" s="294" t="str">
        <f>IF(F168 = "BULKHEADS ETC", "SHARED OR NO POLE", VLOOKUP(D168,'Tariff Schedule Lookup Table'!I$7:L$298,3,FALSE))</f>
        <v>WOOD POLE</v>
      </c>
      <c r="H168" s="294">
        <f>IF(F168 = "NO CAPITAL", 1, VLOOKUP(D168,'Tariff Schedule Lookup Table'!I$7:L$298,4,FALSE))</f>
        <v>1</v>
      </c>
      <c r="I168" s="296">
        <f>VLOOKUP(G168,'Input data'!$A$68:$B$72,2,FALSE)</f>
        <v>10.809914000000001</v>
      </c>
      <c r="J168" s="296">
        <f>VLOOKUP($B168,'Maintenance Costs'!$A:$AB,22,FALSE)</f>
        <v>26.110000210382704</v>
      </c>
      <c r="K168" s="296">
        <f>VLOOKUP($B168,'Maintenance Costs'!$A:$AB,28,FALSE)</f>
        <v>20.103683041395374</v>
      </c>
      <c r="L168" s="297">
        <f t="shared" si="15"/>
        <v>57.023597251778078</v>
      </c>
      <c r="M168">
        <v>87.05687019647894</v>
      </c>
      <c r="N168" s="30">
        <f t="shared" si="16"/>
        <v>-30.033272944700862</v>
      </c>
    </row>
    <row r="169" spans="1:14" x14ac:dyDescent="0.2">
      <c r="A169" s="299" t="s">
        <v>1065</v>
      </c>
      <c r="B169" s="298" t="str">
        <f t="shared" si="12"/>
        <v>HPS0090-ST</v>
      </c>
      <c r="C169" s="294" t="str">
        <f>VLOOKUP(LEFT(A169,7),'Tariff Schedule Lookup Table'!$A$8:$G$198,2,FALSE)</f>
        <v>High Pressure Sodium 150</v>
      </c>
      <c r="D169" s="295">
        <f t="shared" si="13"/>
        <v>220</v>
      </c>
      <c r="E169" s="294">
        <f t="shared" si="14"/>
        <v>3</v>
      </c>
      <c r="F169" s="294" t="str">
        <f>VLOOKUP(D169,'Tariff Schedule Lookup Table'!I$7:L$298,2,FALSE)</f>
        <v>HIGH PRESSURE SODIUM 150W</v>
      </c>
      <c r="G169" s="294" t="str">
        <f>IF(F169 = "BULKHEADS ETC", "SHARED OR NO POLE", VLOOKUP(D169,'Tariff Schedule Lookup Table'!I$7:L$298,3,FALSE))</f>
        <v>WOOD POLE</v>
      </c>
      <c r="H169" s="294">
        <f>IF(F169 = "NO CAPITAL", 1, VLOOKUP(D169,'Tariff Schedule Lookup Table'!I$7:L$298,4,FALSE))</f>
        <v>1</v>
      </c>
      <c r="I169" s="296">
        <f>VLOOKUP(G169,'Input data'!$A$68:$B$72,2,FALSE)</f>
        <v>10.809914000000001</v>
      </c>
      <c r="J169" s="296">
        <f>VLOOKUP($B169,'Maintenance Costs'!$A:$AB,22,FALSE)</f>
        <v>26.110000210382704</v>
      </c>
      <c r="K169" s="296">
        <f>VLOOKUP($B169,'Maintenance Costs'!$A:$AB,28,FALSE)</f>
        <v>20.103683041395374</v>
      </c>
      <c r="L169" s="297">
        <f t="shared" si="15"/>
        <v>57.023597251778078</v>
      </c>
      <c r="M169">
        <v>87.05687019647894</v>
      </c>
      <c r="N169" s="30">
        <f t="shared" si="16"/>
        <v>-30.033272944700862</v>
      </c>
    </row>
    <row r="170" spans="1:14" x14ac:dyDescent="0.2">
      <c r="A170" s="299" t="s">
        <v>558</v>
      </c>
      <c r="B170" s="298" t="str">
        <f t="shared" si="12"/>
        <v>HPS0090-ST</v>
      </c>
      <c r="C170" s="294" t="str">
        <f>VLOOKUP(LEFT(A170,7),'Tariff Schedule Lookup Table'!$A$8:$G$198,2,FALSE)</f>
        <v>High Pressure Sodium 150</v>
      </c>
      <c r="D170" s="295">
        <f t="shared" si="13"/>
        <v>220</v>
      </c>
      <c r="E170" s="294">
        <f t="shared" si="14"/>
        <v>4</v>
      </c>
      <c r="F170" s="294" t="str">
        <f>VLOOKUP(D170,'Tariff Schedule Lookup Table'!I$7:L$298,2,FALSE)</f>
        <v>HIGH PRESSURE SODIUM 150W</v>
      </c>
      <c r="G170" s="294" t="str">
        <f>IF(F170 = "BULKHEADS ETC", "SHARED OR NO POLE", VLOOKUP(D170,'Tariff Schedule Lookup Table'!I$7:L$298,3,FALSE))</f>
        <v>WOOD POLE</v>
      </c>
      <c r="H170" s="294">
        <f>IF(F170 = "NO CAPITAL", 1, VLOOKUP(D170,'Tariff Schedule Lookup Table'!I$7:L$298,4,FALSE))</f>
        <v>1</v>
      </c>
      <c r="I170" s="296">
        <f>VLOOKUP(G170,'Input data'!$A$68:$B$72,2,FALSE)</f>
        <v>10.809914000000001</v>
      </c>
      <c r="J170" s="296">
        <f>VLOOKUP($B170,'Maintenance Costs'!$A:$AB,22,FALSE)</f>
        <v>26.110000210382704</v>
      </c>
      <c r="K170" s="296">
        <f>VLOOKUP($B170,'Maintenance Costs'!$A:$AB,28,FALSE)</f>
        <v>20.103683041395374</v>
      </c>
      <c r="L170" s="297">
        <f t="shared" si="15"/>
        <v>57.023597251778078</v>
      </c>
      <c r="M170">
        <v>87.05687019647894</v>
      </c>
      <c r="N170" s="30">
        <f t="shared" si="16"/>
        <v>-30.033272944700862</v>
      </c>
    </row>
    <row r="171" spans="1:14" x14ac:dyDescent="0.2">
      <c r="A171" s="299" t="s">
        <v>1067</v>
      </c>
      <c r="B171" s="298" t="str">
        <f t="shared" si="12"/>
        <v>HPS0090-ST</v>
      </c>
      <c r="C171" s="294" t="str">
        <f>VLOOKUP(LEFT(A171,7),'Tariff Schedule Lookup Table'!$A$8:$G$198,2,FALSE)</f>
        <v>High Pressure Sodium 150</v>
      </c>
      <c r="D171" s="295">
        <f t="shared" si="13"/>
        <v>310</v>
      </c>
      <c r="E171" s="294">
        <f t="shared" si="14"/>
        <v>1</v>
      </c>
      <c r="F171" s="294" t="str">
        <f>VLOOKUP(D171,'Tariff Schedule Lookup Table'!I$7:L$298,2,FALSE)</f>
        <v>HIGH PRESSURE SODIUM 150W</v>
      </c>
      <c r="G171" s="294" t="str">
        <f>IF(F171 = "BULKHEADS ETC", "SHARED OR NO POLE", VLOOKUP(D171,'Tariff Schedule Lookup Table'!I$7:L$298,3,FALSE))</f>
        <v>STEEL POLE</v>
      </c>
      <c r="H171" s="294">
        <f>IF(F171 = "NO CAPITAL", 1, VLOOKUP(D171,'Tariff Schedule Lookup Table'!I$7:L$298,4,FALSE))</f>
        <v>1</v>
      </c>
      <c r="I171" s="296">
        <f>VLOOKUP(G171,'Input data'!$A$68:$B$72,2,FALSE)</f>
        <v>9.8748837500000004</v>
      </c>
      <c r="J171" s="296">
        <f>VLOOKUP($B171,'Maintenance Costs'!$A:$AB,22,FALSE)</f>
        <v>26.110000210382704</v>
      </c>
      <c r="K171" s="296">
        <f>VLOOKUP($B171,'Maintenance Costs'!$A:$AB,28,FALSE)</f>
        <v>20.103683041395374</v>
      </c>
      <c r="L171" s="297">
        <f t="shared" si="15"/>
        <v>56.088567001778081</v>
      </c>
      <c r="M171">
        <v>86.121839946478929</v>
      </c>
      <c r="N171" s="30">
        <f t="shared" si="16"/>
        <v>-30.033272944700848</v>
      </c>
    </row>
    <row r="172" spans="1:14" x14ac:dyDescent="0.2">
      <c r="A172" s="299" t="s">
        <v>1068</v>
      </c>
      <c r="B172" s="298" t="str">
        <f t="shared" si="12"/>
        <v>HPS0090-ST</v>
      </c>
      <c r="C172" s="294" t="str">
        <f>VLOOKUP(LEFT(A172,7),'Tariff Schedule Lookup Table'!$A$8:$G$198,2,FALSE)</f>
        <v>High Pressure Sodium 150</v>
      </c>
      <c r="D172" s="295">
        <f t="shared" si="13"/>
        <v>310</v>
      </c>
      <c r="E172" s="294">
        <f t="shared" si="14"/>
        <v>2</v>
      </c>
      <c r="F172" s="294" t="str">
        <f>VLOOKUP(D172,'Tariff Schedule Lookup Table'!I$7:L$298,2,FALSE)</f>
        <v>HIGH PRESSURE SODIUM 150W</v>
      </c>
      <c r="G172" s="294" t="str">
        <f>IF(F172 = "BULKHEADS ETC", "SHARED OR NO POLE", VLOOKUP(D172,'Tariff Schedule Lookup Table'!I$7:L$298,3,FALSE))</f>
        <v>STEEL POLE</v>
      </c>
      <c r="H172" s="294">
        <f>IF(F172 = "NO CAPITAL", 1, VLOOKUP(D172,'Tariff Schedule Lookup Table'!I$7:L$298,4,FALSE))</f>
        <v>1</v>
      </c>
      <c r="I172" s="296">
        <f>VLOOKUP(G172,'Input data'!$A$68:$B$72,2,FALSE)</f>
        <v>9.8748837500000004</v>
      </c>
      <c r="J172" s="296">
        <f>VLOOKUP($B172,'Maintenance Costs'!$A:$AB,22,FALSE)</f>
        <v>26.110000210382704</v>
      </c>
      <c r="K172" s="296">
        <f>VLOOKUP($B172,'Maintenance Costs'!$A:$AB,28,FALSE)</f>
        <v>20.103683041395374</v>
      </c>
      <c r="L172" s="297">
        <f t="shared" si="15"/>
        <v>56.088567001778081</v>
      </c>
      <c r="M172">
        <v>86.121839946478929</v>
      </c>
      <c r="N172" s="30">
        <f t="shared" si="16"/>
        <v>-30.033272944700848</v>
      </c>
    </row>
    <row r="173" spans="1:14" x14ac:dyDescent="0.2">
      <c r="A173" s="299" t="s">
        <v>1069</v>
      </c>
      <c r="B173" s="298" t="str">
        <f t="shared" si="12"/>
        <v>HPS0090-ST</v>
      </c>
      <c r="C173" s="294" t="str">
        <f>VLOOKUP(LEFT(A173,7),'Tariff Schedule Lookup Table'!$A$8:$G$198,2,FALSE)</f>
        <v>High Pressure Sodium 150</v>
      </c>
      <c r="D173" s="295">
        <f t="shared" si="13"/>
        <v>310</v>
      </c>
      <c r="E173" s="294">
        <f t="shared" si="14"/>
        <v>3</v>
      </c>
      <c r="F173" s="294" t="str">
        <f>VLOOKUP(D173,'Tariff Schedule Lookup Table'!I$7:L$298,2,FALSE)</f>
        <v>HIGH PRESSURE SODIUM 150W</v>
      </c>
      <c r="G173" s="294" t="str">
        <f>IF(F173 = "BULKHEADS ETC", "SHARED OR NO POLE", VLOOKUP(D173,'Tariff Schedule Lookup Table'!I$7:L$298,3,FALSE))</f>
        <v>STEEL POLE</v>
      </c>
      <c r="H173" s="294">
        <f>IF(F173 = "NO CAPITAL", 1, VLOOKUP(D173,'Tariff Schedule Lookup Table'!I$7:L$298,4,FALSE))</f>
        <v>1</v>
      </c>
      <c r="I173" s="296">
        <f>VLOOKUP(G173,'Input data'!$A$68:$B$72,2,FALSE)</f>
        <v>9.8748837500000004</v>
      </c>
      <c r="J173" s="296">
        <f>VLOOKUP($B173,'Maintenance Costs'!$A:$AB,22,FALSE)</f>
        <v>26.110000210382704</v>
      </c>
      <c r="K173" s="296">
        <f>VLOOKUP($B173,'Maintenance Costs'!$A:$AB,28,FALSE)</f>
        <v>20.103683041395374</v>
      </c>
      <c r="L173" s="297">
        <f t="shared" si="15"/>
        <v>56.088567001778081</v>
      </c>
      <c r="M173">
        <v>86.121839946478929</v>
      </c>
      <c r="N173" s="30">
        <f t="shared" si="16"/>
        <v>-30.033272944700848</v>
      </c>
    </row>
    <row r="174" spans="1:14" x14ac:dyDescent="0.2">
      <c r="A174" s="299" t="s">
        <v>559</v>
      </c>
      <c r="B174" s="298" t="str">
        <f t="shared" si="12"/>
        <v>HPS0090-ST</v>
      </c>
      <c r="C174" s="294" t="str">
        <f>VLOOKUP(LEFT(A174,7),'Tariff Schedule Lookup Table'!$A$8:$G$198,2,FALSE)</f>
        <v>High Pressure Sodium 150</v>
      </c>
      <c r="D174" s="295">
        <f t="shared" si="13"/>
        <v>310</v>
      </c>
      <c r="E174" s="294">
        <f t="shared" si="14"/>
        <v>4</v>
      </c>
      <c r="F174" s="294" t="str">
        <f>VLOOKUP(D174,'Tariff Schedule Lookup Table'!I$7:L$298,2,FALSE)</f>
        <v>HIGH PRESSURE SODIUM 150W</v>
      </c>
      <c r="G174" s="294" t="str">
        <f>IF(F174 = "BULKHEADS ETC", "SHARED OR NO POLE", VLOOKUP(D174,'Tariff Schedule Lookup Table'!I$7:L$298,3,FALSE))</f>
        <v>STEEL POLE</v>
      </c>
      <c r="H174" s="294">
        <f>IF(F174 = "NO CAPITAL", 1, VLOOKUP(D174,'Tariff Schedule Lookup Table'!I$7:L$298,4,FALSE))</f>
        <v>1</v>
      </c>
      <c r="I174" s="296">
        <f>VLOOKUP(G174,'Input data'!$A$68:$B$72,2,FALSE)</f>
        <v>9.8748837500000004</v>
      </c>
      <c r="J174" s="296">
        <f>VLOOKUP($B174,'Maintenance Costs'!$A:$AB,22,FALSE)</f>
        <v>26.110000210382704</v>
      </c>
      <c r="K174" s="296">
        <f>VLOOKUP($B174,'Maintenance Costs'!$A:$AB,28,FALSE)</f>
        <v>20.103683041395374</v>
      </c>
      <c r="L174" s="297">
        <f t="shared" si="15"/>
        <v>56.088567001778081</v>
      </c>
      <c r="M174">
        <v>86.121839946478929</v>
      </c>
      <c r="N174" s="30">
        <f t="shared" si="16"/>
        <v>-30.033272944700848</v>
      </c>
    </row>
    <row r="175" spans="1:14" x14ac:dyDescent="0.2">
      <c r="A175" s="299" t="s">
        <v>1071</v>
      </c>
      <c r="B175" s="298" t="str">
        <f t="shared" si="12"/>
        <v>HPS0090-ST</v>
      </c>
      <c r="C175" s="294" t="str">
        <f>VLOOKUP(LEFT(A175,7),'Tariff Schedule Lookup Table'!$A$8:$G$198,2,FALSE)</f>
        <v>High Pressure Sodium 150</v>
      </c>
      <c r="D175" s="295">
        <f t="shared" si="13"/>
        <v>690</v>
      </c>
      <c r="E175" s="294">
        <f t="shared" si="14"/>
        <v>1</v>
      </c>
      <c r="F175" s="294" t="str">
        <f>VLOOKUP(D175,'Tariff Schedule Lookup Table'!I$7:L$298,2,FALSE)</f>
        <v>HIGH PRESSURE SODIUM 150W</v>
      </c>
      <c r="G175" s="294" t="str">
        <f>IF(F175 = "BULKHEADS ETC", "SHARED OR NO POLE", VLOOKUP(D175,'Tariff Schedule Lookup Table'!I$7:L$298,3,FALSE))</f>
        <v>STEEL POLE</v>
      </c>
      <c r="H175" s="294">
        <f>IF(F175 = "NO CAPITAL", 1, VLOOKUP(D175,'Tariff Schedule Lookup Table'!I$7:L$298,4,FALSE))</f>
        <v>2</v>
      </c>
      <c r="I175" s="296">
        <f>VLOOKUP(G175,'Input data'!$A$68:$B$72,2,FALSE)</f>
        <v>9.8748837500000004</v>
      </c>
      <c r="J175" s="296">
        <f>VLOOKUP($B175,'Maintenance Costs'!$A:$AB,22,FALSE)</f>
        <v>26.110000210382704</v>
      </c>
      <c r="K175" s="296">
        <f>VLOOKUP($B175,'Maintenance Costs'!$A:$AB,28,FALSE)</f>
        <v>20.103683041395374</v>
      </c>
      <c r="L175" s="297">
        <f t="shared" si="15"/>
        <v>51.151125126778076</v>
      </c>
      <c r="M175">
        <v>81.184398071478938</v>
      </c>
      <c r="N175" s="30">
        <f t="shared" si="16"/>
        <v>-30.033272944700862</v>
      </c>
    </row>
    <row r="176" spans="1:14" x14ac:dyDescent="0.2">
      <c r="A176" s="299" t="s">
        <v>1072</v>
      </c>
      <c r="B176" s="298" t="str">
        <f t="shared" si="12"/>
        <v>HPS0090-ST</v>
      </c>
      <c r="C176" s="294" t="str">
        <f>VLOOKUP(LEFT(A176,7),'Tariff Schedule Lookup Table'!$A$8:$G$198,2,FALSE)</f>
        <v>High Pressure Sodium 150</v>
      </c>
      <c r="D176" s="295">
        <f t="shared" si="13"/>
        <v>690</v>
      </c>
      <c r="E176" s="294">
        <f t="shared" si="14"/>
        <v>2</v>
      </c>
      <c r="F176" s="294" t="str">
        <f>VLOOKUP(D176,'Tariff Schedule Lookup Table'!I$7:L$298,2,FALSE)</f>
        <v>HIGH PRESSURE SODIUM 150W</v>
      </c>
      <c r="G176" s="294" t="str">
        <f>IF(F176 = "BULKHEADS ETC", "SHARED OR NO POLE", VLOOKUP(D176,'Tariff Schedule Lookup Table'!I$7:L$298,3,FALSE))</f>
        <v>STEEL POLE</v>
      </c>
      <c r="H176" s="294">
        <f>IF(F176 = "NO CAPITAL", 1, VLOOKUP(D176,'Tariff Schedule Lookup Table'!I$7:L$298,4,FALSE))</f>
        <v>2</v>
      </c>
      <c r="I176" s="296">
        <f>VLOOKUP(G176,'Input data'!$A$68:$B$72,2,FALSE)</f>
        <v>9.8748837500000004</v>
      </c>
      <c r="J176" s="296">
        <f>VLOOKUP($B176,'Maintenance Costs'!$A:$AB,22,FALSE)</f>
        <v>26.110000210382704</v>
      </c>
      <c r="K176" s="296">
        <f>VLOOKUP($B176,'Maintenance Costs'!$A:$AB,28,FALSE)</f>
        <v>20.103683041395374</v>
      </c>
      <c r="L176" s="297">
        <f t="shared" si="15"/>
        <v>51.151125126778076</v>
      </c>
      <c r="M176">
        <v>81.184398071478938</v>
      </c>
      <c r="N176" s="30">
        <f t="shared" si="16"/>
        <v>-30.033272944700862</v>
      </c>
    </row>
    <row r="177" spans="1:14" x14ac:dyDescent="0.2">
      <c r="A177" s="299" t="s">
        <v>1073</v>
      </c>
      <c r="B177" s="298" t="str">
        <f t="shared" si="12"/>
        <v>HPS0090-ST</v>
      </c>
      <c r="C177" s="294" t="str">
        <f>VLOOKUP(LEFT(A177,7),'Tariff Schedule Lookup Table'!$A$8:$G$198,2,FALSE)</f>
        <v>High Pressure Sodium 150</v>
      </c>
      <c r="D177" s="295">
        <f t="shared" si="13"/>
        <v>690</v>
      </c>
      <c r="E177" s="294">
        <f t="shared" si="14"/>
        <v>3</v>
      </c>
      <c r="F177" s="294" t="str">
        <f>VLOOKUP(D177,'Tariff Schedule Lookup Table'!I$7:L$298,2,FALSE)</f>
        <v>HIGH PRESSURE SODIUM 150W</v>
      </c>
      <c r="G177" s="294" t="str">
        <f>IF(F177 = "BULKHEADS ETC", "SHARED OR NO POLE", VLOOKUP(D177,'Tariff Schedule Lookup Table'!I$7:L$298,3,FALSE))</f>
        <v>STEEL POLE</v>
      </c>
      <c r="H177" s="294">
        <f>IF(F177 = "NO CAPITAL", 1, VLOOKUP(D177,'Tariff Schedule Lookup Table'!I$7:L$298,4,FALSE))</f>
        <v>2</v>
      </c>
      <c r="I177" s="296">
        <f>VLOOKUP(G177,'Input data'!$A$68:$B$72,2,FALSE)</f>
        <v>9.8748837500000004</v>
      </c>
      <c r="J177" s="296">
        <f>VLOOKUP($B177,'Maintenance Costs'!$A:$AB,22,FALSE)</f>
        <v>26.110000210382704</v>
      </c>
      <c r="K177" s="296">
        <f>VLOOKUP($B177,'Maintenance Costs'!$A:$AB,28,FALSE)</f>
        <v>20.103683041395374</v>
      </c>
      <c r="L177" s="297">
        <f t="shared" si="15"/>
        <v>51.151125126778076</v>
      </c>
      <c r="M177">
        <v>81.184398071478938</v>
      </c>
      <c r="N177" s="30">
        <f t="shared" si="16"/>
        <v>-30.033272944700862</v>
      </c>
    </row>
    <row r="178" spans="1:14" x14ac:dyDescent="0.2">
      <c r="A178" s="299" t="s">
        <v>560</v>
      </c>
      <c r="B178" s="298" t="str">
        <f t="shared" si="12"/>
        <v>HPS0090-ST</v>
      </c>
      <c r="C178" s="294" t="str">
        <f>VLOOKUP(LEFT(A178,7),'Tariff Schedule Lookup Table'!$A$8:$G$198,2,FALSE)</f>
        <v>High Pressure Sodium 150</v>
      </c>
      <c r="D178" s="295">
        <f t="shared" si="13"/>
        <v>690</v>
      </c>
      <c r="E178" s="294">
        <f t="shared" si="14"/>
        <v>4</v>
      </c>
      <c r="F178" s="294" t="str">
        <f>VLOOKUP(D178,'Tariff Schedule Lookup Table'!I$7:L$298,2,FALSE)</f>
        <v>HIGH PRESSURE SODIUM 150W</v>
      </c>
      <c r="G178" s="294" t="str">
        <f>IF(F178 = "BULKHEADS ETC", "SHARED OR NO POLE", VLOOKUP(D178,'Tariff Schedule Lookup Table'!I$7:L$298,3,FALSE))</f>
        <v>STEEL POLE</v>
      </c>
      <c r="H178" s="294">
        <f>IF(F178 = "NO CAPITAL", 1, VLOOKUP(D178,'Tariff Schedule Lookup Table'!I$7:L$298,4,FALSE))</f>
        <v>2</v>
      </c>
      <c r="I178" s="296">
        <f>VLOOKUP(G178,'Input data'!$A$68:$B$72,2,FALSE)</f>
        <v>9.8748837500000004</v>
      </c>
      <c r="J178" s="296">
        <f>VLOOKUP($B178,'Maintenance Costs'!$A:$AB,22,FALSE)</f>
        <v>26.110000210382704</v>
      </c>
      <c r="K178" s="296">
        <f>VLOOKUP($B178,'Maintenance Costs'!$A:$AB,28,FALSE)</f>
        <v>20.103683041395374</v>
      </c>
      <c r="L178" s="297">
        <f t="shared" si="15"/>
        <v>51.151125126778076</v>
      </c>
      <c r="M178">
        <v>81.184398071478938</v>
      </c>
      <c r="N178" s="30">
        <f t="shared" si="16"/>
        <v>-30.033272944700862</v>
      </c>
    </row>
    <row r="179" spans="1:14" x14ac:dyDescent="0.2">
      <c r="A179" s="299" t="s">
        <v>1075</v>
      </c>
      <c r="B179" s="298" t="str">
        <f t="shared" si="12"/>
        <v>HPS0090-ST</v>
      </c>
      <c r="C179" s="294" t="str">
        <f>VLOOKUP(LEFT(A179,7),'Tariff Schedule Lookup Table'!$A$8:$G$198,2,FALSE)</f>
        <v>High Pressure Sodium 150</v>
      </c>
      <c r="D179" s="295">
        <f t="shared" si="13"/>
        <v>710</v>
      </c>
      <c r="E179" s="294">
        <f t="shared" si="14"/>
        <v>1</v>
      </c>
      <c r="F179" s="294" t="str">
        <f>VLOOKUP(D179,'Tariff Schedule Lookup Table'!I$7:L$298,2,FALSE)</f>
        <v>HIGH PRESSURE SODIUM 150W</v>
      </c>
      <c r="G179" s="294" t="str">
        <f>IF(F179 = "BULKHEADS ETC", "SHARED OR NO POLE", VLOOKUP(D179,'Tariff Schedule Lookup Table'!I$7:L$298,3,FALSE))</f>
        <v>STEEL POLE</v>
      </c>
      <c r="H179" s="294">
        <f>IF(F179 = "NO CAPITAL", 1, VLOOKUP(D179,'Tariff Schedule Lookup Table'!I$7:L$298,4,FALSE))</f>
        <v>3</v>
      </c>
      <c r="I179" s="296">
        <f>VLOOKUP(G179,'Input data'!$A$68:$B$72,2,FALSE)</f>
        <v>9.8748837500000004</v>
      </c>
      <c r="J179" s="296">
        <f>VLOOKUP($B179,'Maintenance Costs'!$A:$AB,22,FALSE)</f>
        <v>26.110000210382704</v>
      </c>
      <c r="K179" s="296">
        <f>VLOOKUP($B179,'Maintenance Costs'!$A:$AB,28,FALSE)</f>
        <v>20.103683041395374</v>
      </c>
      <c r="L179" s="297">
        <f t="shared" si="15"/>
        <v>49.505311168444749</v>
      </c>
      <c r="M179">
        <v>79.538584113145603</v>
      </c>
      <c r="N179" s="30">
        <f t="shared" si="16"/>
        <v>-30.033272944700855</v>
      </c>
    </row>
    <row r="180" spans="1:14" x14ac:dyDescent="0.2">
      <c r="A180" s="299" t="s">
        <v>1076</v>
      </c>
      <c r="B180" s="298" t="str">
        <f t="shared" si="12"/>
        <v>HPS0090-ST</v>
      </c>
      <c r="C180" s="294" t="str">
        <f>VLOOKUP(LEFT(A180,7),'Tariff Schedule Lookup Table'!$A$8:$G$198,2,FALSE)</f>
        <v>High Pressure Sodium 150</v>
      </c>
      <c r="D180" s="295">
        <f t="shared" si="13"/>
        <v>710</v>
      </c>
      <c r="E180" s="294">
        <f t="shared" si="14"/>
        <v>2</v>
      </c>
      <c r="F180" s="294" t="str">
        <f>VLOOKUP(D180,'Tariff Schedule Lookup Table'!I$7:L$298,2,FALSE)</f>
        <v>HIGH PRESSURE SODIUM 150W</v>
      </c>
      <c r="G180" s="294" t="str">
        <f>IF(F180 = "BULKHEADS ETC", "SHARED OR NO POLE", VLOOKUP(D180,'Tariff Schedule Lookup Table'!I$7:L$298,3,FALSE))</f>
        <v>STEEL POLE</v>
      </c>
      <c r="H180" s="294">
        <f>IF(F180 = "NO CAPITAL", 1, VLOOKUP(D180,'Tariff Schedule Lookup Table'!I$7:L$298,4,FALSE))</f>
        <v>3</v>
      </c>
      <c r="I180" s="296">
        <f>VLOOKUP(G180,'Input data'!$A$68:$B$72,2,FALSE)</f>
        <v>9.8748837500000004</v>
      </c>
      <c r="J180" s="296">
        <f>VLOOKUP($B180,'Maintenance Costs'!$A:$AB,22,FALSE)</f>
        <v>26.110000210382704</v>
      </c>
      <c r="K180" s="296">
        <f>VLOOKUP($B180,'Maintenance Costs'!$A:$AB,28,FALSE)</f>
        <v>20.103683041395374</v>
      </c>
      <c r="L180" s="297">
        <f t="shared" si="15"/>
        <v>49.505311168444749</v>
      </c>
      <c r="M180">
        <v>79.538584113145603</v>
      </c>
      <c r="N180" s="30">
        <f t="shared" si="16"/>
        <v>-30.033272944700855</v>
      </c>
    </row>
    <row r="181" spans="1:14" x14ac:dyDescent="0.2">
      <c r="A181" s="299" t="s">
        <v>561</v>
      </c>
      <c r="B181" s="298" t="str">
        <f t="shared" si="12"/>
        <v>HPS0090-ST</v>
      </c>
      <c r="C181" s="294" t="str">
        <f>VLOOKUP(LEFT(A181,7),'Tariff Schedule Lookup Table'!$A$8:$G$198,2,FALSE)</f>
        <v>High Pressure Sodium 150</v>
      </c>
      <c r="D181" s="295">
        <f t="shared" si="13"/>
        <v>710</v>
      </c>
      <c r="E181" s="294">
        <f t="shared" si="14"/>
        <v>4</v>
      </c>
      <c r="F181" s="294" t="str">
        <f>VLOOKUP(D181,'Tariff Schedule Lookup Table'!I$7:L$298,2,FALSE)</f>
        <v>HIGH PRESSURE SODIUM 150W</v>
      </c>
      <c r="G181" s="294" t="str">
        <f>IF(F181 = "BULKHEADS ETC", "SHARED OR NO POLE", VLOOKUP(D181,'Tariff Schedule Lookup Table'!I$7:L$298,3,FALSE))</f>
        <v>STEEL POLE</v>
      </c>
      <c r="H181" s="294">
        <f>IF(F181 = "NO CAPITAL", 1, VLOOKUP(D181,'Tariff Schedule Lookup Table'!I$7:L$298,4,FALSE))</f>
        <v>3</v>
      </c>
      <c r="I181" s="296">
        <f>VLOOKUP(G181,'Input data'!$A$68:$B$72,2,FALSE)</f>
        <v>9.8748837500000004</v>
      </c>
      <c r="J181" s="296">
        <f>VLOOKUP($B181,'Maintenance Costs'!$A:$AB,22,FALSE)</f>
        <v>26.110000210382704</v>
      </c>
      <c r="K181" s="296">
        <f>VLOOKUP($B181,'Maintenance Costs'!$A:$AB,28,FALSE)</f>
        <v>20.103683041395374</v>
      </c>
      <c r="L181" s="297">
        <f t="shared" si="15"/>
        <v>49.505311168444749</v>
      </c>
      <c r="M181">
        <v>79.538584113145603</v>
      </c>
      <c r="N181" s="30">
        <f t="shared" si="16"/>
        <v>-30.033272944700855</v>
      </c>
    </row>
    <row r="182" spans="1:14" x14ac:dyDescent="0.2">
      <c r="A182" s="299" t="s">
        <v>1077</v>
      </c>
      <c r="B182" s="298" t="str">
        <f t="shared" si="12"/>
        <v>HPS0090-ST</v>
      </c>
      <c r="C182" s="294" t="str">
        <f>VLOOKUP(LEFT(A182,7),'Tariff Schedule Lookup Table'!$A$8:$G$198,2,FALSE)</f>
        <v>High Pressure Sodium 150</v>
      </c>
      <c r="D182" s="295">
        <f t="shared" si="13"/>
        <v>720</v>
      </c>
      <c r="E182" s="294">
        <f t="shared" si="14"/>
        <v>2</v>
      </c>
      <c r="F182" s="294" t="str">
        <f>VLOOKUP(D182,'Tariff Schedule Lookup Table'!I$7:L$298,2,FALSE)</f>
        <v>HIGH PRESSURE SODIUM 150W</v>
      </c>
      <c r="G182" s="294" t="str">
        <f>IF(F182 = "BULKHEADS ETC", "SHARED OR NO POLE", VLOOKUP(D182,'Tariff Schedule Lookup Table'!I$7:L$298,3,FALSE))</f>
        <v>STEEL POLE</v>
      </c>
      <c r="H182" s="294">
        <f>IF(F182 = "NO CAPITAL", 1, VLOOKUP(D182,'Tariff Schedule Lookup Table'!I$7:L$298,4,FALSE))</f>
        <v>4</v>
      </c>
      <c r="I182" s="296">
        <f>VLOOKUP(G182,'Input data'!$A$68:$B$72,2,FALSE)</f>
        <v>9.8748837500000004</v>
      </c>
      <c r="J182" s="296">
        <f>VLOOKUP($B182,'Maintenance Costs'!$A:$AB,22,FALSE)</f>
        <v>26.110000210382704</v>
      </c>
      <c r="K182" s="296">
        <f>VLOOKUP($B182,'Maintenance Costs'!$A:$AB,28,FALSE)</f>
        <v>20.103683041395374</v>
      </c>
      <c r="L182" s="297">
        <f t="shared" si="15"/>
        <v>48.682404189278081</v>
      </c>
      <c r="M182">
        <v>78.715677133978929</v>
      </c>
      <c r="N182" s="30">
        <f t="shared" si="16"/>
        <v>-30.033272944700848</v>
      </c>
    </row>
    <row r="183" spans="1:14" x14ac:dyDescent="0.2">
      <c r="A183" s="299" t="s">
        <v>562</v>
      </c>
      <c r="B183" s="298" t="str">
        <f t="shared" si="12"/>
        <v>HPS0090-ST</v>
      </c>
      <c r="C183" s="294" t="str">
        <f>VLOOKUP(LEFT(A183,7),'Tariff Schedule Lookup Table'!$A$8:$G$198,2,FALSE)</f>
        <v>High Pressure Sodium 150</v>
      </c>
      <c r="D183" s="295">
        <f t="shared" si="13"/>
        <v>720</v>
      </c>
      <c r="E183" s="294">
        <f t="shared" si="14"/>
        <v>4</v>
      </c>
      <c r="F183" s="294" t="str">
        <f>VLOOKUP(D183,'Tariff Schedule Lookup Table'!I$7:L$298,2,FALSE)</f>
        <v>HIGH PRESSURE SODIUM 150W</v>
      </c>
      <c r="G183" s="294" t="str">
        <f>IF(F183 = "BULKHEADS ETC", "SHARED OR NO POLE", VLOOKUP(D183,'Tariff Schedule Lookup Table'!I$7:L$298,3,FALSE))</f>
        <v>STEEL POLE</v>
      </c>
      <c r="H183" s="294">
        <f>IF(F183 = "NO CAPITAL", 1, VLOOKUP(D183,'Tariff Schedule Lookup Table'!I$7:L$298,4,FALSE))</f>
        <v>4</v>
      </c>
      <c r="I183" s="296">
        <f>VLOOKUP(G183,'Input data'!$A$68:$B$72,2,FALSE)</f>
        <v>9.8748837500000004</v>
      </c>
      <c r="J183" s="296">
        <f>VLOOKUP($B183,'Maintenance Costs'!$A:$AB,22,FALSE)</f>
        <v>26.110000210382704</v>
      </c>
      <c r="K183" s="296">
        <f>VLOOKUP($B183,'Maintenance Costs'!$A:$AB,28,FALSE)</f>
        <v>20.103683041395374</v>
      </c>
      <c r="L183" s="297">
        <f t="shared" si="15"/>
        <v>48.682404189278081</v>
      </c>
      <c r="M183">
        <v>78.715677133978929</v>
      </c>
      <c r="N183" s="30">
        <f t="shared" si="16"/>
        <v>-30.033272944700848</v>
      </c>
    </row>
    <row r="184" spans="1:14" x14ac:dyDescent="0.2">
      <c r="A184" s="299" t="s">
        <v>1078</v>
      </c>
      <c r="B184" s="298" t="str">
        <f t="shared" si="12"/>
        <v>HPS0090-ST</v>
      </c>
      <c r="C184" s="294" t="str">
        <f>VLOOKUP(LEFT(A184,7),'Tariff Schedule Lookup Table'!$A$8:$G$198,2,FALSE)</f>
        <v>High Pressure Sodium 150</v>
      </c>
      <c r="D184" s="295">
        <f t="shared" si="13"/>
        <v>980</v>
      </c>
      <c r="E184" s="294">
        <f t="shared" si="14"/>
        <v>1</v>
      </c>
      <c r="F184" s="294" t="str">
        <f>VLOOKUP(D184,'Tariff Schedule Lookup Table'!I$7:L$298,2,FALSE)</f>
        <v>HIGH PRESSURE SODIUM 150W</v>
      </c>
      <c r="G184" s="294" t="str">
        <f>IF(F184 = "BULKHEADS ETC", "SHARED OR NO POLE", VLOOKUP(D184,'Tariff Schedule Lookup Table'!I$7:L$298,3,FALSE))</f>
        <v>WOOD POLE</v>
      </c>
      <c r="H184" s="294">
        <f>IF(F184 = "NO CAPITAL", 1, VLOOKUP(D184,'Tariff Schedule Lookup Table'!I$7:L$298,4,FALSE))</f>
        <v>2</v>
      </c>
      <c r="I184" s="296">
        <f>VLOOKUP(G184,'Input data'!$A$68:$B$72,2,FALSE)</f>
        <v>10.809914000000001</v>
      </c>
      <c r="J184" s="296">
        <f>VLOOKUP($B184,'Maintenance Costs'!$A:$AB,22,FALSE)</f>
        <v>26.110000210382704</v>
      </c>
      <c r="K184" s="296">
        <f>VLOOKUP($B184,'Maintenance Costs'!$A:$AB,28,FALSE)</f>
        <v>20.103683041395374</v>
      </c>
      <c r="L184" s="297">
        <f t="shared" si="15"/>
        <v>51.618640251778082</v>
      </c>
      <c r="M184">
        <v>81.65191319647893</v>
      </c>
      <c r="N184" s="30">
        <f t="shared" si="16"/>
        <v>-30.033272944700848</v>
      </c>
    </row>
    <row r="185" spans="1:14" x14ac:dyDescent="0.2">
      <c r="A185" s="299" t="s">
        <v>1079</v>
      </c>
      <c r="B185" s="298" t="str">
        <f t="shared" si="12"/>
        <v>HPS0090-ST</v>
      </c>
      <c r="C185" s="294" t="str">
        <f>VLOOKUP(LEFT(A185,7),'Tariff Schedule Lookup Table'!$A$8:$G$198,2,FALSE)</f>
        <v>High Pressure Sodium 150</v>
      </c>
      <c r="D185" s="295">
        <f t="shared" si="13"/>
        <v>980</v>
      </c>
      <c r="E185" s="294">
        <f t="shared" si="14"/>
        <v>2</v>
      </c>
      <c r="F185" s="294" t="str">
        <f>VLOOKUP(D185,'Tariff Schedule Lookup Table'!I$7:L$298,2,FALSE)</f>
        <v>HIGH PRESSURE SODIUM 150W</v>
      </c>
      <c r="G185" s="294" t="str">
        <f>IF(F185 = "BULKHEADS ETC", "SHARED OR NO POLE", VLOOKUP(D185,'Tariff Schedule Lookup Table'!I$7:L$298,3,FALSE))</f>
        <v>WOOD POLE</v>
      </c>
      <c r="H185" s="294">
        <f>IF(F185 = "NO CAPITAL", 1, VLOOKUP(D185,'Tariff Schedule Lookup Table'!I$7:L$298,4,FALSE))</f>
        <v>2</v>
      </c>
      <c r="I185" s="296">
        <f>VLOOKUP(G185,'Input data'!$A$68:$B$72,2,FALSE)</f>
        <v>10.809914000000001</v>
      </c>
      <c r="J185" s="296">
        <f>VLOOKUP($B185,'Maintenance Costs'!$A:$AB,22,FALSE)</f>
        <v>26.110000210382704</v>
      </c>
      <c r="K185" s="296">
        <f>VLOOKUP($B185,'Maintenance Costs'!$A:$AB,28,FALSE)</f>
        <v>20.103683041395374</v>
      </c>
      <c r="L185" s="297">
        <f t="shared" si="15"/>
        <v>51.618640251778082</v>
      </c>
      <c r="M185">
        <v>81.65191319647893</v>
      </c>
      <c r="N185" s="30">
        <f t="shared" si="16"/>
        <v>-30.033272944700848</v>
      </c>
    </row>
    <row r="186" spans="1:14" x14ac:dyDescent="0.2">
      <c r="A186" s="299" t="s">
        <v>563</v>
      </c>
      <c r="B186" s="298" t="str">
        <f t="shared" si="12"/>
        <v>HPS0090-ST</v>
      </c>
      <c r="C186" s="294" t="str">
        <f>VLOOKUP(LEFT(A186,7),'Tariff Schedule Lookup Table'!$A$8:$G$198,2,FALSE)</f>
        <v>High Pressure Sodium 150</v>
      </c>
      <c r="D186" s="295">
        <f t="shared" si="13"/>
        <v>980</v>
      </c>
      <c r="E186" s="294">
        <f t="shared" si="14"/>
        <v>4</v>
      </c>
      <c r="F186" s="294" t="str">
        <f>VLOOKUP(D186,'Tariff Schedule Lookup Table'!I$7:L$298,2,FALSE)</f>
        <v>HIGH PRESSURE SODIUM 150W</v>
      </c>
      <c r="G186" s="294" t="str">
        <f>IF(F186 = "BULKHEADS ETC", "SHARED OR NO POLE", VLOOKUP(D186,'Tariff Schedule Lookup Table'!I$7:L$298,3,FALSE))</f>
        <v>WOOD POLE</v>
      </c>
      <c r="H186" s="294">
        <f>IF(F186 = "NO CAPITAL", 1, VLOOKUP(D186,'Tariff Schedule Lookup Table'!I$7:L$298,4,FALSE))</f>
        <v>2</v>
      </c>
      <c r="I186" s="296">
        <f>VLOOKUP(G186,'Input data'!$A$68:$B$72,2,FALSE)</f>
        <v>10.809914000000001</v>
      </c>
      <c r="J186" s="296">
        <f>VLOOKUP($B186,'Maintenance Costs'!$A:$AB,22,FALSE)</f>
        <v>26.110000210382704</v>
      </c>
      <c r="K186" s="296">
        <f>VLOOKUP($B186,'Maintenance Costs'!$A:$AB,28,FALSE)</f>
        <v>20.103683041395374</v>
      </c>
      <c r="L186" s="297">
        <f t="shared" si="15"/>
        <v>51.618640251778082</v>
      </c>
      <c r="M186">
        <v>81.65191319647893</v>
      </c>
      <c r="N186" s="30">
        <f t="shared" si="16"/>
        <v>-30.033272944700848</v>
      </c>
    </row>
    <row r="187" spans="1:14" x14ac:dyDescent="0.2">
      <c r="A187" s="299" t="s">
        <v>1080</v>
      </c>
      <c r="B187" s="298" t="str">
        <f t="shared" si="12"/>
        <v>HPS0090-ST</v>
      </c>
      <c r="C187" s="294" t="str">
        <f>VLOOKUP(LEFT(A187,7),'Tariff Schedule Lookup Table'!$A$8:$G$198,2,FALSE)</f>
        <v>High Pressure Sodium 150</v>
      </c>
      <c r="D187" s="295">
        <f t="shared" si="13"/>
        <v>1010</v>
      </c>
      <c r="E187" s="294">
        <f t="shared" si="14"/>
        <v>1</v>
      </c>
      <c r="F187" s="294" t="str">
        <f>VLOOKUP(D187,'Tariff Schedule Lookup Table'!I$7:L$298,2,FALSE)</f>
        <v>HIGH PRESSURE SODIUM 150W</v>
      </c>
      <c r="G187" s="294" t="str">
        <f>IF(F187 = "BULKHEADS ETC", "SHARED OR NO POLE", VLOOKUP(D187,'Tariff Schedule Lookup Table'!I$7:L$298,3,FALSE))</f>
        <v>SHARED OR NO POLE</v>
      </c>
      <c r="H187" s="294">
        <f>IF(F187 = "NO CAPITAL", 1, VLOOKUP(D187,'Tariff Schedule Lookup Table'!I$7:L$298,4,FALSE))</f>
        <v>2</v>
      </c>
      <c r="I187" s="296">
        <f>VLOOKUP(G187,'Input data'!$A$68:$B$72,2,FALSE)</f>
        <v>0</v>
      </c>
      <c r="J187" s="296">
        <f>VLOOKUP($B187,'Maintenance Costs'!$A:$AB,22,FALSE)</f>
        <v>26.110000210382704</v>
      </c>
      <c r="K187" s="296">
        <f>VLOOKUP($B187,'Maintenance Costs'!$A:$AB,28,FALSE)</f>
        <v>20.103683041395374</v>
      </c>
      <c r="L187" s="297">
        <f t="shared" si="15"/>
        <v>46.213683251778079</v>
      </c>
      <c r="M187">
        <v>76.246956196478934</v>
      </c>
      <c r="N187" s="30">
        <f t="shared" si="16"/>
        <v>-30.033272944700855</v>
      </c>
    </row>
    <row r="188" spans="1:14" x14ac:dyDescent="0.2">
      <c r="A188" s="299" t="s">
        <v>1081</v>
      </c>
      <c r="B188" s="298" t="str">
        <f t="shared" si="12"/>
        <v>HPS0090-ST</v>
      </c>
      <c r="C188" s="294" t="str">
        <f>VLOOKUP(LEFT(A188,7),'Tariff Schedule Lookup Table'!$A$8:$G$198,2,FALSE)</f>
        <v>High Pressure Sodium 150</v>
      </c>
      <c r="D188" s="295">
        <f t="shared" si="13"/>
        <v>1010</v>
      </c>
      <c r="E188" s="294">
        <f t="shared" si="14"/>
        <v>2</v>
      </c>
      <c r="F188" s="294" t="str">
        <f>VLOOKUP(D188,'Tariff Schedule Lookup Table'!I$7:L$298,2,FALSE)</f>
        <v>HIGH PRESSURE SODIUM 150W</v>
      </c>
      <c r="G188" s="294" t="str">
        <f>IF(F188 = "BULKHEADS ETC", "SHARED OR NO POLE", VLOOKUP(D188,'Tariff Schedule Lookup Table'!I$7:L$298,3,FALSE))</f>
        <v>SHARED OR NO POLE</v>
      </c>
      <c r="H188" s="294">
        <f>IF(F188 = "NO CAPITAL", 1, VLOOKUP(D188,'Tariff Schedule Lookup Table'!I$7:L$298,4,FALSE))</f>
        <v>2</v>
      </c>
      <c r="I188" s="296">
        <f>VLOOKUP(G188,'Input data'!$A$68:$B$72,2,FALSE)</f>
        <v>0</v>
      </c>
      <c r="J188" s="296">
        <f>VLOOKUP($B188,'Maintenance Costs'!$A:$AB,22,FALSE)</f>
        <v>26.110000210382704</v>
      </c>
      <c r="K188" s="296">
        <f>VLOOKUP($B188,'Maintenance Costs'!$A:$AB,28,FALSE)</f>
        <v>20.103683041395374</v>
      </c>
      <c r="L188" s="297">
        <f t="shared" si="15"/>
        <v>46.213683251778079</v>
      </c>
      <c r="M188">
        <v>76.246956196478934</v>
      </c>
      <c r="N188" s="30">
        <f t="shared" si="16"/>
        <v>-30.033272944700855</v>
      </c>
    </row>
    <row r="189" spans="1:14" x14ac:dyDescent="0.2">
      <c r="A189" s="299" t="s">
        <v>564</v>
      </c>
      <c r="B189" s="298" t="str">
        <f t="shared" si="12"/>
        <v>HPS0090-ST</v>
      </c>
      <c r="C189" s="294" t="str">
        <f>VLOOKUP(LEFT(A189,7),'Tariff Schedule Lookup Table'!$A$8:$G$198,2,FALSE)</f>
        <v>High Pressure Sodium 150</v>
      </c>
      <c r="D189" s="295">
        <f t="shared" si="13"/>
        <v>1010</v>
      </c>
      <c r="E189" s="294">
        <f t="shared" si="14"/>
        <v>4</v>
      </c>
      <c r="F189" s="294" t="str">
        <f>VLOOKUP(D189,'Tariff Schedule Lookup Table'!I$7:L$298,2,FALSE)</f>
        <v>HIGH PRESSURE SODIUM 150W</v>
      </c>
      <c r="G189" s="294" t="str">
        <f>IF(F189 = "BULKHEADS ETC", "SHARED OR NO POLE", VLOOKUP(D189,'Tariff Schedule Lookup Table'!I$7:L$298,3,FALSE))</f>
        <v>SHARED OR NO POLE</v>
      </c>
      <c r="H189" s="294">
        <f>IF(F189 = "NO CAPITAL", 1, VLOOKUP(D189,'Tariff Schedule Lookup Table'!I$7:L$298,4,FALSE))</f>
        <v>2</v>
      </c>
      <c r="I189" s="296">
        <f>VLOOKUP(G189,'Input data'!$A$68:$B$72,2,FALSE)</f>
        <v>0</v>
      </c>
      <c r="J189" s="296">
        <f>VLOOKUP($B189,'Maintenance Costs'!$A:$AB,22,FALSE)</f>
        <v>26.110000210382704</v>
      </c>
      <c r="K189" s="296">
        <f>VLOOKUP($B189,'Maintenance Costs'!$A:$AB,28,FALSE)</f>
        <v>20.103683041395374</v>
      </c>
      <c r="L189" s="297">
        <f t="shared" si="15"/>
        <v>46.213683251778079</v>
      </c>
      <c r="M189">
        <v>76.246956196478934</v>
      </c>
      <c r="N189" s="30">
        <f t="shared" si="16"/>
        <v>-30.033272944700855</v>
      </c>
    </row>
    <row r="190" spans="1:14" x14ac:dyDescent="0.2">
      <c r="A190" s="299" t="s">
        <v>1083</v>
      </c>
      <c r="B190" s="298" t="str">
        <f t="shared" si="12"/>
        <v>HPS0090-ST</v>
      </c>
      <c r="C190" s="294" t="str">
        <f>VLOOKUP(LEFT(A190,7),'Tariff Schedule Lookup Table'!$A$8:$G$198,2,FALSE)</f>
        <v>High Pressure Sodium 150</v>
      </c>
      <c r="D190" s="295">
        <f t="shared" si="13"/>
        <v>1360</v>
      </c>
      <c r="E190" s="294">
        <f t="shared" si="14"/>
        <v>1</v>
      </c>
      <c r="F190" s="294" t="str">
        <f>VLOOKUP(D190,'Tariff Schedule Lookup Table'!I$7:L$298,2,FALSE)</f>
        <v>HIGH PRESSURE SODIUM 150W</v>
      </c>
      <c r="G190" s="294" t="str">
        <f>IF(F190 = "BULKHEADS ETC", "SHARED OR NO POLE", VLOOKUP(D190,'Tariff Schedule Lookup Table'!I$7:L$298,3,FALSE))</f>
        <v>R/BOUT COLUMN</v>
      </c>
      <c r="H190" s="294">
        <f>IF(F190 = "NO CAPITAL", 1, VLOOKUP(D190,'Tariff Schedule Lookup Table'!I$7:L$298,4,FALSE))</f>
        <v>3</v>
      </c>
      <c r="I190" s="296">
        <f>VLOOKUP(G190,'Input data'!$A$68:$B$72,2,FALSE)</f>
        <v>9.8748837500000004</v>
      </c>
      <c r="J190" s="296">
        <f>VLOOKUP($B190,'Maintenance Costs'!$A:$AB,22,FALSE)</f>
        <v>26.110000210382704</v>
      </c>
      <c r="K190" s="296">
        <f>VLOOKUP($B190,'Maintenance Costs'!$A:$AB,28,FALSE)</f>
        <v>20.103683041395374</v>
      </c>
      <c r="L190" s="297">
        <f t="shared" si="15"/>
        <v>49.505311168444749</v>
      </c>
      <c r="M190">
        <v>79.538584113145603</v>
      </c>
      <c r="N190" s="30">
        <f t="shared" si="16"/>
        <v>-30.033272944700855</v>
      </c>
    </row>
    <row r="191" spans="1:14" x14ac:dyDescent="0.2">
      <c r="A191" s="299" t="s">
        <v>1084</v>
      </c>
      <c r="B191" s="298" t="str">
        <f t="shared" si="12"/>
        <v>HPS0090-ST</v>
      </c>
      <c r="C191" s="294" t="str">
        <f>VLOOKUP(LEFT(A191,7),'Tariff Schedule Lookup Table'!$A$8:$G$198,2,FALSE)</f>
        <v>High Pressure Sodium 150</v>
      </c>
      <c r="D191" s="295">
        <f t="shared" si="13"/>
        <v>1360</v>
      </c>
      <c r="E191" s="294">
        <f t="shared" si="14"/>
        <v>2</v>
      </c>
      <c r="F191" s="294" t="str">
        <f>VLOOKUP(D191,'Tariff Schedule Lookup Table'!I$7:L$298,2,FALSE)</f>
        <v>HIGH PRESSURE SODIUM 150W</v>
      </c>
      <c r="G191" s="294" t="str">
        <f>IF(F191 = "BULKHEADS ETC", "SHARED OR NO POLE", VLOOKUP(D191,'Tariff Schedule Lookup Table'!I$7:L$298,3,FALSE))</f>
        <v>R/BOUT COLUMN</v>
      </c>
      <c r="H191" s="294">
        <f>IF(F191 = "NO CAPITAL", 1, VLOOKUP(D191,'Tariff Schedule Lookup Table'!I$7:L$298,4,FALSE))</f>
        <v>3</v>
      </c>
      <c r="I191" s="296">
        <f>VLOOKUP(G191,'Input data'!$A$68:$B$72,2,FALSE)</f>
        <v>9.8748837500000004</v>
      </c>
      <c r="J191" s="296">
        <f>VLOOKUP($B191,'Maintenance Costs'!$A:$AB,22,FALSE)</f>
        <v>26.110000210382704</v>
      </c>
      <c r="K191" s="296">
        <f>VLOOKUP($B191,'Maintenance Costs'!$A:$AB,28,FALSE)</f>
        <v>20.103683041395374</v>
      </c>
      <c r="L191" s="297">
        <f t="shared" si="15"/>
        <v>49.505311168444749</v>
      </c>
      <c r="M191">
        <v>79.538584113145603</v>
      </c>
      <c r="N191" s="30">
        <f t="shared" si="16"/>
        <v>-30.033272944700855</v>
      </c>
    </row>
    <row r="192" spans="1:14" x14ac:dyDescent="0.2">
      <c r="A192" s="299" t="s">
        <v>565</v>
      </c>
      <c r="B192" s="298" t="str">
        <f t="shared" si="12"/>
        <v>HPS0090-ST</v>
      </c>
      <c r="C192" s="294" t="str">
        <f>VLOOKUP(LEFT(A192,7),'Tariff Schedule Lookup Table'!$A$8:$G$198,2,FALSE)</f>
        <v>High Pressure Sodium 150</v>
      </c>
      <c r="D192" s="295">
        <f t="shared" si="13"/>
        <v>1360</v>
      </c>
      <c r="E192" s="294">
        <f t="shared" si="14"/>
        <v>4</v>
      </c>
      <c r="F192" s="294" t="str">
        <f>VLOOKUP(D192,'Tariff Schedule Lookup Table'!I$7:L$298,2,FALSE)</f>
        <v>HIGH PRESSURE SODIUM 150W</v>
      </c>
      <c r="G192" s="294" t="str">
        <f>IF(F192 = "BULKHEADS ETC", "SHARED OR NO POLE", VLOOKUP(D192,'Tariff Schedule Lookup Table'!I$7:L$298,3,FALSE))</f>
        <v>R/BOUT COLUMN</v>
      </c>
      <c r="H192" s="294">
        <f>IF(F192 = "NO CAPITAL", 1, VLOOKUP(D192,'Tariff Schedule Lookup Table'!I$7:L$298,4,FALSE))</f>
        <v>3</v>
      </c>
      <c r="I192" s="296">
        <f>VLOOKUP(G192,'Input data'!$A$68:$B$72,2,FALSE)</f>
        <v>9.8748837500000004</v>
      </c>
      <c r="J192" s="296">
        <f>VLOOKUP($B192,'Maintenance Costs'!$A:$AB,22,FALSE)</f>
        <v>26.110000210382704</v>
      </c>
      <c r="K192" s="296">
        <f>VLOOKUP($B192,'Maintenance Costs'!$A:$AB,28,FALSE)</f>
        <v>20.103683041395374</v>
      </c>
      <c r="L192" s="297">
        <f t="shared" si="15"/>
        <v>49.505311168444749</v>
      </c>
      <c r="M192">
        <v>79.538584113145603</v>
      </c>
      <c r="N192" s="30">
        <f t="shared" si="16"/>
        <v>-30.033272944700855</v>
      </c>
    </row>
    <row r="193" spans="1:14" x14ac:dyDescent="0.2">
      <c r="A193" s="299" t="s">
        <v>1085</v>
      </c>
      <c r="B193" s="298" t="str">
        <f t="shared" si="12"/>
        <v>HPS0090-ST</v>
      </c>
      <c r="C193" s="294" t="str">
        <f>VLOOKUP(LEFT(A193,7),'Tariff Schedule Lookup Table'!$A$8:$G$198,2,FALSE)</f>
        <v>High Pressure Sodium 150</v>
      </c>
      <c r="D193" s="295">
        <f t="shared" si="13"/>
        <v>1370</v>
      </c>
      <c r="E193" s="294">
        <f t="shared" si="14"/>
        <v>2</v>
      </c>
      <c r="F193" s="294" t="str">
        <f>VLOOKUP(D193,'Tariff Schedule Lookup Table'!I$7:L$298,2,FALSE)</f>
        <v>HIGH PRESSURE SODIUM 150W</v>
      </c>
      <c r="G193" s="294" t="str">
        <f>IF(F193 = "BULKHEADS ETC", "SHARED OR NO POLE", VLOOKUP(D193,'Tariff Schedule Lookup Table'!I$7:L$298,3,FALSE))</f>
        <v>R/BOUT COLUMN</v>
      </c>
      <c r="H193" s="294">
        <f>IF(F193 = "NO CAPITAL", 1, VLOOKUP(D193,'Tariff Schedule Lookup Table'!I$7:L$298,4,FALSE))</f>
        <v>4</v>
      </c>
      <c r="I193" s="296">
        <f>VLOOKUP(G193,'Input data'!$A$68:$B$72,2,FALSE)</f>
        <v>9.8748837500000004</v>
      </c>
      <c r="J193" s="296">
        <f>VLOOKUP($B193,'Maintenance Costs'!$A:$AB,22,FALSE)</f>
        <v>26.110000210382704</v>
      </c>
      <c r="K193" s="296">
        <f>VLOOKUP($B193,'Maintenance Costs'!$A:$AB,28,FALSE)</f>
        <v>20.103683041395374</v>
      </c>
      <c r="L193" s="297">
        <f t="shared" si="15"/>
        <v>48.682404189278081</v>
      </c>
      <c r="M193">
        <v>78.715677133978929</v>
      </c>
      <c r="N193" s="30">
        <f t="shared" si="16"/>
        <v>-30.033272944700848</v>
      </c>
    </row>
    <row r="194" spans="1:14" x14ac:dyDescent="0.2">
      <c r="A194" s="299" t="s">
        <v>1086</v>
      </c>
      <c r="B194" s="298" t="str">
        <f t="shared" si="12"/>
        <v>HPS0090-TA</v>
      </c>
      <c r="C194" s="294" t="str">
        <f>VLOOKUP(LEFT(A194,7),'Tariff Schedule Lookup Table'!$A$8:$G$198,2,FALSE)</f>
        <v>High Pressure Sodium 150</v>
      </c>
      <c r="D194" s="295">
        <f t="shared" si="13"/>
        <v>50</v>
      </c>
      <c r="E194" s="294">
        <f t="shared" si="14"/>
        <v>1</v>
      </c>
      <c r="F194" s="294" t="str">
        <f>VLOOKUP(D194,'Tariff Schedule Lookup Table'!I$7:L$298,2,FALSE)</f>
        <v>HIGH PRESSURE SODIUM 150W</v>
      </c>
      <c r="G194" s="294" t="str">
        <f>IF(F194 = "BULKHEADS ETC", "SHARED OR NO POLE", VLOOKUP(D194,'Tariff Schedule Lookup Table'!I$7:L$298,3,FALSE))</f>
        <v>SHARED OR NO POLE</v>
      </c>
      <c r="H194" s="294">
        <f>IF(F194 = "NO CAPITAL", 1, VLOOKUP(D194,'Tariff Schedule Lookup Table'!I$7:L$298,4,FALSE))</f>
        <v>1</v>
      </c>
      <c r="I194" s="296">
        <f>VLOOKUP(G194,'Input data'!$A$68:$B$72,2,FALSE)</f>
        <v>0</v>
      </c>
      <c r="J194" s="296">
        <f>VLOOKUP($B194,'Maintenance Costs'!$A:$AB,22,FALSE)</f>
        <v>27.628057742626627</v>
      </c>
      <c r="K194" s="296">
        <f>VLOOKUP($B194,'Maintenance Costs'!$A:$AB,28,FALSE)</f>
        <v>26.941682041395374</v>
      </c>
      <c r="L194" s="297">
        <f t="shared" si="15"/>
        <v>54.569739784022005</v>
      </c>
      <c r="M194">
        <v>76.440928211790037</v>
      </c>
      <c r="N194" s="30">
        <f t="shared" si="16"/>
        <v>-21.871188427768033</v>
      </c>
    </row>
    <row r="195" spans="1:14" x14ac:dyDescent="0.2">
      <c r="A195" s="299" t="s">
        <v>1087</v>
      </c>
      <c r="B195" s="298" t="str">
        <f t="shared" si="12"/>
        <v>HPS0090-TA</v>
      </c>
      <c r="C195" s="294" t="str">
        <f>VLOOKUP(LEFT(A195,7),'Tariff Schedule Lookup Table'!$A$8:$G$198,2,FALSE)</f>
        <v>High Pressure Sodium 150</v>
      </c>
      <c r="D195" s="295">
        <f t="shared" si="13"/>
        <v>50</v>
      </c>
      <c r="E195" s="294">
        <f t="shared" si="14"/>
        <v>2</v>
      </c>
      <c r="F195" s="294" t="str">
        <f>VLOOKUP(D195,'Tariff Schedule Lookup Table'!I$7:L$298,2,FALSE)</f>
        <v>HIGH PRESSURE SODIUM 150W</v>
      </c>
      <c r="G195" s="294" t="str">
        <f>IF(F195 = "BULKHEADS ETC", "SHARED OR NO POLE", VLOOKUP(D195,'Tariff Schedule Lookup Table'!I$7:L$298,3,FALSE))</f>
        <v>SHARED OR NO POLE</v>
      </c>
      <c r="H195" s="294">
        <f>IF(F195 = "NO CAPITAL", 1, VLOOKUP(D195,'Tariff Schedule Lookup Table'!I$7:L$298,4,FALSE))</f>
        <v>1</v>
      </c>
      <c r="I195" s="296">
        <f>VLOOKUP(G195,'Input data'!$A$68:$B$72,2,FALSE)</f>
        <v>0</v>
      </c>
      <c r="J195" s="296">
        <f>VLOOKUP($B195,'Maintenance Costs'!$A:$AB,22,FALSE)</f>
        <v>27.628057742626627</v>
      </c>
      <c r="K195" s="296">
        <f>VLOOKUP($B195,'Maintenance Costs'!$A:$AB,28,FALSE)</f>
        <v>26.941682041395374</v>
      </c>
      <c r="L195" s="297">
        <f t="shared" si="15"/>
        <v>54.569739784022005</v>
      </c>
      <c r="M195">
        <v>76.440928211790037</v>
      </c>
      <c r="N195" s="30">
        <f t="shared" si="16"/>
        <v>-21.871188427768033</v>
      </c>
    </row>
    <row r="196" spans="1:14" x14ac:dyDescent="0.2">
      <c r="A196" s="299" t="s">
        <v>566</v>
      </c>
      <c r="B196" s="298" t="str">
        <f t="shared" si="12"/>
        <v>HPS0090-TA</v>
      </c>
      <c r="C196" s="294" t="str">
        <f>VLOOKUP(LEFT(A196,7),'Tariff Schedule Lookup Table'!$A$8:$G$198,2,FALSE)</f>
        <v>High Pressure Sodium 150</v>
      </c>
      <c r="D196" s="295">
        <f t="shared" si="13"/>
        <v>50</v>
      </c>
      <c r="E196" s="294">
        <f t="shared" si="14"/>
        <v>4</v>
      </c>
      <c r="F196" s="294" t="str">
        <f>VLOOKUP(D196,'Tariff Schedule Lookup Table'!I$7:L$298,2,FALSE)</f>
        <v>HIGH PRESSURE SODIUM 150W</v>
      </c>
      <c r="G196" s="294" t="str">
        <f>IF(F196 = "BULKHEADS ETC", "SHARED OR NO POLE", VLOOKUP(D196,'Tariff Schedule Lookup Table'!I$7:L$298,3,FALSE))</f>
        <v>SHARED OR NO POLE</v>
      </c>
      <c r="H196" s="294">
        <f>IF(F196 = "NO CAPITAL", 1, VLOOKUP(D196,'Tariff Schedule Lookup Table'!I$7:L$298,4,FALSE))</f>
        <v>1</v>
      </c>
      <c r="I196" s="296">
        <f>VLOOKUP(G196,'Input data'!$A$68:$B$72,2,FALSE)</f>
        <v>0</v>
      </c>
      <c r="J196" s="296">
        <f>VLOOKUP($B196,'Maintenance Costs'!$A:$AB,22,FALSE)</f>
        <v>27.628057742626627</v>
      </c>
      <c r="K196" s="296">
        <f>VLOOKUP($B196,'Maintenance Costs'!$A:$AB,28,FALSE)</f>
        <v>26.941682041395374</v>
      </c>
      <c r="L196" s="297">
        <f t="shared" si="15"/>
        <v>54.569739784022005</v>
      </c>
      <c r="M196">
        <v>76.440928211790037</v>
      </c>
      <c r="N196" s="30">
        <f t="shared" si="16"/>
        <v>-21.871188427768033</v>
      </c>
    </row>
    <row r="197" spans="1:14" x14ac:dyDescent="0.2">
      <c r="A197" s="299" t="s">
        <v>1089</v>
      </c>
      <c r="B197" s="298" t="str">
        <f t="shared" si="12"/>
        <v>HPS0090-TA</v>
      </c>
      <c r="C197" s="294" t="str">
        <f>VLOOKUP(LEFT(A197,7),'Tariff Schedule Lookup Table'!$A$8:$G$198,2,FALSE)</f>
        <v>High Pressure Sodium 150</v>
      </c>
      <c r="D197" s="295">
        <f t="shared" si="13"/>
        <v>220</v>
      </c>
      <c r="E197" s="294">
        <f t="shared" si="14"/>
        <v>1</v>
      </c>
      <c r="F197" s="294" t="str">
        <f>VLOOKUP(D197,'Tariff Schedule Lookup Table'!I$7:L$298,2,FALSE)</f>
        <v>HIGH PRESSURE SODIUM 150W</v>
      </c>
      <c r="G197" s="294" t="str">
        <f>IF(F197 = "BULKHEADS ETC", "SHARED OR NO POLE", VLOOKUP(D197,'Tariff Schedule Lookup Table'!I$7:L$298,3,FALSE))</f>
        <v>WOOD POLE</v>
      </c>
      <c r="H197" s="294">
        <f>IF(F197 = "NO CAPITAL", 1, VLOOKUP(D197,'Tariff Schedule Lookup Table'!I$7:L$298,4,FALSE))</f>
        <v>1</v>
      </c>
      <c r="I197" s="296">
        <f>VLOOKUP(G197,'Input data'!$A$68:$B$72,2,FALSE)</f>
        <v>10.809914000000001</v>
      </c>
      <c r="J197" s="296">
        <f>VLOOKUP($B197,'Maintenance Costs'!$A:$AB,22,FALSE)</f>
        <v>27.628057742626627</v>
      </c>
      <c r="K197" s="296">
        <f>VLOOKUP($B197,'Maintenance Costs'!$A:$AB,28,FALSE)</f>
        <v>26.941682041395374</v>
      </c>
      <c r="L197" s="297">
        <f t="shared" si="15"/>
        <v>65.379653784022011</v>
      </c>
      <c r="M197">
        <v>87.250842211790044</v>
      </c>
      <c r="N197" s="30">
        <f t="shared" si="16"/>
        <v>-21.871188427768033</v>
      </c>
    </row>
    <row r="198" spans="1:14" x14ac:dyDescent="0.2">
      <c r="A198" s="299" t="s">
        <v>1090</v>
      </c>
      <c r="B198" s="298" t="str">
        <f t="shared" si="12"/>
        <v>HPS0090-TA</v>
      </c>
      <c r="C198" s="294" t="str">
        <f>VLOOKUP(LEFT(A198,7),'Tariff Schedule Lookup Table'!$A$8:$G$198,2,FALSE)</f>
        <v>High Pressure Sodium 150</v>
      </c>
      <c r="D198" s="295">
        <f t="shared" si="13"/>
        <v>220</v>
      </c>
      <c r="E198" s="294">
        <f t="shared" si="14"/>
        <v>2</v>
      </c>
      <c r="F198" s="294" t="str">
        <f>VLOOKUP(D198,'Tariff Schedule Lookup Table'!I$7:L$298,2,FALSE)</f>
        <v>HIGH PRESSURE SODIUM 150W</v>
      </c>
      <c r="G198" s="294" t="str">
        <f>IF(F198 = "BULKHEADS ETC", "SHARED OR NO POLE", VLOOKUP(D198,'Tariff Schedule Lookup Table'!I$7:L$298,3,FALSE))</f>
        <v>WOOD POLE</v>
      </c>
      <c r="H198" s="294">
        <f>IF(F198 = "NO CAPITAL", 1, VLOOKUP(D198,'Tariff Schedule Lookup Table'!I$7:L$298,4,FALSE))</f>
        <v>1</v>
      </c>
      <c r="I198" s="296">
        <f>VLOOKUP(G198,'Input data'!$A$68:$B$72,2,FALSE)</f>
        <v>10.809914000000001</v>
      </c>
      <c r="J198" s="296">
        <f>VLOOKUP($B198,'Maintenance Costs'!$A:$AB,22,FALSE)</f>
        <v>27.628057742626627</v>
      </c>
      <c r="K198" s="296">
        <f>VLOOKUP($B198,'Maintenance Costs'!$A:$AB,28,FALSE)</f>
        <v>26.941682041395374</v>
      </c>
      <c r="L198" s="297">
        <f t="shared" si="15"/>
        <v>65.379653784022011</v>
      </c>
      <c r="M198">
        <v>87.250842211790044</v>
      </c>
      <c r="N198" s="30">
        <f t="shared" si="16"/>
        <v>-21.871188427768033</v>
      </c>
    </row>
    <row r="199" spans="1:14" x14ac:dyDescent="0.2">
      <c r="A199" s="299" t="s">
        <v>1091</v>
      </c>
      <c r="B199" s="298" t="str">
        <f t="shared" si="12"/>
        <v>HPS0090-TA</v>
      </c>
      <c r="C199" s="294" t="str">
        <f>VLOOKUP(LEFT(A199,7),'Tariff Schedule Lookup Table'!$A$8:$G$198,2,FALSE)</f>
        <v>High Pressure Sodium 150</v>
      </c>
      <c r="D199" s="295">
        <f t="shared" si="13"/>
        <v>220</v>
      </c>
      <c r="E199" s="294">
        <f t="shared" si="14"/>
        <v>3</v>
      </c>
      <c r="F199" s="294" t="str">
        <f>VLOOKUP(D199,'Tariff Schedule Lookup Table'!I$7:L$298,2,FALSE)</f>
        <v>HIGH PRESSURE SODIUM 150W</v>
      </c>
      <c r="G199" s="294" t="str">
        <f>IF(F199 = "BULKHEADS ETC", "SHARED OR NO POLE", VLOOKUP(D199,'Tariff Schedule Lookup Table'!I$7:L$298,3,FALSE))</f>
        <v>WOOD POLE</v>
      </c>
      <c r="H199" s="294">
        <f>IF(F199 = "NO CAPITAL", 1, VLOOKUP(D199,'Tariff Schedule Lookup Table'!I$7:L$298,4,FALSE))</f>
        <v>1</v>
      </c>
      <c r="I199" s="296">
        <f>VLOOKUP(G199,'Input data'!$A$68:$B$72,2,FALSE)</f>
        <v>10.809914000000001</v>
      </c>
      <c r="J199" s="296">
        <f>VLOOKUP($B199,'Maintenance Costs'!$A:$AB,22,FALSE)</f>
        <v>27.628057742626627</v>
      </c>
      <c r="K199" s="296">
        <f>VLOOKUP($B199,'Maintenance Costs'!$A:$AB,28,FALSE)</f>
        <v>26.941682041395374</v>
      </c>
      <c r="L199" s="297">
        <f t="shared" si="15"/>
        <v>65.379653784022011</v>
      </c>
      <c r="M199">
        <v>87.250842211790044</v>
      </c>
      <c r="N199" s="30">
        <f t="shared" si="16"/>
        <v>-21.871188427768033</v>
      </c>
    </row>
    <row r="200" spans="1:14" x14ac:dyDescent="0.2">
      <c r="A200" s="299" t="s">
        <v>1093</v>
      </c>
      <c r="B200" s="298" t="str">
        <f t="shared" si="12"/>
        <v>HPS0090-TA</v>
      </c>
      <c r="C200" s="294" t="str">
        <f>VLOOKUP(LEFT(A200,7),'Tariff Schedule Lookup Table'!$A$8:$G$198,2,FALSE)</f>
        <v>High Pressure Sodium 150</v>
      </c>
      <c r="D200" s="295">
        <f t="shared" si="13"/>
        <v>310</v>
      </c>
      <c r="E200" s="294">
        <f t="shared" si="14"/>
        <v>1</v>
      </c>
      <c r="F200" s="294" t="str">
        <f>VLOOKUP(D200,'Tariff Schedule Lookup Table'!I$7:L$298,2,FALSE)</f>
        <v>HIGH PRESSURE SODIUM 150W</v>
      </c>
      <c r="G200" s="294" t="str">
        <f>IF(F200 = "BULKHEADS ETC", "SHARED OR NO POLE", VLOOKUP(D200,'Tariff Schedule Lookup Table'!I$7:L$298,3,FALSE))</f>
        <v>STEEL POLE</v>
      </c>
      <c r="H200" s="294">
        <f>IF(F200 = "NO CAPITAL", 1, VLOOKUP(D200,'Tariff Schedule Lookup Table'!I$7:L$298,4,FALSE))</f>
        <v>1</v>
      </c>
      <c r="I200" s="296">
        <f>VLOOKUP(G200,'Input data'!$A$68:$B$72,2,FALSE)</f>
        <v>9.8748837500000004</v>
      </c>
      <c r="J200" s="296">
        <f>VLOOKUP($B200,'Maintenance Costs'!$A:$AB,22,FALSE)</f>
        <v>27.628057742626627</v>
      </c>
      <c r="K200" s="296">
        <f>VLOOKUP($B200,'Maintenance Costs'!$A:$AB,28,FALSE)</f>
        <v>26.941682041395374</v>
      </c>
      <c r="L200" s="297">
        <f t="shared" si="15"/>
        <v>64.444623534022</v>
      </c>
      <c r="M200">
        <v>86.315811961790033</v>
      </c>
      <c r="N200" s="30">
        <f t="shared" si="16"/>
        <v>-21.871188427768033</v>
      </c>
    </row>
    <row r="201" spans="1:14" x14ac:dyDescent="0.2">
      <c r="A201" s="299" t="s">
        <v>1094</v>
      </c>
      <c r="B201" s="298" t="str">
        <f t="shared" si="12"/>
        <v>HPS0090-TA</v>
      </c>
      <c r="C201" s="294" t="str">
        <f>VLOOKUP(LEFT(A201,7),'Tariff Schedule Lookup Table'!$A$8:$G$198,2,FALSE)</f>
        <v>High Pressure Sodium 150</v>
      </c>
      <c r="D201" s="295">
        <f t="shared" si="13"/>
        <v>310</v>
      </c>
      <c r="E201" s="294">
        <f t="shared" si="14"/>
        <v>2</v>
      </c>
      <c r="F201" s="294" t="str">
        <f>VLOOKUP(D201,'Tariff Schedule Lookup Table'!I$7:L$298,2,FALSE)</f>
        <v>HIGH PRESSURE SODIUM 150W</v>
      </c>
      <c r="G201" s="294" t="str">
        <f>IF(F201 = "BULKHEADS ETC", "SHARED OR NO POLE", VLOOKUP(D201,'Tariff Schedule Lookup Table'!I$7:L$298,3,FALSE))</f>
        <v>STEEL POLE</v>
      </c>
      <c r="H201" s="294">
        <f>IF(F201 = "NO CAPITAL", 1, VLOOKUP(D201,'Tariff Schedule Lookup Table'!I$7:L$298,4,FALSE))</f>
        <v>1</v>
      </c>
      <c r="I201" s="296">
        <f>VLOOKUP(G201,'Input data'!$A$68:$B$72,2,FALSE)</f>
        <v>9.8748837500000004</v>
      </c>
      <c r="J201" s="296">
        <f>VLOOKUP($B201,'Maintenance Costs'!$A:$AB,22,FALSE)</f>
        <v>27.628057742626627</v>
      </c>
      <c r="K201" s="296">
        <f>VLOOKUP($B201,'Maintenance Costs'!$A:$AB,28,FALSE)</f>
        <v>26.941682041395374</v>
      </c>
      <c r="L201" s="297">
        <f t="shared" si="15"/>
        <v>64.444623534022</v>
      </c>
      <c r="M201">
        <v>86.315811961790033</v>
      </c>
      <c r="N201" s="30">
        <f t="shared" si="16"/>
        <v>-21.871188427768033</v>
      </c>
    </row>
    <row r="202" spans="1:14" x14ac:dyDescent="0.2">
      <c r="A202" s="299" t="s">
        <v>1095</v>
      </c>
      <c r="B202" s="298" t="str">
        <f t="shared" ref="B202:B265" si="17">LEFT(A202,10)</f>
        <v>HPS0090-TA</v>
      </c>
      <c r="C202" s="294" t="str">
        <f>VLOOKUP(LEFT(A202,7),'Tariff Schedule Lookup Table'!$A$8:$G$198,2,FALSE)</f>
        <v>High Pressure Sodium 150</v>
      </c>
      <c r="D202" s="295">
        <f t="shared" ref="D202:D265" si="18">1*MID(A202,12,4)</f>
        <v>310</v>
      </c>
      <c r="E202" s="294">
        <f t="shared" ref="E202:E265" si="19">1*(MID(A202,17,3))</f>
        <v>3</v>
      </c>
      <c r="F202" s="294" t="str">
        <f>VLOOKUP(D202,'Tariff Schedule Lookup Table'!I$7:L$298,2,FALSE)</f>
        <v>HIGH PRESSURE SODIUM 150W</v>
      </c>
      <c r="G202" s="294" t="str">
        <f>IF(F202 = "BULKHEADS ETC", "SHARED OR NO POLE", VLOOKUP(D202,'Tariff Schedule Lookup Table'!I$7:L$298,3,FALSE))</f>
        <v>STEEL POLE</v>
      </c>
      <c r="H202" s="294">
        <f>IF(F202 = "NO CAPITAL", 1, VLOOKUP(D202,'Tariff Schedule Lookup Table'!I$7:L$298,4,FALSE))</f>
        <v>1</v>
      </c>
      <c r="I202" s="296">
        <f>VLOOKUP(G202,'Input data'!$A$68:$B$72,2,FALSE)</f>
        <v>9.8748837500000004</v>
      </c>
      <c r="J202" s="296">
        <f>VLOOKUP($B202,'Maintenance Costs'!$A:$AB,22,FALSE)</f>
        <v>27.628057742626627</v>
      </c>
      <c r="K202" s="296">
        <f>VLOOKUP($B202,'Maintenance Costs'!$A:$AB,28,FALSE)</f>
        <v>26.941682041395374</v>
      </c>
      <c r="L202" s="297">
        <f t="shared" ref="L202:L265" si="20">K202+J202+I202/H202</f>
        <v>64.444623534022</v>
      </c>
      <c r="M202">
        <v>86.315811961790033</v>
      </c>
      <c r="N202" s="30">
        <f t="shared" si="16"/>
        <v>-21.871188427768033</v>
      </c>
    </row>
    <row r="203" spans="1:14" x14ac:dyDescent="0.2">
      <c r="A203" s="299" t="s">
        <v>822</v>
      </c>
      <c r="B203" s="298" t="str">
        <f t="shared" si="17"/>
        <v>HPS0090-TA</v>
      </c>
      <c r="C203" s="294" t="str">
        <f>VLOOKUP(LEFT(A203,7),'Tariff Schedule Lookup Table'!$A$8:$G$198,2,FALSE)</f>
        <v>High Pressure Sodium 150</v>
      </c>
      <c r="D203" s="295">
        <f t="shared" si="18"/>
        <v>310</v>
      </c>
      <c r="E203" s="294">
        <f t="shared" si="19"/>
        <v>4</v>
      </c>
      <c r="F203" s="294" t="str">
        <f>VLOOKUP(D203,'Tariff Schedule Lookup Table'!I$7:L$298,2,FALSE)</f>
        <v>HIGH PRESSURE SODIUM 150W</v>
      </c>
      <c r="G203" s="294" t="str">
        <f>IF(F203 = "BULKHEADS ETC", "SHARED OR NO POLE", VLOOKUP(D203,'Tariff Schedule Lookup Table'!I$7:L$298,3,FALSE))</f>
        <v>STEEL POLE</v>
      </c>
      <c r="H203" s="294">
        <f>IF(F203 = "NO CAPITAL", 1, VLOOKUP(D203,'Tariff Schedule Lookup Table'!I$7:L$298,4,FALSE))</f>
        <v>1</v>
      </c>
      <c r="I203" s="296">
        <f>VLOOKUP(G203,'Input data'!$A$68:$B$72,2,FALSE)</f>
        <v>9.8748837500000004</v>
      </c>
      <c r="J203" s="296">
        <f>VLOOKUP($B203,'Maintenance Costs'!$A:$AB,22,FALSE)</f>
        <v>27.628057742626627</v>
      </c>
      <c r="K203" s="296">
        <f>VLOOKUP($B203,'Maintenance Costs'!$A:$AB,28,FALSE)</f>
        <v>26.941682041395374</v>
      </c>
      <c r="L203" s="297">
        <f t="shared" si="20"/>
        <v>64.444623534022</v>
      </c>
      <c r="M203">
        <v>86.315811961790033</v>
      </c>
      <c r="N203" s="30">
        <f t="shared" ref="N203:N266" si="21">L203-M203</f>
        <v>-21.871188427768033</v>
      </c>
    </row>
    <row r="204" spans="1:14" x14ac:dyDescent="0.2">
      <c r="A204" s="299" t="s">
        <v>1097</v>
      </c>
      <c r="B204" s="298" t="str">
        <f t="shared" si="17"/>
        <v>HPS0090-TA</v>
      </c>
      <c r="C204" s="294" t="str">
        <f>VLOOKUP(LEFT(A204,7),'Tariff Schedule Lookup Table'!$A$8:$G$198,2,FALSE)</f>
        <v>High Pressure Sodium 150</v>
      </c>
      <c r="D204" s="295">
        <f t="shared" si="18"/>
        <v>690</v>
      </c>
      <c r="E204" s="294">
        <f t="shared" si="19"/>
        <v>1</v>
      </c>
      <c r="F204" s="294" t="str">
        <f>VLOOKUP(D204,'Tariff Schedule Lookup Table'!I$7:L$298,2,FALSE)</f>
        <v>HIGH PRESSURE SODIUM 150W</v>
      </c>
      <c r="G204" s="294" t="str">
        <f>IF(F204 = "BULKHEADS ETC", "SHARED OR NO POLE", VLOOKUP(D204,'Tariff Schedule Lookup Table'!I$7:L$298,3,FALSE))</f>
        <v>STEEL POLE</v>
      </c>
      <c r="H204" s="294">
        <f>IF(F204 = "NO CAPITAL", 1, VLOOKUP(D204,'Tariff Schedule Lookup Table'!I$7:L$298,4,FALSE))</f>
        <v>2</v>
      </c>
      <c r="I204" s="296">
        <f>VLOOKUP(G204,'Input data'!$A$68:$B$72,2,FALSE)</f>
        <v>9.8748837500000004</v>
      </c>
      <c r="J204" s="296">
        <f>VLOOKUP($B204,'Maintenance Costs'!$A:$AB,22,FALSE)</f>
        <v>27.628057742626627</v>
      </c>
      <c r="K204" s="296">
        <f>VLOOKUP($B204,'Maintenance Costs'!$A:$AB,28,FALSE)</f>
        <v>26.941682041395374</v>
      </c>
      <c r="L204" s="297">
        <f t="shared" si="20"/>
        <v>59.507181659022002</v>
      </c>
      <c r="M204">
        <v>81.378370086790042</v>
      </c>
      <c r="N204" s="30">
        <f t="shared" si="21"/>
        <v>-21.87118842776804</v>
      </c>
    </row>
    <row r="205" spans="1:14" x14ac:dyDescent="0.2">
      <c r="A205" s="299" t="s">
        <v>1098</v>
      </c>
      <c r="B205" s="298" t="str">
        <f t="shared" si="17"/>
        <v>HPS0090-TA</v>
      </c>
      <c r="C205" s="294" t="str">
        <f>VLOOKUP(LEFT(A205,7),'Tariff Schedule Lookup Table'!$A$8:$G$198,2,FALSE)</f>
        <v>High Pressure Sodium 150</v>
      </c>
      <c r="D205" s="295">
        <f t="shared" si="18"/>
        <v>1010</v>
      </c>
      <c r="E205" s="294">
        <f t="shared" si="19"/>
        <v>1</v>
      </c>
      <c r="F205" s="294" t="str">
        <f>VLOOKUP(D205,'Tariff Schedule Lookup Table'!I$7:L$298,2,FALSE)</f>
        <v>HIGH PRESSURE SODIUM 150W</v>
      </c>
      <c r="G205" s="294" t="str">
        <f>IF(F205 = "BULKHEADS ETC", "SHARED OR NO POLE", VLOOKUP(D205,'Tariff Schedule Lookup Table'!I$7:L$298,3,FALSE))</f>
        <v>SHARED OR NO POLE</v>
      </c>
      <c r="H205" s="294">
        <f>IF(F205 = "NO CAPITAL", 1, VLOOKUP(D205,'Tariff Schedule Lookup Table'!I$7:L$298,4,FALSE))</f>
        <v>2</v>
      </c>
      <c r="I205" s="296">
        <f>VLOOKUP(G205,'Input data'!$A$68:$B$72,2,FALSE)</f>
        <v>0</v>
      </c>
      <c r="J205" s="296">
        <f>VLOOKUP($B205,'Maintenance Costs'!$A:$AB,22,FALSE)</f>
        <v>27.628057742626627</v>
      </c>
      <c r="K205" s="296">
        <f>VLOOKUP($B205,'Maintenance Costs'!$A:$AB,28,FALSE)</f>
        <v>26.941682041395374</v>
      </c>
      <c r="L205" s="297">
        <f t="shared" si="20"/>
        <v>54.569739784022005</v>
      </c>
      <c r="M205">
        <v>76.440928211790037</v>
      </c>
      <c r="N205" s="30">
        <f t="shared" si="21"/>
        <v>-21.871188427768033</v>
      </c>
    </row>
    <row r="206" spans="1:14" x14ac:dyDescent="0.2">
      <c r="A206" s="299" t="s">
        <v>1099</v>
      </c>
      <c r="B206" s="298" t="str">
        <f t="shared" si="17"/>
        <v>HPS0090-TA</v>
      </c>
      <c r="C206" s="294" t="str">
        <f>VLOOKUP(LEFT(A206,7),'Tariff Schedule Lookup Table'!$A$8:$G$198,2,FALSE)</f>
        <v>High Pressure Sodium 150</v>
      </c>
      <c r="D206" s="295">
        <f t="shared" si="18"/>
        <v>1370</v>
      </c>
      <c r="E206" s="294">
        <f t="shared" si="19"/>
        <v>1</v>
      </c>
      <c r="F206" s="294" t="str">
        <f>VLOOKUP(D206,'Tariff Schedule Lookup Table'!I$7:L$298,2,FALSE)</f>
        <v>HIGH PRESSURE SODIUM 150W</v>
      </c>
      <c r="G206" s="294" t="str">
        <f>IF(F206 = "BULKHEADS ETC", "SHARED OR NO POLE", VLOOKUP(D206,'Tariff Schedule Lookup Table'!I$7:L$298,3,FALSE))</f>
        <v>R/BOUT COLUMN</v>
      </c>
      <c r="H206" s="294">
        <f>IF(F206 = "NO CAPITAL", 1, VLOOKUP(D206,'Tariff Schedule Lookup Table'!I$7:L$298,4,FALSE))</f>
        <v>4</v>
      </c>
      <c r="I206" s="296">
        <f>VLOOKUP(G206,'Input data'!$A$68:$B$72,2,FALSE)</f>
        <v>9.8748837500000004</v>
      </c>
      <c r="J206" s="296">
        <f>VLOOKUP($B206,'Maintenance Costs'!$A:$AB,22,FALSE)</f>
        <v>27.628057742626627</v>
      </c>
      <c r="K206" s="296">
        <f>VLOOKUP($B206,'Maintenance Costs'!$A:$AB,28,FALSE)</f>
        <v>26.941682041395374</v>
      </c>
      <c r="L206" s="297">
        <f t="shared" si="20"/>
        <v>57.038460721522007</v>
      </c>
      <c r="M206">
        <v>78.909649149290033</v>
      </c>
      <c r="N206" s="30">
        <f t="shared" si="21"/>
        <v>-21.871188427768026</v>
      </c>
    </row>
    <row r="207" spans="1:14" x14ac:dyDescent="0.2">
      <c r="A207" s="299" t="s">
        <v>1100</v>
      </c>
      <c r="B207" s="298" t="str">
        <f t="shared" si="17"/>
        <v>HPS0100-ST</v>
      </c>
      <c r="C207" s="294" t="str">
        <f>VLOOKUP(LEFT(A207,7),'Tariff Schedule Lookup Table'!$A$8:$G$198,2,FALSE)</f>
        <v>High Pressure Sodium 220</v>
      </c>
      <c r="D207" s="295">
        <f t="shared" si="18"/>
        <v>60</v>
      </c>
      <c r="E207" s="294">
        <f t="shared" si="19"/>
        <v>2</v>
      </c>
      <c r="F207" s="294" t="str">
        <f>VLOOKUP(D207,'Tariff Schedule Lookup Table'!I$7:L$298,2,FALSE)</f>
        <v>HIGH PRESSURE SODIUM 250W (210/220)</v>
      </c>
      <c r="G207" s="294" t="str">
        <f>IF(F207 = "BULKHEADS ETC", "SHARED OR NO POLE", VLOOKUP(D207,'Tariff Schedule Lookup Table'!I$7:L$298,3,FALSE))</f>
        <v>SHARED OR NO POLE</v>
      </c>
      <c r="H207" s="294">
        <f>IF(F207 = "NO CAPITAL", 1, VLOOKUP(D207,'Tariff Schedule Lookup Table'!I$7:L$298,4,FALSE))</f>
        <v>1</v>
      </c>
      <c r="I207" s="296">
        <f>VLOOKUP(G207,'Input data'!$A$68:$B$72,2,FALSE)</f>
        <v>0</v>
      </c>
      <c r="J207" s="296">
        <f>VLOOKUP($B207,'Maintenance Costs'!$A:$AB,22,FALSE)</f>
        <v>26.293978626504668</v>
      </c>
      <c r="K207" s="296">
        <f>VLOOKUP($B207,'Maintenance Costs'!$A:$AB,28,FALSE)</f>
        <v>20.813388541395373</v>
      </c>
      <c r="L207" s="297">
        <f t="shared" si="20"/>
        <v>47.107367167900037</v>
      </c>
      <c r="M207">
        <v>77.656579613995405</v>
      </c>
      <c r="N207" s="30">
        <f t="shared" si="21"/>
        <v>-30.549212446095368</v>
      </c>
    </row>
    <row r="208" spans="1:14" x14ac:dyDescent="0.2">
      <c r="A208" s="299" t="s">
        <v>1101</v>
      </c>
      <c r="B208" s="298" t="str">
        <f t="shared" si="17"/>
        <v>HPS0100-ST</v>
      </c>
      <c r="C208" s="294" t="str">
        <f>VLOOKUP(LEFT(A208,7),'Tariff Schedule Lookup Table'!$A$8:$G$198,2,FALSE)</f>
        <v>High Pressure Sodium 220</v>
      </c>
      <c r="D208" s="295">
        <f t="shared" si="18"/>
        <v>230</v>
      </c>
      <c r="E208" s="294">
        <f t="shared" si="19"/>
        <v>1</v>
      </c>
      <c r="F208" s="294" t="str">
        <f>VLOOKUP(D208,'Tariff Schedule Lookup Table'!I$7:L$298,2,FALSE)</f>
        <v>HIGH PRESSURE SODIUM 250W (210/220)</v>
      </c>
      <c r="G208" s="294" t="str">
        <f>IF(F208 = "BULKHEADS ETC", "SHARED OR NO POLE", VLOOKUP(D208,'Tariff Schedule Lookup Table'!I$7:L$298,3,FALSE))</f>
        <v>WOOD POLE</v>
      </c>
      <c r="H208" s="294">
        <f>IF(F208 = "NO CAPITAL", 1, VLOOKUP(D208,'Tariff Schedule Lookup Table'!I$7:L$298,4,FALSE))</f>
        <v>1</v>
      </c>
      <c r="I208" s="296">
        <f>VLOOKUP(G208,'Input data'!$A$68:$B$72,2,FALSE)</f>
        <v>10.809914000000001</v>
      </c>
      <c r="J208" s="296">
        <f>VLOOKUP($B208,'Maintenance Costs'!$A:$AB,22,FALSE)</f>
        <v>26.293978626504668</v>
      </c>
      <c r="K208" s="296">
        <f>VLOOKUP($B208,'Maintenance Costs'!$A:$AB,28,FALSE)</f>
        <v>20.813388541395373</v>
      </c>
      <c r="L208" s="297">
        <f t="shared" si="20"/>
        <v>57.917281167900036</v>
      </c>
      <c r="M208">
        <v>88.466493613995411</v>
      </c>
      <c r="N208" s="30">
        <f t="shared" si="21"/>
        <v>-30.549212446095375</v>
      </c>
    </row>
    <row r="209" spans="1:14" x14ac:dyDescent="0.2">
      <c r="A209" s="299" t="s">
        <v>1102</v>
      </c>
      <c r="B209" s="298" t="str">
        <f t="shared" si="17"/>
        <v>HPS0100-ST</v>
      </c>
      <c r="C209" s="294" t="str">
        <f>VLOOKUP(LEFT(A209,7),'Tariff Schedule Lookup Table'!$A$8:$G$198,2,FALSE)</f>
        <v>High Pressure Sodium 220</v>
      </c>
      <c r="D209" s="295">
        <f t="shared" si="18"/>
        <v>230</v>
      </c>
      <c r="E209" s="294">
        <f t="shared" si="19"/>
        <v>2</v>
      </c>
      <c r="F209" s="294" t="str">
        <f>VLOOKUP(D209,'Tariff Schedule Lookup Table'!I$7:L$298,2,FALSE)</f>
        <v>HIGH PRESSURE SODIUM 250W (210/220)</v>
      </c>
      <c r="G209" s="294" t="str">
        <f>IF(F209 = "BULKHEADS ETC", "SHARED OR NO POLE", VLOOKUP(D209,'Tariff Schedule Lookup Table'!I$7:L$298,3,FALSE))</f>
        <v>WOOD POLE</v>
      </c>
      <c r="H209" s="294">
        <f>IF(F209 = "NO CAPITAL", 1, VLOOKUP(D209,'Tariff Schedule Lookup Table'!I$7:L$298,4,FALSE))</f>
        <v>1</v>
      </c>
      <c r="I209" s="296">
        <f>VLOOKUP(G209,'Input data'!$A$68:$B$72,2,FALSE)</f>
        <v>10.809914000000001</v>
      </c>
      <c r="J209" s="296">
        <f>VLOOKUP($B209,'Maintenance Costs'!$A:$AB,22,FALSE)</f>
        <v>26.293978626504668</v>
      </c>
      <c r="K209" s="296">
        <f>VLOOKUP($B209,'Maintenance Costs'!$A:$AB,28,FALSE)</f>
        <v>20.813388541395373</v>
      </c>
      <c r="L209" s="297">
        <f t="shared" si="20"/>
        <v>57.917281167900036</v>
      </c>
      <c r="M209">
        <v>88.466493613995411</v>
      </c>
      <c r="N209" s="30">
        <f t="shared" si="21"/>
        <v>-30.549212446095375</v>
      </c>
    </row>
    <row r="210" spans="1:14" x14ac:dyDescent="0.2">
      <c r="A210" s="299" t="s">
        <v>1103</v>
      </c>
      <c r="B210" s="298" t="str">
        <f t="shared" si="17"/>
        <v>HPS0100-ST</v>
      </c>
      <c r="C210" s="294" t="str">
        <f>VLOOKUP(LEFT(A210,7),'Tariff Schedule Lookup Table'!$A$8:$G$198,2,FALSE)</f>
        <v>High Pressure Sodium 220</v>
      </c>
      <c r="D210" s="295">
        <f t="shared" si="18"/>
        <v>320</v>
      </c>
      <c r="E210" s="294">
        <f t="shared" si="19"/>
        <v>2</v>
      </c>
      <c r="F210" s="294" t="str">
        <f>VLOOKUP(D210,'Tariff Schedule Lookup Table'!I$7:L$298,2,FALSE)</f>
        <v>HIGH PRESSURE SODIUM 250W (210/220)</v>
      </c>
      <c r="G210" s="294" t="str">
        <f>IF(F210 = "BULKHEADS ETC", "SHARED OR NO POLE", VLOOKUP(D210,'Tariff Schedule Lookup Table'!I$7:L$298,3,FALSE))</f>
        <v>STEEL POLE</v>
      </c>
      <c r="H210" s="294">
        <f>IF(F210 = "NO CAPITAL", 1, VLOOKUP(D210,'Tariff Schedule Lookup Table'!I$7:L$298,4,FALSE))</f>
        <v>1</v>
      </c>
      <c r="I210" s="296">
        <f>VLOOKUP(G210,'Input data'!$A$68:$B$72,2,FALSE)</f>
        <v>9.8748837500000004</v>
      </c>
      <c r="J210" s="296">
        <f>VLOOKUP($B210,'Maintenance Costs'!$A:$AB,22,FALSE)</f>
        <v>26.293978626504668</v>
      </c>
      <c r="K210" s="296">
        <f>VLOOKUP($B210,'Maintenance Costs'!$A:$AB,28,FALSE)</f>
        <v>20.813388541395373</v>
      </c>
      <c r="L210" s="297">
        <f t="shared" si="20"/>
        <v>56.982250917900039</v>
      </c>
      <c r="M210">
        <v>87.5314633639954</v>
      </c>
      <c r="N210" s="30">
        <f t="shared" si="21"/>
        <v>-30.54921244609536</v>
      </c>
    </row>
    <row r="211" spans="1:14" x14ac:dyDescent="0.2">
      <c r="A211" s="299" t="s">
        <v>1104</v>
      </c>
      <c r="B211" s="298" t="str">
        <f t="shared" si="17"/>
        <v>HPS0100-ST</v>
      </c>
      <c r="C211" s="294" t="str">
        <f>VLOOKUP(LEFT(A211,7),'Tariff Schedule Lookup Table'!$A$8:$G$198,2,FALSE)</f>
        <v>High Pressure Sodium 220</v>
      </c>
      <c r="D211" s="295">
        <f t="shared" si="18"/>
        <v>390</v>
      </c>
      <c r="E211" s="294">
        <f t="shared" si="19"/>
        <v>2</v>
      </c>
      <c r="F211" s="294" t="str">
        <f>VLOOKUP(D211,'Tariff Schedule Lookup Table'!I$7:L$298,2,FALSE)</f>
        <v>HIGH PRESSURE SODIUM 250W (210/220)</v>
      </c>
      <c r="G211" s="294" t="str">
        <f>IF(F211 = "BULKHEADS ETC", "SHARED OR NO POLE", VLOOKUP(D211,'Tariff Schedule Lookup Table'!I$7:L$298,3,FALSE))</f>
        <v>STEEL POLE</v>
      </c>
      <c r="H211" s="294">
        <f>IF(F211 = "NO CAPITAL", 1, VLOOKUP(D211,'Tariff Schedule Lookup Table'!I$7:L$298,4,FALSE))</f>
        <v>2</v>
      </c>
      <c r="I211" s="296">
        <f>VLOOKUP(G211,'Input data'!$A$68:$B$72,2,FALSE)</f>
        <v>9.8748837500000004</v>
      </c>
      <c r="J211" s="296">
        <f>VLOOKUP($B211,'Maintenance Costs'!$A:$AB,22,FALSE)</f>
        <v>26.293978626504668</v>
      </c>
      <c r="K211" s="296">
        <f>VLOOKUP($B211,'Maintenance Costs'!$A:$AB,28,FALSE)</f>
        <v>20.813388541395373</v>
      </c>
      <c r="L211" s="297">
        <f t="shared" si="20"/>
        <v>52.044809042900035</v>
      </c>
      <c r="M211">
        <v>82.594021488995409</v>
      </c>
      <c r="N211" s="30">
        <f t="shared" si="21"/>
        <v>-30.549212446095375</v>
      </c>
    </row>
    <row r="212" spans="1:14" x14ac:dyDescent="0.2">
      <c r="A212" s="299" t="s">
        <v>1105</v>
      </c>
      <c r="B212" s="298" t="str">
        <f t="shared" si="17"/>
        <v>HPS0100-ST</v>
      </c>
      <c r="C212" s="294" t="str">
        <f>VLOOKUP(LEFT(A212,7),'Tariff Schedule Lookup Table'!$A$8:$G$198,2,FALSE)</f>
        <v>High Pressure Sodium 220</v>
      </c>
      <c r="D212" s="295">
        <f t="shared" si="18"/>
        <v>430</v>
      </c>
      <c r="E212" s="294">
        <f t="shared" si="19"/>
        <v>1</v>
      </c>
      <c r="F212" s="294" t="str">
        <f>VLOOKUP(D212,'Tariff Schedule Lookup Table'!I$7:L$298,2,FALSE)</f>
        <v>HIGH PRESSURE SODIUM 250W (210/220)</v>
      </c>
      <c r="G212" s="294" t="str">
        <f>IF(F212 = "BULKHEADS ETC", "SHARED OR NO POLE", VLOOKUP(D212,'Tariff Schedule Lookup Table'!I$7:L$298,3,FALSE))</f>
        <v>STEEL POLE</v>
      </c>
      <c r="H212" s="294">
        <f>IF(F212 = "NO CAPITAL", 1, VLOOKUP(D212,'Tariff Schedule Lookup Table'!I$7:L$298,4,FALSE))</f>
        <v>3</v>
      </c>
      <c r="I212" s="296">
        <f>VLOOKUP(G212,'Input data'!$A$68:$B$72,2,FALSE)</f>
        <v>9.8748837500000004</v>
      </c>
      <c r="J212" s="296">
        <f>VLOOKUP($B212,'Maintenance Costs'!$A:$AB,22,FALSE)</f>
        <v>26.293978626504668</v>
      </c>
      <c r="K212" s="296">
        <f>VLOOKUP($B212,'Maintenance Costs'!$A:$AB,28,FALSE)</f>
        <v>20.813388541395373</v>
      </c>
      <c r="L212" s="297">
        <f t="shared" si="20"/>
        <v>50.398995084566707</v>
      </c>
      <c r="M212">
        <v>80.948207530662074</v>
      </c>
      <c r="N212" s="30">
        <f t="shared" si="21"/>
        <v>-30.549212446095368</v>
      </c>
    </row>
    <row r="213" spans="1:14" x14ac:dyDescent="0.2">
      <c r="A213" s="299" t="s">
        <v>1106</v>
      </c>
      <c r="B213" s="298" t="str">
        <f t="shared" si="17"/>
        <v>HPS0100-ST</v>
      </c>
      <c r="C213" s="294" t="str">
        <f>VLOOKUP(LEFT(A213,7),'Tariff Schedule Lookup Table'!$A$8:$G$198,2,FALSE)</f>
        <v>High Pressure Sodium 220</v>
      </c>
      <c r="D213" s="295">
        <f t="shared" si="18"/>
        <v>610</v>
      </c>
      <c r="E213" s="294">
        <f t="shared" si="19"/>
        <v>1</v>
      </c>
      <c r="F213" s="294" t="str">
        <f>VLOOKUP(D213,'Tariff Schedule Lookup Table'!I$7:L$298,2,FALSE)</f>
        <v>METAL HALIDE/HPS 250W FLOOD (210/220)</v>
      </c>
      <c r="G213" s="294" t="str">
        <f>IF(F213 = "BULKHEADS ETC", "SHARED OR NO POLE", VLOOKUP(D213,'Tariff Schedule Lookup Table'!I$7:L$298,3,FALSE))</f>
        <v>SHARED OR NO POLE</v>
      </c>
      <c r="H213" s="294">
        <f>IF(F213 = "NO CAPITAL", 1, VLOOKUP(D213,'Tariff Schedule Lookup Table'!I$7:L$298,4,FALSE))</f>
        <v>1</v>
      </c>
      <c r="I213" s="296">
        <f>VLOOKUP(G213,'Input data'!$A$68:$B$72,2,FALSE)</f>
        <v>0</v>
      </c>
      <c r="J213" s="296">
        <f>VLOOKUP($B213,'Maintenance Costs'!$A:$AB,22,FALSE)</f>
        <v>26.293978626504668</v>
      </c>
      <c r="K213" s="296">
        <f>VLOOKUP($B213,'Maintenance Costs'!$A:$AB,28,FALSE)</f>
        <v>20.813388541395373</v>
      </c>
      <c r="L213" s="297">
        <f t="shared" si="20"/>
        <v>47.107367167900037</v>
      </c>
      <c r="M213">
        <v>77.656579613995405</v>
      </c>
      <c r="N213" s="30">
        <f t="shared" si="21"/>
        <v>-30.549212446095368</v>
      </c>
    </row>
    <row r="214" spans="1:14" x14ac:dyDescent="0.2">
      <c r="A214" s="299" t="s">
        <v>1107</v>
      </c>
      <c r="B214" s="298" t="str">
        <f t="shared" si="17"/>
        <v>HPS0100-ST</v>
      </c>
      <c r="C214" s="294" t="str">
        <f>VLOOKUP(LEFT(A214,7),'Tariff Schedule Lookup Table'!$A$8:$G$198,2,FALSE)</f>
        <v>High Pressure Sodium 220</v>
      </c>
      <c r="D214" s="295">
        <f t="shared" si="18"/>
        <v>610</v>
      </c>
      <c r="E214" s="294">
        <f t="shared" si="19"/>
        <v>2</v>
      </c>
      <c r="F214" s="294" t="str">
        <f>VLOOKUP(D214,'Tariff Schedule Lookup Table'!I$7:L$298,2,FALSE)</f>
        <v>METAL HALIDE/HPS 250W FLOOD (210/220)</v>
      </c>
      <c r="G214" s="294" t="str">
        <f>IF(F214 = "BULKHEADS ETC", "SHARED OR NO POLE", VLOOKUP(D214,'Tariff Schedule Lookup Table'!I$7:L$298,3,FALSE))</f>
        <v>SHARED OR NO POLE</v>
      </c>
      <c r="H214" s="294">
        <f>IF(F214 = "NO CAPITAL", 1, VLOOKUP(D214,'Tariff Schedule Lookup Table'!I$7:L$298,4,FALSE))</f>
        <v>1</v>
      </c>
      <c r="I214" s="296">
        <f>VLOOKUP(G214,'Input data'!$A$68:$B$72,2,FALSE)</f>
        <v>0</v>
      </c>
      <c r="J214" s="296">
        <f>VLOOKUP($B214,'Maintenance Costs'!$A:$AB,22,FALSE)</f>
        <v>26.293978626504668</v>
      </c>
      <c r="K214" s="296">
        <f>VLOOKUP($B214,'Maintenance Costs'!$A:$AB,28,FALSE)</f>
        <v>20.813388541395373</v>
      </c>
      <c r="L214" s="297">
        <f t="shared" si="20"/>
        <v>47.107367167900037</v>
      </c>
      <c r="M214">
        <v>77.656579613995405</v>
      </c>
      <c r="N214" s="30">
        <f t="shared" si="21"/>
        <v>-30.549212446095368</v>
      </c>
    </row>
    <row r="215" spans="1:14" x14ac:dyDescent="0.2">
      <c r="A215" s="299" t="s">
        <v>1108</v>
      </c>
      <c r="B215" s="298" t="str">
        <f t="shared" si="17"/>
        <v>HPS0100-ST</v>
      </c>
      <c r="C215" s="294" t="str">
        <f>VLOOKUP(LEFT(A215,7),'Tariff Schedule Lookup Table'!$A$8:$G$198,2,FALSE)</f>
        <v>High Pressure Sodium 220</v>
      </c>
      <c r="D215" s="295">
        <f t="shared" si="18"/>
        <v>1070</v>
      </c>
      <c r="E215" s="294">
        <f t="shared" si="19"/>
        <v>1</v>
      </c>
      <c r="F215" s="294" t="str">
        <f>VLOOKUP(D215,'Tariff Schedule Lookup Table'!I$7:L$298,2,FALSE)</f>
        <v>METAL HALIDE/HPS 250W FLOOD (210/220)</v>
      </c>
      <c r="G215" s="294" t="str">
        <f>IF(F215 = "BULKHEADS ETC", "SHARED OR NO POLE", VLOOKUP(D215,'Tariff Schedule Lookup Table'!I$7:L$298,3,FALSE))</f>
        <v>WOOD POLE</v>
      </c>
      <c r="H215" s="294">
        <f>IF(F215 = "NO CAPITAL", 1, VLOOKUP(D215,'Tariff Schedule Lookup Table'!I$7:L$298,4,FALSE))</f>
        <v>1</v>
      </c>
      <c r="I215" s="296">
        <f>VLOOKUP(G215,'Input data'!$A$68:$B$72,2,FALSE)</f>
        <v>10.809914000000001</v>
      </c>
      <c r="J215" s="296">
        <f>VLOOKUP($B215,'Maintenance Costs'!$A:$AB,22,FALSE)</f>
        <v>26.293978626504668</v>
      </c>
      <c r="K215" s="296">
        <f>VLOOKUP($B215,'Maintenance Costs'!$A:$AB,28,FALSE)</f>
        <v>20.813388541395373</v>
      </c>
      <c r="L215" s="297">
        <f t="shared" si="20"/>
        <v>57.917281167900036</v>
      </c>
      <c r="M215">
        <v>88.466493613995411</v>
      </c>
      <c r="N215" s="30">
        <f t="shared" si="21"/>
        <v>-30.549212446095375</v>
      </c>
    </row>
    <row r="216" spans="1:14" x14ac:dyDescent="0.2">
      <c r="A216" s="299" t="s">
        <v>1109</v>
      </c>
      <c r="B216" s="298" t="str">
        <f t="shared" si="17"/>
        <v>HPS0100-ST</v>
      </c>
      <c r="C216" s="294" t="str">
        <f>VLOOKUP(LEFT(A216,7),'Tariff Schedule Lookup Table'!$A$8:$G$198,2,FALSE)</f>
        <v>High Pressure Sodium 220</v>
      </c>
      <c r="D216" s="295">
        <f t="shared" si="18"/>
        <v>1070</v>
      </c>
      <c r="E216" s="294">
        <f t="shared" si="19"/>
        <v>2</v>
      </c>
      <c r="F216" s="294" t="str">
        <f>VLOOKUP(D216,'Tariff Schedule Lookup Table'!I$7:L$298,2,FALSE)</f>
        <v>METAL HALIDE/HPS 250W FLOOD (210/220)</v>
      </c>
      <c r="G216" s="294" t="str">
        <f>IF(F216 = "BULKHEADS ETC", "SHARED OR NO POLE", VLOOKUP(D216,'Tariff Schedule Lookup Table'!I$7:L$298,3,FALSE))</f>
        <v>WOOD POLE</v>
      </c>
      <c r="H216" s="294">
        <f>IF(F216 = "NO CAPITAL", 1, VLOOKUP(D216,'Tariff Schedule Lookup Table'!I$7:L$298,4,FALSE))</f>
        <v>1</v>
      </c>
      <c r="I216" s="296">
        <f>VLOOKUP(G216,'Input data'!$A$68:$B$72,2,FALSE)</f>
        <v>10.809914000000001</v>
      </c>
      <c r="J216" s="296">
        <f>VLOOKUP($B216,'Maintenance Costs'!$A:$AB,22,FALSE)</f>
        <v>26.293978626504668</v>
      </c>
      <c r="K216" s="296">
        <f>VLOOKUP($B216,'Maintenance Costs'!$A:$AB,28,FALSE)</f>
        <v>20.813388541395373</v>
      </c>
      <c r="L216" s="297">
        <f t="shared" si="20"/>
        <v>57.917281167900036</v>
      </c>
      <c r="M216">
        <v>88.466493613995411</v>
      </c>
      <c r="N216" s="30">
        <f t="shared" si="21"/>
        <v>-30.549212446095375</v>
      </c>
    </row>
    <row r="217" spans="1:14" x14ac:dyDescent="0.2">
      <c r="A217" s="299" t="s">
        <v>1110</v>
      </c>
      <c r="B217" s="298" t="str">
        <f t="shared" si="17"/>
        <v>HPS0100-ST</v>
      </c>
      <c r="C217" s="294" t="str">
        <f>VLOOKUP(LEFT(A217,7),'Tariff Schedule Lookup Table'!$A$8:$G$198,2,FALSE)</f>
        <v>High Pressure Sodium 220</v>
      </c>
      <c r="D217" s="295">
        <f t="shared" si="18"/>
        <v>1120</v>
      </c>
      <c r="E217" s="294">
        <f t="shared" si="19"/>
        <v>2</v>
      </c>
      <c r="F217" s="294" t="str">
        <f>VLOOKUP(D217,'Tariff Schedule Lookup Table'!I$7:L$298,2,FALSE)</f>
        <v>METAL HALIDE/HPS 250W FLOOD (210/220)</v>
      </c>
      <c r="G217" s="294" t="str">
        <f>IF(F217 = "BULKHEADS ETC", "SHARED OR NO POLE", VLOOKUP(D217,'Tariff Schedule Lookup Table'!I$7:L$298,3,FALSE))</f>
        <v>STEEL POLE</v>
      </c>
      <c r="H217" s="294">
        <f>IF(F217 = "NO CAPITAL", 1, VLOOKUP(D217,'Tariff Schedule Lookup Table'!I$7:L$298,4,FALSE))</f>
        <v>1</v>
      </c>
      <c r="I217" s="296">
        <f>VLOOKUP(G217,'Input data'!$A$68:$B$72,2,FALSE)</f>
        <v>9.8748837500000004</v>
      </c>
      <c r="J217" s="296">
        <f>VLOOKUP($B217,'Maintenance Costs'!$A:$AB,22,FALSE)</f>
        <v>26.293978626504668</v>
      </c>
      <c r="K217" s="296">
        <f>VLOOKUP($B217,'Maintenance Costs'!$A:$AB,28,FALSE)</f>
        <v>20.813388541395373</v>
      </c>
      <c r="L217" s="297">
        <f t="shared" si="20"/>
        <v>56.982250917900039</v>
      </c>
      <c r="M217">
        <v>87.5314633639954</v>
      </c>
      <c r="N217" s="30">
        <f t="shared" si="21"/>
        <v>-30.54921244609536</v>
      </c>
    </row>
    <row r="218" spans="1:14" x14ac:dyDescent="0.2">
      <c r="A218" s="299" t="s">
        <v>1111</v>
      </c>
      <c r="B218" s="298" t="str">
        <f t="shared" si="17"/>
        <v>HPS0100-ST</v>
      </c>
      <c r="C218" s="294" t="str">
        <f>VLOOKUP(LEFT(A218,7),'Tariff Schedule Lookup Table'!$A$8:$G$198,2,FALSE)</f>
        <v>High Pressure Sodium 220</v>
      </c>
      <c r="D218" s="295">
        <f t="shared" si="18"/>
        <v>1160</v>
      </c>
      <c r="E218" s="294">
        <f t="shared" si="19"/>
        <v>2</v>
      </c>
      <c r="F218" s="294" t="str">
        <f>VLOOKUP(D218,'Tariff Schedule Lookup Table'!I$7:L$298,2,FALSE)</f>
        <v>METAL HALIDE/HPS 250W FLOOD (210/220)</v>
      </c>
      <c r="G218" s="294" t="str">
        <f>IF(F218 = "BULKHEADS ETC", "SHARED OR NO POLE", VLOOKUP(D218,'Tariff Schedule Lookup Table'!I$7:L$298,3,FALSE))</f>
        <v>WOOD POLE</v>
      </c>
      <c r="H218" s="294">
        <f>IF(F218 = "NO CAPITAL", 1, VLOOKUP(D218,'Tariff Schedule Lookup Table'!I$7:L$298,4,FALSE))</f>
        <v>2</v>
      </c>
      <c r="I218" s="296">
        <f>VLOOKUP(G218,'Input data'!$A$68:$B$72,2,FALSE)</f>
        <v>10.809914000000001</v>
      </c>
      <c r="J218" s="296">
        <f>VLOOKUP($B218,'Maintenance Costs'!$A:$AB,22,FALSE)</f>
        <v>26.293978626504668</v>
      </c>
      <c r="K218" s="296">
        <f>VLOOKUP($B218,'Maintenance Costs'!$A:$AB,28,FALSE)</f>
        <v>20.813388541395373</v>
      </c>
      <c r="L218" s="297">
        <f t="shared" si="20"/>
        <v>52.51232416790004</v>
      </c>
      <c r="M218">
        <v>83.061536613995401</v>
      </c>
      <c r="N218" s="30">
        <f t="shared" si="21"/>
        <v>-30.54921244609536</v>
      </c>
    </row>
    <row r="219" spans="1:14" x14ac:dyDescent="0.2">
      <c r="A219" s="299" t="s">
        <v>1112</v>
      </c>
      <c r="B219" s="298" t="str">
        <f t="shared" si="17"/>
        <v>HPS0110-ST</v>
      </c>
      <c r="C219" s="294" t="str">
        <f>VLOOKUP(LEFT(A219,7),'Tariff Schedule Lookup Table'!$A$8:$G$198,2,FALSE)</f>
        <v>High Pressure Sodium 250</v>
      </c>
      <c r="D219" s="295">
        <f t="shared" si="18"/>
        <v>1</v>
      </c>
      <c r="E219" s="294">
        <f t="shared" si="19"/>
        <v>6</v>
      </c>
      <c r="F219" s="294" t="str">
        <f>VLOOKUP(D219,'Tariff Schedule Lookup Table'!I$7:L$298,2,FALSE)</f>
        <v>NO CAPITAL</v>
      </c>
      <c r="G219" s="294" t="str">
        <f>IF(F219 = "BULKHEADS ETC", "SHARED OR NO POLE", VLOOKUP(D219,'Tariff Schedule Lookup Table'!I$7:L$298,3,FALSE))</f>
        <v>NO CAPITAL</v>
      </c>
      <c r="H219" s="294">
        <f>IF(F219 = "NO CAPITAL", 1, VLOOKUP(D219,'Tariff Schedule Lookup Table'!I$7:L$298,4,FALSE))</f>
        <v>1</v>
      </c>
      <c r="I219" s="296">
        <f>VLOOKUP(G219,'Input data'!$A$68:$B$72,2,FALSE)</f>
        <v>0</v>
      </c>
      <c r="J219" s="296">
        <v>0</v>
      </c>
      <c r="K219" s="296">
        <v>0</v>
      </c>
      <c r="L219" s="297">
        <f t="shared" si="20"/>
        <v>0</v>
      </c>
      <c r="M219">
        <v>0</v>
      </c>
      <c r="N219" s="30">
        <f t="shared" si="21"/>
        <v>0</v>
      </c>
    </row>
    <row r="220" spans="1:14" x14ac:dyDescent="0.2">
      <c r="A220" s="299" t="s">
        <v>1113</v>
      </c>
      <c r="B220" s="298" t="str">
        <f t="shared" si="17"/>
        <v>HPS0110-ST</v>
      </c>
      <c r="C220" s="294" t="str">
        <f>VLOOKUP(LEFT(A220,7),'Tariff Schedule Lookup Table'!$A$8:$G$198,2,FALSE)</f>
        <v>High Pressure Sodium 250</v>
      </c>
      <c r="D220" s="295">
        <f t="shared" si="18"/>
        <v>60</v>
      </c>
      <c r="E220" s="294">
        <f t="shared" si="19"/>
        <v>1</v>
      </c>
      <c r="F220" s="294" t="str">
        <f>VLOOKUP(D220,'Tariff Schedule Lookup Table'!I$7:L$298,2,FALSE)</f>
        <v>HIGH PRESSURE SODIUM 250W (210/220)</v>
      </c>
      <c r="G220" s="294" t="str">
        <f>IF(F220 = "BULKHEADS ETC", "SHARED OR NO POLE", VLOOKUP(D220,'Tariff Schedule Lookup Table'!I$7:L$298,3,FALSE))</f>
        <v>SHARED OR NO POLE</v>
      </c>
      <c r="H220" s="294">
        <f>IF(F220 = "NO CAPITAL", 1, VLOOKUP(D220,'Tariff Schedule Lookup Table'!I$7:L$298,4,FALSE))</f>
        <v>1</v>
      </c>
      <c r="I220" s="296">
        <f>VLOOKUP(G220,'Input data'!$A$68:$B$72,2,FALSE)</f>
        <v>0</v>
      </c>
      <c r="J220" s="296">
        <f>VLOOKUP($B220,'Maintenance Costs'!$A:$AB,22,FALSE)</f>
        <v>26.264235842626629</v>
      </c>
      <c r="K220" s="296">
        <f>VLOOKUP($B220,'Maintenance Costs'!$A:$AB,28,FALSE)</f>
        <v>20.813388541395373</v>
      </c>
      <c r="L220" s="297">
        <f t="shared" si="20"/>
        <v>47.077624384022002</v>
      </c>
      <c r="M220">
        <v>77.540582756871061</v>
      </c>
      <c r="N220" s="30">
        <f t="shared" si="21"/>
        <v>-30.462958372849059</v>
      </c>
    </row>
    <row r="221" spans="1:14" x14ac:dyDescent="0.2">
      <c r="A221" s="299" t="s">
        <v>1114</v>
      </c>
      <c r="B221" s="298" t="str">
        <f t="shared" si="17"/>
        <v>HPS0110-ST</v>
      </c>
      <c r="C221" s="294" t="str">
        <f>VLOOKUP(LEFT(A221,7),'Tariff Schedule Lookup Table'!$A$8:$G$198,2,FALSE)</f>
        <v>High Pressure Sodium 250</v>
      </c>
      <c r="D221" s="295">
        <f t="shared" si="18"/>
        <v>60</v>
      </c>
      <c r="E221" s="294">
        <f t="shared" si="19"/>
        <v>2</v>
      </c>
      <c r="F221" s="294" t="str">
        <f>VLOOKUP(D221,'Tariff Schedule Lookup Table'!I$7:L$298,2,FALSE)</f>
        <v>HIGH PRESSURE SODIUM 250W (210/220)</v>
      </c>
      <c r="G221" s="294" t="str">
        <f>IF(F221 = "BULKHEADS ETC", "SHARED OR NO POLE", VLOOKUP(D221,'Tariff Schedule Lookup Table'!I$7:L$298,3,FALSE))</f>
        <v>SHARED OR NO POLE</v>
      </c>
      <c r="H221" s="294">
        <f>IF(F221 = "NO CAPITAL", 1, VLOOKUP(D221,'Tariff Schedule Lookup Table'!I$7:L$298,4,FALSE))</f>
        <v>1</v>
      </c>
      <c r="I221" s="296">
        <f>VLOOKUP(G221,'Input data'!$A$68:$B$72,2,FALSE)</f>
        <v>0</v>
      </c>
      <c r="J221" s="296">
        <f>VLOOKUP($B221,'Maintenance Costs'!$A:$AB,22,FALSE)</f>
        <v>26.264235842626629</v>
      </c>
      <c r="K221" s="296">
        <f>VLOOKUP($B221,'Maintenance Costs'!$A:$AB,28,FALSE)</f>
        <v>20.813388541395373</v>
      </c>
      <c r="L221" s="297">
        <f t="shared" si="20"/>
        <v>47.077624384022002</v>
      </c>
      <c r="M221">
        <v>77.540582756871061</v>
      </c>
      <c r="N221" s="30">
        <f t="shared" si="21"/>
        <v>-30.462958372849059</v>
      </c>
    </row>
    <row r="222" spans="1:14" x14ac:dyDescent="0.2">
      <c r="A222" s="299" t="s">
        <v>1115</v>
      </c>
      <c r="B222" s="298" t="str">
        <f t="shared" si="17"/>
        <v>HPS0110-ST</v>
      </c>
      <c r="C222" s="294" t="str">
        <f>VLOOKUP(LEFT(A222,7),'Tariff Schedule Lookup Table'!$A$8:$G$198,2,FALSE)</f>
        <v>High Pressure Sodium 250</v>
      </c>
      <c r="D222" s="295">
        <f t="shared" si="18"/>
        <v>60</v>
      </c>
      <c r="E222" s="294">
        <f t="shared" si="19"/>
        <v>3</v>
      </c>
      <c r="F222" s="294" t="str">
        <f>VLOOKUP(D222,'Tariff Schedule Lookup Table'!I$7:L$298,2,FALSE)</f>
        <v>HIGH PRESSURE SODIUM 250W (210/220)</v>
      </c>
      <c r="G222" s="294" t="str">
        <f>IF(F222 = "BULKHEADS ETC", "SHARED OR NO POLE", VLOOKUP(D222,'Tariff Schedule Lookup Table'!I$7:L$298,3,FALSE))</f>
        <v>SHARED OR NO POLE</v>
      </c>
      <c r="H222" s="294">
        <f>IF(F222 = "NO CAPITAL", 1, VLOOKUP(D222,'Tariff Schedule Lookup Table'!I$7:L$298,4,FALSE))</f>
        <v>1</v>
      </c>
      <c r="I222" s="296">
        <f>VLOOKUP(G222,'Input data'!$A$68:$B$72,2,FALSE)</f>
        <v>0</v>
      </c>
      <c r="J222" s="296">
        <f>VLOOKUP($B222,'Maintenance Costs'!$A:$AB,22,FALSE)</f>
        <v>26.264235842626629</v>
      </c>
      <c r="K222" s="296">
        <f>VLOOKUP($B222,'Maintenance Costs'!$A:$AB,28,FALSE)</f>
        <v>20.813388541395373</v>
      </c>
      <c r="L222" s="297">
        <f t="shared" si="20"/>
        <v>47.077624384022002</v>
      </c>
      <c r="M222">
        <v>77.540582756871061</v>
      </c>
      <c r="N222" s="30">
        <f t="shared" si="21"/>
        <v>-30.462958372849059</v>
      </c>
    </row>
    <row r="223" spans="1:14" x14ac:dyDescent="0.2">
      <c r="A223" s="299" t="s">
        <v>567</v>
      </c>
      <c r="B223" s="298" t="str">
        <f t="shared" si="17"/>
        <v>HPS0110-ST</v>
      </c>
      <c r="C223" s="294" t="str">
        <f>VLOOKUP(LEFT(A223,7),'Tariff Schedule Lookup Table'!$A$8:$G$198,2,FALSE)</f>
        <v>High Pressure Sodium 250</v>
      </c>
      <c r="D223" s="295">
        <f t="shared" si="18"/>
        <v>60</v>
      </c>
      <c r="E223" s="294">
        <f t="shared" si="19"/>
        <v>4</v>
      </c>
      <c r="F223" s="294" t="str">
        <f>VLOOKUP(D223,'Tariff Schedule Lookup Table'!I$7:L$298,2,FALSE)</f>
        <v>HIGH PRESSURE SODIUM 250W (210/220)</v>
      </c>
      <c r="G223" s="294" t="str">
        <f>IF(F223 = "BULKHEADS ETC", "SHARED OR NO POLE", VLOOKUP(D223,'Tariff Schedule Lookup Table'!I$7:L$298,3,FALSE))</f>
        <v>SHARED OR NO POLE</v>
      </c>
      <c r="H223" s="294">
        <f>IF(F223 = "NO CAPITAL", 1, VLOOKUP(D223,'Tariff Schedule Lookup Table'!I$7:L$298,4,FALSE))</f>
        <v>1</v>
      </c>
      <c r="I223" s="296">
        <f>VLOOKUP(G223,'Input data'!$A$68:$B$72,2,FALSE)</f>
        <v>0</v>
      </c>
      <c r="J223" s="296">
        <f>VLOOKUP($B223,'Maintenance Costs'!$A:$AB,22,FALSE)</f>
        <v>26.264235842626629</v>
      </c>
      <c r="K223" s="296">
        <f>VLOOKUP($B223,'Maintenance Costs'!$A:$AB,28,FALSE)</f>
        <v>20.813388541395373</v>
      </c>
      <c r="L223" s="297">
        <f t="shared" si="20"/>
        <v>47.077624384022002</v>
      </c>
      <c r="M223">
        <v>77.540582756871061</v>
      </c>
      <c r="N223" s="30">
        <f t="shared" si="21"/>
        <v>-30.462958372849059</v>
      </c>
    </row>
    <row r="224" spans="1:14" x14ac:dyDescent="0.2">
      <c r="A224" s="299" t="s">
        <v>1117</v>
      </c>
      <c r="B224" s="298" t="str">
        <f t="shared" si="17"/>
        <v>HPS0110-ST</v>
      </c>
      <c r="C224" s="294" t="str">
        <f>VLOOKUP(LEFT(A224,7),'Tariff Schedule Lookup Table'!$A$8:$G$198,2,FALSE)</f>
        <v>High Pressure Sodium 250</v>
      </c>
      <c r="D224" s="295">
        <f t="shared" si="18"/>
        <v>230</v>
      </c>
      <c r="E224" s="294">
        <f t="shared" si="19"/>
        <v>1</v>
      </c>
      <c r="F224" s="294" t="str">
        <f>VLOOKUP(D224,'Tariff Schedule Lookup Table'!I$7:L$298,2,FALSE)</f>
        <v>HIGH PRESSURE SODIUM 250W (210/220)</v>
      </c>
      <c r="G224" s="294" t="str">
        <f>IF(F224 = "BULKHEADS ETC", "SHARED OR NO POLE", VLOOKUP(D224,'Tariff Schedule Lookup Table'!I$7:L$298,3,FALSE))</f>
        <v>WOOD POLE</v>
      </c>
      <c r="H224" s="294">
        <f>IF(F224 = "NO CAPITAL", 1, VLOOKUP(D224,'Tariff Schedule Lookup Table'!I$7:L$298,4,FALSE))</f>
        <v>1</v>
      </c>
      <c r="I224" s="296">
        <f>VLOOKUP(G224,'Input data'!$A$68:$B$72,2,FALSE)</f>
        <v>10.809914000000001</v>
      </c>
      <c r="J224" s="296">
        <f>VLOOKUP($B224,'Maintenance Costs'!$A:$AB,22,FALSE)</f>
        <v>26.264235842626629</v>
      </c>
      <c r="K224" s="296">
        <f>VLOOKUP($B224,'Maintenance Costs'!$A:$AB,28,FALSE)</f>
        <v>20.813388541395373</v>
      </c>
      <c r="L224" s="297">
        <f t="shared" si="20"/>
        <v>57.887538384022001</v>
      </c>
      <c r="M224">
        <v>88.350496756871067</v>
      </c>
      <c r="N224" s="30">
        <f t="shared" si="21"/>
        <v>-30.462958372849066</v>
      </c>
    </row>
    <row r="225" spans="1:14" x14ac:dyDescent="0.2">
      <c r="A225" s="299" t="s">
        <v>1118</v>
      </c>
      <c r="B225" s="298" t="str">
        <f t="shared" si="17"/>
        <v>HPS0110-ST</v>
      </c>
      <c r="C225" s="294" t="str">
        <f>VLOOKUP(LEFT(A225,7),'Tariff Schedule Lookup Table'!$A$8:$G$198,2,FALSE)</f>
        <v>High Pressure Sodium 250</v>
      </c>
      <c r="D225" s="295">
        <f t="shared" si="18"/>
        <v>230</v>
      </c>
      <c r="E225" s="294">
        <f t="shared" si="19"/>
        <v>2</v>
      </c>
      <c r="F225" s="294" t="str">
        <f>VLOOKUP(D225,'Tariff Schedule Lookup Table'!I$7:L$298,2,FALSE)</f>
        <v>HIGH PRESSURE SODIUM 250W (210/220)</v>
      </c>
      <c r="G225" s="294" t="str">
        <f>IF(F225 = "BULKHEADS ETC", "SHARED OR NO POLE", VLOOKUP(D225,'Tariff Schedule Lookup Table'!I$7:L$298,3,FALSE))</f>
        <v>WOOD POLE</v>
      </c>
      <c r="H225" s="294">
        <f>IF(F225 = "NO CAPITAL", 1, VLOOKUP(D225,'Tariff Schedule Lookup Table'!I$7:L$298,4,FALSE))</f>
        <v>1</v>
      </c>
      <c r="I225" s="296">
        <f>VLOOKUP(G225,'Input data'!$A$68:$B$72,2,FALSE)</f>
        <v>10.809914000000001</v>
      </c>
      <c r="J225" s="296">
        <f>VLOOKUP($B225,'Maintenance Costs'!$A:$AB,22,FALSE)</f>
        <v>26.264235842626629</v>
      </c>
      <c r="K225" s="296">
        <f>VLOOKUP($B225,'Maintenance Costs'!$A:$AB,28,FALSE)</f>
        <v>20.813388541395373</v>
      </c>
      <c r="L225" s="297">
        <f t="shared" si="20"/>
        <v>57.887538384022001</v>
      </c>
      <c r="M225">
        <v>88.350496756871067</v>
      </c>
      <c r="N225" s="30">
        <f t="shared" si="21"/>
        <v>-30.462958372849066</v>
      </c>
    </row>
    <row r="226" spans="1:14" x14ac:dyDescent="0.2">
      <c r="A226" s="299" t="s">
        <v>1119</v>
      </c>
      <c r="B226" s="298" t="str">
        <f t="shared" si="17"/>
        <v>HPS0110-ST</v>
      </c>
      <c r="C226" s="294" t="str">
        <f>VLOOKUP(LEFT(A226,7),'Tariff Schedule Lookup Table'!$A$8:$G$198,2,FALSE)</f>
        <v>High Pressure Sodium 250</v>
      </c>
      <c r="D226" s="295">
        <f t="shared" si="18"/>
        <v>230</v>
      </c>
      <c r="E226" s="294">
        <f t="shared" si="19"/>
        <v>3</v>
      </c>
      <c r="F226" s="294" t="str">
        <f>VLOOKUP(D226,'Tariff Schedule Lookup Table'!I$7:L$298,2,FALSE)</f>
        <v>HIGH PRESSURE SODIUM 250W (210/220)</v>
      </c>
      <c r="G226" s="294" t="str">
        <f>IF(F226 = "BULKHEADS ETC", "SHARED OR NO POLE", VLOOKUP(D226,'Tariff Schedule Lookup Table'!I$7:L$298,3,FALSE))</f>
        <v>WOOD POLE</v>
      </c>
      <c r="H226" s="294">
        <f>IF(F226 = "NO CAPITAL", 1, VLOOKUP(D226,'Tariff Schedule Lookup Table'!I$7:L$298,4,FALSE))</f>
        <v>1</v>
      </c>
      <c r="I226" s="296">
        <f>VLOOKUP(G226,'Input data'!$A$68:$B$72,2,FALSE)</f>
        <v>10.809914000000001</v>
      </c>
      <c r="J226" s="296">
        <f>VLOOKUP($B226,'Maintenance Costs'!$A:$AB,22,FALSE)</f>
        <v>26.264235842626629</v>
      </c>
      <c r="K226" s="296">
        <f>VLOOKUP($B226,'Maintenance Costs'!$A:$AB,28,FALSE)</f>
        <v>20.813388541395373</v>
      </c>
      <c r="L226" s="297">
        <f t="shared" si="20"/>
        <v>57.887538384022001</v>
      </c>
      <c r="M226">
        <v>88.350496756871067</v>
      </c>
      <c r="N226" s="30">
        <f t="shared" si="21"/>
        <v>-30.462958372849066</v>
      </c>
    </row>
    <row r="227" spans="1:14" x14ac:dyDescent="0.2">
      <c r="A227" s="299" t="s">
        <v>568</v>
      </c>
      <c r="B227" s="298" t="str">
        <f t="shared" si="17"/>
        <v>HPS0110-ST</v>
      </c>
      <c r="C227" s="294" t="str">
        <f>VLOOKUP(LEFT(A227,7),'Tariff Schedule Lookup Table'!$A$8:$G$198,2,FALSE)</f>
        <v>High Pressure Sodium 250</v>
      </c>
      <c r="D227" s="295">
        <f t="shared" si="18"/>
        <v>230</v>
      </c>
      <c r="E227" s="294">
        <f t="shared" si="19"/>
        <v>4</v>
      </c>
      <c r="F227" s="294" t="str">
        <f>VLOOKUP(D227,'Tariff Schedule Lookup Table'!I$7:L$298,2,FALSE)</f>
        <v>HIGH PRESSURE SODIUM 250W (210/220)</v>
      </c>
      <c r="G227" s="294" t="str">
        <f>IF(F227 = "BULKHEADS ETC", "SHARED OR NO POLE", VLOOKUP(D227,'Tariff Schedule Lookup Table'!I$7:L$298,3,FALSE))</f>
        <v>WOOD POLE</v>
      </c>
      <c r="H227" s="294">
        <f>IF(F227 = "NO CAPITAL", 1, VLOOKUP(D227,'Tariff Schedule Lookup Table'!I$7:L$298,4,FALSE))</f>
        <v>1</v>
      </c>
      <c r="I227" s="296">
        <f>VLOOKUP(G227,'Input data'!$A$68:$B$72,2,FALSE)</f>
        <v>10.809914000000001</v>
      </c>
      <c r="J227" s="296">
        <f>VLOOKUP($B227,'Maintenance Costs'!$A:$AB,22,FALSE)</f>
        <v>26.264235842626629</v>
      </c>
      <c r="K227" s="296">
        <f>VLOOKUP($B227,'Maintenance Costs'!$A:$AB,28,FALSE)</f>
        <v>20.813388541395373</v>
      </c>
      <c r="L227" s="297">
        <f t="shared" si="20"/>
        <v>57.887538384022001</v>
      </c>
      <c r="M227">
        <v>88.350496756871067</v>
      </c>
      <c r="N227" s="30">
        <f t="shared" si="21"/>
        <v>-30.462958372849066</v>
      </c>
    </row>
    <row r="228" spans="1:14" x14ac:dyDescent="0.2">
      <c r="A228" s="299" t="s">
        <v>1121</v>
      </c>
      <c r="B228" s="298" t="str">
        <f t="shared" si="17"/>
        <v>HPS0110-ST</v>
      </c>
      <c r="C228" s="294" t="str">
        <f>VLOOKUP(LEFT(A228,7),'Tariff Schedule Lookup Table'!$A$8:$G$198,2,FALSE)</f>
        <v>High Pressure Sodium 250</v>
      </c>
      <c r="D228" s="295">
        <f t="shared" si="18"/>
        <v>320</v>
      </c>
      <c r="E228" s="294">
        <f t="shared" si="19"/>
        <v>1</v>
      </c>
      <c r="F228" s="294" t="str">
        <f>VLOOKUP(D228,'Tariff Schedule Lookup Table'!I$7:L$298,2,FALSE)</f>
        <v>HIGH PRESSURE SODIUM 250W (210/220)</v>
      </c>
      <c r="G228" s="294" t="str">
        <f>IF(F228 = "BULKHEADS ETC", "SHARED OR NO POLE", VLOOKUP(D228,'Tariff Schedule Lookup Table'!I$7:L$298,3,FALSE))</f>
        <v>STEEL POLE</v>
      </c>
      <c r="H228" s="294">
        <f>IF(F228 = "NO CAPITAL", 1, VLOOKUP(D228,'Tariff Schedule Lookup Table'!I$7:L$298,4,FALSE))</f>
        <v>1</v>
      </c>
      <c r="I228" s="296">
        <f>VLOOKUP(G228,'Input data'!$A$68:$B$72,2,FALSE)</f>
        <v>9.8748837500000004</v>
      </c>
      <c r="J228" s="296">
        <f>VLOOKUP($B228,'Maintenance Costs'!$A:$AB,22,FALSE)</f>
        <v>26.264235842626629</v>
      </c>
      <c r="K228" s="296">
        <f>VLOOKUP($B228,'Maintenance Costs'!$A:$AB,28,FALSE)</f>
        <v>20.813388541395373</v>
      </c>
      <c r="L228" s="297">
        <f t="shared" si="20"/>
        <v>56.952508134022004</v>
      </c>
      <c r="M228">
        <v>87.415466506871056</v>
      </c>
      <c r="N228" s="30">
        <f t="shared" si="21"/>
        <v>-30.462958372849052</v>
      </c>
    </row>
    <row r="229" spans="1:14" x14ac:dyDescent="0.2">
      <c r="A229" s="299" t="s">
        <v>1122</v>
      </c>
      <c r="B229" s="298" t="str">
        <f t="shared" si="17"/>
        <v>HPS0110-ST</v>
      </c>
      <c r="C229" s="294" t="str">
        <f>VLOOKUP(LEFT(A229,7),'Tariff Schedule Lookup Table'!$A$8:$G$198,2,FALSE)</f>
        <v>High Pressure Sodium 250</v>
      </c>
      <c r="D229" s="295">
        <f t="shared" si="18"/>
        <v>320</v>
      </c>
      <c r="E229" s="294">
        <f t="shared" si="19"/>
        <v>2</v>
      </c>
      <c r="F229" s="294" t="str">
        <f>VLOOKUP(D229,'Tariff Schedule Lookup Table'!I$7:L$298,2,FALSE)</f>
        <v>HIGH PRESSURE SODIUM 250W (210/220)</v>
      </c>
      <c r="G229" s="294" t="str">
        <f>IF(F229 = "BULKHEADS ETC", "SHARED OR NO POLE", VLOOKUP(D229,'Tariff Schedule Lookup Table'!I$7:L$298,3,FALSE))</f>
        <v>STEEL POLE</v>
      </c>
      <c r="H229" s="294">
        <f>IF(F229 = "NO CAPITAL", 1, VLOOKUP(D229,'Tariff Schedule Lookup Table'!I$7:L$298,4,FALSE))</f>
        <v>1</v>
      </c>
      <c r="I229" s="296">
        <f>VLOOKUP(G229,'Input data'!$A$68:$B$72,2,FALSE)</f>
        <v>9.8748837500000004</v>
      </c>
      <c r="J229" s="296">
        <f>VLOOKUP($B229,'Maintenance Costs'!$A:$AB,22,FALSE)</f>
        <v>26.264235842626629</v>
      </c>
      <c r="K229" s="296">
        <f>VLOOKUP($B229,'Maintenance Costs'!$A:$AB,28,FALSE)</f>
        <v>20.813388541395373</v>
      </c>
      <c r="L229" s="297">
        <f t="shared" si="20"/>
        <v>56.952508134022004</v>
      </c>
      <c r="M229">
        <v>87.415466506871056</v>
      </c>
      <c r="N229" s="30">
        <f t="shared" si="21"/>
        <v>-30.462958372849052</v>
      </c>
    </row>
    <row r="230" spans="1:14" x14ac:dyDescent="0.2">
      <c r="A230" s="299" t="s">
        <v>1123</v>
      </c>
      <c r="B230" s="298" t="str">
        <f t="shared" si="17"/>
        <v>HPS0110-ST</v>
      </c>
      <c r="C230" s="294" t="str">
        <f>VLOOKUP(LEFT(A230,7),'Tariff Schedule Lookup Table'!$A$8:$G$198,2,FALSE)</f>
        <v>High Pressure Sodium 250</v>
      </c>
      <c r="D230" s="295">
        <f t="shared" si="18"/>
        <v>320</v>
      </c>
      <c r="E230" s="294">
        <f t="shared" si="19"/>
        <v>3</v>
      </c>
      <c r="F230" s="294" t="str">
        <f>VLOOKUP(D230,'Tariff Schedule Lookup Table'!I$7:L$298,2,FALSE)</f>
        <v>HIGH PRESSURE SODIUM 250W (210/220)</v>
      </c>
      <c r="G230" s="294" t="str">
        <f>IF(F230 = "BULKHEADS ETC", "SHARED OR NO POLE", VLOOKUP(D230,'Tariff Schedule Lookup Table'!I$7:L$298,3,FALSE))</f>
        <v>STEEL POLE</v>
      </c>
      <c r="H230" s="294">
        <f>IF(F230 = "NO CAPITAL", 1, VLOOKUP(D230,'Tariff Schedule Lookup Table'!I$7:L$298,4,FALSE))</f>
        <v>1</v>
      </c>
      <c r="I230" s="296">
        <f>VLOOKUP(G230,'Input data'!$A$68:$B$72,2,FALSE)</f>
        <v>9.8748837500000004</v>
      </c>
      <c r="J230" s="296">
        <f>VLOOKUP($B230,'Maintenance Costs'!$A:$AB,22,FALSE)</f>
        <v>26.264235842626629</v>
      </c>
      <c r="K230" s="296">
        <f>VLOOKUP($B230,'Maintenance Costs'!$A:$AB,28,FALSE)</f>
        <v>20.813388541395373</v>
      </c>
      <c r="L230" s="297">
        <f t="shared" si="20"/>
        <v>56.952508134022004</v>
      </c>
      <c r="M230">
        <v>87.415466506871056</v>
      </c>
      <c r="N230" s="30">
        <f t="shared" si="21"/>
        <v>-30.462958372849052</v>
      </c>
    </row>
    <row r="231" spans="1:14" x14ac:dyDescent="0.2">
      <c r="A231" s="299" t="s">
        <v>569</v>
      </c>
      <c r="B231" s="298" t="str">
        <f t="shared" si="17"/>
        <v>HPS0110-ST</v>
      </c>
      <c r="C231" s="294" t="str">
        <f>VLOOKUP(LEFT(A231,7),'Tariff Schedule Lookup Table'!$A$8:$G$198,2,FALSE)</f>
        <v>High Pressure Sodium 250</v>
      </c>
      <c r="D231" s="295">
        <f t="shared" si="18"/>
        <v>320</v>
      </c>
      <c r="E231" s="294">
        <f t="shared" si="19"/>
        <v>4</v>
      </c>
      <c r="F231" s="294" t="str">
        <f>VLOOKUP(D231,'Tariff Schedule Lookup Table'!I$7:L$298,2,FALSE)</f>
        <v>HIGH PRESSURE SODIUM 250W (210/220)</v>
      </c>
      <c r="G231" s="294" t="str">
        <f>IF(F231 = "BULKHEADS ETC", "SHARED OR NO POLE", VLOOKUP(D231,'Tariff Schedule Lookup Table'!I$7:L$298,3,FALSE))</f>
        <v>STEEL POLE</v>
      </c>
      <c r="H231" s="294">
        <f>IF(F231 = "NO CAPITAL", 1, VLOOKUP(D231,'Tariff Schedule Lookup Table'!I$7:L$298,4,FALSE))</f>
        <v>1</v>
      </c>
      <c r="I231" s="296">
        <f>VLOOKUP(G231,'Input data'!$A$68:$B$72,2,FALSE)</f>
        <v>9.8748837500000004</v>
      </c>
      <c r="J231" s="296">
        <f>VLOOKUP($B231,'Maintenance Costs'!$A:$AB,22,FALSE)</f>
        <v>26.264235842626629</v>
      </c>
      <c r="K231" s="296">
        <f>VLOOKUP($B231,'Maintenance Costs'!$A:$AB,28,FALSE)</f>
        <v>20.813388541395373</v>
      </c>
      <c r="L231" s="297">
        <f t="shared" si="20"/>
        <v>56.952508134022004</v>
      </c>
      <c r="M231">
        <v>87.415466506871056</v>
      </c>
      <c r="N231" s="30">
        <f t="shared" si="21"/>
        <v>-30.462958372849052</v>
      </c>
    </row>
    <row r="232" spans="1:14" x14ac:dyDescent="0.2">
      <c r="A232" s="299" t="s">
        <v>1125</v>
      </c>
      <c r="B232" s="298" t="str">
        <f t="shared" si="17"/>
        <v>HPS0110-ST</v>
      </c>
      <c r="C232" s="294" t="str">
        <f>VLOOKUP(LEFT(A232,7),'Tariff Schedule Lookup Table'!$A$8:$G$198,2,FALSE)</f>
        <v>High Pressure Sodium 250</v>
      </c>
      <c r="D232" s="295">
        <f t="shared" si="18"/>
        <v>390</v>
      </c>
      <c r="E232" s="294">
        <f t="shared" si="19"/>
        <v>1</v>
      </c>
      <c r="F232" s="294" t="str">
        <f>VLOOKUP(D232,'Tariff Schedule Lookup Table'!I$7:L$298,2,FALSE)</f>
        <v>HIGH PRESSURE SODIUM 250W (210/220)</v>
      </c>
      <c r="G232" s="294" t="str">
        <f>IF(F232 = "BULKHEADS ETC", "SHARED OR NO POLE", VLOOKUP(D232,'Tariff Schedule Lookup Table'!I$7:L$298,3,FALSE))</f>
        <v>STEEL POLE</v>
      </c>
      <c r="H232" s="294">
        <f>IF(F232 = "NO CAPITAL", 1, VLOOKUP(D232,'Tariff Schedule Lookup Table'!I$7:L$298,4,FALSE))</f>
        <v>2</v>
      </c>
      <c r="I232" s="296">
        <f>VLOOKUP(G232,'Input data'!$A$68:$B$72,2,FALSE)</f>
        <v>9.8748837500000004</v>
      </c>
      <c r="J232" s="296">
        <f>VLOOKUP($B232,'Maintenance Costs'!$A:$AB,22,FALSE)</f>
        <v>26.264235842626629</v>
      </c>
      <c r="K232" s="296">
        <f>VLOOKUP($B232,'Maintenance Costs'!$A:$AB,28,FALSE)</f>
        <v>20.813388541395373</v>
      </c>
      <c r="L232" s="297">
        <f t="shared" si="20"/>
        <v>52.015066259021999</v>
      </c>
      <c r="M232">
        <v>82.478024631871065</v>
      </c>
      <c r="N232" s="30">
        <f t="shared" si="21"/>
        <v>-30.462958372849066</v>
      </c>
    </row>
    <row r="233" spans="1:14" x14ac:dyDescent="0.2">
      <c r="A233" s="299" t="s">
        <v>1126</v>
      </c>
      <c r="B233" s="298" t="str">
        <f t="shared" si="17"/>
        <v>HPS0110-ST</v>
      </c>
      <c r="C233" s="294" t="str">
        <f>VLOOKUP(LEFT(A233,7),'Tariff Schedule Lookup Table'!$A$8:$G$198,2,FALSE)</f>
        <v>High Pressure Sodium 250</v>
      </c>
      <c r="D233" s="295">
        <f t="shared" si="18"/>
        <v>390</v>
      </c>
      <c r="E233" s="294">
        <f t="shared" si="19"/>
        <v>2</v>
      </c>
      <c r="F233" s="294" t="str">
        <f>VLOOKUP(D233,'Tariff Schedule Lookup Table'!I$7:L$298,2,FALSE)</f>
        <v>HIGH PRESSURE SODIUM 250W (210/220)</v>
      </c>
      <c r="G233" s="294" t="str">
        <f>IF(F233 = "BULKHEADS ETC", "SHARED OR NO POLE", VLOOKUP(D233,'Tariff Schedule Lookup Table'!I$7:L$298,3,FALSE))</f>
        <v>STEEL POLE</v>
      </c>
      <c r="H233" s="294">
        <f>IF(F233 = "NO CAPITAL", 1, VLOOKUP(D233,'Tariff Schedule Lookup Table'!I$7:L$298,4,FALSE))</f>
        <v>2</v>
      </c>
      <c r="I233" s="296">
        <f>VLOOKUP(G233,'Input data'!$A$68:$B$72,2,FALSE)</f>
        <v>9.8748837500000004</v>
      </c>
      <c r="J233" s="296">
        <f>VLOOKUP($B233,'Maintenance Costs'!$A:$AB,22,FALSE)</f>
        <v>26.264235842626629</v>
      </c>
      <c r="K233" s="296">
        <f>VLOOKUP($B233,'Maintenance Costs'!$A:$AB,28,FALSE)</f>
        <v>20.813388541395373</v>
      </c>
      <c r="L233" s="297">
        <f t="shared" si="20"/>
        <v>52.015066259021999</v>
      </c>
      <c r="M233">
        <v>82.478024631871065</v>
      </c>
      <c r="N233" s="30">
        <f t="shared" si="21"/>
        <v>-30.462958372849066</v>
      </c>
    </row>
    <row r="234" spans="1:14" x14ac:dyDescent="0.2">
      <c r="A234" s="299" t="s">
        <v>1127</v>
      </c>
      <c r="B234" s="298" t="str">
        <f t="shared" si="17"/>
        <v>HPS0110-ST</v>
      </c>
      <c r="C234" s="294" t="str">
        <f>VLOOKUP(LEFT(A234,7),'Tariff Schedule Lookup Table'!$A$8:$G$198,2,FALSE)</f>
        <v>High Pressure Sodium 250</v>
      </c>
      <c r="D234" s="295">
        <f t="shared" si="18"/>
        <v>390</v>
      </c>
      <c r="E234" s="294">
        <f t="shared" si="19"/>
        <v>3</v>
      </c>
      <c r="F234" s="294" t="str">
        <f>VLOOKUP(D234,'Tariff Schedule Lookup Table'!I$7:L$298,2,FALSE)</f>
        <v>HIGH PRESSURE SODIUM 250W (210/220)</v>
      </c>
      <c r="G234" s="294" t="str">
        <f>IF(F234 = "BULKHEADS ETC", "SHARED OR NO POLE", VLOOKUP(D234,'Tariff Schedule Lookup Table'!I$7:L$298,3,FALSE))</f>
        <v>STEEL POLE</v>
      </c>
      <c r="H234" s="294">
        <f>IF(F234 = "NO CAPITAL", 1, VLOOKUP(D234,'Tariff Schedule Lookup Table'!I$7:L$298,4,FALSE))</f>
        <v>2</v>
      </c>
      <c r="I234" s="296">
        <f>VLOOKUP(G234,'Input data'!$A$68:$B$72,2,FALSE)</f>
        <v>9.8748837500000004</v>
      </c>
      <c r="J234" s="296">
        <f>VLOOKUP($B234,'Maintenance Costs'!$A:$AB,22,FALSE)</f>
        <v>26.264235842626629</v>
      </c>
      <c r="K234" s="296">
        <f>VLOOKUP($B234,'Maintenance Costs'!$A:$AB,28,FALSE)</f>
        <v>20.813388541395373</v>
      </c>
      <c r="L234" s="297">
        <f t="shared" si="20"/>
        <v>52.015066259021999</v>
      </c>
      <c r="M234">
        <v>82.478024631871065</v>
      </c>
      <c r="N234" s="30">
        <f t="shared" si="21"/>
        <v>-30.462958372849066</v>
      </c>
    </row>
    <row r="235" spans="1:14" x14ac:dyDescent="0.2">
      <c r="A235" s="299" t="s">
        <v>570</v>
      </c>
      <c r="B235" s="298" t="str">
        <f t="shared" si="17"/>
        <v>HPS0110-ST</v>
      </c>
      <c r="C235" s="294" t="str">
        <f>VLOOKUP(LEFT(A235,7),'Tariff Schedule Lookup Table'!$A$8:$G$198,2,FALSE)</f>
        <v>High Pressure Sodium 250</v>
      </c>
      <c r="D235" s="295">
        <f t="shared" si="18"/>
        <v>390</v>
      </c>
      <c r="E235" s="294">
        <f t="shared" si="19"/>
        <v>4</v>
      </c>
      <c r="F235" s="294" t="str">
        <f>VLOOKUP(D235,'Tariff Schedule Lookup Table'!I$7:L$298,2,FALSE)</f>
        <v>HIGH PRESSURE SODIUM 250W (210/220)</v>
      </c>
      <c r="G235" s="294" t="str">
        <f>IF(F235 = "BULKHEADS ETC", "SHARED OR NO POLE", VLOOKUP(D235,'Tariff Schedule Lookup Table'!I$7:L$298,3,FALSE))</f>
        <v>STEEL POLE</v>
      </c>
      <c r="H235" s="294">
        <f>IF(F235 = "NO CAPITAL", 1, VLOOKUP(D235,'Tariff Schedule Lookup Table'!I$7:L$298,4,FALSE))</f>
        <v>2</v>
      </c>
      <c r="I235" s="296">
        <f>VLOOKUP(G235,'Input data'!$A$68:$B$72,2,FALSE)</f>
        <v>9.8748837500000004</v>
      </c>
      <c r="J235" s="296">
        <f>VLOOKUP($B235,'Maintenance Costs'!$A:$AB,22,FALSE)</f>
        <v>26.264235842626629</v>
      </c>
      <c r="K235" s="296">
        <f>VLOOKUP($B235,'Maintenance Costs'!$A:$AB,28,FALSE)</f>
        <v>20.813388541395373</v>
      </c>
      <c r="L235" s="297">
        <f t="shared" si="20"/>
        <v>52.015066259021999</v>
      </c>
      <c r="M235">
        <v>82.478024631871065</v>
      </c>
      <c r="N235" s="30">
        <f t="shared" si="21"/>
        <v>-30.462958372849066</v>
      </c>
    </row>
    <row r="236" spans="1:14" x14ac:dyDescent="0.2">
      <c r="A236" s="299" t="s">
        <v>1129</v>
      </c>
      <c r="B236" s="298" t="str">
        <f t="shared" si="17"/>
        <v>HPS0110-ST</v>
      </c>
      <c r="C236" s="294" t="str">
        <f>VLOOKUP(LEFT(A236,7),'Tariff Schedule Lookup Table'!$A$8:$G$198,2,FALSE)</f>
        <v>High Pressure Sodium 250</v>
      </c>
      <c r="D236" s="295">
        <f t="shared" si="18"/>
        <v>430</v>
      </c>
      <c r="E236" s="294">
        <f t="shared" si="19"/>
        <v>2</v>
      </c>
      <c r="F236" s="294" t="str">
        <f>VLOOKUP(D236,'Tariff Schedule Lookup Table'!I$7:L$298,2,FALSE)</f>
        <v>HIGH PRESSURE SODIUM 250W (210/220)</v>
      </c>
      <c r="G236" s="294" t="str">
        <f>IF(F236 = "BULKHEADS ETC", "SHARED OR NO POLE", VLOOKUP(D236,'Tariff Schedule Lookup Table'!I$7:L$298,3,FALSE))</f>
        <v>STEEL POLE</v>
      </c>
      <c r="H236" s="294">
        <f>IF(F236 = "NO CAPITAL", 1, VLOOKUP(D236,'Tariff Schedule Lookup Table'!I$7:L$298,4,FALSE))</f>
        <v>3</v>
      </c>
      <c r="I236" s="296">
        <f>VLOOKUP(G236,'Input data'!$A$68:$B$72,2,FALSE)</f>
        <v>9.8748837500000004</v>
      </c>
      <c r="J236" s="296">
        <f>VLOOKUP($B236,'Maintenance Costs'!$A:$AB,22,FALSE)</f>
        <v>26.264235842626629</v>
      </c>
      <c r="K236" s="296">
        <f>VLOOKUP($B236,'Maintenance Costs'!$A:$AB,28,FALSE)</f>
        <v>20.813388541395373</v>
      </c>
      <c r="L236" s="297">
        <f t="shared" si="20"/>
        <v>50.369252300688672</v>
      </c>
      <c r="M236">
        <v>80.83221067353773</v>
      </c>
      <c r="N236" s="30">
        <f t="shared" si="21"/>
        <v>-30.462958372849059</v>
      </c>
    </row>
    <row r="237" spans="1:14" x14ac:dyDescent="0.2">
      <c r="A237" s="299" t="s">
        <v>571</v>
      </c>
      <c r="B237" s="298" t="str">
        <f t="shared" si="17"/>
        <v>HPS0110-ST</v>
      </c>
      <c r="C237" s="294" t="str">
        <f>VLOOKUP(LEFT(A237,7),'Tariff Schedule Lookup Table'!$A$8:$G$198,2,FALSE)</f>
        <v>High Pressure Sodium 250</v>
      </c>
      <c r="D237" s="295">
        <f t="shared" si="18"/>
        <v>430</v>
      </c>
      <c r="E237" s="294">
        <f t="shared" si="19"/>
        <v>4</v>
      </c>
      <c r="F237" s="294" t="str">
        <f>VLOOKUP(D237,'Tariff Schedule Lookup Table'!I$7:L$298,2,FALSE)</f>
        <v>HIGH PRESSURE SODIUM 250W (210/220)</v>
      </c>
      <c r="G237" s="294" t="str">
        <f>IF(F237 = "BULKHEADS ETC", "SHARED OR NO POLE", VLOOKUP(D237,'Tariff Schedule Lookup Table'!I$7:L$298,3,FALSE))</f>
        <v>STEEL POLE</v>
      </c>
      <c r="H237" s="294">
        <f>IF(F237 = "NO CAPITAL", 1, VLOOKUP(D237,'Tariff Schedule Lookup Table'!I$7:L$298,4,FALSE))</f>
        <v>3</v>
      </c>
      <c r="I237" s="296">
        <f>VLOOKUP(G237,'Input data'!$A$68:$B$72,2,FALSE)</f>
        <v>9.8748837500000004</v>
      </c>
      <c r="J237" s="296">
        <f>VLOOKUP($B237,'Maintenance Costs'!$A:$AB,22,FALSE)</f>
        <v>26.264235842626629</v>
      </c>
      <c r="K237" s="296">
        <f>VLOOKUP($B237,'Maintenance Costs'!$A:$AB,28,FALSE)</f>
        <v>20.813388541395373</v>
      </c>
      <c r="L237" s="297">
        <f t="shared" si="20"/>
        <v>50.369252300688672</v>
      </c>
      <c r="M237">
        <v>80.83221067353773</v>
      </c>
      <c r="N237" s="30">
        <f t="shared" si="21"/>
        <v>-30.462958372849059</v>
      </c>
    </row>
    <row r="238" spans="1:14" x14ac:dyDescent="0.2">
      <c r="A238" s="299" t="s">
        <v>1130</v>
      </c>
      <c r="B238" s="298" t="str">
        <f t="shared" si="17"/>
        <v>HPS0110-ST</v>
      </c>
      <c r="C238" s="294" t="str">
        <f>VLOOKUP(LEFT(A238,7),'Tariff Schedule Lookup Table'!$A$8:$G$198,2,FALSE)</f>
        <v>High Pressure Sodium 250</v>
      </c>
      <c r="D238" s="295">
        <f t="shared" si="18"/>
        <v>470</v>
      </c>
      <c r="E238" s="294">
        <f t="shared" si="19"/>
        <v>1</v>
      </c>
      <c r="F238" s="294" t="str">
        <f>VLOOKUP(D238,'Tariff Schedule Lookup Table'!I$7:L$298,2,FALSE)</f>
        <v>HIGH PRESSURE SODIUM 250W (210/220)</v>
      </c>
      <c r="G238" s="294" t="str">
        <f>IF(F238 = "BULKHEADS ETC", "SHARED OR NO POLE", VLOOKUP(D238,'Tariff Schedule Lookup Table'!I$7:L$298,3,FALSE))</f>
        <v>STEEL POLE</v>
      </c>
      <c r="H238" s="294">
        <f>IF(F238 = "NO CAPITAL", 1, VLOOKUP(D238,'Tariff Schedule Lookup Table'!I$7:L$298,4,FALSE))</f>
        <v>4</v>
      </c>
      <c r="I238" s="296">
        <f>VLOOKUP(G238,'Input data'!$A$68:$B$72,2,FALSE)</f>
        <v>9.8748837500000004</v>
      </c>
      <c r="J238" s="296">
        <f>VLOOKUP($B238,'Maintenance Costs'!$A:$AB,22,FALSE)</f>
        <v>26.264235842626629</v>
      </c>
      <c r="K238" s="296">
        <f>VLOOKUP($B238,'Maintenance Costs'!$A:$AB,28,FALSE)</f>
        <v>20.813388541395373</v>
      </c>
      <c r="L238" s="297">
        <f t="shared" si="20"/>
        <v>49.546345321522004</v>
      </c>
      <c r="M238">
        <v>80.009303694371056</v>
      </c>
      <c r="N238" s="30">
        <f t="shared" si="21"/>
        <v>-30.462958372849052</v>
      </c>
    </row>
    <row r="239" spans="1:14" x14ac:dyDescent="0.2">
      <c r="A239" s="299" t="s">
        <v>1131</v>
      </c>
      <c r="B239" s="298" t="str">
        <f t="shared" si="17"/>
        <v>HPS0110-ST</v>
      </c>
      <c r="C239" s="294" t="str">
        <f>VLOOKUP(LEFT(A239,7),'Tariff Schedule Lookup Table'!$A$8:$G$198,2,FALSE)</f>
        <v>High Pressure Sodium 250</v>
      </c>
      <c r="D239" s="295">
        <f t="shared" si="18"/>
        <v>470</v>
      </c>
      <c r="E239" s="294">
        <f t="shared" si="19"/>
        <v>2</v>
      </c>
      <c r="F239" s="294" t="str">
        <f>VLOOKUP(D239,'Tariff Schedule Lookup Table'!I$7:L$298,2,FALSE)</f>
        <v>HIGH PRESSURE SODIUM 250W (210/220)</v>
      </c>
      <c r="G239" s="294" t="str">
        <f>IF(F239 = "BULKHEADS ETC", "SHARED OR NO POLE", VLOOKUP(D239,'Tariff Schedule Lookup Table'!I$7:L$298,3,FALSE))</f>
        <v>STEEL POLE</v>
      </c>
      <c r="H239" s="294">
        <f>IF(F239 = "NO CAPITAL", 1, VLOOKUP(D239,'Tariff Schedule Lookup Table'!I$7:L$298,4,FALSE))</f>
        <v>4</v>
      </c>
      <c r="I239" s="296">
        <f>VLOOKUP(G239,'Input data'!$A$68:$B$72,2,FALSE)</f>
        <v>9.8748837500000004</v>
      </c>
      <c r="J239" s="296">
        <f>VLOOKUP($B239,'Maintenance Costs'!$A:$AB,22,FALSE)</f>
        <v>26.264235842626629</v>
      </c>
      <c r="K239" s="296">
        <f>VLOOKUP($B239,'Maintenance Costs'!$A:$AB,28,FALSE)</f>
        <v>20.813388541395373</v>
      </c>
      <c r="L239" s="297">
        <f t="shared" si="20"/>
        <v>49.546345321522004</v>
      </c>
      <c r="M239">
        <v>80.009303694371056</v>
      </c>
      <c r="N239" s="30">
        <f t="shared" si="21"/>
        <v>-30.462958372849052</v>
      </c>
    </row>
    <row r="240" spans="1:14" x14ac:dyDescent="0.2">
      <c r="A240" s="299" t="s">
        <v>572</v>
      </c>
      <c r="B240" s="298" t="str">
        <f t="shared" si="17"/>
        <v>HPS0110-ST</v>
      </c>
      <c r="C240" s="294" t="str">
        <f>VLOOKUP(LEFT(A240,7),'Tariff Schedule Lookup Table'!$A$8:$G$198,2,FALSE)</f>
        <v>High Pressure Sodium 250</v>
      </c>
      <c r="D240" s="295">
        <f t="shared" si="18"/>
        <v>470</v>
      </c>
      <c r="E240" s="294">
        <f t="shared" si="19"/>
        <v>4</v>
      </c>
      <c r="F240" s="294" t="str">
        <f>VLOOKUP(D240,'Tariff Schedule Lookup Table'!I$7:L$298,2,FALSE)</f>
        <v>HIGH PRESSURE SODIUM 250W (210/220)</v>
      </c>
      <c r="G240" s="294" t="str">
        <f>IF(F240 = "BULKHEADS ETC", "SHARED OR NO POLE", VLOOKUP(D240,'Tariff Schedule Lookup Table'!I$7:L$298,3,FALSE))</f>
        <v>STEEL POLE</v>
      </c>
      <c r="H240" s="294">
        <f>IF(F240 = "NO CAPITAL", 1, VLOOKUP(D240,'Tariff Schedule Lookup Table'!I$7:L$298,4,FALSE))</f>
        <v>4</v>
      </c>
      <c r="I240" s="296">
        <f>VLOOKUP(G240,'Input data'!$A$68:$B$72,2,FALSE)</f>
        <v>9.8748837500000004</v>
      </c>
      <c r="J240" s="296">
        <f>VLOOKUP($B240,'Maintenance Costs'!$A:$AB,22,FALSE)</f>
        <v>26.264235842626629</v>
      </c>
      <c r="K240" s="296">
        <f>VLOOKUP($B240,'Maintenance Costs'!$A:$AB,28,FALSE)</f>
        <v>20.813388541395373</v>
      </c>
      <c r="L240" s="297">
        <f t="shared" si="20"/>
        <v>49.546345321522004</v>
      </c>
      <c r="M240">
        <v>80.009303694371056</v>
      </c>
      <c r="N240" s="30">
        <f t="shared" si="21"/>
        <v>-30.462958372849052</v>
      </c>
    </row>
    <row r="241" spans="1:14" x14ac:dyDescent="0.2">
      <c r="A241" s="299" t="s">
        <v>1133</v>
      </c>
      <c r="B241" s="298" t="str">
        <f t="shared" si="17"/>
        <v>HPS0110-ST</v>
      </c>
      <c r="C241" s="294" t="str">
        <f>VLOOKUP(LEFT(A241,7),'Tariff Schedule Lookup Table'!$A$8:$G$198,2,FALSE)</f>
        <v>High Pressure Sodium 250</v>
      </c>
      <c r="D241" s="295">
        <f t="shared" si="18"/>
        <v>510</v>
      </c>
      <c r="E241" s="294">
        <f t="shared" si="19"/>
        <v>2</v>
      </c>
      <c r="F241" s="294" t="str">
        <f>VLOOKUP(D241,'Tariff Schedule Lookup Table'!I$7:L$298,2,FALSE)</f>
        <v>HIGH PRESSURE SODIUM 250W (210/220)</v>
      </c>
      <c r="G241" s="294" t="str">
        <f>IF(F241 = "BULKHEADS ETC", "SHARED OR NO POLE", VLOOKUP(D241,'Tariff Schedule Lookup Table'!I$7:L$298,3,FALSE))</f>
        <v>R/BOUT COLUMN</v>
      </c>
      <c r="H241" s="294">
        <f>IF(F241 = "NO CAPITAL", 1, VLOOKUP(D241,'Tariff Schedule Lookup Table'!I$7:L$298,4,FALSE))</f>
        <v>2</v>
      </c>
      <c r="I241" s="296">
        <f>VLOOKUP(G241,'Input data'!$A$68:$B$72,2,FALSE)</f>
        <v>9.8748837500000004</v>
      </c>
      <c r="J241" s="296">
        <f>VLOOKUP($B241,'Maintenance Costs'!$A:$AB,22,FALSE)</f>
        <v>26.264235842626629</v>
      </c>
      <c r="K241" s="296">
        <f>VLOOKUP($B241,'Maintenance Costs'!$A:$AB,28,FALSE)</f>
        <v>20.813388541395373</v>
      </c>
      <c r="L241" s="297">
        <f t="shared" si="20"/>
        <v>52.015066259021999</v>
      </c>
      <c r="M241">
        <v>82.478024631871065</v>
      </c>
      <c r="N241" s="30">
        <f t="shared" si="21"/>
        <v>-30.462958372849066</v>
      </c>
    </row>
    <row r="242" spans="1:14" x14ac:dyDescent="0.2">
      <c r="A242" s="299" t="s">
        <v>1134</v>
      </c>
      <c r="B242" s="298" t="str">
        <f t="shared" si="17"/>
        <v>HPS0110-ST</v>
      </c>
      <c r="C242" s="294" t="str">
        <f>VLOOKUP(LEFT(A242,7),'Tariff Schedule Lookup Table'!$A$8:$G$198,2,FALSE)</f>
        <v>High Pressure Sodium 250</v>
      </c>
      <c r="D242" s="295">
        <f t="shared" si="18"/>
        <v>550</v>
      </c>
      <c r="E242" s="294">
        <f t="shared" si="19"/>
        <v>1</v>
      </c>
      <c r="F242" s="294" t="str">
        <f>VLOOKUP(D242,'Tariff Schedule Lookup Table'!I$7:L$298,2,FALSE)</f>
        <v>HIGH PRESSURE SODIUM 250W (210/220)</v>
      </c>
      <c r="G242" s="294" t="str">
        <f>IF(F242 = "BULKHEADS ETC", "SHARED OR NO POLE", VLOOKUP(D242,'Tariff Schedule Lookup Table'!I$7:L$298,3,FALSE))</f>
        <v>R/BOUT COLUMN</v>
      </c>
      <c r="H242" s="294">
        <f>IF(F242 = "NO CAPITAL", 1, VLOOKUP(D242,'Tariff Schedule Lookup Table'!I$7:L$298,4,FALSE))</f>
        <v>3</v>
      </c>
      <c r="I242" s="296">
        <f>VLOOKUP(G242,'Input data'!$A$68:$B$72,2,FALSE)</f>
        <v>9.8748837500000004</v>
      </c>
      <c r="J242" s="296">
        <f>VLOOKUP($B242,'Maintenance Costs'!$A:$AB,22,FALSE)</f>
        <v>26.264235842626629</v>
      </c>
      <c r="K242" s="296">
        <f>VLOOKUP($B242,'Maintenance Costs'!$A:$AB,28,FALSE)</f>
        <v>20.813388541395373</v>
      </c>
      <c r="L242" s="297">
        <f t="shared" si="20"/>
        <v>50.369252300688672</v>
      </c>
      <c r="M242">
        <v>80.83221067353773</v>
      </c>
      <c r="N242" s="30">
        <f t="shared" si="21"/>
        <v>-30.462958372849059</v>
      </c>
    </row>
    <row r="243" spans="1:14" x14ac:dyDescent="0.2">
      <c r="A243" s="299" t="s">
        <v>1135</v>
      </c>
      <c r="B243" s="298" t="str">
        <f t="shared" si="17"/>
        <v>HPS0110-ST</v>
      </c>
      <c r="C243" s="294" t="str">
        <f>VLOOKUP(LEFT(A243,7),'Tariff Schedule Lookup Table'!$A$8:$G$198,2,FALSE)</f>
        <v>High Pressure Sodium 250</v>
      </c>
      <c r="D243" s="295">
        <f t="shared" si="18"/>
        <v>550</v>
      </c>
      <c r="E243" s="294">
        <f t="shared" si="19"/>
        <v>2</v>
      </c>
      <c r="F243" s="294" t="str">
        <f>VLOOKUP(D243,'Tariff Schedule Lookup Table'!I$7:L$298,2,FALSE)</f>
        <v>HIGH PRESSURE SODIUM 250W (210/220)</v>
      </c>
      <c r="G243" s="294" t="str">
        <f>IF(F243 = "BULKHEADS ETC", "SHARED OR NO POLE", VLOOKUP(D243,'Tariff Schedule Lookup Table'!I$7:L$298,3,FALSE))</f>
        <v>R/BOUT COLUMN</v>
      </c>
      <c r="H243" s="294">
        <f>IF(F243 = "NO CAPITAL", 1, VLOOKUP(D243,'Tariff Schedule Lookup Table'!I$7:L$298,4,FALSE))</f>
        <v>3</v>
      </c>
      <c r="I243" s="296">
        <f>VLOOKUP(G243,'Input data'!$A$68:$B$72,2,FALSE)</f>
        <v>9.8748837500000004</v>
      </c>
      <c r="J243" s="296">
        <f>VLOOKUP($B243,'Maintenance Costs'!$A:$AB,22,FALSE)</f>
        <v>26.264235842626629</v>
      </c>
      <c r="K243" s="296">
        <f>VLOOKUP($B243,'Maintenance Costs'!$A:$AB,28,FALSE)</f>
        <v>20.813388541395373</v>
      </c>
      <c r="L243" s="297">
        <f t="shared" si="20"/>
        <v>50.369252300688672</v>
      </c>
      <c r="M243">
        <v>80.83221067353773</v>
      </c>
      <c r="N243" s="30">
        <f t="shared" si="21"/>
        <v>-30.462958372849059</v>
      </c>
    </row>
    <row r="244" spans="1:14" x14ac:dyDescent="0.2">
      <c r="A244" s="299" t="s">
        <v>573</v>
      </c>
      <c r="B244" s="298" t="str">
        <f t="shared" si="17"/>
        <v>HPS0110-ST</v>
      </c>
      <c r="C244" s="294" t="str">
        <f>VLOOKUP(LEFT(A244,7),'Tariff Schedule Lookup Table'!$A$8:$G$198,2,FALSE)</f>
        <v>High Pressure Sodium 250</v>
      </c>
      <c r="D244" s="295">
        <f t="shared" si="18"/>
        <v>550</v>
      </c>
      <c r="E244" s="294">
        <f t="shared" si="19"/>
        <v>4</v>
      </c>
      <c r="F244" s="294" t="str">
        <f>VLOOKUP(D244,'Tariff Schedule Lookup Table'!I$7:L$298,2,FALSE)</f>
        <v>HIGH PRESSURE SODIUM 250W (210/220)</v>
      </c>
      <c r="G244" s="294" t="str">
        <f>IF(F244 = "BULKHEADS ETC", "SHARED OR NO POLE", VLOOKUP(D244,'Tariff Schedule Lookup Table'!I$7:L$298,3,FALSE))</f>
        <v>R/BOUT COLUMN</v>
      </c>
      <c r="H244" s="294">
        <f>IF(F244 = "NO CAPITAL", 1, VLOOKUP(D244,'Tariff Schedule Lookup Table'!I$7:L$298,4,FALSE))</f>
        <v>3</v>
      </c>
      <c r="I244" s="296">
        <f>VLOOKUP(G244,'Input data'!$A$68:$B$72,2,FALSE)</f>
        <v>9.8748837500000004</v>
      </c>
      <c r="J244" s="296">
        <f>VLOOKUP($B244,'Maintenance Costs'!$A:$AB,22,FALSE)</f>
        <v>26.264235842626629</v>
      </c>
      <c r="K244" s="296">
        <f>VLOOKUP($B244,'Maintenance Costs'!$A:$AB,28,FALSE)</f>
        <v>20.813388541395373</v>
      </c>
      <c r="L244" s="297">
        <f t="shared" si="20"/>
        <v>50.369252300688672</v>
      </c>
      <c r="M244">
        <v>80.83221067353773</v>
      </c>
      <c r="N244" s="30">
        <f t="shared" si="21"/>
        <v>-30.462958372849059</v>
      </c>
    </row>
    <row r="245" spans="1:14" x14ac:dyDescent="0.2">
      <c r="A245" s="299" t="s">
        <v>1137</v>
      </c>
      <c r="B245" s="298" t="str">
        <f t="shared" si="17"/>
        <v>HPS0110-ST</v>
      </c>
      <c r="C245" s="294" t="str">
        <f>VLOOKUP(LEFT(A245,7),'Tariff Schedule Lookup Table'!$A$8:$G$198,2,FALSE)</f>
        <v>High Pressure Sodium 250</v>
      </c>
      <c r="D245" s="295">
        <f t="shared" si="18"/>
        <v>590</v>
      </c>
      <c r="E245" s="294">
        <f t="shared" si="19"/>
        <v>1</v>
      </c>
      <c r="F245" s="294" t="str">
        <f>VLOOKUP(D245,'Tariff Schedule Lookup Table'!I$7:L$298,2,FALSE)</f>
        <v>HIGH PRESSURE SODIUM 250W (210/220)</v>
      </c>
      <c r="G245" s="294" t="str">
        <f>IF(F245 = "BULKHEADS ETC", "SHARED OR NO POLE", VLOOKUP(D245,'Tariff Schedule Lookup Table'!I$7:L$298,3,FALSE))</f>
        <v>R/BOUT COLUMN</v>
      </c>
      <c r="H245" s="294">
        <f>IF(F245 = "NO CAPITAL", 1, VLOOKUP(D245,'Tariff Schedule Lookup Table'!I$7:L$298,4,FALSE))</f>
        <v>4</v>
      </c>
      <c r="I245" s="296">
        <f>VLOOKUP(G245,'Input data'!$A$68:$B$72,2,FALSE)</f>
        <v>9.8748837500000004</v>
      </c>
      <c r="J245" s="296">
        <f>VLOOKUP($B245,'Maintenance Costs'!$A:$AB,22,FALSE)</f>
        <v>26.264235842626629</v>
      </c>
      <c r="K245" s="296">
        <f>VLOOKUP($B245,'Maintenance Costs'!$A:$AB,28,FALSE)</f>
        <v>20.813388541395373</v>
      </c>
      <c r="L245" s="297">
        <f t="shared" si="20"/>
        <v>49.546345321522004</v>
      </c>
      <c r="M245">
        <v>80.009303694371056</v>
      </c>
      <c r="N245" s="30">
        <f t="shared" si="21"/>
        <v>-30.462958372849052</v>
      </c>
    </row>
    <row r="246" spans="1:14" x14ac:dyDescent="0.2">
      <c r="A246" s="299" t="s">
        <v>1138</v>
      </c>
      <c r="B246" s="298" t="str">
        <f t="shared" si="17"/>
        <v>HPS0110-ST</v>
      </c>
      <c r="C246" s="294" t="str">
        <f>VLOOKUP(LEFT(A246,7),'Tariff Schedule Lookup Table'!$A$8:$G$198,2,FALSE)</f>
        <v>High Pressure Sodium 250</v>
      </c>
      <c r="D246" s="295">
        <f t="shared" si="18"/>
        <v>590</v>
      </c>
      <c r="E246" s="294">
        <f t="shared" si="19"/>
        <v>2</v>
      </c>
      <c r="F246" s="294" t="str">
        <f>VLOOKUP(D246,'Tariff Schedule Lookup Table'!I$7:L$298,2,FALSE)</f>
        <v>HIGH PRESSURE SODIUM 250W (210/220)</v>
      </c>
      <c r="G246" s="294" t="str">
        <f>IF(F246 = "BULKHEADS ETC", "SHARED OR NO POLE", VLOOKUP(D246,'Tariff Schedule Lookup Table'!I$7:L$298,3,FALSE))</f>
        <v>R/BOUT COLUMN</v>
      </c>
      <c r="H246" s="294">
        <f>IF(F246 = "NO CAPITAL", 1, VLOOKUP(D246,'Tariff Schedule Lookup Table'!I$7:L$298,4,FALSE))</f>
        <v>4</v>
      </c>
      <c r="I246" s="296">
        <f>VLOOKUP(G246,'Input data'!$A$68:$B$72,2,FALSE)</f>
        <v>9.8748837500000004</v>
      </c>
      <c r="J246" s="296">
        <f>VLOOKUP($B246,'Maintenance Costs'!$A:$AB,22,FALSE)</f>
        <v>26.264235842626629</v>
      </c>
      <c r="K246" s="296">
        <f>VLOOKUP($B246,'Maintenance Costs'!$A:$AB,28,FALSE)</f>
        <v>20.813388541395373</v>
      </c>
      <c r="L246" s="297">
        <f t="shared" si="20"/>
        <v>49.546345321522004</v>
      </c>
      <c r="M246">
        <v>80.009303694371056</v>
      </c>
      <c r="N246" s="30">
        <f t="shared" si="21"/>
        <v>-30.462958372849052</v>
      </c>
    </row>
    <row r="247" spans="1:14" x14ac:dyDescent="0.2">
      <c r="A247" s="299" t="s">
        <v>1139</v>
      </c>
      <c r="B247" s="298" t="str">
        <f t="shared" si="17"/>
        <v>HPS0110-ST</v>
      </c>
      <c r="C247" s="294" t="str">
        <f>VLOOKUP(LEFT(A247,7),'Tariff Schedule Lookup Table'!$A$8:$G$198,2,FALSE)</f>
        <v>High Pressure Sodium 250</v>
      </c>
      <c r="D247" s="295">
        <f t="shared" si="18"/>
        <v>590</v>
      </c>
      <c r="E247" s="294">
        <f t="shared" si="19"/>
        <v>3</v>
      </c>
      <c r="F247" s="294" t="str">
        <f>VLOOKUP(D247,'Tariff Schedule Lookup Table'!I$7:L$298,2,FALSE)</f>
        <v>HIGH PRESSURE SODIUM 250W (210/220)</v>
      </c>
      <c r="G247" s="294" t="str">
        <f>IF(F247 = "BULKHEADS ETC", "SHARED OR NO POLE", VLOOKUP(D247,'Tariff Schedule Lookup Table'!I$7:L$298,3,FALSE))</f>
        <v>R/BOUT COLUMN</v>
      </c>
      <c r="H247" s="294">
        <f>IF(F247 = "NO CAPITAL", 1, VLOOKUP(D247,'Tariff Schedule Lookup Table'!I$7:L$298,4,FALSE))</f>
        <v>4</v>
      </c>
      <c r="I247" s="296">
        <f>VLOOKUP(G247,'Input data'!$A$68:$B$72,2,FALSE)</f>
        <v>9.8748837500000004</v>
      </c>
      <c r="J247" s="296">
        <f>VLOOKUP($B247,'Maintenance Costs'!$A:$AB,22,FALSE)</f>
        <v>26.264235842626629</v>
      </c>
      <c r="K247" s="296">
        <f>VLOOKUP($B247,'Maintenance Costs'!$A:$AB,28,FALSE)</f>
        <v>20.813388541395373</v>
      </c>
      <c r="L247" s="297">
        <f t="shared" si="20"/>
        <v>49.546345321522004</v>
      </c>
      <c r="M247">
        <v>80.009303694371056</v>
      </c>
      <c r="N247" s="30">
        <f t="shared" si="21"/>
        <v>-30.462958372849052</v>
      </c>
    </row>
    <row r="248" spans="1:14" x14ac:dyDescent="0.2">
      <c r="A248" s="299" t="s">
        <v>574</v>
      </c>
      <c r="B248" s="298" t="str">
        <f t="shared" si="17"/>
        <v>HPS0110-ST</v>
      </c>
      <c r="C248" s="294" t="str">
        <f>VLOOKUP(LEFT(A248,7),'Tariff Schedule Lookup Table'!$A$8:$G$198,2,FALSE)</f>
        <v>High Pressure Sodium 250</v>
      </c>
      <c r="D248" s="295">
        <f t="shared" si="18"/>
        <v>590</v>
      </c>
      <c r="E248" s="294">
        <f t="shared" si="19"/>
        <v>4</v>
      </c>
      <c r="F248" s="294" t="str">
        <f>VLOOKUP(D248,'Tariff Schedule Lookup Table'!I$7:L$298,2,FALSE)</f>
        <v>HIGH PRESSURE SODIUM 250W (210/220)</v>
      </c>
      <c r="G248" s="294" t="str">
        <f>IF(F248 = "BULKHEADS ETC", "SHARED OR NO POLE", VLOOKUP(D248,'Tariff Schedule Lookup Table'!I$7:L$298,3,FALSE))</f>
        <v>R/BOUT COLUMN</v>
      </c>
      <c r="H248" s="294">
        <f>IF(F248 = "NO CAPITAL", 1, VLOOKUP(D248,'Tariff Schedule Lookup Table'!I$7:L$298,4,FALSE))</f>
        <v>4</v>
      </c>
      <c r="I248" s="296">
        <f>VLOOKUP(G248,'Input data'!$A$68:$B$72,2,FALSE)</f>
        <v>9.8748837500000004</v>
      </c>
      <c r="J248" s="296">
        <f>VLOOKUP($B248,'Maintenance Costs'!$A:$AB,22,FALSE)</f>
        <v>26.264235842626629</v>
      </c>
      <c r="K248" s="296">
        <f>VLOOKUP($B248,'Maintenance Costs'!$A:$AB,28,FALSE)</f>
        <v>20.813388541395373</v>
      </c>
      <c r="L248" s="297">
        <f t="shared" si="20"/>
        <v>49.546345321522004</v>
      </c>
      <c r="M248">
        <v>80.009303694371056</v>
      </c>
      <c r="N248" s="30">
        <f t="shared" si="21"/>
        <v>-30.462958372849052</v>
      </c>
    </row>
    <row r="249" spans="1:14" x14ac:dyDescent="0.2">
      <c r="A249" s="299" t="s">
        <v>1141</v>
      </c>
      <c r="B249" s="298" t="str">
        <f t="shared" si="17"/>
        <v>HPS0110-ST</v>
      </c>
      <c r="C249" s="294" t="str">
        <f>VLOOKUP(LEFT(A249,7),'Tariff Schedule Lookup Table'!$A$8:$G$198,2,FALSE)</f>
        <v>High Pressure Sodium 250</v>
      </c>
      <c r="D249" s="295">
        <f t="shared" si="18"/>
        <v>610</v>
      </c>
      <c r="E249" s="294">
        <f t="shared" si="19"/>
        <v>1</v>
      </c>
      <c r="F249" s="294" t="str">
        <f>VLOOKUP(D249,'Tariff Schedule Lookup Table'!I$7:L$298,2,FALSE)</f>
        <v>METAL HALIDE/HPS 250W FLOOD (210/220)</v>
      </c>
      <c r="G249" s="294" t="str">
        <f>IF(F249 = "BULKHEADS ETC", "SHARED OR NO POLE", VLOOKUP(D249,'Tariff Schedule Lookup Table'!I$7:L$298,3,FALSE))</f>
        <v>SHARED OR NO POLE</v>
      </c>
      <c r="H249" s="294">
        <f>IF(F249 = "NO CAPITAL", 1, VLOOKUP(D249,'Tariff Schedule Lookup Table'!I$7:L$298,4,FALSE))</f>
        <v>1</v>
      </c>
      <c r="I249" s="296">
        <f>VLOOKUP(G249,'Input data'!$A$68:$B$72,2,FALSE)</f>
        <v>0</v>
      </c>
      <c r="J249" s="296">
        <f>VLOOKUP($B249,'Maintenance Costs'!$A:$AB,22,FALSE)</f>
        <v>26.264235842626629</v>
      </c>
      <c r="K249" s="296">
        <f>VLOOKUP($B249,'Maintenance Costs'!$A:$AB,28,FALSE)</f>
        <v>20.813388541395373</v>
      </c>
      <c r="L249" s="297">
        <f t="shared" si="20"/>
        <v>47.077624384022002</v>
      </c>
      <c r="M249">
        <v>77.540582756871061</v>
      </c>
      <c r="N249" s="30">
        <f t="shared" si="21"/>
        <v>-30.462958372849059</v>
      </c>
    </row>
    <row r="250" spans="1:14" x14ac:dyDescent="0.2">
      <c r="A250" s="299" t="s">
        <v>1142</v>
      </c>
      <c r="B250" s="298" t="str">
        <f t="shared" si="17"/>
        <v>HPS0110-ST</v>
      </c>
      <c r="C250" s="294" t="str">
        <f>VLOOKUP(LEFT(A250,7),'Tariff Schedule Lookup Table'!$A$8:$G$198,2,FALSE)</f>
        <v>High Pressure Sodium 250</v>
      </c>
      <c r="D250" s="295">
        <f t="shared" si="18"/>
        <v>610</v>
      </c>
      <c r="E250" s="294">
        <f t="shared" si="19"/>
        <v>2</v>
      </c>
      <c r="F250" s="294" t="str">
        <f>VLOOKUP(D250,'Tariff Schedule Lookup Table'!I$7:L$298,2,FALSE)</f>
        <v>METAL HALIDE/HPS 250W FLOOD (210/220)</v>
      </c>
      <c r="G250" s="294" t="str">
        <f>IF(F250 = "BULKHEADS ETC", "SHARED OR NO POLE", VLOOKUP(D250,'Tariff Schedule Lookup Table'!I$7:L$298,3,FALSE))</f>
        <v>SHARED OR NO POLE</v>
      </c>
      <c r="H250" s="294">
        <f>IF(F250 = "NO CAPITAL", 1, VLOOKUP(D250,'Tariff Schedule Lookup Table'!I$7:L$298,4,FALSE))</f>
        <v>1</v>
      </c>
      <c r="I250" s="296">
        <f>VLOOKUP(G250,'Input data'!$A$68:$B$72,2,FALSE)</f>
        <v>0</v>
      </c>
      <c r="J250" s="296">
        <f>VLOOKUP($B250,'Maintenance Costs'!$A:$AB,22,FALSE)</f>
        <v>26.264235842626629</v>
      </c>
      <c r="K250" s="296">
        <f>VLOOKUP($B250,'Maintenance Costs'!$A:$AB,28,FALSE)</f>
        <v>20.813388541395373</v>
      </c>
      <c r="L250" s="297">
        <f t="shared" si="20"/>
        <v>47.077624384022002</v>
      </c>
      <c r="M250">
        <v>77.540582756871061</v>
      </c>
      <c r="N250" s="30">
        <f t="shared" si="21"/>
        <v>-30.462958372849059</v>
      </c>
    </row>
    <row r="251" spans="1:14" x14ac:dyDescent="0.2">
      <c r="A251" s="299" t="s">
        <v>1143</v>
      </c>
      <c r="B251" s="298" t="str">
        <f t="shared" si="17"/>
        <v>HPS0110-ST</v>
      </c>
      <c r="C251" s="294" t="str">
        <f>VLOOKUP(LEFT(A251,7),'Tariff Schedule Lookup Table'!$A$8:$G$198,2,FALSE)</f>
        <v>High Pressure Sodium 250</v>
      </c>
      <c r="D251" s="295">
        <f t="shared" si="18"/>
        <v>610</v>
      </c>
      <c r="E251" s="294">
        <f t="shared" si="19"/>
        <v>3</v>
      </c>
      <c r="F251" s="294" t="str">
        <f>VLOOKUP(D251,'Tariff Schedule Lookup Table'!I$7:L$298,2,FALSE)</f>
        <v>METAL HALIDE/HPS 250W FLOOD (210/220)</v>
      </c>
      <c r="G251" s="294" t="str">
        <f>IF(F251 = "BULKHEADS ETC", "SHARED OR NO POLE", VLOOKUP(D251,'Tariff Schedule Lookup Table'!I$7:L$298,3,FALSE))</f>
        <v>SHARED OR NO POLE</v>
      </c>
      <c r="H251" s="294">
        <f>IF(F251 = "NO CAPITAL", 1, VLOOKUP(D251,'Tariff Schedule Lookup Table'!I$7:L$298,4,FALSE))</f>
        <v>1</v>
      </c>
      <c r="I251" s="296">
        <f>VLOOKUP(G251,'Input data'!$A$68:$B$72,2,FALSE)</f>
        <v>0</v>
      </c>
      <c r="J251" s="296">
        <f>VLOOKUP($B251,'Maintenance Costs'!$A:$AB,22,FALSE)</f>
        <v>26.264235842626629</v>
      </c>
      <c r="K251" s="296">
        <f>VLOOKUP($B251,'Maintenance Costs'!$A:$AB,28,FALSE)</f>
        <v>20.813388541395373</v>
      </c>
      <c r="L251" s="297">
        <f t="shared" si="20"/>
        <v>47.077624384022002</v>
      </c>
      <c r="M251">
        <v>77.540582756871061</v>
      </c>
      <c r="N251" s="30">
        <f t="shared" si="21"/>
        <v>-30.462958372849059</v>
      </c>
    </row>
    <row r="252" spans="1:14" x14ac:dyDescent="0.2">
      <c r="A252" s="299" t="s">
        <v>575</v>
      </c>
      <c r="B252" s="298" t="str">
        <f t="shared" si="17"/>
        <v>HPS0110-ST</v>
      </c>
      <c r="C252" s="294" t="str">
        <f>VLOOKUP(LEFT(A252,7),'Tariff Schedule Lookup Table'!$A$8:$G$198,2,FALSE)</f>
        <v>High Pressure Sodium 250</v>
      </c>
      <c r="D252" s="295">
        <f t="shared" si="18"/>
        <v>610</v>
      </c>
      <c r="E252" s="294">
        <f t="shared" si="19"/>
        <v>4</v>
      </c>
      <c r="F252" s="294" t="str">
        <f>VLOOKUP(D252,'Tariff Schedule Lookup Table'!I$7:L$298,2,FALSE)</f>
        <v>METAL HALIDE/HPS 250W FLOOD (210/220)</v>
      </c>
      <c r="G252" s="294" t="str">
        <f>IF(F252 = "BULKHEADS ETC", "SHARED OR NO POLE", VLOOKUP(D252,'Tariff Schedule Lookup Table'!I$7:L$298,3,FALSE))</f>
        <v>SHARED OR NO POLE</v>
      </c>
      <c r="H252" s="294">
        <f>IF(F252 = "NO CAPITAL", 1, VLOOKUP(D252,'Tariff Schedule Lookup Table'!I$7:L$298,4,FALSE))</f>
        <v>1</v>
      </c>
      <c r="I252" s="296">
        <f>VLOOKUP(G252,'Input data'!$A$68:$B$72,2,FALSE)</f>
        <v>0</v>
      </c>
      <c r="J252" s="296">
        <f>VLOOKUP($B252,'Maintenance Costs'!$A:$AB,22,FALSE)</f>
        <v>26.264235842626629</v>
      </c>
      <c r="K252" s="296">
        <f>VLOOKUP($B252,'Maintenance Costs'!$A:$AB,28,FALSE)</f>
        <v>20.813388541395373</v>
      </c>
      <c r="L252" s="297">
        <f t="shared" si="20"/>
        <v>47.077624384022002</v>
      </c>
      <c r="M252">
        <v>77.540582756871061</v>
      </c>
      <c r="N252" s="30">
        <f t="shared" si="21"/>
        <v>-30.462958372849059</v>
      </c>
    </row>
    <row r="253" spans="1:14" x14ac:dyDescent="0.2">
      <c r="A253" s="299" t="s">
        <v>1144</v>
      </c>
      <c r="B253" s="298" t="str">
        <f t="shared" si="17"/>
        <v>HPS0110-ST</v>
      </c>
      <c r="C253" s="294" t="str">
        <f>VLOOKUP(LEFT(A253,7),'Tariff Schedule Lookup Table'!$A$8:$G$198,2,FALSE)</f>
        <v>High Pressure Sodium 250</v>
      </c>
      <c r="D253" s="295">
        <f t="shared" si="18"/>
        <v>650</v>
      </c>
      <c r="E253" s="294">
        <f t="shared" si="19"/>
        <v>2</v>
      </c>
      <c r="F253" s="294" t="str">
        <f>VLOOKUP(D253,'Tariff Schedule Lookup Table'!I$7:L$298,2,FALSE)</f>
        <v>METAL HALIDE/HPS 250W FLOOD (210/220)</v>
      </c>
      <c r="G253" s="294" t="str">
        <f>IF(F253 = "BULKHEADS ETC", "SHARED OR NO POLE", VLOOKUP(D253,'Tariff Schedule Lookup Table'!I$7:L$298,3,FALSE))</f>
        <v>SHARED OR NO POLE</v>
      </c>
      <c r="H253" s="294">
        <f>IF(F253 = "NO CAPITAL", 1, VLOOKUP(D253,'Tariff Schedule Lookup Table'!I$7:L$298,4,FALSE))</f>
        <v>2</v>
      </c>
      <c r="I253" s="296">
        <f>VLOOKUP(G253,'Input data'!$A$68:$B$72,2,FALSE)</f>
        <v>0</v>
      </c>
      <c r="J253" s="296">
        <f>VLOOKUP($B253,'Maintenance Costs'!$A:$AB,22,FALSE)</f>
        <v>26.264235842626629</v>
      </c>
      <c r="K253" s="296">
        <f>VLOOKUP($B253,'Maintenance Costs'!$A:$AB,28,FALSE)</f>
        <v>20.813388541395373</v>
      </c>
      <c r="L253" s="297">
        <f t="shared" si="20"/>
        <v>47.077624384022002</v>
      </c>
      <c r="M253">
        <v>77.540582756871061</v>
      </c>
      <c r="N253" s="30">
        <f t="shared" si="21"/>
        <v>-30.462958372849059</v>
      </c>
    </row>
    <row r="254" spans="1:14" x14ac:dyDescent="0.2">
      <c r="A254" s="299" t="s">
        <v>576</v>
      </c>
      <c r="B254" s="298" t="str">
        <f t="shared" si="17"/>
        <v>HPS0110-ST</v>
      </c>
      <c r="C254" s="294" t="str">
        <f>VLOOKUP(LEFT(A254,7),'Tariff Schedule Lookup Table'!$A$8:$G$198,2,FALSE)</f>
        <v>High Pressure Sodium 250</v>
      </c>
      <c r="D254" s="295">
        <f t="shared" si="18"/>
        <v>650</v>
      </c>
      <c r="E254" s="294">
        <f t="shared" si="19"/>
        <v>4</v>
      </c>
      <c r="F254" s="294" t="str">
        <f>VLOOKUP(D254,'Tariff Schedule Lookup Table'!I$7:L$298,2,FALSE)</f>
        <v>METAL HALIDE/HPS 250W FLOOD (210/220)</v>
      </c>
      <c r="G254" s="294" t="str">
        <f>IF(F254 = "BULKHEADS ETC", "SHARED OR NO POLE", VLOOKUP(D254,'Tariff Schedule Lookup Table'!I$7:L$298,3,FALSE))</f>
        <v>SHARED OR NO POLE</v>
      </c>
      <c r="H254" s="294">
        <f>IF(F254 = "NO CAPITAL", 1, VLOOKUP(D254,'Tariff Schedule Lookup Table'!I$7:L$298,4,FALSE))</f>
        <v>2</v>
      </c>
      <c r="I254" s="296">
        <f>VLOOKUP(G254,'Input data'!$A$68:$B$72,2,FALSE)</f>
        <v>0</v>
      </c>
      <c r="J254" s="296">
        <f>VLOOKUP($B254,'Maintenance Costs'!$A:$AB,22,FALSE)</f>
        <v>26.264235842626629</v>
      </c>
      <c r="K254" s="296">
        <f>VLOOKUP($B254,'Maintenance Costs'!$A:$AB,28,FALSE)</f>
        <v>20.813388541395373</v>
      </c>
      <c r="L254" s="297">
        <f t="shared" si="20"/>
        <v>47.077624384022002</v>
      </c>
      <c r="M254">
        <v>77.540582756871061</v>
      </c>
      <c r="N254" s="30">
        <f t="shared" si="21"/>
        <v>-30.462958372849059</v>
      </c>
    </row>
    <row r="255" spans="1:14" x14ac:dyDescent="0.2">
      <c r="A255" s="299" t="s">
        <v>1145</v>
      </c>
      <c r="B255" s="298" t="str">
        <f t="shared" si="17"/>
        <v>HPS0110-ST</v>
      </c>
      <c r="C255" s="294" t="str">
        <f>VLOOKUP(LEFT(A255,7),'Tariff Schedule Lookup Table'!$A$8:$G$198,2,FALSE)</f>
        <v>High Pressure Sodium 250</v>
      </c>
      <c r="D255" s="295">
        <f t="shared" si="18"/>
        <v>760</v>
      </c>
      <c r="E255" s="294">
        <f t="shared" si="19"/>
        <v>1</v>
      </c>
      <c r="F255" s="294" t="str">
        <f>VLOOKUP(D255,'Tariff Schedule Lookup Table'!I$7:L$298,2,FALSE)</f>
        <v>HIGH PRESSURE SODIUM 250W (210/220)</v>
      </c>
      <c r="G255" s="294" t="str">
        <f>IF(F255 = "BULKHEADS ETC", "SHARED OR NO POLE", VLOOKUP(D255,'Tariff Schedule Lookup Table'!I$7:L$298,3,FALSE))</f>
        <v>WOOD POLE</v>
      </c>
      <c r="H255" s="294">
        <f>IF(F255 = "NO CAPITAL", 1, VLOOKUP(D255,'Tariff Schedule Lookup Table'!I$7:L$298,4,FALSE))</f>
        <v>2</v>
      </c>
      <c r="I255" s="296">
        <f>VLOOKUP(G255,'Input data'!$A$68:$B$72,2,FALSE)</f>
        <v>10.809914000000001</v>
      </c>
      <c r="J255" s="296">
        <f>VLOOKUP($B255,'Maintenance Costs'!$A:$AB,22,FALSE)</f>
        <v>26.264235842626629</v>
      </c>
      <c r="K255" s="296">
        <f>VLOOKUP($B255,'Maintenance Costs'!$A:$AB,28,FALSE)</f>
        <v>20.813388541395373</v>
      </c>
      <c r="L255" s="297">
        <f t="shared" si="20"/>
        <v>52.482581384022005</v>
      </c>
      <c r="M255">
        <v>82.945539756871057</v>
      </c>
      <c r="N255" s="30">
        <f t="shared" si="21"/>
        <v>-30.462958372849052</v>
      </c>
    </row>
    <row r="256" spans="1:14" x14ac:dyDescent="0.2">
      <c r="A256" s="299" t="s">
        <v>1146</v>
      </c>
      <c r="B256" s="298" t="str">
        <f t="shared" si="17"/>
        <v>HPS0110-ST</v>
      </c>
      <c r="C256" s="294" t="str">
        <f>VLOOKUP(LEFT(A256,7),'Tariff Schedule Lookup Table'!$A$8:$G$198,2,FALSE)</f>
        <v>High Pressure Sodium 250</v>
      </c>
      <c r="D256" s="295">
        <f t="shared" si="18"/>
        <v>760</v>
      </c>
      <c r="E256" s="294">
        <f t="shared" si="19"/>
        <v>2</v>
      </c>
      <c r="F256" s="294" t="str">
        <f>VLOOKUP(D256,'Tariff Schedule Lookup Table'!I$7:L$298,2,FALSE)</f>
        <v>HIGH PRESSURE SODIUM 250W (210/220)</v>
      </c>
      <c r="G256" s="294" t="str">
        <f>IF(F256 = "BULKHEADS ETC", "SHARED OR NO POLE", VLOOKUP(D256,'Tariff Schedule Lookup Table'!I$7:L$298,3,FALSE))</f>
        <v>WOOD POLE</v>
      </c>
      <c r="H256" s="294">
        <f>IF(F256 = "NO CAPITAL", 1, VLOOKUP(D256,'Tariff Schedule Lookup Table'!I$7:L$298,4,FALSE))</f>
        <v>2</v>
      </c>
      <c r="I256" s="296">
        <f>VLOOKUP(G256,'Input data'!$A$68:$B$72,2,FALSE)</f>
        <v>10.809914000000001</v>
      </c>
      <c r="J256" s="296">
        <f>VLOOKUP($B256,'Maintenance Costs'!$A:$AB,22,FALSE)</f>
        <v>26.264235842626629</v>
      </c>
      <c r="K256" s="296">
        <f>VLOOKUP($B256,'Maintenance Costs'!$A:$AB,28,FALSE)</f>
        <v>20.813388541395373</v>
      </c>
      <c r="L256" s="297">
        <f t="shared" si="20"/>
        <v>52.482581384022005</v>
      </c>
      <c r="M256">
        <v>82.945539756871057</v>
      </c>
      <c r="N256" s="30">
        <f t="shared" si="21"/>
        <v>-30.462958372849052</v>
      </c>
    </row>
    <row r="257" spans="1:14" x14ac:dyDescent="0.2">
      <c r="A257" s="299" t="s">
        <v>1147</v>
      </c>
      <c r="B257" s="298" t="str">
        <f t="shared" si="17"/>
        <v>HPS0110-ST</v>
      </c>
      <c r="C257" s="294" t="str">
        <f>VLOOKUP(LEFT(A257,7),'Tariff Schedule Lookup Table'!$A$8:$G$198,2,FALSE)</f>
        <v>High Pressure Sodium 250</v>
      </c>
      <c r="D257" s="295">
        <f t="shared" si="18"/>
        <v>760</v>
      </c>
      <c r="E257" s="294">
        <f t="shared" si="19"/>
        <v>3</v>
      </c>
      <c r="F257" s="294" t="str">
        <f>VLOOKUP(D257,'Tariff Schedule Lookup Table'!I$7:L$298,2,FALSE)</f>
        <v>HIGH PRESSURE SODIUM 250W (210/220)</v>
      </c>
      <c r="G257" s="294" t="str">
        <f>IF(F257 = "BULKHEADS ETC", "SHARED OR NO POLE", VLOOKUP(D257,'Tariff Schedule Lookup Table'!I$7:L$298,3,FALSE))</f>
        <v>WOOD POLE</v>
      </c>
      <c r="H257" s="294">
        <f>IF(F257 = "NO CAPITAL", 1, VLOOKUP(D257,'Tariff Schedule Lookup Table'!I$7:L$298,4,FALSE))</f>
        <v>2</v>
      </c>
      <c r="I257" s="296">
        <f>VLOOKUP(G257,'Input data'!$A$68:$B$72,2,FALSE)</f>
        <v>10.809914000000001</v>
      </c>
      <c r="J257" s="296">
        <f>VLOOKUP($B257,'Maintenance Costs'!$A:$AB,22,FALSE)</f>
        <v>26.264235842626629</v>
      </c>
      <c r="K257" s="296">
        <f>VLOOKUP($B257,'Maintenance Costs'!$A:$AB,28,FALSE)</f>
        <v>20.813388541395373</v>
      </c>
      <c r="L257" s="297">
        <f t="shared" si="20"/>
        <v>52.482581384022005</v>
      </c>
      <c r="M257">
        <v>82.945539756871057</v>
      </c>
      <c r="N257" s="30">
        <f t="shared" si="21"/>
        <v>-30.462958372849052</v>
      </c>
    </row>
    <row r="258" spans="1:14" x14ac:dyDescent="0.2">
      <c r="A258" s="299" t="s">
        <v>577</v>
      </c>
      <c r="B258" s="298" t="str">
        <f t="shared" si="17"/>
        <v>HPS0110-ST</v>
      </c>
      <c r="C258" s="294" t="str">
        <f>VLOOKUP(LEFT(A258,7),'Tariff Schedule Lookup Table'!$A$8:$G$198,2,FALSE)</f>
        <v>High Pressure Sodium 250</v>
      </c>
      <c r="D258" s="295">
        <f t="shared" si="18"/>
        <v>760</v>
      </c>
      <c r="E258" s="294">
        <f t="shared" si="19"/>
        <v>4</v>
      </c>
      <c r="F258" s="294" t="str">
        <f>VLOOKUP(D258,'Tariff Schedule Lookup Table'!I$7:L$298,2,FALSE)</f>
        <v>HIGH PRESSURE SODIUM 250W (210/220)</v>
      </c>
      <c r="G258" s="294" t="str">
        <f>IF(F258 = "BULKHEADS ETC", "SHARED OR NO POLE", VLOOKUP(D258,'Tariff Schedule Lookup Table'!I$7:L$298,3,FALSE))</f>
        <v>WOOD POLE</v>
      </c>
      <c r="H258" s="294">
        <f>IF(F258 = "NO CAPITAL", 1, VLOOKUP(D258,'Tariff Schedule Lookup Table'!I$7:L$298,4,FALSE))</f>
        <v>2</v>
      </c>
      <c r="I258" s="296">
        <f>VLOOKUP(G258,'Input data'!$A$68:$B$72,2,FALSE)</f>
        <v>10.809914000000001</v>
      </c>
      <c r="J258" s="296">
        <f>VLOOKUP($B258,'Maintenance Costs'!$A:$AB,22,FALSE)</f>
        <v>26.264235842626629</v>
      </c>
      <c r="K258" s="296">
        <f>VLOOKUP($B258,'Maintenance Costs'!$A:$AB,28,FALSE)</f>
        <v>20.813388541395373</v>
      </c>
      <c r="L258" s="297">
        <f t="shared" si="20"/>
        <v>52.482581384022005</v>
      </c>
      <c r="M258">
        <v>82.945539756871057</v>
      </c>
      <c r="N258" s="30">
        <f t="shared" si="21"/>
        <v>-30.462958372849052</v>
      </c>
    </row>
    <row r="259" spans="1:14" x14ac:dyDescent="0.2">
      <c r="A259" s="299" t="s">
        <v>1149</v>
      </c>
      <c r="B259" s="298" t="str">
        <f t="shared" si="17"/>
        <v>HPS0110-ST</v>
      </c>
      <c r="C259" s="294" t="str">
        <f>VLOOKUP(LEFT(A259,7),'Tariff Schedule Lookup Table'!$A$8:$G$198,2,FALSE)</f>
        <v>High Pressure Sodium 250</v>
      </c>
      <c r="D259" s="295">
        <f t="shared" si="18"/>
        <v>930</v>
      </c>
      <c r="E259" s="294">
        <f t="shared" si="19"/>
        <v>1</v>
      </c>
      <c r="F259" s="294" t="str">
        <f>VLOOKUP(D259,'Tariff Schedule Lookup Table'!I$7:L$298,2,FALSE)</f>
        <v>HIGH PRESSURE SODIUM 250W (210/220)</v>
      </c>
      <c r="G259" s="294" t="str">
        <f>IF(F259 = "BULKHEADS ETC", "SHARED OR NO POLE", VLOOKUP(D259,'Tariff Schedule Lookup Table'!I$7:L$298,3,FALSE))</f>
        <v>WOOD POLE</v>
      </c>
      <c r="H259" s="294">
        <f>IF(F259 = "NO CAPITAL", 1, VLOOKUP(D259,'Tariff Schedule Lookup Table'!I$7:L$298,4,FALSE))</f>
        <v>3</v>
      </c>
      <c r="I259" s="296">
        <f>VLOOKUP(G259,'Input data'!$A$68:$B$72,2,FALSE)</f>
        <v>10.809914000000001</v>
      </c>
      <c r="J259" s="296">
        <f>VLOOKUP($B259,'Maintenance Costs'!$A:$AB,22,FALSE)</f>
        <v>26.264235842626629</v>
      </c>
      <c r="K259" s="296">
        <f>VLOOKUP($B259,'Maintenance Costs'!$A:$AB,28,FALSE)</f>
        <v>20.813388541395373</v>
      </c>
      <c r="L259" s="297">
        <f t="shared" si="20"/>
        <v>50.680929050688668</v>
      </c>
      <c r="M259">
        <v>81.143887423537734</v>
      </c>
      <c r="N259" s="30">
        <f t="shared" si="21"/>
        <v>-30.462958372849066</v>
      </c>
    </row>
    <row r="260" spans="1:14" x14ac:dyDescent="0.2">
      <c r="A260" s="299" t="s">
        <v>1150</v>
      </c>
      <c r="B260" s="298" t="str">
        <f t="shared" si="17"/>
        <v>HPS0110-ST</v>
      </c>
      <c r="C260" s="294" t="str">
        <f>VLOOKUP(LEFT(A260,7),'Tariff Schedule Lookup Table'!$A$8:$G$198,2,FALSE)</f>
        <v>High Pressure Sodium 250</v>
      </c>
      <c r="D260" s="295">
        <f t="shared" si="18"/>
        <v>960</v>
      </c>
      <c r="E260" s="294">
        <f t="shared" si="19"/>
        <v>1</v>
      </c>
      <c r="F260" s="294" t="str">
        <f>VLOOKUP(D260,'Tariff Schedule Lookup Table'!I$7:L$298,2,FALSE)</f>
        <v>HIGH PRESSURE SODIUM 250W (210/220)</v>
      </c>
      <c r="G260" s="294" t="str">
        <f>IF(F260 = "BULKHEADS ETC", "SHARED OR NO POLE", VLOOKUP(D260,'Tariff Schedule Lookup Table'!I$7:L$298,3,FALSE))</f>
        <v>SHARED OR NO POLE</v>
      </c>
      <c r="H260" s="294">
        <f>IF(F260 = "NO CAPITAL", 1, VLOOKUP(D260,'Tariff Schedule Lookup Table'!I$7:L$298,4,FALSE))</f>
        <v>2</v>
      </c>
      <c r="I260" s="296">
        <f>VLOOKUP(G260,'Input data'!$A$68:$B$72,2,FALSE)</f>
        <v>0</v>
      </c>
      <c r="J260" s="296">
        <f>VLOOKUP($B260,'Maintenance Costs'!$A:$AB,22,FALSE)</f>
        <v>26.264235842626629</v>
      </c>
      <c r="K260" s="296">
        <f>VLOOKUP($B260,'Maintenance Costs'!$A:$AB,28,FALSE)</f>
        <v>20.813388541395373</v>
      </c>
      <c r="L260" s="297">
        <f t="shared" si="20"/>
        <v>47.077624384022002</v>
      </c>
      <c r="M260">
        <v>77.540582756871061</v>
      </c>
      <c r="N260" s="30">
        <f t="shared" si="21"/>
        <v>-30.462958372849059</v>
      </c>
    </row>
    <row r="261" spans="1:14" x14ac:dyDescent="0.2">
      <c r="A261" s="299" t="s">
        <v>1151</v>
      </c>
      <c r="B261" s="298" t="str">
        <f t="shared" si="17"/>
        <v>HPS0110-ST</v>
      </c>
      <c r="C261" s="294" t="str">
        <f>VLOOKUP(LEFT(A261,7),'Tariff Schedule Lookup Table'!$A$8:$G$198,2,FALSE)</f>
        <v>High Pressure Sodium 250</v>
      </c>
      <c r="D261" s="295">
        <f t="shared" si="18"/>
        <v>960</v>
      </c>
      <c r="E261" s="294">
        <f t="shared" si="19"/>
        <v>2</v>
      </c>
      <c r="F261" s="294" t="str">
        <f>VLOOKUP(D261,'Tariff Schedule Lookup Table'!I$7:L$298,2,FALSE)</f>
        <v>HIGH PRESSURE SODIUM 250W (210/220)</v>
      </c>
      <c r="G261" s="294" t="str">
        <f>IF(F261 = "BULKHEADS ETC", "SHARED OR NO POLE", VLOOKUP(D261,'Tariff Schedule Lookup Table'!I$7:L$298,3,FALSE))</f>
        <v>SHARED OR NO POLE</v>
      </c>
      <c r="H261" s="294">
        <f>IF(F261 = "NO CAPITAL", 1, VLOOKUP(D261,'Tariff Schedule Lookup Table'!I$7:L$298,4,FALSE))</f>
        <v>2</v>
      </c>
      <c r="I261" s="296">
        <f>VLOOKUP(G261,'Input data'!$A$68:$B$72,2,FALSE)</f>
        <v>0</v>
      </c>
      <c r="J261" s="296">
        <f>VLOOKUP($B261,'Maintenance Costs'!$A:$AB,22,FALSE)</f>
        <v>26.264235842626629</v>
      </c>
      <c r="K261" s="296">
        <f>VLOOKUP($B261,'Maintenance Costs'!$A:$AB,28,FALSE)</f>
        <v>20.813388541395373</v>
      </c>
      <c r="L261" s="297">
        <f t="shared" si="20"/>
        <v>47.077624384022002</v>
      </c>
      <c r="M261">
        <v>77.540582756871061</v>
      </c>
      <c r="N261" s="30">
        <f t="shared" si="21"/>
        <v>-30.462958372849059</v>
      </c>
    </row>
    <row r="262" spans="1:14" x14ac:dyDescent="0.2">
      <c r="A262" s="299" t="s">
        <v>1152</v>
      </c>
      <c r="B262" s="298" t="str">
        <f t="shared" si="17"/>
        <v>HPS0110-ST</v>
      </c>
      <c r="C262" s="294" t="str">
        <f>VLOOKUP(LEFT(A262,7),'Tariff Schedule Lookup Table'!$A$8:$G$198,2,FALSE)</f>
        <v>High Pressure Sodium 250</v>
      </c>
      <c r="D262" s="295">
        <f t="shared" si="18"/>
        <v>960</v>
      </c>
      <c r="E262" s="294">
        <f t="shared" si="19"/>
        <v>3</v>
      </c>
      <c r="F262" s="294" t="str">
        <f>VLOOKUP(D262,'Tariff Schedule Lookup Table'!I$7:L$298,2,FALSE)</f>
        <v>HIGH PRESSURE SODIUM 250W (210/220)</v>
      </c>
      <c r="G262" s="294" t="str">
        <f>IF(F262 = "BULKHEADS ETC", "SHARED OR NO POLE", VLOOKUP(D262,'Tariff Schedule Lookup Table'!I$7:L$298,3,FALSE))</f>
        <v>SHARED OR NO POLE</v>
      </c>
      <c r="H262" s="294">
        <f>IF(F262 = "NO CAPITAL", 1, VLOOKUP(D262,'Tariff Schedule Lookup Table'!I$7:L$298,4,FALSE))</f>
        <v>2</v>
      </c>
      <c r="I262" s="296">
        <f>VLOOKUP(G262,'Input data'!$A$68:$B$72,2,FALSE)</f>
        <v>0</v>
      </c>
      <c r="J262" s="296">
        <f>VLOOKUP($B262,'Maintenance Costs'!$A:$AB,22,FALSE)</f>
        <v>26.264235842626629</v>
      </c>
      <c r="K262" s="296">
        <f>VLOOKUP($B262,'Maintenance Costs'!$A:$AB,28,FALSE)</f>
        <v>20.813388541395373</v>
      </c>
      <c r="L262" s="297">
        <f t="shared" si="20"/>
        <v>47.077624384022002</v>
      </c>
      <c r="M262">
        <v>77.540582756871061</v>
      </c>
      <c r="N262" s="30">
        <f t="shared" si="21"/>
        <v>-30.462958372849059</v>
      </c>
    </row>
    <row r="263" spans="1:14" x14ac:dyDescent="0.2">
      <c r="A263" s="299" t="s">
        <v>578</v>
      </c>
      <c r="B263" s="298" t="str">
        <f t="shared" si="17"/>
        <v>HPS0110-ST</v>
      </c>
      <c r="C263" s="294" t="str">
        <f>VLOOKUP(LEFT(A263,7),'Tariff Schedule Lookup Table'!$A$8:$G$198,2,FALSE)</f>
        <v>High Pressure Sodium 250</v>
      </c>
      <c r="D263" s="295">
        <f t="shared" si="18"/>
        <v>960</v>
      </c>
      <c r="E263" s="294">
        <f t="shared" si="19"/>
        <v>4</v>
      </c>
      <c r="F263" s="294" t="str">
        <f>VLOOKUP(D263,'Tariff Schedule Lookup Table'!I$7:L$298,2,FALSE)</f>
        <v>HIGH PRESSURE SODIUM 250W (210/220)</v>
      </c>
      <c r="G263" s="294" t="str">
        <f>IF(F263 = "BULKHEADS ETC", "SHARED OR NO POLE", VLOOKUP(D263,'Tariff Schedule Lookup Table'!I$7:L$298,3,FALSE))</f>
        <v>SHARED OR NO POLE</v>
      </c>
      <c r="H263" s="294">
        <f>IF(F263 = "NO CAPITAL", 1, VLOOKUP(D263,'Tariff Schedule Lookup Table'!I$7:L$298,4,FALSE))</f>
        <v>2</v>
      </c>
      <c r="I263" s="296">
        <f>VLOOKUP(G263,'Input data'!$A$68:$B$72,2,FALSE)</f>
        <v>0</v>
      </c>
      <c r="J263" s="296">
        <f>VLOOKUP($B263,'Maintenance Costs'!$A:$AB,22,FALSE)</f>
        <v>26.264235842626629</v>
      </c>
      <c r="K263" s="296">
        <f>VLOOKUP($B263,'Maintenance Costs'!$A:$AB,28,FALSE)</f>
        <v>20.813388541395373</v>
      </c>
      <c r="L263" s="297">
        <f t="shared" si="20"/>
        <v>47.077624384022002</v>
      </c>
      <c r="M263">
        <v>77.540582756871061</v>
      </c>
      <c r="N263" s="30">
        <f t="shared" si="21"/>
        <v>-30.462958372849059</v>
      </c>
    </row>
    <row r="264" spans="1:14" x14ac:dyDescent="0.2">
      <c r="A264" s="299" t="s">
        <v>1154</v>
      </c>
      <c r="B264" s="298" t="str">
        <f t="shared" si="17"/>
        <v>HPS0110-ST</v>
      </c>
      <c r="C264" s="294" t="str">
        <f>VLOOKUP(LEFT(A264,7),'Tariff Schedule Lookup Table'!$A$8:$G$198,2,FALSE)</f>
        <v>High Pressure Sodium 250</v>
      </c>
      <c r="D264" s="295">
        <f t="shared" si="18"/>
        <v>970</v>
      </c>
      <c r="E264" s="294">
        <f t="shared" si="19"/>
        <v>2</v>
      </c>
      <c r="F264" s="294" t="str">
        <f>VLOOKUP(D264,'Tariff Schedule Lookup Table'!I$7:L$298,2,FALSE)</f>
        <v>HIGH PRESSURE SODIUM 250W (210/220)</v>
      </c>
      <c r="G264" s="294" t="str">
        <f>IF(F264 = "BULKHEADS ETC", "SHARED OR NO POLE", VLOOKUP(D264,'Tariff Schedule Lookup Table'!I$7:L$298,3,FALSE))</f>
        <v>SHARED OR NO POLE</v>
      </c>
      <c r="H264" s="294">
        <f>IF(F264 = "NO CAPITAL", 1, VLOOKUP(D264,'Tariff Schedule Lookup Table'!I$7:L$298,4,FALSE))</f>
        <v>4</v>
      </c>
      <c r="I264" s="296">
        <f>VLOOKUP(G264,'Input data'!$A$68:$B$72,2,FALSE)</f>
        <v>0</v>
      </c>
      <c r="J264" s="296">
        <f>VLOOKUP($B264,'Maintenance Costs'!$A:$AB,22,FALSE)</f>
        <v>26.264235842626629</v>
      </c>
      <c r="K264" s="296">
        <f>VLOOKUP($B264,'Maintenance Costs'!$A:$AB,28,FALSE)</f>
        <v>20.813388541395373</v>
      </c>
      <c r="L264" s="297">
        <f t="shared" si="20"/>
        <v>47.077624384022002</v>
      </c>
      <c r="M264">
        <v>77.540582756871061</v>
      </c>
      <c r="N264" s="30">
        <f t="shared" si="21"/>
        <v>-30.462958372849059</v>
      </c>
    </row>
    <row r="265" spans="1:14" x14ac:dyDescent="0.2">
      <c r="A265" s="299" t="s">
        <v>579</v>
      </c>
      <c r="B265" s="298" t="str">
        <f t="shared" si="17"/>
        <v>HPS0110-ST</v>
      </c>
      <c r="C265" s="294" t="str">
        <f>VLOOKUP(LEFT(A265,7),'Tariff Schedule Lookup Table'!$A$8:$G$198,2,FALSE)</f>
        <v>High Pressure Sodium 250</v>
      </c>
      <c r="D265" s="295">
        <f t="shared" si="18"/>
        <v>970</v>
      </c>
      <c r="E265" s="294">
        <f t="shared" si="19"/>
        <v>4</v>
      </c>
      <c r="F265" s="294" t="str">
        <f>VLOOKUP(D265,'Tariff Schedule Lookup Table'!I$7:L$298,2,FALSE)</f>
        <v>HIGH PRESSURE SODIUM 250W (210/220)</v>
      </c>
      <c r="G265" s="294" t="str">
        <f>IF(F265 = "BULKHEADS ETC", "SHARED OR NO POLE", VLOOKUP(D265,'Tariff Schedule Lookup Table'!I$7:L$298,3,FALSE))</f>
        <v>SHARED OR NO POLE</v>
      </c>
      <c r="H265" s="294">
        <f>IF(F265 = "NO CAPITAL", 1, VLOOKUP(D265,'Tariff Schedule Lookup Table'!I$7:L$298,4,FALSE))</f>
        <v>4</v>
      </c>
      <c r="I265" s="296">
        <f>VLOOKUP(G265,'Input data'!$A$68:$B$72,2,FALSE)</f>
        <v>0</v>
      </c>
      <c r="J265" s="296">
        <f>VLOOKUP($B265,'Maintenance Costs'!$A:$AB,22,FALSE)</f>
        <v>26.264235842626629</v>
      </c>
      <c r="K265" s="296">
        <f>VLOOKUP($B265,'Maintenance Costs'!$A:$AB,28,FALSE)</f>
        <v>20.813388541395373</v>
      </c>
      <c r="L265" s="297">
        <f t="shared" si="20"/>
        <v>47.077624384022002</v>
      </c>
      <c r="M265">
        <v>77.540582756871061</v>
      </c>
      <c r="N265" s="30">
        <f t="shared" si="21"/>
        <v>-30.462958372849059</v>
      </c>
    </row>
    <row r="266" spans="1:14" x14ac:dyDescent="0.2">
      <c r="A266" s="299" t="s">
        <v>1155</v>
      </c>
      <c r="B266" s="298" t="str">
        <f t="shared" ref="B266:B329" si="22">LEFT(A266,10)</f>
        <v>HPS0110-ST</v>
      </c>
      <c r="C266" s="294" t="str">
        <f>VLOOKUP(LEFT(A266,7),'Tariff Schedule Lookup Table'!$A$8:$G$198,2,FALSE)</f>
        <v>High Pressure Sodium 250</v>
      </c>
      <c r="D266" s="295">
        <f t="shared" ref="D266:D329" si="23">1*MID(A266,12,4)</f>
        <v>1070</v>
      </c>
      <c r="E266" s="294">
        <f t="shared" ref="E266:E329" si="24">1*(MID(A266,17,3))</f>
        <v>1</v>
      </c>
      <c r="F266" s="294" t="str">
        <f>VLOOKUP(D266,'Tariff Schedule Lookup Table'!I$7:L$298,2,FALSE)</f>
        <v>METAL HALIDE/HPS 250W FLOOD (210/220)</v>
      </c>
      <c r="G266" s="294" t="str">
        <f>IF(F266 = "BULKHEADS ETC", "SHARED OR NO POLE", VLOOKUP(D266,'Tariff Schedule Lookup Table'!I$7:L$298,3,FALSE))</f>
        <v>WOOD POLE</v>
      </c>
      <c r="H266" s="294">
        <f>IF(F266 = "NO CAPITAL", 1, VLOOKUP(D266,'Tariff Schedule Lookup Table'!I$7:L$298,4,FALSE))</f>
        <v>1</v>
      </c>
      <c r="I266" s="296">
        <f>VLOOKUP(G266,'Input data'!$A$68:$B$72,2,FALSE)</f>
        <v>10.809914000000001</v>
      </c>
      <c r="J266" s="296">
        <f>VLOOKUP($B266,'Maintenance Costs'!$A:$AB,22,FALSE)</f>
        <v>26.264235842626629</v>
      </c>
      <c r="K266" s="296">
        <f>VLOOKUP($B266,'Maintenance Costs'!$A:$AB,28,FALSE)</f>
        <v>20.813388541395373</v>
      </c>
      <c r="L266" s="297">
        <f t="shared" ref="L266:L329" si="25">K266+J266+I266/H266</f>
        <v>57.887538384022001</v>
      </c>
      <c r="M266">
        <v>88.350496756871067</v>
      </c>
      <c r="N266" s="30">
        <f t="shared" si="21"/>
        <v>-30.462958372849066</v>
      </c>
    </row>
    <row r="267" spans="1:14" x14ac:dyDescent="0.2">
      <c r="A267" s="299" t="s">
        <v>1156</v>
      </c>
      <c r="B267" s="298" t="str">
        <f t="shared" si="22"/>
        <v>HPS0110-ST</v>
      </c>
      <c r="C267" s="294" t="str">
        <f>VLOOKUP(LEFT(A267,7),'Tariff Schedule Lookup Table'!$A$8:$G$198,2,FALSE)</f>
        <v>High Pressure Sodium 250</v>
      </c>
      <c r="D267" s="295">
        <f t="shared" si="23"/>
        <v>1070</v>
      </c>
      <c r="E267" s="294">
        <f t="shared" si="24"/>
        <v>2</v>
      </c>
      <c r="F267" s="294" t="str">
        <f>VLOOKUP(D267,'Tariff Schedule Lookup Table'!I$7:L$298,2,FALSE)</f>
        <v>METAL HALIDE/HPS 250W FLOOD (210/220)</v>
      </c>
      <c r="G267" s="294" t="str">
        <f>IF(F267 = "BULKHEADS ETC", "SHARED OR NO POLE", VLOOKUP(D267,'Tariff Schedule Lookup Table'!I$7:L$298,3,FALSE))</f>
        <v>WOOD POLE</v>
      </c>
      <c r="H267" s="294">
        <f>IF(F267 = "NO CAPITAL", 1, VLOOKUP(D267,'Tariff Schedule Lookup Table'!I$7:L$298,4,FALSE))</f>
        <v>1</v>
      </c>
      <c r="I267" s="296">
        <f>VLOOKUP(G267,'Input data'!$A$68:$B$72,2,FALSE)</f>
        <v>10.809914000000001</v>
      </c>
      <c r="J267" s="296">
        <f>VLOOKUP($B267,'Maintenance Costs'!$A:$AB,22,FALSE)</f>
        <v>26.264235842626629</v>
      </c>
      <c r="K267" s="296">
        <f>VLOOKUP($B267,'Maintenance Costs'!$A:$AB,28,FALSE)</f>
        <v>20.813388541395373</v>
      </c>
      <c r="L267" s="297">
        <f t="shared" si="25"/>
        <v>57.887538384022001</v>
      </c>
      <c r="M267">
        <v>88.350496756871067</v>
      </c>
      <c r="N267" s="30">
        <f t="shared" ref="N267:N330" si="26">L267-M267</f>
        <v>-30.462958372849066</v>
      </c>
    </row>
    <row r="268" spans="1:14" x14ac:dyDescent="0.2">
      <c r="A268" s="299" t="s">
        <v>1157</v>
      </c>
      <c r="B268" s="298" t="str">
        <f t="shared" si="22"/>
        <v>HPS0110-ST</v>
      </c>
      <c r="C268" s="294" t="str">
        <f>VLOOKUP(LEFT(A268,7),'Tariff Schedule Lookup Table'!$A$8:$G$198,2,FALSE)</f>
        <v>High Pressure Sodium 250</v>
      </c>
      <c r="D268" s="295">
        <f t="shared" si="23"/>
        <v>1070</v>
      </c>
      <c r="E268" s="294">
        <f t="shared" si="24"/>
        <v>3</v>
      </c>
      <c r="F268" s="294" t="str">
        <f>VLOOKUP(D268,'Tariff Schedule Lookup Table'!I$7:L$298,2,FALSE)</f>
        <v>METAL HALIDE/HPS 250W FLOOD (210/220)</v>
      </c>
      <c r="G268" s="294" t="str">
        <f>IF(F268 = "BULKHEADS ETC", "SHARED OR NO POLE", VLOOKUP(D268,'Tariff Schedule Lookup Table'!I$7:L$298,3,FALSE))</f>
        <v>WOOD POLE</v>
      </c>
      <c r="H268" s="294">
        <f>IF(F268 = "NO CAPITAL", 1, VLOOKUP(D268,'Tariff Schedule Lookup Table'!I$7:L$298,4,FALSE))</f>
        <v>1</v>
      </c>
      <c r="I268" s="296">
        <f>VLOOKUP(G268,'Input data'!$A$68:$B$72,2,FALSE)</f>
        <v>10.809914000000001</v>
      </c>
      <c r="J268" s="296">
        <f>VLOOKUP($B268,'Maintenance Costs'!$A:$AB,22,FALSE)</f>
        <v>26.264235842626629</v>
      </c>
      <c r="K268" s="296">
        <f>VLOOKUP($B268,'Maintenance Costs'!$A:$AB,28,FALSE)</f>
        <v>20.813388541395373</v>
      </c>
      <c r="L268" s="297">
        <f t="shared" si="25"/>
        <v>57.887538384022001</v>
      </c>
      <c r="M268">
        <v>88.350496756871067</v>
      </c>
      <c r="N268" s="30">
        <f t="shared" si="26"/>
        <v>-30.462958372849066</v>
      </c>
    </row>
    <row r="269" spans="1:14" x14ac:dyDescent="0.2">
      <c r="A269" s="299" t="s">
        <v>580</v>
      </c>
      <c r="B269" s="298" t="str">
        <f t="shared" si="22"/>
        <v>HPS0110-ST</v>
      </c>
      <c r="C269" s="294" t="str">
        <f>VLOOKUP(LEFT(A269,7),'Tariff Schedule Lookup Table'!$A$8:$G$198,2,FALSE)</f>
        <v>High Pressure Sodium 250</v>
      </c>
      <c r="D269" s="295">
        <f t="shared" si="23"/>
        <v>1070</v>
      </c>
      <c r="E269" s="294">
        <f t="shared" si="24"/>
        <v>4</v>
      </c>
      <c r="F269" s="294" t="str">
        <f>VLOOKUP(D269,'Tariff Schedule Lookup Table'!I$7:L$298,2,FALSE)</f>
        <v>METAL HALIDE/HPS 250W FLOOD (210/220)</v>
      </c>
      <c r="G269" s="294" t="str">
        <f>IF(F269 = "BULKHEADS ETC", "SHARED OR NO POLE", VLOOKUP(D269,'Tariff Schedule Lookup Table'!I$7:L$298,3,FALSE))</f>
        <v>WOOD POLE</v>
      </c>
      <c r="H269" s="294">
        <f>IF(F269 = "NO CAPITAL", 1, VLOOKUP(D269,'Tariff Schedule Lookup Table'!I$7:L$298,4,FALSE))</f>
        <v>1</v>
      </c>
      <c r="I269" s="296">
        <f>VLOOKUP(G269,'Input data'!$A$68:$B$72,2,FALSE)</f>
        <v>10.809914000000001</v>
      </c>
      <c r="J269" s="296">
        <f>VLOOKUP($B269,'Maintenance Costs'!$A:$AB,22,FALSE)</f>
        <v>26.264235842626629</v>
      </c>
      <c r="K269" s="296">
        <f>VLOOKUP($B269,'Maintenance Costs'!$A:$AB,28,FALSE)</f>
        <v>20.813388541395373</v>
      </c>
      <c r="L269" s="297">
        <f t="shared" si="25"/>
        <v>57.887538384022001</v>
      </c>
      <c r="M269">
        <v>88.350496756871067</v>
      </c>
      <c r="N269" s="30">
        <f t="shared" si="26"/>
        <v>-30.462958372849066</v>
      </c>
    </row>
    <row r="270" spans="1:14" x14ac:dyDescent="0.2">
      <c r="A270" s="299" t="s">
        <v>1158</v>
      </c>
      <c r="B270" s="298" t="str">
        <f t="shared" si="22"/>
        <v>HPS0110-ST</v>
      </c>
      <c r="C270" s="294" t="str">
        <f>VLOOKUP(LEFT(A270,7),'Tariff Schedule Lookup Table'!$A$8:$G$198,2,FALSE)</f>
        <v>High Pressure Sodium 250</v>
      </c>
      <c r="D270" s="295">
        <f t="shared" si="23"/>
        <v>1120</v>
      </c>
      <c r="E270" s="294">
        <f t="shared" si="24"/>
        <v>1</v>
      </c>
      <c r="F270" s="294" t="str">
        <f>VLOOKUP(D270,'Tariff Schedule Lookup Table'!I$7:L$298,2,FALSE)</f>
        <v>METAL HALIDE/HPS 250W FLOOD (210/220)</v>
      </c>
      <c r="G270" s="294" t="str">
        <f>IF(F270 = "BULKHEADS ETC", "SHARED OR NO POLE", VLOOKUP(D270,'Tariff Schedule Lookup Table'!I$7:L$298,3,FALSE))</f>
        <v>STEEL POLE</v>
      </c>
      <c r="H270" s="294">
        <f>IF(F270 = "NO CAPITAL", 1, VLOOKUP(D270,'Tariff Schedule Lookup Table'!I$7:L$298,4,FALSE))</f>
        <v>1</v>
      </c>
      <c r="I270" s="296">
        <f>VLOOKUP(G270,'Input data'!$A$68:$B$72,2,FALSE)</f>
        <v>9.8748837500000004</v>
      </c>
      <c r="J270" s="296">
        <f>VLOOKUP($B270,'Maintenance Costs'!$A:$AB,22,FALSE)</f>
        <v>26.264235842626629</v>
      </c>
      <c r="K270" s="296">
        <f>VLOOKUP($B270,'Maintenance Costs'!$A:$AB,28,FALSE)</f>
        <v>20.813388541395373</v>
      </c>
      <c r="L270" s="297">
        <f t="shared" si="25"/>
        <v>56.952508134022004</v>
      </c>
      <c r="M270">
        <v>87.415466506871056</v>
      </c>
      <c r="N270" s="30">
        <f t="shared" si="26"/>
        <v>-30.462958372849052</v>
      </c>
    </row>
    <row r="271" spans="1:14" x14ac:dyDescent="0.2">
      <c r="A271" s="299" t="s">
        <v>1159</v>
      </c>
      <c r="B271" s="298" t="str">
        <f t="shared" si="22"/>
        <v>HPS0110-ST</v>
      </c>
      <c r="C271" s="294" t="str">
        <f>VLOOKUP(LEFT(A271,7),'Tariff Schedule Lookup Table'!$A$8:$G$198,2,FALSE)</f>
        <v>High Pressure Sodium 250</v>
      </c>
      <c r="D271" s="295">
        <f t="shared" si="23"/>
        <v>1120</v>
      </c>
      <c r="E271" s="294">
        <f t="shared" si="24"/>
        <v>2</v>
      </c>
      <c r="F271" s="294" t="str">
        <f>VLOOKUP(D271,'Tariff Schedule Lookup Table'!I$7:L$298,2,FALSE)</f>
        <v>METAL HALIDE/HPS 250W FLOOD (210/220)</v>
      </c>
      <c r="G271" s="294" t="str">
        <f>IF(F271 = "BULKHEADS ETC", "SHARED OR NO POLE", VLOOKUP(D271,'Tariff Schedule Lookup Table'!I$7:L$298,3,FALSE))</f>
        <v>STEEL POLE</v>
      </c>
      <c r="H271" s="294">
        <f>IF(F271 = "NO CAPITAL", 1, VLOOKUP(D271,'Tariff Schedule Lookup Table'!I$7:L$298,4,FALSE))</f>
        <v>1</v>
      </c>
      <c r="I271" s="296">
        <f>VLOOKUP(G271,'Input data'!$A$68:$B$72,2,FALSE)</f>
        <v>9.8748837500000004</v>
      </c>
      <c r="J271" s="296">
        <f>VLOOKUP($B271,'Maintenance Costs'!$A:$AB,22,FALSE)</f>
        <v>26.264235842626629</v>
      </c>
      <c r="K271" s="296">
        <f>VLOOKUP($B271,'Maintenance Costs'!$A:$AB,28,FALSE)</f>
        <v>20.813388541395373</v>
      </c>
      <c r="L271" s="297">
        <f t="shared" si="25"/>
        <v>56.952508134022004</v>
      </c>
      <c r="M271">
        <v>87.415466506871056</v>
      </c>
      <c r="N271" s="30">
        <f t="shared" si="26"/>
        <v>-30.462958372849052</v>
      </c>
    </row>
    <row r="272" spans="1:14" x14ac:dyDescent="0.2">
      <c r="A272" s="299" t="s">
        <v>1160</v>
      </c>
      <c r="B272" s="298" t="str">
        <f t="shared" si="22"/>
        <v>HPS0110-ST</v>
      </c>
      <c r="C272" s="294" t="str">
        <f>VLOOKUP(LEFT(A272,7),'Tariff Schedule Lookup Table'!$A$8:$G$198,2,FALSE)</f>
        <v>High Pressure Sodium 250</v>
      </c>
      <c r="D272" s="295">
        <f t="shared" si="23"/>
        <v>1120</v>
      </c>
      <c r="E272" s="294">
        <f t="shared" si="24"/>
        <v>3</v>
      </c>
      <c r="F272" s="294" t="str">
        <f>VLOOKUP(D272,'Tariff Schedule Lookup Table'!I$7:L$298,2,FALSE)</f>
        <v>METAL HALIDE/HPS 250W FLOOD (210/220)</v>
      </c>
      <c r="G272" s="294" t="str">
        <f>IF(F272 = "BULKHEADS ETC", "SHARED OR NO POLE", VLOOKUP(D272,'Tariff Schedule Lookup Table'!I$7:L$298,3,FALSE))</f>
        <v>STEEL POLE</v>
      </c>
      <c r="H272" s="294">
        <f>IF(F272 = "NO CAPITAL", 1, VLOOKUP(D272,'Tariff Schedule Lookup Table'!I$7:L$298,4,FALSE))</f>
        <v>1</v>
      </c>
      <c r="I272" s="296">
        <f>VLOOKUP(G272,'Input data'!$A$68:$B$72,2,FALSE)</f>
        <v>9.8748837500000004</v>
      </c>
      <c r="J272" s="296">
        <f>VLOOKUP($B272,'Maintenance Costs'!$A:$AB,22,FALSE)</f>
        <v>26.264235842626629</v>
      </c>
      <c r="K272" s="296">
        <f>VLOOKUP($B272,'Maintenance Costs'!$A:$AB,28,FALSE)</f>
        <v>20.813388541395373</v>
      </c>
      <c r="L272" s="297">
        <f t="shared" si="25"/>
        <v>56.952508134022004</v>
      </c>
      <c r="M272">
        <v>87.415466506871056</v>
      </c>
      <c r="N272" s="30">
        <f t="shared" si="26"/>
        <v>-30.462958372849052</v>
      </c>
    </row>
    <row r="273" spans="1:14" x14ac:dyDescent="0.2">
      <c r="A273" s="299" t="s">
        <v>581</v>
      </c>
      <c r="B273" s="298" t="str">
        <f t="shared" si="22"/>
        <v>HPS0110-ST</v>
      </c>
      <c r="C273" s="294" t="str">
        <f>VLOOKUP(LEFT(A273,7),'Tariff Schedule Lookup Table'!$A$8:$G$198,2,FALSE)</f>
        <v>High Pressure Sodium 250</v>
      </c>
      <c r="D273" s="295">
        <f t="shared" si="23"/>
        <v>1120</v>
      </c>
      <c r="E273" s="294">
        <f t="shared" si="24"/>
        <v>4</v>
      </c>
      <c r="F273" s="294" t="str">
        <f>VLOOKUP(D273,'Tariff Schedule Lookup Table'!I$7:L$298,2,FALSE)</f>
        <v>METAL HALIDE/HPS 250W FLOOD (210/220)</v>
      </c>
      <c r="G273" s="294" t="str">
        <f>IF(F273 = "BULKHEADS ETC", "SHARED OR NO POLE", VLOOKUP(D273,'Tariff Schedule Lookup Table'!I$7:L$298,3,FALSE))</f>
        <v>STEEL POLE</v>
      </c>
      <c r="H273" s="294">
        <f>IF(F273 = "NO CAPITAL", 1, VLOOKUP(D273,'Tariff Schedule Lookup Table'!I$7:L$298,4,FALSE))</f>
        <v>1</v>
      </c>
      <c r="I273" s="296">
        <f>VLOOKUP(G273,'Input data'!$A$68:$B$72,2,FALSE)</f>
        <v>9.8748837500000004</v>
      </c>
      <c r="J273" s="296">
        <f>VLOOKUP($B273,'Maintenance Costs'!$A:$AB,22,FALSE)</f>
        <v>26.264235842626629</v>
      </c>
      <c r="K273" s="296">
        <f>VLOOKUP($B273,'Maintenance Costs'!$A:$AB,28,FALSE)</f>
        <v>20.813388541395373</v>
      </c>
      <c r="L273" s="297">
        <f t="shared" si="25"/>
        <v>56.952508134022004</v>
      </c>
      <c r="M273">
        <v>87.415466506871056</v>
      </c>
      <c r="N273" s="30">
        <f t="shared" si="26"/>
        <v>-30.462958372849052</v>
      </c>
    </row>
    <row r="274" spans="1:14" x14ac:dyDescent="0.2">
      <c r="A274" s="299" t="s">
        <v>1161</v>
      </c>
      <c r="B274" s="298" t="str">
        <f t="shared" si="22"/>
        <v>HPS0110-ST</v>
      </c>
      <c r="C274" s="294" t="str">
        <f>VLOOKUP(LEFT(A274,7),'Tariff Schedule Lookup Table'!$A$8:$G$198,2,FALSE)</f>
        <v>High Pressure Sodium 250</v>
      </c>
      <c r="D274" s="295">
        <f t="shared" si="23"/>
        <v>1140</v>
      </c>
      <c r="E274" s="294">
        <f t="shared" si="24"/>
        <v>2</v>
      </c>
      <c r="F274" s="294" t="str">
        <f>VLOOKUP(D274,'Tariff Schedule Lookup Table'!I$7:L$298,2,FALSE)</f>
        <v>METAL HALIDE/HPS 250W FLOOD (210/220)</v>
      </c>
      <c r="G274" s="294" t="str">
        <f>IF(F274 = "BULKHEADS ETC", "SHARED OR NO POLE", VLOOKUP(D274,'Tariff Schedule Lookup Table'!I$7:L$298,3,FALSE))</f>
        <v>STEEL POLE</v>
      </c>
      <c r="H274" s="294">
        <f>IF(F274 = "NO CAPITAL", 1, VLOOKUP(D274,'Tariff Schedule Lookup Table'!I$7:L$298,4,FALSE))</f>
        <v>2</v>
      </c>
      <c r="I274" s="296">
        <f>VLOOKUP(G274,'Input data'!$A$68:$B$72,2,FALSE)</f>
        <v>9.8748837500000004</v>
      </c>
      <c r="J274" s="296">
        <f>VLOOKUP($B274,'Maintenance Costs'!$A:$AB,22,FALSE)</f>
        <v>26.264235842626629</v>
      </c>
      <c r="K274" s="296">
        <f>VLOOKUP($B274,'Maintenance Costs'!$A:$AB,28,FALSE)</f>
        <v>20.813388541395373</v>
      </c>
      <c r="L274" s="297">
        <f t="shared" si="25"/>
        <v>52.015066259021999</v>
      </c>
      <c r="M274">
        <v>82.478024631871065</v>
      </c>
      <c r="N274" s="30">
        <f t="shared" si="26"/>
        <v>-30.462958372849066</v>
      </c>
    </row>
    <row r="275" spans="1:14" x14ac:dyDescent="0.2">
      <c r="A275" s="299" t="s">
        <v>1162</v>
      </c>
      <c r="B275" s="298" t="str">
        <f t="shared" si="22"/>
        <v>HPS0110-ST</v>
      </c>
      <c r="C275" s="294" t="str">
        <f>VLOOKUP(LEFT(A275,7),'Tariff Schedule Lookup Table'!$A$8:$G$198,2,FALSE)</f>
        <v>High Pressure Sodium 250</v>
      </c>
      <c r="D275" s="295">
        <f t="shared" si="23"/>
        <v>1160</v>
      </c>
      <c r="E275" s="294">
        <f t="shared" si="24"/>
        <v>1</v>
      </c>
      <c r="F275" s="294" t="str">
        <f>VLOOKUP(D275,'Tariff Schedule Lookup Table'!I$7:L$298,2,FALSE)</f>
        <v>METAL HALIDE/HPS 250W FLOOD (210/220)</v>
      </c>
      <c r="G275" s="294" t="str">
        <f>IF(F275 = "BULKHEADS ETC", "SHARED OR NO POLE", VLOOKUP(D275,'Tariff Schedule Lookup Table'!I$7:L$298,3,FALSE))</f>
        <v>WOOD POLE</v>
      </c>
      <c r="H275" s="294">
        <f>IF(F275 = "NO CAPITAL", 1, VLOOKUP(D275,'Tariff Schedule Lookup Table'!I$7:L$298,4,FALSE))</f>
        <v>2</v>
      </c>
      <c r="I275" s="296">
        <f>VLOOKUP(G275,'Input data'!$A$68:$B$72,2,FALSE)</f>
        <v>10.809914000000001</v>
      </c>
      <c r="J275" s="296">
        <f>VLOOKUP($B275,'Maintenance Costs'!$A:$AB,22,FALSE)</f>
        <v>26.264235842626629</v>
      </c>
      <c r="K275" s="296">
        <f>VLOOKUP($B275,'Maintenance Costs'!$A:$AB,28,FALSE)</f>
        <v>20.813388541395373</v>
      </c>
      <c r="L275" s="297">
        <f t="shared" si="25"/>
        <v>52.482581384022005</v>
      </c>
      <c r="M275">
        <v>82.945539756871057</v>
      </c>
      <c r="N275" s="30">
        <f t="shared" si="26"/>
        <v>-30.462958372849052</v>
      </c>
    </row>
    <row r="276" spans="1:14" x14ac:dyDescent="0.2">
      <c r="A276" s="299" t="s">
        <v>1163</v>
      </c>
      <c r="B276" s="298" t="str">
        <f t="shared" si="22"/>
        <v>HPS0110-ST</v>
      </c>
      <c r="C276" s="294" t="str">
        <f>VLOOKUP(LEFT(A276,7),'Tariff Schedule Lookup Table'!$A$8:$G$198,2,FALSE)</f>
        <v>High Pressure Sodium 250</v>
      </c>
      <c r="D276" s="295">
        <f t="shared" si="23"/>
        <v>1160</v>
      </c>
      <c r="E276" s="294">
        <f t="shared" si="24"/>
        <v>2</v>
      </c>
      <c r="F276" s="294" t="str">
        <f>VLOOKUP(D276,'Tariff Schedule Lookup Table'!I$7:L$298,2,FALSE)</f>
        <v>METAL HALIDE/HPS 250W FLOOD (210/220)</v>
      </c>
      <c r="G276" s="294" t="str">
        <f>IF(F276 = "BULKHEADS ETC", "SHARED OR NO POLE", VLOOKUP(D276,'Tariff Schedule Lookup Table'!I$7:L$298,3,FALSE))</f>
        <v>WOOD POLE</v>
      </c>
      <c r="H276" s="294">
        <f>IF(F276 = "NO CAPITAL", 1, VLOOKUP(D276,'Tariff Schedule Lookup Table'!I$7:L$298,4,FALSE))</f>
        <v>2</v>
      </c>
      <c r="I276" s="296">
        <f>VLOOKUP(G276,'Input data'!$A$68:$B$72,2,FALSE)</f>
        <v>10.809914000000001</v>
      </c>
      <c r="J276" s="296">
        <f>VLOOKUP($B276,'Maintenance Costs'!$A:$AB,22,FALSE)</f>
        <v>26.264235842626629</v>
      </c>
      <c r="K276" s="296">
        <f>VLOOKUP($B276,'Maintenance Costs'!$A:$AB,28,FALSE)</f>
        <v>20.813388541395373</v>
      </c>
      <c r="L276" s="297">
        <f t="shared" si="25"/>
        <v>52.482581384022005</v>
      </c>
      <c r="M276">
        <v>82.945539756871057</v>
      </c>
      <c r="N276" s="30">
        <f t="shared" si="26"/>
        <v>-30.462958372849052</v>
      </c>
    </row>
    <row r="277" spans="1:14" x14ac:dyDescent="0.2">
      <c r="A277" s="299" t="s">
        <v>823</v>
      </c>
      <c r="B277" s="298" t="str">
        <f t="shared" si="22"/>
        <v>HPS0110-ST</v>
      </c>
      <c r="C277" s="294" t="str">
        <f>VLOOKUP(LEFT(A277,7),'Tariff Schedule Lookup Table'!$A$8:$G$198,2,FALSE)</f>
        <v>High Pressure Sodium 250</v>
      </c>
      <c r="D277" s="295">
        <f t="shared" si="23"/>
        <v>1160</v>
      </c>
      <c r="E277" s="294">
        <f t="shared" si="24"/>
        <v>4</v>
      </c>
      <c r="F277" s="294" t="str">
        <f>VLOOKUP(D277,'Tariff Schedule Lookup Table'!I$7:L$298,2,FALSE)</f>
        <v>METAL HALIDE/HPS 250W FLOOD (210/220)</v>
      </c>
      <c r="G277" s="294" t="str">
        <f>IF(F277 = "BULKHEADS ETC", "SHARED OR NO POLE", VLOOKUP(D277,'Tariff Schedule Lookup Table'!I$7:L$298,3,FALSE))</f>
        <v>WOOD POLE</v>
      </c>
      <c r="H277" s="294">
        <f>IF(F277 = "NO CAPITAL", 1, VLOOKUP(D277,'Tariff Schedule Lookup Table'!I$7:L$298,4,FALSE))</f>
        <v>2</v>
      </c>
      <c r="I277" s="296">
        <f>VLOOKUP(G277,'Input data'!$A$68:$B$72,2,FALSE)</f>
        <v>10.809914000000001</v>
      </c>
      <c r="J277" s="296">
        <f>VLOOKUP($B277,'Maintenance Costs'!$A:$AB,22,FALSE)</f>
        <v>26.264235842626629</v>
      </c>
      <c r="K277" s="296">
        <f>VLOOKUP($B277,'Maintenance Costs'!$A:$AB,28,FALSE)</f>
        <v>20.813388541395373</v>
      </c>
      <c r="L277" s="297">
        <f t="shared" si="25"/>
        <v>52.482581384022005</v>
      </c>
      <c r="M277">
        <v>82.945539756871057</v>
      </c>
      <c r="N277" s="30">
        <f t="shared" si="26"/>
        <v>-30.462958372849052</v>
      </c>
    </row>
    <row r="278" spans="1:14" x14ac:dyDescent="0.2">
      <c r="A278" s="299" t="s">
        <v>1164</v>
      </c>
      <c r="B278" s="298" t="str">
        <f t="shared" si="22"/>
        <v>HPS0110-ST</v>
      </c>
      <c r="C278" s="294" t="str">
        <f>VLOOKUP(LEFT(A278,7),'Tariff Schedule Lookup Table'!$A$8:$G$198,2,FALSE)</f>
        <v>High Pressure Sodium 250</v>
      </c>
      <c r="D278" s="295">
        <f t="shared" si="23"/>
        <v>1380</v>
      </c>
      <c r="E278" s="294">
        <f t="shared" si="24"/>
        <v>2</v>
      </c>
      <c r="F278" s="294" t="str">
        <f>VLOOKUP(D278,'Tariff Schedule Lookup Table'!I$7:L$298,2,FALSE)</f>
        <v>METAL HALIDE/HPS 250W FLOOD (210/220)</v>
      </c>
      <c r="G278" s="294" t="str">
        <f>IF(F278 = "BULKHEADS ETC", "SHARED OR NO POLE", VLOOKUP(D278,'Tariff Schedule Lookup Table'!I$7:L$298,3,FALSE))</f>
        <v>R/BOUT COLUMN</v>
      </c>
      <c r="H278" s="294">
        <f>IF(F278 = "NO CAPITAL", 1, VLOOKUP(D278,'Tariff Schedule Lookup Table'!I$7:L$298,4,FALSE))</f>
        <v>3</v>
      </c>
      <c r="I278" s="296">
        <f>VLOOKUP(G278,'Input data'!$A$68:$B$72,2,FALSE)</f>
        <v>9.8748837500000004</v>
      </c>
      <c r="J278" s="296">
        <f>VLOOKUP($B278,'Maintenance Costs'!$A:$AB,22,FALSE)</f>
        <v>26.264235842626629</v>
      </c>
      <c r="K278" s="296">
        <f>VLOOKUP($B278,'Maintenance Costs'!$A:$AB,28,FALSE)</f>
        <v>20.813388541395373</v>
      </c>
      <c r="L278" s="297">
        <f t="shared" si="25"/>
        <v>50.369252300688672</v>
      </c>
      <c r="M278">
        <v>80.83221067353773</v>
      </c>
      <c r="N278" s="30">
        <f t="shared" si="26"/>
        <v>-30.462958372849059</v>
      </c>
    </row>
    <row r="279" spans="1:14" x14ac:dyDescent="0.2">
      <c r="A279" s="299" t="s">
        <v>582</v>
      </c>
      <c r="B279" s="298" t="str">
        <f t="shared" si="22"/>
        <v>HPS0110-ST</v>
      </c>
      <c r="C279" s="294" t="str">
        <f>VLOOKUP(LEFT(A279,7),'Tariff Schedule Lookup Table'!$A$8:$G$198,2,FALSE)</f>
        <v>High Pressure Sodium 250</v>
      </c>
      <c r="D279" s="295">
        <f t="shared" si="23"/>
        <v>1380</v>
      </c>
      <c r="E279" s="294">
        <f t="shared" si="24"/>
        <v>4</v>
      </c>
      <c r="F279" s="294" t="str">
        <f>VLOOKUP(D279,'Tariff Schedule Lookup Table'!I$7:L$298,2,FALSE)</f>
        <v>METAL HALIDE/HPS 250W FLOOD (210/220)</v>
      </c>
      <c r="G279" s="294" t="str">
        <f>IF(F279 = "BULKHEADS ETC", "SHARED OR NO POLE", VLOOKUP(D279,'Tariff Schedule Lookup Table'!I$7:L$298,3,FALSE))</f>
        <v>R/BOUT COLUMN</v>
      </c>
      <c r="H279" s="294">
        <f>IF(F279 = "NO CAPITAL", 1, VLOOKUP(D279,'Tariff Schedule Lookup Table'!I$7:L$298,4,FALSE))</f>
        <v>3</v>
      </c>
      <c r="I279" s="296">
        <f>VLOOKUP(G279,'Input data'!$A$68:$B$72,2,FALSE)</f>
        <v>9.8748837500000004</v>
      </c>
      <c r="J279" s="296">
        <f>VLOOKUP($B279,'Maintenance Costs'!$A:$AB,22,FALSE)</f>
        <v>26.264235842626629</v>
      </c>
      <c r="K279" s="296">
        <f>VLOOKUP($B279,'Maintenance Costs'!$A:$AB,28,FALSE)</f>
        <v>20.813388541395373</v>
      </c>
      <c r="L279" s="297">
        <f t="shared" si="25"/>
        <v>50.369252300688672</v>
      </c>
      <c r="M279">
        <v>80.83221067353773</v>
      </c>
      <c r="N279" s="30">
        <f t="shared" si="26"/>
        <v>-30.462958372849059</v>
      </c>
    </row>
    <row r="280" spans="1:14" x14ac:dyDescent="0.2">
      <c r="A280" s="299" t="s">
        <v>1165</v>
      </c>
      <c r="B280" s="298" t="str">
        <f t="shared" si="22"/>
        <v>HPS0110-ST</v>
      </c>
      <c r="C280" s="294" t="str">
        <f>VLOOKUP(LEFT(A280,7),'Tariff Schedule Lookup Table'!$A$8:$G$198,2,FALSE)</f>
        <v>High Pressure Sodium 250</v>
      </c>
      <c r="D280" s="295">
        <f t="shared" si="23"/>
        <v>1450</v>
      </c>
      <c r="E280" s="294">
        <f t="shared" si="24"/>
        <v>1</v>
      </c>
      <c r="F280" s="294" t="str">
        <f>VLOOKUP(D280,'Tariff Schedule Lookup Table'!I$7:L$298,2,FALSE)</f>
        <v>METAL HALIDE/HPS 250W FLOOD (210/220)</v>
      </c>
      <c r="G280" s="294" t="str">
        <f>IF(F280 = "BULKHEADS ETC", "SHARED OR NO POLE", VLOOKUP(D280,'Tariff Schedule Lookup Table'!I$7:L$298,3,FALSE))</f>
        <v>R/BOUT COLUMN</v>
      </c>
      <c r="H280" s="294">
        <f>IF(F280 = "NO CAPITAL", 1, VLOOKUP(D280,'Tariff Schedule Lookup Table'!I$7:L$298,4,FALSE))</f>
        <v>4</v>
      </c>
      <c r="I280" s="296">
        <f>VLOOKUP(G280,'Input data'!$A$68:$B$72,2,FALSE)</f>
        <v>9.8748837500000004</v>
      </c>
      <c r="J280" s="296">
        <f>VLOOKUP($B280,'Maintenance Costs'!$A:$AB,22,FALSE)</f>
        <v>26.264235842626629</v>
      </c>
      <c r="K280" s="296">
        <f>VLOOKUP($B280,'Maintenance Costs'!$A:$AB,28,FALSE)</f>
        <v>20.813388541395373</v>
      </c>
      <c r="L280" s="297">
        <f t="shared" si="25"/>
        <v>49.546345321522004</v>
      </c>
      <c r="M280">
        <v>80.009303694371056</v>
      </c>
      <c r="N280" s="30">
        <f t="shared" si="26"/>
        <v>-30.462958372849052</v>
      </c>
    </row>
    <row r="281" spans="1:14" x14ac:dyDescent="0.2">
      <c r="A281" s="299" t="s">
        <v>1166</v>
      </c>
      <c r="B281" s="298" t="str">
        <f t="shared" si="22"/>
        <v>HPS0110-ST</v>
      </c>
      <c r="C281" s="294" t="str">
        <f>VLOOKUP(LEFT(A281,7),'Tariff Schedule Lookup Table'!$A$8:$G$198,2,FALSE)</f>
        <v>High Pressure Sodium 250</v>
      </c>
      <c r="D281" s="295">
        <f t="shared" si="23"/>
        <v>1450</v>
      </c>
      <c r="E281" s="294">
        <f t="shared" si="24"/>
        <v>2</v>
      </c>
      <c r="F281" s="294" t="str">
        <f>VLOOKUP(D281,'Tariff Schedule Lookup Table'!I$7:L$298,2,FALSE)</f>
        <v>METAL HALIDE/HPS 250W FLOOD (210/220)</v>
      </c>
      <c r="G281" s="294" t="str">
        <f>IF(F281 = "BULKHEADS ETC", "SHARED OR NO POLE", VLOOKUP(D281,'Tariff Schedule Lookup Table'!I$7:L$298,3,FALSE))</f>
        <v>R/BOUT COLUMN</v>
      </c>
      <c r="H281" s="294">
        <f>IF(F281 = "NO CAPITAL", 1, VLOOKUP(D281,'Tariff Schedule Lookup Table'!I$7:L$298,4,FALSE))</f>
        <v>4</v>
      </c>
      <c r="I281" s="296">
        <f>VLOOKUP(G281,'Input data'!$A$68:$B$72,2,FALSE)</f>
        <v>9.8748837500000004</v>
      </c>
      <c r="J281" s="296">
        <f>VLOOKUP($B281,'Maintenance Costs'!$A:$AB,22,FALSE)</f>
        <v>26.264235842626629</v>
      </c>
      <c r="K281" s="296">
        <f>VLOOKUP($B281,'Maintenance Costs'!$A:$AB,28,FALSE)</f>
        <v>20.813388541395373</v>
      </c>
      <c r="L281" s="297">
        <f t="shared" si="25"/>
        <v>49.546345321522004</v>
      </c>
      <c r="M281">
        <v>80.009303694371056</v>
      </c>
      <c r="N281" s="30">
        <f t="shared" si="26"/>
        <v>-30.462958372849052</v>
      </c>
    </row>
    <row r="282" spans="1:14" x14ac:dyDescent="0.2">
      <c r="A282" s="299" t="s">
        <v>583</v>
      </c>
      <c r="B282" s="298" t="str">
        <f t="shared" si="22"/>
        <v>HPS0110-ST</v>
      </c>
      <c r="C282" s="294" t="str">
        <f>VLOOKUP(LEFT(A282,7),'Tariff Schedule Lookup Table'!$A$8:$G$198,2,FALSE)</f>
        <v>High Pressure Sodium 250</v>
      </c>
      <c r="D282" s="295">
        <f t="shared" si="23"/>
        <v>1450</v>
      </c>
      <c r="E282" s="294">
        <f t="shared" si="24"/>
        <v>4</v>
      </c>
      <c r="F282" s="294" t="str">
        <f>VLOOKUP(D282,'Tariff Schedule Lookup Table'!I$7:L$298,2,FALSE)</f>
        <v>METAL HALIDE/HPS 250W FLOOD (210/220)</v>
      </c>
      <c r="G282" s="294" t="str">
        <f>IF(F282 = "BULKHEADS ETC", "SHARED OR NO POLE", VLOOKUP(D282,'Tariff Schedule Lookup Table'!I$7:L$298,3,FALSE))</f>
        <v>R/BOUT COLUMN</v>
      </c>
      <c r="H282" s="294">
        <f>IF(F282 = "NO CAPITAL", 1, VLOOKUP(D282,'Tariff Schedule Lookup Table'!I$7:L$298,4,FALSE))</f>
        <v>4</v>
      </c>
      <c r="I282" s="296">
        <f>VLOOKUP(G282,'Input data'!$A$68:$B$72,2,FALSE)</f>
        <v>9.8748837500000004</v>
      </c>
      <c r="J282" s="296">
        <f>VLOOKUP($B282,'Maintenance Costs'!$A:$AB,22,FALSE)</f>
        <v>26.264235842626629</v>
      </c>
      <c r="K282" s="296">
        <f>VLOOKUP($B282,'Maintenance Costs'!$A:$AB,28,FALSE)</f>
        <v>20.813388541395373</v>
      </c>
      <c r="L282" s="297">
        <f t="shared" si="25"/>
        <v>49.546345321522004</v>
      </c>
      <c r="M282">
        <v>80.009303694371056</v>
      </c>
      <c r="N282" s="30">
        <f t="shared" si="26"/>
        <v>-30.462958372849052</v>
      </c>
    </row>
    <row r="283" spans="1:14" x14ac:dyDescent="0.2">
      <c r="A283" s="299" t="s">
        <v>1167</v>
      </c>
      <c r="B283" s="298" t="str">
        <f t="shared" si="22"/>
        <v>HPS0110-TA</v>
      </c>
      <c r="C283" s="294" t="str">
        <f>VLOOKUP(LEFT(A283,7),'Tariff Schedule Lookup Table'!$A$8:$G$198,2,FALSE)</f>
        <v>High Pressure Sodium 250</v>
      </c>
      <c r="D283" s="295">
        <f t="shared" si="23"/>
        <v>60</v>
      </c>
      <c r="E283" s="294">
        <f t="shared" si="24"/>
        <v>1</v>
      </c>
      <c r="F283" s="294" t="str">
        <f>VLOOKUP(D283,'Tariff Schedule Lookup Table'!I$7:L$298,2,FALSE)</f>
        <v>HIGH PRESSURE SODIUM 250W (210/220)</v>
      </c>
      <c r="G283" s="294" t="str">
        <f>IF(F283 = "BULKHEADS ETC", "SHARED OR NO POLE", VLOOKUP(D283,'Tariff Schedule Lookup Table'!I$7:L$298,3,FALSE))</f>
        <v>SHARED OR NO POLE</v>
      </c>
      <c r="H283" s="294">
        <f>IF(F283 = "NO CAPITAL", 1, VLOOKUP(D283,'Tariff Schedule Lookup Table'!I$7:L$298,4,FALSE))</f>
        <v>1</v>
      </c>
      <c r="I283" s="296">
        <f>VLOOKUP(G283,'Input data'!$A$68:$B$72,2,FALSE)</f>
        <v>0</v>
      </c>
      <c r="J283" s="296">
        <f>VLOOKUP($B283,'Maintenance Costs'!$A:$AB,22,FALSE)</f>
        <v>27.479100542626629</v>
      </c>
      <c r="K283" s="296">
        <f>VLOOKUP($B283,'Maintenance Costs'!$A:$AB,28,FALSE)</f>
        <v>27.438206041395375</v>
      </c>
      <c r="L283" s="297">
        <f t="shared" si="25"/>
        <v>54.917306584022</v>
      </c>
      <c r="M283">
        <v>76.886972271790043</v>
      </c>
      <c r="N283" s="30">
        <f t="shared" si="26"/>
        <v>-21.969665687768043</v>
      </c>
    </row>
    <row r="284" spans="1:14" x14ac:dyDescent="0.2">
      <c r="A284" s="299" t="s">
        <v>1168</v>
      </c>
      <c r="B284" s="298" t="str">
        <f t="shared" si="22"/>
        <v>HPS0110-TA</v>
      </c>
      <c r="C284" s="294" t="str">
        <f>VLOOKUP(LEFT(A284,7),'Tariff Schedule Lookup Table'!$A$8:$G$198,2,FALSE)</f>
        <v>High Pressure Sodium 250</v>
      </c>
      <c r="D284" s="295">
        <f t="shared" si="23"/>
        <v>60</v>
      </c>
      <c r="E284" s="294">
        <f t="shared" si="24"/>
        <v>2</v>
      </c>
      <c r="F284" s="294" t="str">
        <f>VLOOKUP(D284,'Tariff Schedule Lookup Table'!I$7:L$298,2,FALSE)</f>
        <v>HIGH PRESSURE SODIUM 250W (210/220)</v>
      </c>
      <c r="G284" s="294" t="str">
        <f>IF(F284 = "BULKHEADS ETC", "SHARED OR NO POLE", VLOOKUP(D284,'Tariff Schedule Lookup Table'!I$7:L$298,3,FALSE))</f>
        <v>SHARED OR NO POLE</v>
      </c>
      <c r="H284" s="294">
        <f>IF(F284 = "NO CAPITAL", 1, VLOOKUP(D284,'Tariff Schedule Lookup Table'!I$7:L$298,4,FALSE))</f>
        <v>1</v>
      </c>
      <c r="I284" s="296">
        <f>VLOOKUP(G284,'Input data'!$A$68:$B$72,2,FALSE)</f>
        <v>0</v>
      </c>
      <c r="J284" s="296">
        <f>VLOOKUP($B284,'Maintenance Costs'!$A:$AB,22,FALSE)</f>
        <v>27.479100542626629</v>
      </c>
      <c r="K284" s="296">
        <f>VLOOKUP($B284,'Maintenance Costs'!$A:$AB,28,FALSE)</f>
        <v>27.438206041395375</v>
      </c>
      <c r="L284" s="297">
        <f t="shared" si="25"/>
        <v>54.917306584022</v>
      </c>
      <c r="M284">
        <v>76.886972271790043</v>
      </c>
      <c r="N284" s="30">
        <f t="shared" si="26"/>
        <v>-21.969665687768043</v>
      </c>
    </row>
    <row r="285" spans="1:14" x14ac:dyDescent="0.2">
      <c r="A285" s="299" t="s">
        <v>1169</v>
      </c>
      <c r="B285" s="298" t="str">
        <f t="shared" si="22"/>
        <v>HPS0110-TA</v>
      </c>
      <c r="C285" s="294" t="str">
        <f>VLOOKUP(LEFT(A285,7),'Tariff Schedule Lookup Table'!$A$8:$G$198,2,FALSE)</f>
        <v>High Pressure Sodium 250</v>
      </c>
      <c r="D285" s="295">
        <f t="shared" si="23"/>
        <v>60</v>
      </c>
      <c r="E285" s="294">
        <f t="shared" si="24"/>
        <v>3</v>
      </c>
      <c r="F285" s="294" t="str">
        <f>VLOOKUP(D285,'Tariff Schedule Lookup Table'!I$7:L$298,2,FALSE)</f>
        <v>HIGH PRESSURE SODIUM 250W (210/220)</v>
      </c>
      <c r="G285" s="294" t="str">
        <f>IF(F285 = "BULKHEADS ETC", "SHARED OR NO POLE", VLOOKUP(D285,'Tariff Schedule Lookup Table'!I$7:L$298,3,FALSE))</f>
        <v>SHARED OR NO POLE</v>
      </c>
      <c r="H285" s="294">
        <f>IF(F285 = "NO CAPITAL", 1, VLOOKUP(D285,'Tariff Schedule Lookup Table'!I$7:L$298,4,FALSE))</f>
        <v>1</v>
      </c>
      <c r="I285" s="296">
        <f>VLOOKUP(G285,'Input data'!$A$68:$B$72,2,FALSE)</f>
        <v>0</v>
      </c>
      <c r="J285" s="296">
        <f>VLOOKUP($B285,'Maintenance Costs'!$A:$AB,22,FALSE)</f>
        <v>27.479100542626629</v>
      </c>
      <c r="K285" s="296">
        <f>VLOOKUP($B285,'Maintenance Costs'!$A:$AB,28,FALSE)</f>
        <v>27.438206041395375</v>
      </c>
      <c r="L285" s="297">
        <f t="shared" si="25"/>
        <v>54.917306584022</v>
      </c>
      <c r="M285">
        <v>76.886972271790043</v>
      </c>
      <c r="N285" s="30">
        <f t="shared" si="26"/>
        <v>-21.969665687768043</v>
      </c>
    </row>
    <row r="286" spans="1:14" x14ac:dyDescent="0.2">
      <c r="A286" s="299" t="s">
        <v>584</v>
      </c>
      <c r="B286" s="298" t="str">
        <f t="shared" si="22"/>
        <v>HPS0110-TA</v>
      </c>
      <c r="C286" s="294" t="str">
        <f>VLOOKUP(LEFT(A286,7),'Tariff Schedule Lookup Table'!$A$8:$G$198,2,FALSE)</f>
        <v>High Pressure Sodium 250</v>
      </c>
      <c r="D286" s="295">
        <f t="shared" si="23"/>
        <v>60</v>
      </c>
      <c r="E286" s="294">
        <f t="shared" si="24"/>
        <v>4</v>
      </c>
      <c r="F286" s="294" t="str">
        <f>VLOOKUP(D286,'Tariff Schedule Lookup Table'!I$7:L$298,2,FALSE)</f>
        <v>HIGH PRESSURE SODIUM 250W (210/220)</v>
      </c>
      <c r="G286" s="294" t="str">
        <f>IF(F286 = "BULKHEADS ETC", "SHARED OR NO POLE", VLOOKUP(D286,'Tariff Schedule Lookup Table'!I$7:L$298,3,FALSE))</f>
        <v>SHARED OR NO POLE</v>
      </c>
      <c r="H286" s="294">
        <f>IF(F286 = "NO CAPITAL", 1, VLOOKUP(D286,'Tariff Schedule Lookup Table'!I$7:L$298,4,FALSE))</f>
        <v>1</v>
      </c>
      <c r="I286" s="296">
        <f>VLOOKUP(G286,'Input data'!$A$68:$B$72,2,FALSE)</f>
        <v>0</v>
      </c>
      <c r="J286" s="296">
        <f>VLOOKUP($B286,'Maintenance Costs'!$A:$AB,22,FALSE)</f>
        <v>27.479100542626629</v>
      </c>
      <c r="K286" s="296">
        <f>VLOOKUP($B286,'Maintenance Costs'!$A:$AB,28,FALSE)</f>
        <v>27.438206041395375</v>
      </c>
      <c r="L286" s="297">
        <f t="shared" si="25"/>
        <v>54.917306584022</v>
      </c>
      <c r="M286">
        <v>76.886972271790043</v>
      </c>
      <c r="N286" s="30">
        <f t="shared" si="26"/>
        <v>-21.969665687768043</v>
      </c>
    </row>
    <row r="287" spans="1:14" x14ac:dyDescent="0.2">
      <c r="A287" s="299" t="s">
        <v>1171</v>
      </c>
      <c r="B287" s="298" t="str">
        <f t="shared" si="22"/>
        <v>HPS0110-TA</v>
      </c>
      <c r="C287" s="294" t="str">
        <f>VLOOKUP(LEFT(A287,7),'Tariff Schedule Lookup Table'!$A$8:$G$198,2,FALSE)</f>
        <v>High Pressure Sodium 250</v>
      </c>
      <c r="D287" s="295">
        <f t="shared" si="23"/>
        <v>230</v>
      </c>
      <c r="E287" s="294">
        <f t="shared" si="24"/>
        <v>1</v>
      </c>
      <c r="F287" s="294" t="str">
        <f>VLOOKUP(D287,'Tariff Schedule Lookup Table'!I$7:L$298,2,FALSE)</f>
        <v>HIGH PRESSURE SODIUM 250W (210/220)</v>
      </c>
      <c r="G287" s="294" t="str">
        <f>IF(F287 = "BULKHEADS ETC", "SHARED OR NO POLE", VLOOKUP(D287,'Tariff Schedule Lookup Table'!I$7:L$298,3,FALSE))</f>
        <v>WOOD POLE</v>
      </c>
      <c r="H287" s="294">
        <f>IF(F287 = "NO CAPITAL", 1, VLOOKUP(D287,'Tariff Schedule Lookup Table'!I$7:L$298,4,FALSE))</f>
        <v>1</v>
      </c>
      <c r="I287" s="296">
        <f>VLOOKUP(G287,'Input data'!$A$68:$B$72,2,FALSE)</f>
        <v>10.809914000000001</v>
      </c>
      <c r="J287" s="296">
        <f>VLOOKUP($B287,'Maintenance Costs'!$A:$AB,22,FALSE)</f>
        <v>27.479100542626629</v>
      </c>
      <c r="K287" s="296">
        <f>VLOOKUP($B287,'Maintenance Costs'!$A:$AB,28,FALSE)</f>
        <v>27.438206041395375</v>
      </c>
      <c r="L287" s="297">
        <f t="shared" si="25"/>
        <v>65.727220584022007</v>
      </c>
      <c r="M287">
        <v>87.696886271790049</v>
      </c>
      <c r="N287" s="30">
        <f t="shared" si="26"/>
        <v>-21.969665687768043</v>
      </c>
    </row>
    <row r="288" spans="1:14" x14ac:dyDescent="0.2">
      <c r="A288" s="299" t="s">
        <v>1172</v>
      </c>
      <c r="B288" s="298" t="str">
        <f t="shared" si="22"/>
        <v>HPS0110-TA</v>
      </c>
      <c r="C288" s="294" t="str">
        <f>VLOOKUP(LEFT(A288,7),'Tariff Schedule Lookup Table'!$A$8:$G$198,2,FALSE)</f>
        <v>High Pressure Sodium 250</v>
      </c>
      <c r="D288" s="295">
        <f t="shared" si="23"/>
        <v>230</v>
      </c>
      <c r="E288" s="294">
        <f t="shared" si="24"/>
        <v>2</v>
      </c>
      <c r="F288" s="294" t="str">
        <f>VLOOKUP(D288,'Tariff Schedule Lookup Table'!I$7:L$298,2,FALSE)</f>
        <v>HIGH PRESSURE SODIUM 250W (210/220)</v>
      </c>
      <c r="G288" s="294" t="str">
        <f>IF(F288 = "BULKHEADS ETC", "SHARED OR NO POLE", VLOOKUP(D288,'Tariff Schedule Lookup Table'!I$7:L$298,3,FALSE))</f>
        <v>WOOD POLE</v>
      </c>
      <c r="H288" s="294">
        <f>IF(F288 = "NO CAPITAL", 1, VLOOKUP(D288,'Tariff Schedule Lookup Table'!I$7:L$298,4,FALSE))</f>
        <v>1</v>
      </c>
      <c r="I288" s="296">
        <f>VLOOKUP(G288,'Input data'!$A$68:$B$72,2,FALSE)</f>
        <v>10.809914000000001</v>
      </c>
      <c r="J288" s="296">
        <f>VLOOKUP($B288,'Maintenance Costs'!$A:$AB,22,FALSE)</f>
        <v>27.479100542626629</v>
      </c>
      <c r="K288" s="296">
        <f>VLOOKUP($B288,'Maintenance Costs'!$A:$AB,28,FALSE)</f>
        <v>27.438206041395375</v>
      </c>
      <c r="L288" s="297">
        <f t="shared" si="25"/>
        <v>65.727220584022007</v>
      </c>
      <c r="M288">
        <v>87.696886271790049</v>
      </c>
      <c r="N288" s="30">
        <f t="shared" si="26"/>
        <v>-21.969665687768043</v>
      </c>
    </row>
    <row r="289" spans="1:14" x14ac:dyDescent="0.2">
      <c r="A289" s="299" t="s">
        <v>1173</v>
      </c>
      <c r="B289" s="298" t="str">
        <f t="shared" si="22"/>
        <v>HPS0110-TA</v>
      </c>
      <c r="C289" s="294" t="str">
        <f>VLOOKUP(LEFT(A289,7),'Tariff Schedule Lookup Table'!$A$8:$G$198,2,FALSE)</f>
        <v>High Pressure Sodium 250</v>
      </c>
      <c r="D289" s="295">
        <f t="shared" si="23"/>
        <v>230</v>
      </c>
      <c r="E289" s="294">
        <f t="shared" si="24"/>
        <v>3</v>
      </c>
      <c r="F289" s="294" t="str">
        <f>VLOOKUP(D289,'Tariff Schedule Lookup Table'!I$7:L$298,2,FALSE)</f>
        <v>HIGH PRESSURE SODIUM 250W (210/220)</v>
      </c>
      <c r="G289" s="294" t="str">
        <f>IF(F289 = "BULKHEADS ETC", "SHARED OR NO POLE", VLOOKUP(D289,'Tariff Schedule Lookup Table'!I$7:L$298,3,FALSE))</f>
        <v>WOOD POLE</v>
      </c>
      <c r="H289" s="294">
        <f>IF(F289 = "NO CAPITAL", 1, VLOOKUP(D289,'Tariff Schedule Lookup Table'!I$7:L$298,4,FALSE))</f>
        <v>1</v>
      </c>
      <c r="I289" s="296">
        <f>VLOOKUP(G289,'Input data'!$A$68:$B$72,2,FALSE)</f>
        <v>10.809914000000001</v>
      </c>
      <c r="J289" s="296">
        <f>VLOOKUP($B289,'Maintenance Costs'!$A:$AB,22,FALSE)</f>
        <v>27.479100542626629</v>
      </c>
      <c r="K289" s="296">
        <f>VLOOKUP($B289,'Maintenance Costs'!$A:$AB,28,FALSE)</f>
        <v>27.438206041395375</v>
      </c>
      <c r="L289" s="297">
        <f t="shared" si="25"/>
        <v>65.727220584022007</v>
      </c>
      <c r="M289">
        <v>87.696886271790049</v>
      </c>
      <c r="N289" s="30">
        <f t="shared" si="26"/>
        <v>-21.969665687768043</v>
      </c>
    </row>
    <row r="290" spans="1:14" x14ac:dyDescent="0.2">
      <c r="A290" s="299" t="s">
        <v>540</v>
      </c>
      <c r="B290" s="298" t="str">
        <f t="shared" si="22"/>
        <v>HPS0110-TA</v>
      </c>
      <c r="C290" s="294" t="str">
        <f>VLOOKUP(LEFT(A290,7),'Tariff Schedule Lookup Table'!$A$8:$G$198,2,FALSE)</f>
        <v>High Pressure Sodium 250</v>
      </c>
      <c r="D290" s="295">
        <f t="shared" si="23"/>
        <v>230</v>
      </c>
      <c r="E290" s="294">
        <f t="shared" si="24"/>
        <v>4</v>
      </c>
      <c r="F290" s="294" t="str">
        <f>VLOOKUP(D290,'Tariff Schedule Lookup Table'!I$7:L$298,2,FALSE)</f>
        <v>HIGH PRESSURE SODIUM 250W (210/220)</v>
      </c>
      <c r="G290" s="294" t="str">
        <f>IF(F290 = "BULKHEADS ETC", "SHARED OR NO POLE", VLOOKUP(D290,'Tariff Schedule Lookup Table'!I$7:L$298,3,FALSE))</f>
        <v>WOOD POLE</v>
      </c>
      <c r="H290" s="294">
        <f>IF(F290 = "NO CAPITAL", 1, VLOOKUP(D290,'Tariff Schedule Lookup Table'!I$7:L$298,4,FALSE))</f>
        <v>1</v>
      </c>
      <c r="I290" s="296">
        <f>VLOOKUP(G290,'Input data'!$A$68:$B$72,2,FALSE)</f>
        <v>10.809914000000001</v>
      </c>
      <c r="J290" s="296">
        <f>VLOOKUP($B290,'Maintenance Costs'!$A:$AB,22,FALSE)</f>
        <v>27.479100542626629</v>
      </c>
      <c r="K290" s="296">
        <f>VLOOKUP($B290,'Maintenance Costs'!$A:$AB,28,FALSE)</f>
        <v>27.438206041395375</v>
      </c>
      <c r="L290" s="297">
        <f t="shared" si="25"/>
        <v>65.727220584022007</v>
      </c>
      <c r="M290">
        <v>87.696886271790049</v>
      </c>
      <c r="N290" s="30">
        <f t="shared" si="26"/>
        <v>-21.969665687768043</v>
      </c>
    </row>
    <row r="291" spans="1:14" x14ac:dyDescent="0.2">
      <c r="A291" s="299" t="s">
        <v>1175</v>
      </c>
      <c r="B291" s="298" t="str">
        <f t="shared" si="22"/>
        <v>HPS0110-TA</v>
      </c>
      <c r="C291" s="294" t="str">
        <f>VLOOKUP(LEFT(A291,7),'Tariff Schedule Lookup Table'!$A$8:$G$198,2,FALSE)</f>
        <v>High Pressure Sodium 250</v>
      </c>
      <c r="D291" s="295">
        <f t="shared" si="23"/>
        <v>320</v>
      </c>
      <c r="E291" s="294">
        <f t="shared" si="24"/>
        <v>1</v>
      </c>
      <c r="F291" s="294" t="str">
        <f>VLOOKUP(D291,'Tariff Schedule Lookup Table'!I$7:L$298,2,FALSE)</f>
        <v>HIGH PRESSURE SODIUM 250W (210/220)</v>
      </c>
      <c r="G291" s="294" t="str">
        <f>IF(F291 = "BULKHEADS ETC", "SHARED OR NO POLE", VLOOKUP(D291,'Tariff Schedule Lookup Table'!I$7:L$298,3,FALSE))</f>
        <v>STEEL POLE</v>
      </c>
      <c r="H291" s="294">
        <f>IF(F291 = "NO CAPITAL", 1, VLOOKUP(D291,'Tariff Schedule Lookup Table'!I$7:L$298,4,FALSE))</f>
        <v>1</v>
      </c>
      <c r="I291" s="296">
        <f>VLOOKUP(G291,'Input data'!$A$68:$B$72,2,FALSE)</f>
        <v>9.8748837500000004</v>
      </c>
      <c r="J291" s="296">
        <f>VLOOKUP($B291,'Maintenance Costs'!$A:$AB,22,FALSE)</f>
        <v>27.479100542626629</v>
      </c>
      <c r="K291" s="296">
        <f>VLOOKUP($B291,'Maintenance Costs'!$A:$AB,28,FALSE)</f>
        <v>27.438206041395375</v>
      </c>
      <c r="L291" s="297">
        <f t="shared" si="25"/>
        <v>64.792190334021996</v>
      </c>
      <c r="M291">
        <v>86.761856021790038</v>
      </c>
      <c r="N291" s="30">
        <f t="shared" si="26"/>
        <v>-21.969665687768043</v>
      </c>
    </row>
    <row r="292" spans="1:14" x14ac:dyDescent="0.2">
      <c r="A292" s="299" t="s">
        <v>1176</v>
      </c>
      <c r="B292" s="298" t="str">
        <f t="shared" si="22"/>
        <v>HPS0110-TA</v>
      </c>
      <c r="C292" s="294" t="str">
        <f>VLOOKUP(LEFT(A292,7),'Tariff Schedule Lookup Table'!$A$8:$G$198,2,FALSE)</f>
        <v>High Pressure Sodium 250</v>
      </c>
      <c r="D292" s="295">
        <f t="shared" si="23"/>
        <v>320</v>
      </c>
      <c r="E292" s="294">
        <f t="shared" si="24"/>
        <v>2</v>
      </c>
      <c r="F292" s="294" t="str">
        <f>VLOOKUP(D292,'Tariff Schedule Lookup Table'!I$7:L$298,2,FALSE)</f>
        <v>HIGH PRESSURE SODIUM 250W (210/220)</v>
      </c>
      <c r="G292" s="294" t="str">
        <f>IF(F292 = "BULKHEADS ETC", "SHARED OR NO POLE", VLOOKUP(D292,'Tariff Schedule Lookup Table'!I$7:L$298,3,FALSE))</f>
        <v>STEEL POLE</v>
      </c>
      <c r="H292" s="294">
        <f>IF(F292 = "NO CAPITAL", 1, VLOOKUP(D292,'Tariff Schedule Lookup Table'!I$7:L$298,4,FALSE))</f>
        <v>1</v>
      </c>
      <c r="I292" s="296">
        <f>VLOOKUP(G292,'Input data'!$A$68:$B$72,2,FALSE)</f>
        <v>9.8748837500000004</v>
      </c>
      <c r="J292" s="296">
        <f>VLOOKUP($B292,'Maintenance Costs'!$A:$AB,22,FALSE)</f>
        <v>27.479100542626629</v>
      </c>
      <c r="K292" s="296">
        <f>VLOOKUP($B292,'Maintenance Costs'!$A:$AB,28,FALSE)</f>
        <v>27.438206041395375</v>
      </c>
      <c r="L292" s="297">
        <f t="shared" si="25"/>
        <v>64.792190334021996</v>
      </c>
      <c r="M292">
        <v>86.761856021790038</v>
      </c>
      <c r="N292" s="30">
        <f t="shared" si="26"/>
        <v>-21.969665687768043</v>
      </c>
    </row>
    <row r="293" spans="1:14" x14ac:dyDescent="0.2">
      <c r="A293" s="299" t="s">
        <v>1177</v>
      </c>
      <c r="B293" s="298" t="str">
        <f t="shared" si="22"/>
        <v>HPS0110-TA</v>
      </c>
      <c r="C293" s="294" t="str">
        <f>VLOOKUP(LEFT(A293,7),'Tariff Schedule Lookup Table'!$A$8:$G$198,2,FALSE)</f>
        <v>High Pressure Sodium 250</v>
      </c>
      <c r="D293" s="295">
        <f t="shared" si="23"/>
        <v>320</v>
      </c>
      <c r="E293" s="294">
        <f t="shared" si="24"/>
        <v>3</v>
      </c>
      <c r="F293" s="294" t="str">
        <f>VLOOKUP(D293,'Tariff Schedule Lookup Table'!I$7:L$298,2,FALSE)</f>
        <v>HIGH PRESSURE SODIUM 250W (210/220)</v>
      </c>
      <c r="G293" s="294" t="str">
        <f>IF(F293 = "BULKHEADS ETC", "SHARED OR NO POLE", VLOOKUP(D293,'Tariff Schedule Lookup Table'!I$7:L$298,3,FALSE))</f>
        <v>STEEL POLE</v>
      </c>
      <c r="H293" s="294">
        <f>IF(F293 = "NO CAPITAL", 1, VLOOKUP(D293,'Tariff Schedule Lookup Table'!I$7:L$298,4,FALSE))</f>
        <v>1</v>
      </c>
      <c r="I293" s="296">
        <f>VLOOKUP(G293,'Input data'!$A$68:$B$72,2,FALSE)</f>
        <v>9.8748837500000004</v>
      </c>
      <c r="J293" s="296">
        <f>VLOOKUP($B293,'Maintenance Costs'!$A:$AB,22,FALSE)</f>
        <v>27.479100542626629</v>
      </c>
      <c r="K293" s="296">
        <f>VLOOKUP($B293,'Maintenance Costs'!$A:$AB,28,FALSE)</f>
        <v>27.438206041395375</v>
      </c>
      <c r="L293" s="297">
        <f t="shared" si="25"/>
        <v>64.792190334021996</v>
      </c>
      <c r="M293">
        <v>86.761856021790038</v>
      </c>
      <c r="N293" s="30">
        <f t="shared" si="26"/>
        <v>-21.969665687768043</v>
      </c>
    </row>
    <row r="294" spans="1:14" x14ac:dyDescent="0.2">
      <c r="A294" s="299" t="s">
        <v>585</v>
      </c>
      <c r="B294" s="298" t="str">
        <f t="shared" si="22"/>
        <v>HPS0110-TA</v>
      </c>
      <c r="C294" s="294" t="str">
        <f>VLOOKUP(LEFT(A294,7),'Tariff Schedule Lookup Table'!$A$8:$G$198,2,FALSE)</f>
        <v>High Pressure Sodium 250</v>
      </c>
      <c r="D294" s="295">
        <f t="shared" si="23"/>
        <v>320</v>
      </c>
      <c r="E294" s="294">
        <f t="shared" si="24"/>
        <v>4</v>
      </c>
      <c r="F294" s="294" t="str">
        <f>VLOOKUP(D294,'Tariff Schedule Lookup Table'!I$7:L$298,2,FALSE)</f>
        <v>HIGH PRESSURE SODIUM 250W (210/220)</v>
      </c>
      <c r="G294" s="294" t="str">
        <f>IF(F294 = "BULKHEADS ETC", "SHARED OR NO POLE", VLOOKUP(D294,'Tariff Schedule Lookup Table'!I$7:L$298,3,FALSE))</f>
        <v>STEEL POLE</v>
      </c>
      <c r="H294" s="294">
        <f>IF(F294 = "NO CAPITAL", 1, VLOOKUP(D294,'Tariff Schedule Lookup Table'!I$7:L$298,4,FALSE))</f>
        <v>1</v>
      </c>
      <c r="I294" s="296">
        <f>VLOOKUP(G294,'Input data'!$A$68:$B$72,2,FALSE)</f>
        <v>9.8748837500000004</v>
      </c>
      <c r="J294" s="296">
        <f>VLOOKUP($B294,'Maintenance Costs'!$A:$AB,22,FALSE)</f>
        <v>27.479100542626629</v>
      </c>
      <c r="K294" s="296">
        <f>VLOOKUP($B294,'Maintenance Costs'!$A:$AB,28,FALSE)</f>
        <v>27.438206041395375</v>
      </c>
      <c r="L294" s="297">
        <f t="shared" si="25"/>
        <v>64.792190334021996</v>
      </c>
      <c r="M294">
        <v>86.761856021790038</v>
      </c>
      <c r="N294" s="30">
        <f t="shared" si="26"/>
        <v>-21.969665687768043</v>
      </c>
    </row>
    <row r="295" spans="1:14" x14ac:dyDescent="0.2">
      <c r="A295" s="299" t="s">
        <v>1179</v>
      </c>
      <c r="B295" s="298" t="str">
        <f t="shared" si="22"/>
        <v>HPS0110-TA</v>
      </c>
      <c r="C295" s="294" t="str">
        <f>VLOOKUP(LEFT(A295,7),'Tariff Schedule Lookup Table'!$A$8:$G$198,2,FALSE)</f>
        <v>High Pressure Sodium 250</v>
      </c>
      <c r="D295" s="295">
        <f t="shared" si="23"/>
        <v>390</v>
      </c>
      <c r="E295" s="294">
        <f t="shared" si="24"/>
        <v>1</v>
      </c>
      <c r="F295" s="294" t="str">
        <f>VLOOKUP(D295,'Tariff Schedule Lookup Table'!I$7:L$298,2,FALSE)</f>
        <v>HIGH PRESSURE SODIUM 250W (210/220)</v>
      </c>
      <c r="G295" s="294" t="str">
        <f>IF(F295 = "BULKHEADS ETC", "SHARED OR NO POLE", VLOOKUP(D295,'Tariff Schedule Lookup Table'!I$7:L$298,3,FALSE))</f>
        <v>STEEL POLE</v>
      </c>
      <c r="H295" s="294">
        <f>IF(F295 = "NO CAPITAL", 1, VLOOKUP(D295,'Tariff Schedule Lookup Table'!I$7:L$298,4,FALSE))</f>
        <v>2</v>
      </c>
      <c r="I295" s="296">
        <f>VLOOKUP(G295,'Input data'!$A$68:$B$72,2,FALSE)</f>
        <v>9.8748837500000004</v>
      </c>
      <c r="J295" s="296">
        <f>VLOOKUP($B295,'Maintenance Costs'!$A:$AB,22,FALSE)</f>
        <v>27.479100542626629</v>
      </c>
      <c r="K295" s="296">
        <f>VLOOKUP($B295,'Maintenance Costs'!$A:$AB,28,FALSE)</f>
        <v>27.438206041395375</v>
      </c>
      <c r="L295" s="297">
        <f t="shared" si="25"/>
        <v>59.854748459021998</v>
      </c>
      <c r="M295">
        <v>81.824414146790048</v>
      </c>
      <c r="N295" s="30">
        <f t="shared" si="26"/>
        <v>-21.96966568776805</v>
      </c>
    </row>
    <row r="296" spans="1:14" x14ac:dyDescent="0.2">
      <c r="A296" s="299" t="s">
        <v>1180</v>
      </c>
      <c r="B296" s="298" t="str">
        <f t="shared" si="22"/>
        <v>HPS0110-TA</v>
      </c>
      <c r="C296" s="294" t="str">
        <f>VLOOKUP(LEFT(A296,7),'Tariff Schedule Lookup Table'!$A$8:$G$198,2,FALSE)</f>
        <v>High Pressure Sodium 250</v>
      </c>
      <c r="D296" s="295">
        <f t="shared" si="23"/>
        <v>590</v>
      </c>
      <c r="E296" s="294">
        <f t="shared" si="24"/>
        <v>1</v>
      </c>
      <c r="F296" s="294" t="str">
        <f>VLOOKUP(D296,'Tariff Schedule Lookup Table'!I$7:L$298,2,FALSE)</f>
        <v>HIGH PRESSURE SODIUM 250W (210/220)</v>
      </c>
      <c r="G296" s="294" t="str">
        <f>IF(F296 = "BULKHEADS ETC", "SHARED OR NO POLE", VLOOKUP(D296,'Tariff Schedule Lookup Table'!I$7:L$298,3,FALSE))</f>
        <v>R/BOUT COLUMN</v>
      </c>
      <c r="H296" s="294">
        <f>IF(F296 = "NO CAPITAL", 1, VLOOKUP(D296,'Tariff Schedule Lookup Table'!I$7:L$298,4,FALSE))</f>
        <v>4</v>
      </c>
      <c r="I296" s="296">
        <f>VLOOKUP(G296,'Input data'!$A$68:$B$72,2,FALSE)</f>
        <v>9.8748837500000004</v>
      </c>
      <c r="J296" s="296">
        <f>VLOOKUP($B296,'Maintenance Costs'!$A:$AB,22,FALSE)</f>
        <v>27.479100542626629</v>
      </c>
      <c r="K296" s="296">
        <f>VLOOKUP($B296,'Maintenance Costs'!$A:$AB,28,FALSE)</f>
        <v>27.438206041395375</v>
      </c>
      <c r="L296" s="297">
        <f t="shared" si="25"/>
        <v>57.386027521522003</v>
      </c>
      <c r="M296">
        <v>79.355693209290038</v>
      </c>
      <c r="N296" s="30">
        <f t="shared" si="26"/>
        <v>-21.969665687768035</v>
      </c>
    </row>
    <row r="297" spans="1:14" x14ac:dyDescent="0.2">
      <c r="A297" s="299" t="s">
        <v>1181</v>
      </c>
      <c r="B297" s="298" t="str">
        <f t="shared" si="22"/>
        <v>HPS0110-TA</v>
      </c>
      <c r="C297" s="294" t="str">
        <f>VLOOKUP(LEFT(A297,7),'Tariff Schedule Lookup Table'!$A$8:$G$198,2,FALSE)</f>
        <v>High Pressure Sodium 250</v>
      </c>
      <c r="D297" s="295">
        <f t="shared" si="23"/>
        <v>590</v>
      </c>
      <c r="E297" s="294">
        <f t="shared" si="24"/>
        <v>2</v>
      </c>
      <c r="F297" s="294" t="str">
        <f>VLOOKUP(D297,'Tariff Schedule Lookup Table'!I$7:L$298,2,FALSE)</f>
        <v>HIGH PRESSURE SODIUM 250W (210/220)</v>
      </c>
      <c r="G297" s="294" t="str">
        <f>IF(F297 = "BULKHEADS ETC", "SHARED OR NO POLE", VLOOKUP(D297,'Tariff Schedule Lookup Table'!I$7:L$298,3,FALSE))</f>
        <v>R/BOUT COLUMN</v>
      </c>
      <c r="H297" s="294">
        <f>IF(F297 = "NO CAPITAL", 1, VLOOKUP(D297,'Tariff Schedule Lookup Table'!I$7:L$298,4,FALSE))</f>
        <v>4</v>
      </c>
      <c r="I297" s="296">
        <f>VLOOKUP(G297,'Input data'!$A$68:$B$72,2,FALSE)</f>
        <v>9.8748837500000004</v>
      </c>
      <c r="J297" s="296">
        <f>VLOOKUP($B297,'Maintenance Costs'!$A:$AB,22,FALSE)</f>
        <v>27.479100542626629</v>
      </c>
      <c r="K297" s="296">
        <f>VLOOKUP($B297,'Maintenance Costs'!$A:$AB,28,FALSE)</f>
        <v>27.438206041395375</v>
      </c>
      <c r="L297" s="297">
        <f t="shared" si="25"/>
        <v>57.386027521522003</v>
      </c>
      <c r="M297">
        <v>79.355693209290038</v>
      </c>
      <c r="N297" s="30">
        <f t="shared" si="26"/>
        <v>-21.969665687768035</v>
      </c>
    </row>
    <row r="298" spans="1:14" x14ac:dyDescent="0.2">
      <c r="A298" s="299" t="s">
        <v>586</v>
      </c>
      <c r="B298" s="298" t="str">
        <f t="shared" si="22"/>
        <v>HPS0110-TA</v>
      </c>
      <c r="C298" s="294" t="str">
        <f>VLOOKUP(LEFT(A298,7),'Tariff Schedule Lookup Table'!$A$8:$G$198,2,FALSE)</f>
        <v>High Pressure Sodium 250</v>
      </c>
      <c r="D298" s="295">
        <f t="shared" si="23"/>
        <v>590</v>
      </c>
      <c r="E298" s="294">
        <f t="shared" si="24"/>
        <v>4</v>
      </c>
      <c r="F298" s="294" t="str">
        <f>VLOOKUP(D298,'Tariff Schedule Lookup Table'!I$7:L$298,2,FALSE)</f>
        <v>HIGH PRESSURE SODIUM 250W (210/220)</v>
      </c>
      <c r="G298" s="294" t="str">
        <f>IF(F298 = "BULKHEADS ETC", "SHARED OR NO POLE", VLOOKUP(D298,'Tariff Schedule Lookup Table'!I$7:L$298,3,FALSE))</f>
        <v>R/BOUT COLUMN</v>
      </c>
      <c r="H298" s="294">
        <f>IF(F298 = "NO CAPITAL", 1, VLOOKUP(D298,'Tariff Schedule Lookup Table'!I$7:L$298,4,FALSE))</f>
        <v>4</v>
      </c>
      <c r="I298" s="296">
        <f>VLOOKUP(G298,'Input data'!$A$68:$B$72,2,FALSE)</f>
        <v>9.8748837500000004</v>
      </c>
      <c r="J298" s="296">
        <f>VLOOKUP($B298,'Maintenance Costs'!$A:$AB,22,FALSE)</f>
        <v>27.479100542626629</v>
      </c>
      <c r="K298" s="296">
        <f>VLOOKUP($B298,'Maintenance Costs'!$A:$AB,28,FALSE)</f>
        <v>27.438206041395375</v>
      </c>
      <c r="L298" s="297">
        <f t="shared" si="25"/>
        <v>57.386027521522003</v>
      </c>
      <c r="M298">
        <v>79.355693209290038</v>
      </c>
      <c r="N298" s="30">
        <f t="shared" si="26"/>
        <v>-21.969665687768035</v>
      </c>
    </row>
    <row r="299" spans="1:14" x14ac:dyDescent="0.2">
      <c r="A299" s="299" t="s">
        <v>1183</v>
      </c>
      <c r="B299" s="298" t="str">
        <f t="shared" si="22"/>
        <v>HPS0110-TA</v>
      </c>
      <c r="C299" s="294" t="str">
        <f>VLOOKUP(LEFT(A299,7),'Tariff Schedule Lookup Table'!$A$8:$G$198,2,FALSE)</f>
        <v>High Pressure Sodium 250</v>
      </c>
      <c r="D299" s="295">
        <f t="shared" si="23"/>
        <v>960</v>
      </c>
      <c r="E299" s="294">
        <f t="shared" si="24"/>
        <v>1</v>
      </c>
      <c r="F299" s="294" t="str">
        <f>VLOOKUP(D299,'Tariff Schedule Lookup Table'!I$7:L$298,2,FALSE)</f>
        <v>HIGH PRESSURE SODIUM 250W (210/220)</v>
      </c>
      <c r="G299" s="294" t="str">
        <f>IF(F299 = "BULKHEADS ETC", "SHARED OR NO POLE", VLOOKUP(D299,'Tariff Schedule Lookup Table'!I$7:L$298,3,FALSE))</f>
        <v>SHARED OR NO POLE</v>
      </c>
      <c r="H299" s="294">
        <f>IF(F299 = "NO CAPITAL", 1, VLOOKUP(D299,'Tariff Schedule Lookup Table'!I$7:L$298,4,FALSE))</f>
        <v>2</v>
      </c>
      <c r="I299" s="296">
        <f>VLOOKUP(G299,'Input data'!$A$68:$B$72,2,FALSE)</f>
        <v>0</v>
      </c>
      <c r="J299" s="296">
        <f>VLOOKUP($B299,'Maintenance Costs'!$A:$AB,22,FALSE)</f>
        <v>27.479100542626629</v>
      </c>
      <c r="K299" s="296">
        <f>VLOOKUP($B299,'Maintenance Costs'!$A:$AB,28,FALSE)</f>
        <v>27.438206041395375</v>
      </c>
      <c r="L299" s="297">
        <f t="shared" si="25"/>
        <v>54.917306584022</v>
      </c>
      <c r="M299">
        <v>76.886972271790043</v>
      </c>
      <c r="N299" s="30">
        <f t="shared" si="26"/>
        <v>-21.969665687768043</v>
      </c>
    </row>
    <row r="300" spans="1:14" x14ac:dyDescent="0.2">
      <c r="A300" s="299" t="s">
        <v>1185</v>
      </c>
      <c r="B300" s="298" t="str">
        <f t="shared" si="22"/>
        <v>HPS0110-TA</v>
      </c>
      <c r="C300" s="294" t="str">
        <f>VLOOKUP(LEFT(A300,7),'Tariff Schedule Lookup Table'!$A$8:$G$198,2,FALSE)</f>
        <v>High Pressure Sodium 250</v>
      </c>
      <c r="D300" s="295">
        <f t="shared" si="23"/>
        <v>1070</v>
      </c>
      <c r="E300" s="294">
        <f t="shared" si="24"/>
        <v>2</v>
      </c>
      <c r="F300" s="294" t="str">
        <f>VLOOKUP(D300,'Tariff Schedule Lookup Table'!I$7:L$298,2,FALSE)</f>
        <v>METAL HALIDE/HPS 250W FLOOD (210/220)</v>
      </c>
      <c r="G300" s="294" t="str">
        <f>IF(F300 = "BULKHEADS ETC", "SHARED OR NO POLE", VLOOKUP(D300,'Tariff Schedule Lookup Table'!I$7:L$298,3,FALSE))</f>
        <v>WOOD POLE</v>
      </c>
      <c r="H300" s="294">
        <f>IF(F300 = "NO CAPITAL", 1, VLOOKUP(D300,'Tariff Schedule Lookup Table'!I$7:L$298,4,FALSE))</f>
        <v>1</v>
      </c>
      <c r="I300" s="296">
        <f>VLOOKUP(G300,'Input data'!$A$68:$B$72,2,FALSE)</f>
        <v>10.809914000000001</v>
      </c>
      <c r="J300" s="296">
        <f>VLOOKUP($B300,'Maintenance Costs'!$A:$AB,22,FALSE)</f>
        <v>27.479100542626629</v>
      </c>
      <c r="K300" s="296">
        <f>VLOOKUP($B300,'Maintenance Costs'!$A:$AB,28,FALSE)</f>
        <v>27.438206041395375</v>
      </c>
      <c r="L300" s="297">
        <f t="shared" si="25"/>
        <v>65.727220584022007</v>
      </c>
      <c r="M300">
        <v>87.696886271790049</v>
      </c>
      <c r="N300" s="30">
        <f t="shared" si="26"/>
        <v>-21.969665687768043</v>
      </c>
    </row>
    <row r="301" spans="1:14" x14ac:dyDescent="0.2">
      <c r="A301" s="299" t="s">
        <v>1186</v>
      </c>
      <c r="B301" s="298" t="str">
        <f t="shared" si="22"/>
        <v>HPS0110-TA</v>
      </c>
      <c r="C301" s="294" t="str">
        <f>VLOOKUP(LEFT(A301,7),'Tariff Schedule Lookup Table'!$A$8:$G$198,2,FALSE)</f>
        <v>High Pressure Sodium 250</v>
      </c>
      <c r="D301" s="295">
        <f t="shared" si="23"/>
        <v>1120</v>
      </c>
      <c r="E301" s="294">
        <f t="shared" si="24"/>
        <v>1</v>
      </c>
      <c r="F301" s="294" t="str">
        <f>VLOOKUP(D301,'Tariff Schedule Lookup Table'!I$7:L$298,2,FALSE)</f>
        <v>METAL HALIDE/HPS 250W FLOOD (210/220)</v>
      </c>
      <c r="G301" s="294" t="str">
        <f>IF(F301 = "BULKHEADS ETC", "SHARED OR NO POLE", VLOOKUP(D301,'Tariff Schedule Lookup Table'!I$7:L$298,3,FALSE))</f>
        <v>STEEL POLE</v>
      </c>
      <c r="H301" s="294">
        <f>IF(F301 = "NO CAPITAL", 1, VLOOKUP(D301,'Tariff Schedule Lookup Table'!I$7:L$298,4,FALSE))</f>
        <v>1</v>
      </c>
      <c r="I301" s="296">
        <f>VLOOKUP(G301,'Input data'!$A$68:$B$72,2,FALSE)</f>
        <v>9.8748837500000004</v>
      </c>
      <c r="J301" s="296">
        <f>VLOOKUP($B301,'Maintenance Costs'!$A:$AB,22,FALSE)</f>
        <v>27.479100542626629</v>
      </c>
      <c r="K301" s="296">
        <f>VLOOKUP($B301,'Maintenance Costs'!$A:$AB,28,FALSE)</f>
        <v>27.438206041395375</v>
      </c>
      <c r="L301" s="297">
        <f t="shared" si="25"/>
        <v>64.792190334021996</v>
      </c>
      <c r="M301">
        <v>86.761856021790038</v>
      </c>
      <c r="N301" s="30">
        <f t="shared" si="26"/>
        <v>-21.969665687768043</v>
      </c>
    </row>
    <row r="302" spans="1:14" x14ac:dyDescent="0.2">
      <c r="A302" s="299" t="s">
        <v>1187</v>
      </c>
      <c r="B302" s="298" t="str">
        <f t="shared" si="22"/>
        <v>HPS0110-TA</v>
      </c>
      <c r="C302" s="294" t="str">
        <f>VLOOKUP(LEFT(A302,7),'Tariff Schedule Lookup Table'!$A$8:$G$198,2,FALSE)</f>
        <v>High Pressure Sodium 250</v>
      </c>
      <c r="D302" s="295">
        <f t="shared" si="23"/>
        <v>1450</v>
      </c>
      <c r="E302" s="294">
        <f t="shared" si="24"/>
        <v>1</v>
      </c>
      <c r="F302" s="294" t="str">
        <f>VLOOKUP(D302,'Tariff Schedule Lookup Table'!I$7:L$298,2,FALSE)</f>
        <v>METAL HALIDE/HPS 250W FLOOD (210/220)</v>
      </c>
      <c r="G302" s="294" t="str">
        <f>IF(F302 = "BULKHEADS ETC", "SHARED OR NO POLE", VLOOKUP(D302,'Tariff Schedule Lookup Table'!I$7:L$298,3,FALSE))</f>
        <v>R/BOUT COLUMN</v>
      </c>
      <c r="H302" s="294">
        <f>IF(F302 = "NO CAPITAL", 1, VLOOKUP(D302,'Tariff Schedule Lookup Table'!I$7:L$298,4,FALSE))</f>
        <v>4</v>
      </c>
      <c r="I302" s="296">
        <f>VLOOKUP(G302,'Input data'!$A$68:$B$72,2,FALSE)</f>
        <v>9.8748837500000004</v>
      </c>
      <c r="J302" s="296">
        <f>VLOOKUP($B302,'Maintenance Costs'!$A:$AB,22,FALSE)</f>
        <v>27.479100542626629</v>
      </c>
      <c r="K302" s="296">
        <f>VLOOKUP($B302,'Maintenance Costs'!$A:$AB,28,FALSE)</f>
        <v>27.438206041395375</v>
      </c>
      <c r="L302" s="297">
        <f t="shared" si="25"/>
        <v>57.386027521522003</v>
      </c>
      <c r="M302">
        <v>79.355693209290038</v>
      </c>
      <c r="N302" s="30">
        <f t="shared" si="26"/>
        <v>-21.969665687768035</v>
      </c>
    </row>
    <row r="303" spans="1:14" ht="22.5" x14ac:dyDescent="0.2">
      <c r="A303" s="299" t="s">
        <v>1188</v>
      </c>
      <c r="B303" s="298" t="str">
        <f t="shared" si="22"/>
        <v>HPS0120-ST</v>
      </c>
      <c r="C303" s="294" t="str">
        <f>VLOOKUP(LEFT(A303,7),'Tariff Schedule Lookup Table'!$A$8:$G$198,2,FALSE)</f>
        <v>High Pressure Sodium 2x250</v>
      </c>
      <c r="D303" s="295">
        <f t="shared" si="23"/>
        <v>860</v>
      </c>
      <c r="E303" s="294">
        <f t="shared" si="24"/>
        <v>2</v>
      </c>
      <c r="F303" s="294" t="str">
        <f>VLOOKUP(D303,'Tariff Schedule Lookup Table'!I$7:L$298,2,FALSE)</f>
        <v>HIGH PRESSURE SODIUM 2X250 W OR 2X400 W FLOOD</v>
      </c>
      <c r="G303" s="294" t="str">
        <f>IF(F303 = "BULKHEADS ETC", "SHARED OR NO POLE", VLOOKUP(D303,'Tariff Schedule Lookup Table'!I$7:L$298,3,FALSE))</f>
        <v>R/BOUT COLUMN</v>
      </c>
      <c r="H303" s="294">
        <f>IF(F303 = "NO CAPITAL", 1, VLOOKUP(D303,'Tariff Schedule Lookup Table'!I$7:L$298,4,FALSE))</f>
        <v>3</v>
      </c>
      <c r="I303" s="296">
        <f>VLOOKUP(G303,'Input data'!$A$68:$B$72,2,FALSE)</f>
        <v>9.8748837500000004</v>
      </c>
      <c r="J303" s="296">
        <f>VLOOKUP($B303,'Maintenance Costs'!$A:$AB,22,FALSE)</f>
        <v>27.199763766086182</v>
      </c>
      <c r="K303" s="296">
        <f>VLOOKUP($B303,'Maintenance Costs'!$A:$AB,28,FALSE)</f>
        <v>30.255440041395371</v>
      </c>
      <c r="L303" s="297">
        <f t="shared" si="25"/>
        <v>60.746831724148223</v>
      </c>
      <c r="M303">
        <v>95.25250222459853</v>
      </c>
      <c r="N303" s="30">
        <f t="shared" si="26"/>
        <v>-34.505670500450307</v>
      </c>
    </row>
    <row r="304" spans="1:14" ht="22.5" x14ac:dyDescent="0.2">
      <c r="A304" s="299" t="s">
        <v>545</v>
      </c>
      <c r="B304" s="298" t="str">
        <f t="shared" si="22"/>
        <v>HPS0120-ST</v>
      </c>
      <c r="C304" s="294" t="str">
        <f>VLOOKUP(LEFT(A304,7),'Tariff Schedule Lookup Table'!$A$8:$G$198,2,FALSE)</f>
        <v>High Pressure Sodium 2x250</v>
      </c>
      <c r="D304" s="295">
        <f t="shared" si="23"/>
        <v>860</v>
      </c>
      <c r="E304" s="294">
        <f t="shared" si="24"/>
        <v>4</v>
      </c>
      <c r="F304" s="294" t="str">
        <f>VLOOKUP(D304,'Tariff Schedule Lookup Table'!I$7:L$298,2,FALSE)</f>
        <v>HIGH PRESSURE SODIUM 2X250 W OR 2X400 W FLOOD</v>
      </c>
      <c r="G304" s="294" t="str">
        <f>IF(F304 = "BULKHEADS ETC", "SHARED OR NO POLE", VLOOKUP(D304,'Tariff Schedule Lookup Table'!I$7:L$298,3,FALSE))</f>
        <v>R/BOUT COLUMN</v>
      </c>
      <c r="H304" s="294">
        <f>IF(F304 = "NO CAPITAL", 1, VLOOKUP(D304,'Tariff Schedule Lookup Table'!I$7:L$298,4,FALSE))</f>
        <v>3</v>
      </c>
      <c r="I304" s="296">
        <f>VLOOKUP(G304,'Input data'!$A$68:$B$72,2,FALSE)</f>
        <v>9.8748837500000004</v>
      </c>
      <c r="J304" s="296">
        <f>VLOOKUP($B304,'Maintenance Costs'!$A:$AB,22,FALSE)</f>
        <v>27.199763766086182</v>
      </c>
      <c r="K304" s="296">
        <f>VLOOKUP($B304,'Maintenance Costs'!$A:$AB,28,FALSE)</f>
        <v>30.255440041395371</v>
      </c>
      <c r="L304" s="297">
        <f t="shared" si="25"/>
        <v>60.746831724148223</v>
      </c>
      <c r="M304">
        <v>95.25250222459853</v>
      </c>
      <c r="N304" s="30">
        <f t="shared" si="26"/>
        <v>-34.505670500450307</v>
      </c>
    </row>
    <row r="305" spans="1:14" ht="22.5" x14ac:dyDescent="0.2">
      <c r="A305" s="299" t="s">
        <v>1189</v>
      </c>
      <c r="B305" s="298" t="str">
        <f t="shared" si="22"/>
        <v>HPS0120-ST</v>
      </c>
      <c r="C305" s="294" t="str">
        <f>VLOOKUP(LEFT(A305,7),'Tariff Schedule Lookup Table'!$A$8:$G$198,2,FALSE)</f>
        <v>High Pressure Sodium 2x250</v>
      </c>
      <c r="D305" s="295">
        <f t="shared" si="23"/>
        <v>1490</v>
      </c>
      <c r="E305" s="294">
        <f t="shared" si="24"/>
        <v>2</v>
      </c>
      <c r="F305" s="294" t="str">
        <f>VLOOKUP(D305,'Tariff Schedule Lookup Table'!I$7:L$298,2,FALSE)</f>
        <v>HIGH PRESSURE SODIUM 2X250 W OR 2X400 W FLOOD</v>
      </c>
      <c r="G305" s="294" t="str">
        <f>IF(F305 = "BULKHEADS ETC", "SHARED OR NO POLE", VLOOKUP(D305,'Tariff Schedule Lookup Table'!I$7:L$298,3,FALSE))</f>
        <v>R/BOUT COLUMN</v>
      </c>
      <c r="H305" s="294">
        <f>IF(F305 = "NO CAPITAL", 1, VLOOKUP(D305,'Tariff Schedule Lookup Table'!I$7:L$298,4,FALSE))</f>
        <v>2</v>
      </c>
      <c r="I305" s="296">
        <f>VLOOKUP(G305,'Input data'!$A$68:$B$72,2,FALSE)</f>
        <v>9.8748837500000004</v>
      </c>
      <c r="J305" s="296">
        <f>VLOOKUP($B305,'Maintenance Costs'!$A:$AB,22,FALSE)</f>
        <v>27.199763766086182</v>
      </c>
      <c r="K305" s="296">
        <f>VLOOKUP($B305,'Maintenance Costs'!$A:$AB,28,FALSE)</f>
        <v>30.255440041395371</v>
      </c>
      <c r="L305" s="297">
        <f t="shared" si="25"/>
        <v>62.39264568248155</v>
      </c>
      <c r="M305">
        <v>96.898316182931865</v>
      </c>
      <c r="N305" s="30">
        <f t="shared" si="26"/>
        <v>-34.505670500450314</v>
      </c>
    </row>
    <row r="306" spans="1:14" ht="22.5" x14ac:dyDescent="0.2">
      <c r="A306" s="299" t="s">
        <v>1190</v>
      </c>
      <c r="B306" s="298" t="str">
        <f t="shared" si="22"/>
        <v>HPS0140-ST</v>
      </c>
      <c r="C306" s="294" t="str">
        <f>VLOOKUP(LEFT(A306,7),'Tariff Schedule Lookup Table'!$A$8:$G$198,2,FALSE)</f>
        <v>High Pressure Sodium 310 (Retrofit)</v>
      </c>
      <c r="D306" s="295">
        <f t="shared" si="23"/>
        <v>70</v>
      </c>
      <c r="E306" s="294">
        <f t="shared" si="24"/>
        <v>1</v>
      </c>
      <c r="F306" s="294" t="str">
        <f>VLOOKUP(D306,'Tariff Schedule Lookup Table'!I$7:L$298,2,FALSE)</f>
        <v>HIGH PRESSURE SODIUM 400W (310/360)</v>
      </c>
      <c r="G306" s="294" t="str">
        <f>IF(F306 = "BULKHEADS ETC", "SHARED OR NO POLE", VLOOKUP(D306,'Tariff Schedule Lookup Table'!I$7:L$298,3,FALSE))</f>
        <v>SHARED OR NO POLE</v>
      </c>
      <c r="H306" s="294">
        <f>IF(F306 = "NO CAPITAL", 1, VLOOKUP(D306,'Tariff Schedule Lookup Table'!I$7:L$298,4,FALSE))</f>
        <v>1</v>
      </c>
      <c r="I306" s="296">
        <f>VLOOKUP(G306,'Input data'!$A$68:$B$72,2,FALSE)</f>
        <v>0</v>
      </c>
      <c r="J306" s="296">
        <f>VLOOKUP($B306,'Maintenance Costs'!$A:$AB,22,FALSE)</f>
        <v>26.264235842626629</v>
      </c>
      <c r="K306" s="296">
        <f>VLOOKUP($B306,'Maintenance Costs'!$A:$AB,28,FALSE)</f>
        <v>20.813388541395373</v>
      </c>
      <c r="L306" s="297">
        <f t="shared" si="25"/>
        <v>47.077624384022002</v>
      </c>
      <c r="M306">
        <v>77.505486271894981</v>
      </c>
      <c r="N306" s="30">
        <f t="shared" si="26"/>
        <v>-30.427861887872979</v>
      </c>
    </row>
    <row r="307" spans="1:14" ht="22.5" x14ac:dyDescent="0.2">
      <c r="A307" s="299" t="s">
        <v>1191</v>
      </c>
      <c r="B307" s="298" t="str">
        <f t="shared" si="22"/>
        <v>HPS0140-ST</v>
      </c>
      <c r="C307" s="294" t="str">
        <f>VLOOKUP(LEFT(A307,7),'Tariff Schedule Lookup Table'!$A$8:$G$198,2,FALSE)</f>
        <v>High Pressure Sodium 310 (Retrofit)</v>
      </c>
      <c r="D307" s="295">
        <f t="shared" si="23"/>
        <v>70</v>
      </c>
      <c r="E307" s="294">
        <f t="shared" si="24"/>
        <v>2</v>
      </c>
      <c r="F307" s="294" t="str">
        <f>VLOOKUP(D307,'Tariff Schedule Lookup Table'!I$7:L$298,2,FALSE)</f>
        <v>HIGH PRESSURE SODIUM 400W (310/360)</v>
      </c>
      <c r="G307" s="294" t="str">
        <f>IF(F307 = "BULKHEADS ETC", "SHARED OR NO POLE", VLOOKUP(D307,'Tariff Schedule Lookup Table'!I$7:L$298,3,FALSE))</f>
        <v>SHARED OR NO POLE</v>
      </c>
      <c r="H307" s="294">
        <f>IF(F307 = "NO CAPITAL", 1, VLOOKUP(D307,'Tariff Schedule Lookup Table'!I$7:L$298,4,FALSE))</f>
        <v>1</v>
      </c>
      <c r="I307" s="296">
        <f>VLOOKUP(G307,'Input data'!$A$68:$B$72,2,FALSE)</f>
        <v>0</v>
      </c>
      <c r="J307" s="296">
        <f>VLOOKUP($B307,'Maintenance Costs'!$A:$AB,22,FALSE)</f>
        <v>26.264235842626629</v>
      </c>
      <c r="K307" s="296">
        <f>VLOOKUP($B307,'Maintenance Costs'!$A:$AB,28,FALSE)</f>
        <v>20.813388541395373</v>
      </c>
      <c r="L307" s="297">
        <f t="shared" si="25"/>
        <v>47.077624384022002</v>
      </c>
      <c r="M307">
        <v>77.505486271894981</v>
      </c>
      <c r="N307" s="30">
        <f t="shared" si="26"/>
        <v>-30.427861887872979</v>
      </c>
    </row>
    <row r="308" spans="1:14" ht="22.5" x14ac:dyDescent="0.2">
      <c r="A308" s="299" t="s">
        <v>1192</v>
      </c>
      <c r="B308" s="298" t="str">
        <f t="shared" si="22"/>
        <v>HPS0140-ST</v>
      </c>
      <c r="C308" s="294" t="str">
        <f>VLOOKUP(LEFT(A308,7),'Tariff Schedule Lookup Table'!$A$8:$G$198,2,FALSE)</f>
        <v>High Pressure Sodium 310 (Retrofit)</v>
      </c>
      <c r="D308" s="295">
        <f t="shared" si="23"/>
        <v>330</v>
      </c>
      <c r="E308" s="294">
        <f t="shared" si="24"/>
        <v>1</v>
      </c>
      <c r="F308" s="294" t="str">
        <f>VLOOKUP(D308,'Tariff Schedule Lookup Table'!I$7:L$298,2,FALSE)</f>
        <v>HIGH PRESSURE SODIUM 400W (310/360)</v>
      </c>
      <c r="G308" s="294" t="str">
        <f>IF(F308 = "BULKHEADS ETC", "SHARED OR NO POLE", VLOOKUP(D308,'Tariff Schedule Lookup Table'!I$7:L$298,3,FALSE))</f>
        <v>STEEL POLE</v>
      </c>
      <c r="H308" s="294">
        <f>IF(F308 = "NO CAPITAL", 1, VLOOKUP(D308,'Tariff Schedule Lookup Table'!I$7:L$298,4,FALSE))</f>
        <v>1</v>
      </c>
      <c r="I308" s="296">
        <f>VLOOKUP(G308,'Input data'!$A$68:$B$72,2,FALSE)</f>
        <v>9.8748837500000004</v>
      </c>
      <c r="J308" s="296">
        <f>VLOOKUP($B308,'Maintenance Costs'!$A:$AB,22,FALSE)</f>
        <v>26.264235842626629</v>
      </c>
      <c r="K308" s="296">
        <f>VLOOKUP($B308,'Maintenance Costs'!$A:$AB,28,FALSE)</f>
        <v>20.813388541395373</v>
      </c>
      <c r="L308" s="297">
        <f t="shared" si="25"/>
        <v>56.952508134022004</v>
      </c>
      <c r="M308">
        <v>87.380370021894976</v>
      </c>
      <c r="N308" s="30">
        <f t="shared" si="26"/>
        <v>-30.427861887872972</v>
      </c>
    </row>
    <row r="309" spans="1:14" ht="22.5" x14ac:dyDescent="0.2">
      <c r="A309" s="299" t="s">
        <v>1193</v>
      </c>
      <c r="B309" s="298" t="str">
        <f t="shared" si="22"/>
        <v>HPS0140-ST</v>
      </c>
      <c r="C309" s="294" t="str">
        <f>VLOOKUP(LEFT(A309,7),'Tariff Schedule Lookup Table'!$A$8:$G$198,2,FALSE)</f>
        <v>High Pressure Sodium 310 (Retrofit)</v>
      </c>
      <c r="D309" s="295">
        <f t="shared" si="23"/>
        <v>330</v>
      </c>
      <c r="E309" s="294">
        <f t="shared" si="24"/>
        <v>2</v>
      </c>
      <c r="F309" s="294" t="str">
        <f>VLOOKUP(D309,'Tariff Schedule Lookup Table'!I$7:L$298,2,FALSE)</f>
        <v>HIGH PRESSURE SODIUM 400W (310/360)</v>
      </c>
      <c r="G309" s="294" t="str">
        <f>IF(F309 = "BULKHEADS ETC", "SHARED OR NO POLE", VLOOKUP(D309,'Tariff Schedule Lookup Table'!I$7:L$298,3,FALSE))</f>
        <v>STEEL POLE</v>
      </c>
      <c r="H309" s="294">
        <f>IF(F309 = "NO CAPITAL", 1, VLOOKUP(D309,'Tariff Schedule Lookup Table'!I$7:L$298,4,FALSE))</f>
        <v>1</v>
      </c>
      <c r="I309" s="296">
        <f>VLOOKUP(G309,'Input data'!$A$68:$B$72,2,FALSE)</f>
        <v>9.8748837500000004</v>
      </c>
      <c r="J309" s="296">
        <f>VLOOKUP($B309,'Maintenance Costs'!$A:$AB,22,FALSE)</f>
        <v>26.264235842626629</v>
      </c>
      <c r="K309" s="296">
        <f>VLOOKUP($B309,'Maintenance Costs'!$A:$AB,28,FALSE)</f>
        <v>20.813388541395373</v>
      </c>
      <c r="L309" s="297">
        <f t="shared" si="25"/>
        <v>56.952508134022004</v>
      </c>
      <c r="M309">
        <v>87.380370021894976</v>
      </c>
      <c r="N309" s="30">
        <f t="shared" si="26"/>
        <v>-30.427861887872972</v>
      </c>
    </row>
    <row r="310" spans="1:14" ht="22.5" x14ac:dyDescent="0.2">
      <c r="A310" s="299" t="s">
        <v>1194</v>
      </c>
      <c r="B310" s="298" t="str">
        <f t="shared" si="22"/>
        <v>HPS0140-ST</v>
      </c>
      <c r="C310" s="294" t="str">
        <f>VLOOKUP(LEFT(A310,7),'Tariff Schedule Lookup Table'!$A$8:$G$198,2,FALSE)</f>
        <v>High Pressure Sodium 310 (Retrofit)</v>
      </c>
      <c r="D310" s="295">
        <f t="shared" si="23"/>
        <v>400</v>
      </c>
      <c r="E310" s="294">
        <f t="shared" si="24"/>
        <v>1</v>
      </c>
      <c r="F310" s="294" t="str">
        <f>VLOOKUP(D310,'Tariff Schedule Lookup Table'!I$7:L$298,2,FALSE)</f>
        <v>HIGH PRESSURE SODIUM 400W (310/360)</v>
      </c>
      <c r="G310" s="294" t="str">
        <f>IF(F310 = "BULKHEADS ETC", "SHARED OR NO POLE", VLOOKUP(D310,'Tariff Schedule Lookup Table'!I$7:L$298,3,FALSE))</f>
        <v>STEEL POLE</v>
      </c>
      <c r="H310" s="294">
        <f>IF(F310 = "NO CAPITAL", 1, VLOOKUP(D310,'Tariff Schedule Lookup Table'!I$7:L$298,4,FALSE))</f>
        <v>2</v>
      </c>
      <c r="I310" s="296">
        <f>VLOOKUP(G310,'Input data'!$A$68:$B$72,2,FALSE)</f>
        <v>9.8748837500000004</v>
      </c>
      <c r="J310" s="296">
        <f>VLOOKUP($B310,'Maintenance Costs'!$A:$AB,22,FALSE)</f>
        <v>26.264235842626629</v>
      </c>
      <c r="K310" s="296">
        <f>VLOOKUP($B310,'Maintenance Costs'!$A:$AB,28,FALSE)</f>
        <v>20.813388541395373</v>
      </c>
      <c r="L310" s="297">
        <f t="shared" si="25"/>
        <v>52.015066259021999</v>
      </c>
      <c r="M310">
        <v>82.442928146894985</v>
      </c>
      <c r="N310" s="30">
        <f t="shared" si="26"/>
        <v>-30.427861887872986</v>
      </c>
    </row>
    <row r="311" spans="1:14" ht="22.5" x14ac:dyDescent="0.2">
      <c r="A311" s="299" t="s">
        <v>1195</v>
      </c>
      <c r="B311" s="298" t="str">
        <f t="shared" si="22"/>
        <v>HPS0140-ST</v>
      </c>
      <c r="C311" s="294" t="str">
        <f>VLOOKUP(LEFT(A311,7),'Tariff Schedule Lookup Table'!$A$8:$G$198,2,FALSE)</f>
        <v>High Pressure Sodium 310 (Retrofit)</v>
      </c>
      <c r="D311" s="295">
        <f t="shared" si="23"/>
        <v>1030</v>
      </c>
      <c r="E311" s="294">
        <f t="shared" si="24"/>
        <v>1</v>
      </c>
      <c r="F311" s="294" t="str">
        <f>VLOOKUP(D311,'Tariff Schedule Lookup Table'!I$7:L$298,2,FALSE)</f>
        <v>HIGH PRESSURE SODIUM 400W (310/360)</v>
      </c>
      <c r="G311" s="294" t="str">
        <f>IF(F311 = "BULKHEADS ETC", "SHARED OR NO POLE", VLOOKUP(D311,'Tariff Schedule Lookup Table'!I$7:L$298,3,FALSE))</f>
        <v>SHARED OR NO POLE</v>
      </c>
      <c r="H311" s="294">
        <f>IF(F311 = "NO CAPITAL", 1, VLOOKUP(D311,'Tariff Schedule Lookup Table'!I$7:L$298,4,FALSE))</f>
        <v>2</v>
      </c>
      <c r="I311" s="296">
        <f>VLOOKUP(G311,'Input data'!$A$68:$B$72,2,FALSE)</f>
        <v>0</v>
      </c>
      <c r="J311" s="296">
        <f>VLOOKUP($B311,'Maintenance Costs'!$A:$AB,22,FALSE)</f>
        <v>26.264235842626629</v>
      </c>
      <c r="K311" s="296">
        <f>VLOOKUP($B311,'Maintenance Costs'!$A:$AB,28,FALSE)</f>
        <v>20.813388541395373</v>
      </c>
      <c r="L311" s="297">
        <f t="shared" si="25"/>
        <v>47.077624384022002</v>
      </c>
      <c r="M311">
        <v>77.505486271894981</v>
      </c>
      <c r="N311" s="30">
        <f t="shared" si="26"/>
        <v>-30.427861887872979</v>
      </c>
    </row>
    <row r="312" spans="1:14" x14ac:dyDescent="0.2">
      <c r="A312" s="299" t="s">
        <v>1196</v>
      </c>
      <c r="B312" s="298" t="str">
        <f t="shared" si="22"/>
        <v>HPS0160-ST</v>
      </c>
      <c r="C312" s="294" t="str">
        <f>VLOOKUP(LEFT(A312,7),'Tariff Schedule Lookup Table'!$A$8:$G$198,2,FALSE)</f>
        <v>High Pressure Sodium 360</v>
      </c>
      <c r="D312" s="295">
        <f t="shared" si="23"/>
        <v>70</v>
      </c>
      <c r="E312" s="294">
        <f t="shared" si="24"/>
        <v>1</v>
      </c>
      <c r="F312" s="294" t="str">
        <f>VLOOKUP(D312,'Tariff Schedule Lookup Table'!I$7:L$298,2,FALSE)</f>
        <v>HIGH PRESSURE SODIUM 400W (310/360)</v>
      </c>
      <c r="G312" s="294" t="str">
        <f>IF(F312 = "BULKHEADS ETC", "SHARED OR NO POLE", VLOOKUP(D312,'Tariff Schedule Lookup Table'!I$7:L$298,3,FALSE))</f>
        <v>SHARED OR NO POLE</v>
      </c>
      <c r="H312" s="294">
        <f>IF(F312 = "NO CAPITAL", 1, VLOOKUP(D312,'Tariff Schedule Lookup Table'!I$7:L$298,4,FALSE))</f>
        <v>1</v>
      </c>
      <c r="I312" s="296">
        <f>VLOOKUP(G312,'Input data'!$A$68:$B$72,2,FALSE)</f>
        <v>0</v>
      </c>
      <c r="J312" s="296">
        <f>VLOOKUP($B312,'Maintenance Costs'!$A:$AB,22,FALSE)</f>
        <v>26.666216346086181</v>
      </c>
      <c r="K312" s="296">
        <f>VLOOKUP($B312,'Maintenance Costs'!$A:$AB,28,FALSE)</f>
        <v>22.799484541395373</v>
      </c>
      <c r="L312" s="297">
        <f t="shared" si="25"/>
        <v>49.465700887481553</v>
      </c>
      <c r="M312">
        <v>81.000524735731858</v>
      </c>
      <c r="N312" s="30">
        <f t="shared" si="26"/>
        <v>-31.534823848250305</v>
      </c>
    </row>
    <row r="313" spans="1:14" x14ac:dyDescent="0.2">
      <c r="A313" s="299" t="s">
        <v>1197</v>
      </c>
      <c r="B313" s="298" t="str">
        <f t="shared" si="22"/>
        <v>HPS0160-ST</v>
      </c>
      <c r="C313" s="294" t="str">
        <f>VLOOKUP(LEFT(A313,7),'Tariff Schedule Lookup Table'!$A$8:$G$198,2,FALSE)</f>
        <v>High Pressure Sodium 360</v>
      </c>
      <c r="D313" s="295">
        <f t="shared" si="23"/>
        <v>70</v>
      </c>
      <c r="E313" s="294">
        <f t="shared" si="24"/>
        <v>2</v>
      </c>
      <c r="F313" s="294" t="str">
        <f>VLOOKUP(D313,'Tariff Schedule Lookup Table'!I$7:L$298,2,FALSE)</f>
        <v>HIGH PRESSURE SODIUM 400W (310/360)</v>
      </c>
      <c r="G313" s="294" t="str">
        <f>IF(F313 = "BULKHEADS ETC", "SHARED OR NO POLE", VLOOKUP(D313,'Tariff Schedule Lookup Table'!I$7:L$298,3,FALSE))</f>
        <v>SHARED OR NO POLE</v>
      </c>
      <c r="H313" s="294">
        <f>IF(F313 = "NO CAPITAL", 1, VLOOKUP(D313,'Tariff Schedule Lookup Table'!I$7:L$298,4,FALSE))</f>
        <v>1</v>
      </c>
      <c r="I313" s="296">
        <f>VLOOKUP(G313,'Input data'!$A$68:$B$72,2,FALSE)</f>
        <v>0</v>
      </c>
      <c r="J313" s="296">
        <f>VLOOKUP($B313,'Maintenance Costs'!$A:$AB,22,FALSE)</f>
        <v>26.666216346086181</v>
      </c>
      <c r="K313" s="296">
        <f>VLOOKUP($B313,'Maintenance Costs'!$A:$AB,28,FALSE)</f>
        <v>22.799484541395373</v>
      </c>
      <c r="L313" s="297">
        <f t="shared" si="25"/>
        <v>49.465700887481553</v>
      </c>
      <c r="M313">
        <v>81.000524735731858</v>
      </c>
      <c r="N313" s="30">
        <f t="shared" si="26"/>
        <v>-31.534823848250305</v>
      </c>
    </row>
    <row r="314" spans="1:14" x14ac:dyDescent="0.2">
      <c r="A314" s="299" t="s">
        <v>1198</v>
      </c>
      <c r="B314" s="298" t="str">
        <f t="shared" si="22"/>
        <v>HPS0160-ST</v>
      </c>
      <c r="C314" s="294" t="str">
        <f>VLOOKUP(LEFT(A314,7),'Tariff Schedule Lookup Table'!$A$8:$G$198,2,FALSE)</f>
        <v>High Pressure Sodium 360</v>
      </c>
      <c r="D314" s="295">
        <f t="shared" si="23"/>
        <v>240</v>
      </c>
      <c r="E314" s="294">
        <f t="shared" si="24"/>
        <v>1</v>
      </c>
      <c r="F314" s="294" t="str">
        <f>VLOOKUP(D314,'Tariff Schedule Lookup Table'!I$7:L$298,2,FALSE)</f>
        <v>HIGH PRESSURE SODIUM 400W (310/360)</v>
      </c>
      <c r="G314" s="294" t="str">
        <f>IF(F314 = "BULKHEADS ETC", "SHARED OR NO POLE", VLOOKUP(D314,'Tariff Schedule Lookup Table'!I$7:L$298,3,FALSE))</f>
        <v>WOOD POLE</v>
      </c>
      <c r="H314" s="294">
        <f>IF(F314 = "NO CAPITAL", 1, VLOOKUP(D314,'Tariff Schedule Lookup Table'!I$7:L$298,4,FALSE))</f>
        <v>1</v>
      </c>
      <c r="I314" s="296">
        <f>VLOOKUP(G314,'Input data'!$A$68:$B$72,2,FALSE)</f>
        <v>10.809914000000001</v>
      </c>
      <c r="J314" s="296">
        <f>VLOOKUP($B314,'Maintenance Costs'!$A:$AB,22,FALSE)</f>
        <v>26.666216346086181</v>
      </c>
      <c r="K314" s="296">
        <f>VLOOKUP($B314,'Maintenance Costs'!$A:$AB,28,FALSE)</f>
        <v>22.799484541395373</v>
      </c>
      <c r="L314" s="297">
        <f t="shared" si="25"/>
        <v>60.275614887481552</v>
      </c>
      <c r="M314">
        <v>91.810438735731864</v>
      </c>
      <c r="N314" s="30">
        <f t="shared" si="26"/>
        <v>-31.534823848250312</v>
      </c>
    </row>
    <row r="315" spans="1:14" x14ac:dyDescent="0.2">
      <c r="A315" s="299" t="s">
        <v>1199</v>
      </c>
      <c r="B315" s="298" t="str">
        <f t="shared" si="22"/>
        <v>HPS0160-ST</v>
      </c>
      <c r="C315" s="294" t="str">
        <f>VLOOKUP(LEFT(A315,7),'Tariff Schedule Lookup Table'!$A$8:$G$198,2,FALSE)</f>
        <v>High Pressure Sodium 360</v>
      </c>
      <c r="D315" s="295">
        <f t="shared" si="23"/>
        <v>240</v>
      </c>
      <c r="E315" s="294">
        <f t="shared" si="24"/>
        <v>2</v>
      </c>
      <c r="F315" s="294" t="str">
        <f>VLOOKUP(D315,'Tariff Schedule Lookup Table'!I$7:L$298,2,FALSE)</f>
        <v>HIGH PRESSURE SODIUM 400W (310/360)</v>
      </c>
      <c r="G315" s="294" t="str">
        <f>IF(F315 = "BULKHEADS ETC", "SHARED OR NO POLE", VLOOKUP(D315,'Tariff Schedule Lookup Table'!I$7:L$298,3,FALSE))</f>
        <v>WOOD POLE</v>
      </c>
      <c r="H315" s="294">
        <f>IF(F315 = "NO CAPITAL", 1, VLOOKUP(D315,'Tariff Schedule Lookup Table'!I$7:L$298,4,FALSE))</f>
        <v>1</v>
      </c>
      <c r="I315" s="296">
        <f>VLOOKUP(G315,'Input data'!$A$68:$B$72,2,FALSE)</f>
        <v>10.809914000000001</v>
      </c>
      <c r="J315" s="296">
        <f>VLOOKUP($B315,'Maintenance Costs'!$A:$AB,22,FALSE)</f>
        <v>26.666216346086181</v>
      </c>
      <c r="K315" s="296">
        <f>VLOOKUP($B315,'Maintenance Costs'!$A:$AB,28,FALSE)</f>
        <v>22.799484541395373</v>
      </c>
      <c r="L315" s="297">
        <f t="shared" si="25"/>
        <v>60.275614887481552</v>
      </c>
      <c r="M315">
        <v>91.810438735731864</v>
      </c>
      <c r="N315" s="30">
        <f t="shared" si="26"/>
        <v>-31.534823848250312</v>
      </c>
    </row>
    <row r="316" spans="1:14" x14ac:dyDescent="0.2">
      <c r="A316" s="299" t="s">
        <v>1200</v>
      </c>
      <c r="B316" s="298" t="str">
        <f t="shared" si="22"/>
        <v>HPS0160-ST</v>
      </c>
      <c r="C316" s="294" t="str">
        <f>VLOOKUP(LEFT(A316,7),'Tariff Schedule Lookup Table'!$A$8:$G$198,2,FALSE)</f>
        <v>High Pressure Sodium 360</v>
      </c>
      <c r="D316" s="295">
        <f t="shared" si="23"/>
        <v>330</v>
      </c>
      <c r="E316" s="294">
        <f t="shared" si="24"/>
        <v>1</v>
      </c>
      <c r="F316" s="294" t="str">
        <f>VLOOKUP(D316,'Tariff Schedule Lookup Table'!I$7:L$298,2,FALSE)</f>
        <v>HIGH PRESSURE SODIUM 400W (310/360)</v>
      </c>
      <c r="G316" s="294" t="str">
        <f>IF(F316 = "BULKHEADS ETC", "SHARED OR NO POLE", VLOOKUP(D316,'Tariff Schedule Lookup Table'!I$7:L$298,3,FALSE))</f>
        <v>STEEL POLE</v>
      </c>
      <c r="H316" s="294">
        <f>IF(F316 = "NO CAPITAL", 1, VLOOKUP(D316,'Tariff Schedule Lookup Table'!I$7:L$298,4,FALSE))</f>
        <v>1</v>
      </c>
      <c r="I316" s="296">
        <f>VLOOKUP(G316,'Input data'!$A$68:$B$72,2,FALSE)</f>
        <v>9.8748837500000004</v>
      </c>
      <c r="J316" s="296">
        <f>VLOOKUP($B316,'Maintenance Costs'!$A:$AB,22,FALSE)</f>
        <v>26.666216346086181</v>
      </c>
      <c r="K316" s="296">
        <f>VLOOKUP($B316,'Maintenance Costs'!$A:$AB,28,FALSE)</f>
        <v>22.799484541395373</v>
      </c>
      <c r="L316" s="297">
        <f t="shared" si="25"/>
        <v>59.340584637481555</v>
      </c>
      <c r="M316">
        <v>90.875408485731853</v>
      </c>
      <c r="N316" s="30">
        <f t="shared" si="26"/>
        <v>-31.534823848250298</v>
      </c>
    </row>
    <row r="317" spans="1:14" x14ac:dyDescent="0.2">
      <c r="A317" s="299" t="s">
        <v>1201</v>
      </c>
      <c r="B317" s="298" t="str">
        <f t="shared" si="22"/>
        <v>HPS0160-ST</v>
      </c>
      <c r="C317" s="294" t="str">
        <f>VLOOKUP(LEFT(A317,7),'Tariff Schedule Lookup Table'!$A$8:$G$198,2,FALSE)</f>
        <v>High Pressure Sodium 360</v>
      </c>
      <c r="D317" s="295">
        <f t="shared" si="23"/>
        <v>330</v>
      </c>
      <c r="E317" s="294">
        <f t="shared" si="24"/>
        <v>2</v>
      </c>
      <c r="F317" s="294" t="str">
        <f>VLOOKUP(D317,'Tariff Schedule Lookup Table'!I$7:L$298,2,FALSE)</f>
        <v>HIGH PRESSURE SODIUM 400W (310/360)</v>
      </c>
      <c r="G317" s="294" t="str">
        <f>IF(F317 = "BULKHEADS ETC", "SHARED OR NO POLE", VLOOKUP(D317,'Tariff Schedule Lookup Table'!I$7:L$298,3,FALSE))</f>
        <v>STEEL POLE</v>
      </c>
      <c r="H317" s="294">
        <f>IF(F317 = "NO CAPITAL", 1, VLOOKUP(D317,'Tariff Schedule Lookup Table'!I$7:L$298,4,FALSE))</f>
        <v>1</v>
      </c>
      <c r="I317" s="296">
        <f>VLOOKUP(G317,'Input data'!$A$68:$B$72,2,FALSE)</f>
        <v>9.8748837500000004</v>
      </c>
      <c r="J317" s="296">
        <f>VLOOKUP($B317,'Maintenance Costs'!$A:$AB,22,FALSE)</f>
        <v>26.666216346086181</v>
      </c>
      <c r="K317" s="296">
        <f>VLOOKUP($B317,'Maintenance Costs'!$A:$AB,28,FALSE)</f>
        <v>22.799484541395373</v>
      </c>
      <c r="L317" s="297">
        <f t="shared" si="25"/>
        <v>59.340584637481555</v>
      </c>
      <c r="M317">
        <v>90.875408485731853</v>
      </c>
      <c r="N317" s="30">
        <f t="shared" si="26"/>
        <v>-31.534823848250298</v>
      </c>
    </row>
    <row r="318" spans="1:14" x14ac:dyDescent="0.2">
      <c r="A318" s="299" t="s">
        <v>1202</v>
      </c>
      <c r="B318" s="298" t="str">
        <f t="shared" si="22"/>
        <v>HPS0160-ST</v>
      </c>
      <c r="C318" s="294" t="str">
        <f>VLOOKUP(LEFT(A318,7),'Tariff Schedule Lookup Table'!$A$8:$G$198,2,FALSE)</f>
        <v>High Pressure Sodium 360</v>
      </c>
      <c r="D318" s="295">
        <f t="shared" si="23"/>
        <v>400</v>
      </c>
      <c r="E318" s="294">
        <f t="shared" si="24"/>
        <v>2</v>
      </c>
      <c r="F318" s="294" t="str">
        <f>VLOOKUP(D318,'Tariff Schedule Lookup Table'!I$7:L$298,2,FALSE)</f>
        <v>HIGH PRESSURE SODIUM 400W (310/360)</v>
      </c>
      <c r="G318" s="294" t="str">
        <f>IF(F318 = "BULKHEADS ETC", "SHARED OR NO POLE", VLOOKUP(D318,'Tariff Schedule Lookup Table'!I$7:L$298,3,FALSE))</f>
        <v>STEEL POLE</v>
      </c>
      <c r="H318" s="294">
        <f>IF(F318 = "NO CAPITAL", 1, VLOOKUP(D318,'Tariff Schedule Lookup Table'!I$7:L$298,4,FALSE))</f>
        <v>2</v>
      </c>
      <c r="I318" s="296">
        <f>VLOOKUP(G318,'Input data'!$A$68:$B$72,2,FALSE)</f>
        <v>9.8748837500000004</v>
      </c>
      <c r="J318" s="296">
        <f>VLOOKUP($B318,'Maintenance Costs'!$A:$AB,22,FALSE)</f>
        <v>26.666216346086181</v>
      </c>
      <c r="K318" s="296">
        <f>VLOOKUP($B318,'Maintenance Costs'!$A:$AB,28,FALSE)</f>
        <v>22.799484541395373</v>
      </c>
      <c r="L318" s="297">
        <f t="shared" si="25"/>
        <v>54.403142762481551</v>
      </c>
      <c r="M318">
        <v>85.937966610731863</v>
      </c>
      <c r="N318" s="30">
        <f t="shared" si="26"/>
        <v>-31.534823848250312</v>
      </c>
    </row>
    <row r="319" spans="1:14" x14ac:dyDescent="0.2">
      <c r="A319" s="299" t="s">
        <v>1203</v>
      </c>
      <c r="B319" s="298" t="str">
        <f t="shared" si="22"/>
        <v>HPS0160-ST</v>
      </c>
      <c r="C319" s="294" t="str">
        <f>VLOOKUP(LEFT(A319,7),'Tariff Schedule Lookup Table'!$A$8:$G$198,2,FALSE)</f>
        <v>High Pressure Sodium 360</v>
      </c>
      <c r="D319" s="295">
        <f t="shared" si="23"/>
        <v>620</v>
      </c>
      <c r="E319" s="294">
        <f t="shared" si="24"/>
        <v>1</v>
      </c>
      <c r="F319" s="294" t="str">
        <f>VLOOKUP(D319,'Tariff Schedule Lookup Table'!I$7:L$298,2,FALSE)</f>
        <v>METAL HALIDE/HPS 400W FLOOD (310/360)</v>
      </c>
      <c r="G319" s="294" t="str">
        <f>IF(F319 = "BULKHEADS ETC", "SHARED OR NO POLE", VLOOKUP(D319,'Tariff Schedule Lookup Table'!I$7:L$298,3,FALSE))</f>
        <v>SHARED OR NO POLE</v>
      </c>
      <c r="H319" s="294">
        <f>IF(F319 = "NO CAPITAL", 1, VLOOKUP(D319,'Tariff Schedule Lookup Table'!I$7:L$298,4,FALSE))</f>
        <v>1</v>
      </c>
      <c r="I319" s="296">
        <f>VLOOKUP(G319,'Input data'!$A$68:$B$72,2,FALSE)</f>
        <v>0</v>
      </c>
      <c r="J319" s="296">
        <f>VLOOKUP($B319,'Maintenance Costs'!$A:$AB,22,FALSE)</f>
        <v>26.666216346086181</v>
      </c>
      <c r="K319" s="296">
        <f>VLOOKUP($B319,'Maintenance Costs'!$A:$AB,28,FALSE)</f>
        <v>22.799484541395373</v>
      </c>
      <c r="L319" s="297">
        <f t="shared" si="25"/>
        <v>49.465700887481553</v>
      </c>
      <c r="M319">
        <v>81.000524735731858</v>
      </c>
      <c r="N319" s="30">
        <f t="shared" si="26"/>
        <v>-31.534823848250305</v>
      </c>
    </row>
    <row r="320" spans="1:14" x14ac:dyDescent="0.2">
      <c r="A320" s="299" t="s">
        <v>1204</v>
      </c>
      <c r="B320" s="298" t="str">
        <f t="shared" si="22"/>
        <v>HPS0160-ST</v>
      </c>
      <c r="C320" s="294" t="str">
        <f>VLOOKUP(LEFT(A320,7),'Tariff Schedule Lookup Table'!$A$8:$G$198,2,FALSE)</f>
        <v>High Pressure Sodium 360</v>
      </c>
      <c r="D320" s="295">
        <f t="shared" si="23"/>
        <v>620</v>
      </c>
      <c r="E320" s="294">
        <f t="shared" si="24"/>
        <v>2</v>
      </c>
      <c r="F320" s="294" t="str">
        <f>VLOOKUP(D320,'Tariff Schedule Lookup Table'!I$7:L$298,2,FALSE)</f>
        <v>METAL HALIDE/HPS 400W FLOOD (310/360)</v>
      </c>
      <c r="G320" s="294" t="str">
        <f>IF(F320 = "BULKHEADS ETC", "SHARED OR NO POLE", VLOOKUP(D320,'Tariff Schedule Lookup Table'!I$7:L$298,3,FALSE))</f>
        <v>SHARED OR NO POLE</v>
      </c>
      <c r="H320" s="294">
        <f>IF(F320 = "NO CAPITAL", 1, VLOOKUP(D320,'Tariff Schedule Lookup Table'!I$7:L$298,4,FALSE))</f>
        <v>1</v>
      </c>
      <c r="I320" s="296">
        <f>VLOOKUP(G320,'Input data'!$A$68:$B$72,2,FALSE)</f>
        <v>0</v>
      </c>
      <c r="J320" s="296">
        <f>VLOOKUP($B320,'Maintenance Costs'!$A:$AB,22,FALSE)</f>
        <v>26.666216346086181</v>
      </c>
      <c r="K320" s="296">
        <f>VLOOKUP($B320,'Maintenance Costs'!$A:$AB,28,FALSE)</f>
        <v>22.799484541395373</v>
      </c>
      <c r="L320" s="297">
        <f t="shared" si="25"/>
        <v>49.465700887481553</v>
      </c>
      <c r="M320">
        <v>81.000524735731858</v>
      </c>
      <c r="N320" s="30">
        <f t="shared" si="26"/>
        <v>-31.534823848250305</v>
      </c>
    </row>
    <row r="321" spans="1:14" x14ac:dyDescent="0.2">
      <c r="A321" s="299" t="s">
        <v>1205</v>
      </c>
      <c r="B321" s="298" t="str">
        <f t="shared" si="22"/>
        <v>HPS0160-ST</v>
      </c>
      <c r="C321" s="294" t="str">
        <f>VLOOKUP(LEFT(A321,7),'Tariff Schedule Lookup Table'!$A$8:$G$198,2,FALSE)</f>
        <v>High Pressure Sodium 360</v>
      </c>
      <c r="D321" s="295">
        <f t="shared" si="23"/>
        <v>770</v>
      </c>
      <c r="E321" s="294">
        <f t="shared" si="24"/>
        <v>1</v>
      </c>
      <c r="F321" s="294" t="str">
        <f>VLOOKUP(D321,'Tariff Schedule Lookup Table'!I$7:L$298,2,FALSE)</f>
        <v>HIGH PRESSURE SODIUM 400W (310/360)</v>
      </c>
      <c r="G321" s="294" t="str">
        <f>IF(F321 = "BULKHEADS ETC", "SHARED OR NO POLE", VLOOKUP(D321,'Tariff Schedule Lookup Table'!I$7:L$298,3,FALSE))</f>
        <v>WOOD POLE</v>
      </c>
      <c r="H321" s="294">
        <f>IF(F321 = "NO CAPITAL", 1, VLOOKUP(D321,'Tariff Schedule Lookup Table'!I$7:L$298,4,FALSE))</f>
        <v>2</v>
      </c>
      <c r="I321" s="296">
        <f>VLOOKUP(G321,'Input data'!$A$68:$B$72,2,FALSE)</f>
        <v>10.809914000000001</v>
      </c>
      <c r="J321" s="296">
        <f>VLOOKUP($B321,'Maintenance Costs'!$A:$AB,22,FALSE)</f>
        <v>26.666216346086181</v>
      </c>
      <c r="K321" s="296">
        <f>VLOOKUP($B321,'Maintenance Costs'!$A:$AB,28,FALSE)</f>
        <v>22.799484541395373</v>
      </c>
      <c r="L321" s="297">
        <f t="shared" si="25"/>
        <v>54.870657887481556</v>
      </c>
      <c r="M321">
        <v>86.405481735731854</v>
      </c>
      <c r="N321" s="30">
        <f t="shared" si="26"/>
        <v>-31.534823848250298</v>
      </c>
    </row>
    <row r="322" spans="1:14" x14ac:dyDescent="0.2">
      <c r="A322" s="299" t="s">
        <v>1206</v>
      </c>
      <c r="B322" s="298" t="str">
        <f t="shared" si="22"/>
        <v>HPS0160-ST</v>
      </c>
      <c r="C322" s="294" t="str">
        <f>VLOOKUP(LEFT(A322,7),'Tariff Schedule Lookup Table'!$A$8:$G$198,2,FALSE)</f>
        <v>High Pressure Sodium 360</v>
      </c>
      <c r="D322" s="295">
        <f t="shared" si="23"/>
        <v>1130</v>
      </c>
      <c r="E322" s="294">
        <f t="shared" si="24"/>
        <v>2</v>
      </c>
      <c r="F322" s="294" t="str">
        <f>VLOOKUP(D322,'Tariff Schedule Lookup Table'!I$7:L$298,2,FALSE)</f>
        <v>METAL HALIDE/HPS 400W FLOOD (310/360)</v>
      </c>
      <c r="G322" s="294" t="str">
        <f>IF(F322 = "BULKHEADS ETC", "SHARED OR NO POLE", VLOOKUP(D322,'Tariff Schedule Lookup Table'!I$7:L$298,3,FALSE))</f>
        <v>STEEL POLE</v>
      </c>
      <c r="H322" s="294">
        <f>IF(F322 = "NO CAPITAL", 1, VLOOKUP(D322,'Tariff Schedule Lookup Table'!I$7:L$298,4,FALSE))</f>
        <v>2</v>
      </c>
      <c r="I322" s="296">
        <f>VLOOKUP(G322,'Input data'!$A$68:$B$72,2,FALSE)</f>
        <v>9.8748837500000004</v>
      </c>
      <c r="J322" s="296">
        <f>VLOOKUP($B322,'Maintenance Costs'!$A:$AB,22,FALSE)</f>
        <v>26.666216346086181</v>
      </c>
      <c r="K322" s="296">
        <f>VLOOKUP($B322,'Maintenance Costs'!$A:$AB,28,FALSE)</f>
        <v>22.799484541395373</v>
      </c>
      <c r="L322" s="297">
        <f t="shared" si="25"/>
        <v>54.403142762481551</v>
      </c>
      <c r="M322">
        <v>85.937966610731863</v>
      </c>
      <c r="N322" s="30">
        <f t="shared" si="26"/>
        <v>-31.534823848250312</v>
      </c>
    </row>
    <row r="323" spans="1:14" x14ac:dyDescent="0.2">
      <c r="A323" s="299" t="s">
        <v>1207</v>
      </c>
      <c r="B323" s="298" t="str">
        <f t="shared" si="22"/>
        <v>HPS0160-ST</v>
      </c>
      <c r="C323" s="294" t="str">
        <f>VLOOKUP(LEFT(A323,7),'Tariff Schedule Lookup Table'!$A$8:$G$198,2,FALSE)</f>
        <v>High Pressure Sodium 360</v>
      </c>
      <c r="D323" s="295">
        <f t="shared" si="23"/>
        <v>1170</v>
      </c>
      <c r="E323" s="294">
        <f t="shared" si="24"/>
        <v>2</v>
      </c>
      <c r="F323" s="294" t="str">
        <f>VLOOKUP(D323,'Tariff Schedule Lookup Table'!I$7:L$298,2,FALSE)</f>
        <v>METAL HALIDE/HPS 400W FLOOD (310/360)</v>
      </c>
      <c r="G323" s="294" t="str">
        <f>IF(F323 = "BULKHEADS ETC", "SHARED OR NO POLE", VLOOKUP(D323,'Tariff Schedule Lookup Table'!I$7:L$298,3,FALSE))</f>
        <v>STEEL POLE</v>
      </c>
      <c r="H323" s="294">
        <f>IF(F323 = "NO CAPITAL", 1, VLOOKUP(D323,'Tariff Schedule Lookup Table'!I$7:L$298,4,FALSE))</f>
        <v>1</v>
      </c>
      <c r="I323" s="296">
        <f>VLOOKUP(G323,'Input data'!$A$68:$B$72,2,FALSE)</f>
        <v>9.8748837500000004</v>
      </c>
      <c r="J323" s="296">
        <f>VLOOKUP($B323,'Maintenance Costs'!$A:$AB,22,FALSE)</f>
        <v>26.666216346086181</v>
      </c>
      <c r="K323" s="296">
        <f>VLOOKUP($B323,'Maintenance Costs'!$A:$AB,28,FALSE)</f>
        <v>22.799484541395373</v>
      </c>
      <c r="L323" s="297">
        <f t="shared" si="25"/>
        <v>59.340584637481555</v>
      </c>
      <c r="M323">
        <v>90.875408485731853</v>
      </c>
      <c r="N323" s="30">
        <f t="shared" si="26"/>
        <v>-31.534823848250298</v>
      </c>
    </row>
    <row r="324" spans="1:14" x14ac:dyDescent="0.2">
      <c r="A324" s="299" t="s">
        <v>1208</v>
      </c>
      <c r="B324" s="298" t="str">
        <f t="shared" si="22"/>
        <v>HPS0170-ST</v>
      </c>
      <c r="C324" s="294" t="str">
        <f>VLOOKUP(LEFT(A324,7),'Tariff Schedule Lookup Table'!$A$8:$G$198,2,FALSE)</f>
        <v>High Pressure Sodium 400</v>
      </c>
      <c r="D324" s="295">
        <f t="shared" si="23"/>
        <v>1</v>
      </c>
      <c r="E324" s="294">
        <f t="shared" si="24"/>
        <v>6</v>
      </c>
      <c r="F324" s="294" t="str">
        <f>VLOOKUP(D324,'Tariff Schedule Lookup Table'!I$7:L$298,2,FALSE)</f>
        <v>NO CAPITAL</v>
      </c>
      <c r="G324" s="294" t="str">
        <f>IF(F324 = "BULKHEADS ETC", "SHARED OR NO POLE", VLOOKUP(D324,'Tariff Schedule Lookup Table'!I$7:L$298,3,FALSE))</f>
        <v>NO CAPITAL</v>
      </c>
      <c r="H324" s="294">
        <f>IF(F324 = "NO CAPITAL", 1, VLOOKUP(D324,'Tariff Schedule Lookup Table'!I$7:L$298,4,FALSE))</f>
        <v>1</v>
      </c>
      <c r="I324" s="296">
        <f>VLOOKUP(G324,'Input data'!$A$68:$B$72,2,FALSE)</f>
        <v>0</v>
      </c>
      <c r="J324" s="296">
        <v>0</v>
      </c>
      <c r="K324" s="296">
        <v>0</v>
      </c>
      <c r="L324" s="297">
        <f t="shared" si="25"/>
        <v>0</v>
      </c>
      <c r="M324">
        <v>0</v>
      </c>
      <c r="N324" s="30">
        <f t="shared" si="26"/>
        <v>0</v>
      </c>
    </row>
    <row r="325" spans="1:14" x14ac:dyDescent="0.2">
      <c r="A325" s="299" t="s">
        <v>1209</v>
      </c>
      <c r="B325" s="298" t="str">
        <f t="shared" si="22"/>
        <v>HPS0170-ST</v>
      </c>
      <c r="C325" s="294" t="str">
        <f>VLOOKUP(LEFT(A325,7),'Tariff Schedule Lookup Table'!$A$8:$G$198,2,FALSE)</f>
        <v>High Pressure Sodium 400</v>
      </c>
      <c r="D325" s="295">
        <f t="shared" si="23"/>
        <v>70</v>
      </c>
      <c r="E325" s="294">
        <f t="shared" si="24"/>
        <v>1</v>
      </c>
      <c r="F325" s="294" t="str">
        <f>VLOOKUP(D325,'Tariff Schedule Lookup Table'!I$7:L$298,2,FALSE)</f>
        <v>HIGH PRESSURE SODIUM 400W (310/360)</v>
      </c>
      <c r="G325" s="294" t="str">
        <f>IF(F325 = "BULKHEADS ETC", "SHARED OR NO POLE", VLOOKUP(D325,'Tariff Schedule Lookup Table'!I$7:L$298,3,FALSE))</f>
        <v>SHARED OR NO POLE</v>
      </c>
      <c r="H325" s="294">
        <f>IF(F325 = "NO CAPITAL", 1, VLOOKUP(D325,'Tariff Schedule Lookup Table'!I$7:L$298,4,FALSE))</f>
        <v>1</v>
      </c>
      <c r="I325" s="296">
        <f>VLOOKUP(G325,'Input data'!$A$68:$B$72,2,FALSE)</f>
        <v>0</v>
      </c>
      <c r="J325" s="296">
        <f>VLOOKUP($B325,'Maintenance Costs'!$A:$AB,22,FALSE)</f>
        <v>26.828017090382705</v>
      </c>
      <c r="K325" s="296">
        <f>VLOOKUP($B325,'Maintenance Costs'!$A:$AB,28,FALSE)</f>
        <v>22.799484541395373</v>
      </c>
      <c r="L325" s="297">
        <f t="shared" si="25"/>
        <v>49.627501631778074</v>
      </c>
      <c r="M325">
        <v>81.212770437278934</v>
      </c>
      <c r="N325" s="30">
        <f t="shared" si="26"/>
        <v>-31.58526880550086</v>
      </c>
    </row>
    <row r="326" spans="1:14" x14ac:dyDescent="0.2">
      <c r="A326" s="299" t="s">
        <v>1210</v>
      </c>
      <c r="B326" s="298" t="str">
        <f t="shared" si="22"/>
        <v>HPS0170-ST</v>
      </c>
      <c r="C326" s="294" t="str">
        <f>VLOOKUP(LEFT(A326,7),'Tariff Schedule Lookup Table'!$A$8:$G$198,2,FALSE)</f>
        <v>High Pressure Sodium 400</v>
      </c>
      <c r="D326" s="295">
        <f t="shared" si="23"/>
        <v>70</v>
      </c>
      <c r="E326" s="294">
        <f t="shared" si="24"/>
        <v>2</v>
      </c>
      <c r="F326" s="294" t="str">
        <f>VLOOKUP(D326,'Tariff Schedule Lookup Table'!I$7:L$298,2,FALSE)</f>
        <v>HIGH PRESSURE SODIUM 400W (310/360)</v>
      </c>
      <c r="G326" s="294" t="str">
        <f>IF(F326 = "BULKHEADS ETC", "SHARED OR NO POLE", VLOOKUP(D326,'Tariff Schedule Lookup Table'!I$7:L$298,3,FALSE))</f>
        <v>SHARED OR NO POLE</v>
      </c>
      <c r="H326" s="294">
        <f>IF(F326 = "NO CAPITAL", 1, VLOOKUP(D326,'Tariff Schedule Lookup Table'!I$7:L$298,4,FALSE))</f>
        <v>1</v>
      </c>
      <c r="I326" s="296">
        <f>VLOOKUP(G326,'Input data'!$A$68:$B$72,2,FALSE)</f>
        <v>0</v>
      </c>
      <c r="J326" s="296">
        <f>VLOOKUP($B326,'Maintenance Costs'!$A:$AB,22,FALSE)</f>
        <v>26.828017090382705</v>
      </c>
      <c r="K326" s="296">
        <f>VLOOKUP($B326,'Maintenance Costs'!$A:$AB,28,FALSE)</f>
        <v>22.799484541395373</v>
      </c>
      <c r="L326" s="297">
        <f t="shared" si="25"/>
        <v>49.627501631778074</v>
      </c>
      <c r="M326">
        <v>81.212770437278934</v>
      </c>
      <c r="N326" s="30">
        <f t="shared" si="26"/>
        <v>-31.58526880550086</v>
      </c>
    </row>
    <row r="327" spans="1:14" x14ac:dyDescent="0.2">
      <c r="A327" s="299" t="s">
        <v>1211</v>
      </c>
      <c r="B327" s="298" t="str">
        <f t="shared" si="22"/>
        <v>HPS0170-ST</v>
      </c>
      <c r="C327" s="294" t="str">
        <f>VLOOKUP(LEFT(A327,7),'Tariff Schedule Lookup Table'!$A$8:$G$198,2,FALSE)</f>
        <v>High Pressure Sodium 400</v>
      </c>
      <c r="D327" s="295">
        <f t="shared" si="23"/>
        <v>70</v>
      </c>
      <c r="E327" s="294">
        <f t="shared" si="24"/>
        <v>3</v>
      </c>
      <c r="F327" s="294" t="str">
        <f>VLOOKUP(D327,'Tariff Schedule Lookup Table'!I$7:L$298,2,FALSE)</f>
        <v>HIGH PRESSURE SODIUM 400W (310/360)</v>
      </c>
      <c r="G327" s="294" t="str">
        <f>IF(F327 = "BULKHEADS ETC", "SHARED OR NO POLE", VLOOKUP(D327,'Tariff Schedule Lookup Table'!I$7:L$298,3,FALSE))</f>
        <v>SHARED OR NO POLE</v>
      </c>
      <c r="H327" s="294">
        <f>IF(F327 = "NO CAPITAL", 1, VLOOKUP(D327,'Tariff Schedule Lookup Table'!I$7:L$298,4,FALSE))</f>
        <v>1</v>
      </c>
      <c r="I327" s="296">
        <f>VLOOKUP(G327,'Input data'!$A$68:$B$72,2,FALSE)</f>
        <v>0</v>
      </c>
      <c r="J327" s="296">
        <f>VLOOKUP($B327,'Maintenance Costs'!$A:$AB,22,FALSE)</f>
        <v>26.828017090382705</v>
      </c>
      <c r="K327" s="296">
        <f>VLOOKUP($B327,'Maintenance Costs'!$A:$AB,28,FALSE)</f>
        <v>22.799484541395373</v>
      </c>
      <c r="L327" s="297">
        <f t="shared" si="25"/>
        <v>49.627501631778074</v>
      </c>
      <c r="M327">
        <v>81.212770437278934</v>
      </c>
      <c r="N327" s="30">
        <f t="shared" si="26"/>
        <v>-31.58526880550086</v>
      </c>
    </row>
    <row r="328" spans="1:14" x14ac:dyDescent="0.2">
      <c r="A328" s="299" t="s">
        <v>587</v>
      </c>
      <c r="B328" s="298" t="str">
        <f t="shared" si="22"/>
        <v>HPS0170-ST</v>
      </c>
      <c r="C328" s="294" t="str">
        <f>VLOOKUP(LEFT(A328,7),'Tariff Schedule Lookup Table'!$A$8:$G$198,2,FALSE)</f>
        <v>High Pressure Sodium 400</v>
      </c>
      <c r="D328" s="295">
        <f t="shared" si="23"/>
        <v>70</v>
      </c>
      <c r="E328" s="294">
        <f t="shared" si="24"/>
        <v>4</v>
      </c>
      <c r="F328" s="294" t="str">
        <f>VLOOKUP(D328,'Tariff Schedule Lookup Table'!I$7:L$298,2,FALSE)</f>
        <v>HIGH PRESSURE SODIUM 400W (310/360)</v>
      </c>
      <c r="G328" s="294" t="str">
        <f>IF(F328 = "BULKHEADS ETC", "SHARED OR NO POLE", VLOOKUP(D328,'Tariff Schedule Lookup Table'!I$7:L$298,3,FALSE))</f>
        <v>SHARED OR NO POLE</v>
      </c>
      <c r="H328" s="294">
        <f>IF(F328 = "NO CAPITAL", 1, VLOOKUP(D328,'Tariff Schedule Lookup Table'!I$7:L$298,4,FALSE))</f>
        <v>1</v>
      </c>
      <c r="I328" s="296">
        <f>VLOOKUP(G328,'Input data'!$A$68:$B$72,2,FALSE)</f>
        <v>0</v>
      </c>
      <c r="J328" s="296">
        <f>VLOOKUP($B328,'Maintenance Costs'!$A:$AB,22,FALSE)</f>
        <v>26.828017090382705</v>
      </c>
      <c r="K328" s="296">
        <f>VLOOKUP($B328,'Maintenance Costs'!$A:$AB,28,FALSE)</f>
        <v>22.799484541395373</v>
      </c>
      <c r="L328" s="297">
        <f t="shared" si="25"/>
        <v>49.627501631778074</v>
      </c>
      <c r="M328">
        <v>81.212770437278934</v>
      </c>
      <c r="N328" s="30">
        <f t="shared" si="26"/>
        <v>-31.58526880550086</v>
      </c>
    </row>
    <row r="329" spans="1:14" x14ac:dyDescent="0.2">
      <c r="A329" s="299" t="s">
        <v>1213</v>
      </c>
      <c r="B329" s="298" t="str">
        <f t="shared" si="22"/>
        <v>HPS0170-ST</v>
      </c>
      <c r="C329" s="294" t="str">
        <f>VLOOKUP(LEFT(A329,7),'Tariff Schedule Lookup Table'!$A$8:$G$198,2,FALSE)</f>
        <v>High Pressure Sodium 400</v>
      </c>
      <c r="D329" s="295">
        <f t="shared" si="23"/>
        <v>240</v>
      </c>
      <c r="E329" s="294">
        <f t="shared" si="24"/>
        <v>1</v>
      </c>
      <c r="F329" s="294" t="str">
        <f>VLOOKUP(D329,'Tariff Schedule Lookup Table'!I$7:L$298,2,FALSE)</f>
        <v>HIGH PRESSURE SODIUM 400W (310/360)</v>
      </c>
      <c r="G329" s="294" t="str">
        <f>IF(F329 = "BULKHEADS ETC", "SHARED OR NO POLE", VLOOKUP(D329,'Tariff Schedule Lookup Table'!I$7:L$298,3,FALSE))</f>
        <v>WOOD POLE</v>
      </c>
      <c r="H329" s="294">
        <f>IF(F329 = "NO CAPITAL", 1, VLOOKUP(D329,'Tariff Schedule Lookup Table'!I$7:L$298,4,FALSE))</f>
        <v>1</v>
      </c>
      <c r="I329" s="296">
        <f>VLOOKUP(G329,'Input data'!$A$68:$B$72,2,FALSE)</f>
        <v>10.809914000000001</v>
      </c>
      <c r="J329" s="296">
        <f>VLOOKUP($B329,'Maintenance Costs'!$A:$AB,22,FALSE)</f>
        <v>26.828017090382705</v>
      </c>
      <c r="K329" s="296">
        <f>VLOOKUP($B329,'Maintenance Costs'!$A:$AB,28,FALSE)</f>
        <v>22.799484541395373</v>
      </c>
      <c r="L329" s="297">
        <f t="shared" si="25"/>
        <v>60.437415631778073</v>
      </c>
      <c r="M329">
        <v>92.02268443727894</v>
      </c>
      <c r="N329" s="30">
        <f t="shared" si="26"/>
        <v>-31.585268805500867</v>
      </c>
    </row>
    <row r="330" spans="1:14" x14ac:dyDescent="0.2">
      <c r="A330" s="299" t="s">
        <v>1214</v>
      </c>
      <c r="B330" s="298" t="str">
        <f t="shared" ref="B330:B393" si="27">LEFT(A330,10)</f>
        <v>HPS0170-ST</v>
      </c>
      <c r="C330" s="294" t="str">
        <f>VLOOKUP(LEFT(A330,7),'Tariff Schedule Lookup Table'!$A$8:$G$198,2,FALSE)</f>
        <v>High Pressure Sodium 400</v>
      </c>
      <c r="D330" s="295">
        <f t="shared" ref="D330:D393" si="28">1*MID(A330,12,4)</f>
        <v>240</v>
      </c>
      <c r="E330" s="294">
        <f t="shared" ref="E330:E393" si="29">1*(MID(A330,17,3))</f>
        <v>2</v>
      </c>
      <c r="F330" s="294" t="str">
        <f>VLOOKUP(D330,'Tariff Schedule Lookup Table'!I$7:L$298,2,FALSE)</f>
        <v>HIGH PRESSURE SODIUM 400W (310/360)</v>
      </c>
      <c r="G330" s="294" t="str">
        <f>IF(F330 = "BULKHEADS ETC", "SHARED OR NO POLE", VLOOKUP(D330,'Tariff Schedule Lookup Table'!I$7:L$298,3,FALSE))</f>
        <v>WOOD POLE</v>
      </c>
      <c r="H330" s="294">
        <f>IF(F330 = "NO CAPITAL", 1, VLOOKUP(D330,'Tariff Schedule Lookup Table'!I$7:L$298,4,FALSE))</f>
        <v>1</v>
      </c>
      <c r="I330" s="296">
        <f>VLOOKUP(G330,'Input data'!$A$68:$B$72,2,FALSE)</f>
        <v>10.809914000000001</v>
      </c>
      <c r="J330" s="296">
        <f>VLOOKUP($B330,'Maintenance Costs'!$A:$AB,22,FALSE)</f>
        <v>26.828017090382705</v>
      </c>
      <c r="K330" s="296">
        <f>VLOOKUP($B330,'Maintenance Costs'!$A:$AB,28,FALSE)</f>
        <v>22.799484541395373</v>
      </c>
      <c r="L330" s="297">
        <f t="shared" ref="L330:L393" si="30">K330+J330+I330/H330</f>
        <v>60.437415631778073</v>
      </c>
      <c r="M330">
        <v>92.02268443727894</v>
      </c>
      <c r="N330" s="30">
        <f t="shared" si="26"/>
        <v>-31.585268805500867</v>
      </c>
    </row>
    <row r="331" spans="1:14" x14ac:dyDescent="0.2">
      <c r="A331" s="299" t="s">
        <v>1215</v>
      </c>
      <c r="B331" s="298" t="str">
        <f t="shared" si="27"/>
        <v>HPS0170-ST</v>
      </c>
      <c r="C331" s="294" t="str">
        <f>VLOOKUP(LEFT(A331,7),'Tariff Schedule Lookup Table'!$A$8:$G$198,2,FALSE)</f>
        <v>High Pressure Sodium 400</v>
      </c>
      <c r="D331" s="295">
        <f t="shared" si="28"/>
        <v>240</v>
      </c>
      <c r="E331" s="294">
        <f t="shared" si="29"/>
        <v>3</v>
      </c>
      <c r="F331" s="294" t="str">
        <f>VLOOKUP(D331,'Tariff Schedule Lookup Table'!I$7:L$298,2,FALSE)</f>
        <v>HIGH PRESSURE SODIUM 400W (310/360)</v>
      </c>
      <c r="G331" s="294" t="str">
        <f>IF(F331 = "BULKHEADS ETC", "SHARED OR NO POLE", VLOOKUP(D331,'Tariff Schedule Lookup Table'!I$7:L$298,3,FALSE))</f>
        <v>WOOD POLE</v>
      </c>
      <c r="H331" s="294">
        <f>IF(F331 = "NO CAPITAL", 1, VLOOKUP(D331,'Tariff Schedule Lookup Table'!I$7:L$298,4,FALSE))</f>
        <v>1</v>
      </c>
      <c r="I331" s="296">
        <f>VLOOKUP(G331,'Input data'!$A$68:$B$72,2,FALSE)</f>
        <v>10.809914000000001</v>
      </c>
      <c r="J331" s="296">
        <f>VLOOKUP($B331,'Maintenance Costs'!$A:$AB,22,FALSE)</f>
        <v>26.828017090382705</v>
      </c>
      <c r="K331" s="296">
        <f>VLOOKUP($B331,'Maintenance Costs'!$A:$AB,28,FALSE)</f>
        <v>22.799484541395373</v>
      </c>
      <c r="L331" s="297">
        <f t="shared" si="30"/>
        <v>60.437415631778073</v>
      </c>
      <c r="M331">
        <v>92.02268443727894</v>
      </c>
      <c r="N331" s="30">
        <f t="shared" ref="N331:N394" si="31">L331-M331</f>
        <v>-31.585268805500867</v>
      </c>
    </row>
    <row r="332" spans="1:14" x14ac:dyDescent="0.2">
      <c r="A332" s="299" t="s">
        <v>588</v>
      </c>
      <c r="B332" s="298" t="str">
        <f t="shared" si="27"/>
        <v>HPS0170-ST</v>
      </c>
      <c r="C332" s="294" t="str">
        <f>VLOOKUP(LEFT(A332,7),'Tariff Schedule Lookup Table'!$A$8:$G$198,2,FALSE)</f>
        <v>High Pressure Sodium 400</v>
      </c>
      <c r="D332" s="295">
        <f t="shared" si="28"/>
        <v>240</v>
      </c>
      <c r="E332" s="294">
        <f t="shared" si="29"/>
        <v>4</v>
      </c>
      <c r="F332" s="294" t="str">
        <f>VLOOKUP(D332,'Tariff Schedule Lookup Table'!I$7:L$298,2,FALSE)</f>
        <v>HIGH PRESSURE SODIUM 400W (310/360)</v>
      </c>
      <c r="G332" s="294" t="str">
        <f>IF(F332 = "BULKHEADS ETC", "SHARED OR NO POLE", VLOOKUP(D332,'Tariff Schedule Lookup Table'!I$7:L$298,3,FALSE))</f>
        <v>WOOD POLE</v>
      </c>
      <c r="H332" s="294">
        <f>IF(F332 = "NO CAPITAL", 1, VLOOKUP(D332,'Tariff Schedule Lookup Table'!I$7:L$298,4,FALSE))</f>
        <v>1</v>
      </c>
      <c r="I332" s="296">
        <f>VLOOKUP(G332,'Input data'!$A$68:$B$72,2,FALSE)</f>
        <v>10.809914000000001</v>
      </c>
      <c r="J332" s="296">
        <f>VLOOKUP($B332,'Maintenance Costs'!$A:$AB,22,FALSE)</f>
        <v>26.828017090382705</v>
      </c>
      <c r="K332" s="296">
        <f>VLOOKUP($B332,'Maintenance Costs'!$A:$AB,28,FALSE)</f>
        <v>22.799484541395373</v>
      </c>
      <c r="L332" s="297">
        <f t="shared" si="30"/>
        <v>60.437415631778073</v>
      </c>
      <c r="M332">
        <v>92.02268443727894</v>
      </c>
      <c r="N332" s="30">
        <f t="shared" si="31"/>
        <v>-31.585268805500867</v>
      </c>
    </row>
    <row r="333" spans="1:14" x14ac:dyDescent="0.2">
      <c r="A333" s="299" t="s">
        <v>1217</v>
      </c>
      <c r="B333" s="298" t="str">
        <f t="shared" si="27"/>
        <v>HPS0170-ST</v>
      </c>
      <c r="C333" s="294" t="str">
        <f>VLOOKUP(LEFT(A333,7),'Tariff Schedule Lookup Table'!$A$8:$G$198,2,FALSE)</f>
        <v>High Pressure Sodium 400</v>
      </c>
      <c r="D333" s="295">
        <f t="shared" si="28"/>
        <v>270</v>
      </c>
      <c r="E333" s="294">
        <f t="shared" si="29"/>
        <v>2</v>
      </c>
      <c r="F333" s="294" t="str">
        <f>VLOOKUP(D333,'Tariff Schedule Lookup Table'!I$7:L$298,2,FALSE)</f>
        <v>METAL HALIDE/HPS 400W FLOOD (310/360)</v>
      </c>
      <c r="G333" s="294" t="str">
        <f>IF(F333 = "BULKHEADS ETC", "SHARED OR NO POLE", VLOOKUP(D333,'Tariff Schedule Lookup Table'!I$7:L$298,3,FALSE))</f>
        <v>R/BOUT COLUMN</v>
      </c>
      <c r="H333" s="294">
        <f>IF(F333 = "NO CAPITAL", 1, VLOOKUP(D333,'Tariff Schedule Lookup Table'!I$7:L$298,4,FALSE))</f>
        <v>3</v>
      </c>
      <c r="I333" s="296">
        <f>VLOOKUP(G333,'Input data'!$A$68:$B$72,2,FALSE)</f>
        <v>9.8748837500000004</v>
      </c>
      <c r="J333" s="296">
        <f>VLOOKUP($B333,'Maintenance Costs'!$A:$AB,22,FALSE)</f>
        <v>26.828017090382705</v>
      </c>
      <c r="K333" s="296">
        <f>VLOOKUP($B333,'Maintenance Costs'!$A:$AB,28,FALSE)</f>
        <v>22.799484541395373</v>
      </c>
      <c r="L333" s="297">
        <f t="shared" si="30"/>
        <v>52.919129548444744</v>
      </c>
      <c r="M333">
        <v>84.504398353945604</v>
      </c>
      <c r="N333" s="30">
        <f t="shared" si="31"/>
        <v>-31.58526880550086</v>
      </c>
    </row>
    <row r="334" spans="1:14" x14ac:dyDescent="0.2">
      <c r="A334" s="299" t="s">
        <v>589</v>
      </c>
      <c r="B334" s="298" t="str">
        <f t="shared" si="27"/>
        <v>HPS0170-ST</v>
      </c>
      <c r="C334" s="294" t="str">
        <f>VLOOKUP(LEFT(A334,7),'Tariff Schedule Lookup Table'!$A$8:$G$198,2,FALSE)</f>
        <v>High Pressure Sodium 400</v>
      </c>
      <c r="D334" s="295">
        <f t="shared" si="28"/>
        <v>270</v>
      </c>
      <c r="E334" s="294">
        <f t="shared" si="29"/>
        <v>4</v>
      </c>
      <c r="F334" s="294" t="str">
        <f>VLOOKUP(D334,'Tariff Schedule Lookup Table'!I$7:L$298,2,FALSE)</f>
        <v>METAL HALIDE/HPS 400W FLOOD (310/360)</v>
      </c>
      <c r="G334" s="294" t="str">
        <f>IF(F334 = "BULKHEADS ETC", "SHARED OR NO POLE", VLOOKUP(D334,'Tariff Schedule Lookup Table'!I$7:L$298,3,FALSE))</f>
        <v>R/BOUT COLUMN</v>
      </c>
      <c r="H334" s="294">
        <f>IF(F334 = "NO CAPITAL", 1, VLOOKUP(D334,'Tariff Schedule Lookup Table'!I$7:L$298,4,FALSE))</f>
        <v>3</v>
      </c>
      <c r="I334" s="296">
        <f>VLOOKUP(G334,'Input data'!$A$68:$B$72,2,FALSE)</f>
        <v>9.8748837500000004</v>
      </c>
      <c r="J334" s="296">
        <f>VLOOKUP($B334,'Maintenance Costs'!$A:$AB,22,FALSE)</f>
        <v>26.828017090382705</v>
      </c>
      <c r="K334" s="296">
        <f>VLOOKUP($B334,'Maintenance Costs'!$A:$AB,28,FALSE)</f>
        <v>22.799484541395373</v>
      </c>
      <c r="L334" s="297">
        <f t="shared" si="30"/>
        <v>52.919129548444744</v>
      </c>
      <c r="M334">
        <v>84.504398353945604</v>
      </c>
      <c r="N334" s="30">
        <f t="shared" si="31"/>
        <v>-31.58526880550086</v>
      </c>
    </row>
    <row r="335" spans="1:14" x14ac:dyDescent="0.2">
      <c r="A335" s="299" t="s">
        <v>1218</v>
      </c>
      <c r="B335" s="298" t="str">
        <f t="shared" si="27"/>
        <v>HPS0170-ST</v>
      </c>
      <c r="C335" s="294" t="str">
        <f>VLOOKUP(LEFT(A335,7),'Tariff Schedule Lookup Table'!$A$8:$G$198,2,FALSE)</f>
        <v>High Pressure Sodium 400</v>
      </c>
      <c r="D335" s="295">
        <f t="shared" si="28"/>
        <v>330</v>
      </c>
      <c r="E335" s="294">
        <f t="shared" si="29"/>
        <v>1</v>
      </c>
      <c r="F335" s="294" t="str">
        <f>VLOOKUP(D335,'Tariff Schedule Lookup Table'!I$7:L$298,2,FALSE)</f>
        <v>HIGH PRESSURE SODIUM 400W (310/360)</v>
      </c>
      <c r="G335" s="294" t="str">
        <f>IF(F335 = "BULKHEADS ETC", "SHARED OR NO POLE", VLOOKUP(D335,'Tariff Schedule Lookup Table'!I$7:L$298,3,FALSE))</f>
        <v>STEEL POLE</v>
      </c>
      <c r="H335" s="294">
        <f>IF(F335 = "NO CAPITAL", 1, VLOOKUP(D335,'Tariff Schedule Lookup Table'!I$7:L$298,4,FALSE))</f>
        <v>1</v>
      </c>
      <c r="I335" s="296">
        <f>VLOOKUP(G335,'Input data'!$A$68:$B$72,2,FALSE)</f>
        <v>9.8748837500000004</v>
      </c>
      <c r="J335" s="296">
        <f>VLOOKUP($B335,'Maintenance Costs'!$A:$AB,22,FALSE)</f>
        <v>26.828017090382705</v>
      </c>
      <c r="K335" s="296">
        <f>VLOOKUP($B335,'Maintenance Costs'!$A:$AB,28,FALSE)</f>
        <v>22.799484541395373</v>
      </c>
      <c r="L335" s="297">
        <f t="shared" si="30"/>
        <v>59.502385381778076</v>
      </c>
      <c r="M335">
        <v>91.087654187278929</v>
      </c>
      <c r="N335" s="30">
        <f t="shared" si="31"/>
        <v>-31.585268805500853</v>
      </c>
    </row>
    <row r="336" spans="1:14" x14ac:dyDescent="0.2">
      <c r="A336" s="299" t="s">
        <v>1219</v>
      </c>
      <c r="B336" s="298" t="str">
        <f t="shared" si="27"/>
        <v>HPS0170-ST</v>
      </c>
      <c r="C336" s="294" t="str">
        <f>VLOOKUP(LEFT(A336,7),'Tariff Schedule Lookup Table'!$A$8:$G$198,2,FALSE)</f>
        <v>High Pressure Sodium 400</v>
      </c>
      <c r="D336" s="295">
        <f t="shared" si="28"/>
        <v>330</v>
      </c>
      <c r="E336" s="294">
        <f t="shared" si="29"/>
        <v>2</v>
      </c>
      <c r="F336" s="294" t="str">
        <f>VLOOKUP(D336,'Tariff Schedule Lookup Table'!I$7:L$298,2,FALSE)</f>
        <v>HIGH PRESSURE SODIUM 400W (310/360)</v>
      </c>
      <c r="G336" s="294" t="str">
        <f>IF(F336 = "BULKHEADS ETC", "SHARED OR NO POLE", VLOOKUP(D336,'Tariff Schedule Lookup Table'!I$7:L$298,3,FALSE))</f>
        <v>STEEL POLE</v>
      </c>
      <c r="H336" s="294">
        <f>IF(F336 = "NO CAPITAL", 1, VLOOKUP(D336,'Tariff Schedule Lookup Table'!I$7:L$298,4,FALSE))</f>
        <v>1</v>
      </c>
      <c r="I336" s="296">
        <f>VLOOKUP(G336,'Input data'!$A$68:$B$72,2,FALSE)</f>
        <v>9.8748837500000004</v>
      </c>
      <c r="J336" s="296">
        <f>VLOOKUP($B336,'Maintenance Costs'!$A:$AB,22,FALSE)</f>
        <v>26.828017090382705</v>
      </c>
      <c r="K336" s="296">
        <f>VLOOKUP($B336,'Maintenance Costs'!$A:$AB,28,FALSE)</f>
        <v>22.799484541395373</v>
      </c>
      <c r="L336" s="297">
        <f t="shared" si="30"/>
        <v>59.502385381778076</v>
      </c>
      <c r="M336">
        <v>91.087654187278929</v>
      </c>
      <c r="N336" s="30">
        <f t="shared" si="31"/>
        <v>-31.585268805500853</v>
      </c>
    </row>
    <row r="337" spans="1:14" x14ac:dyDescent="0.2">
      <c r="A337" s="299" t="s">
        <v>1220</v>
      </c>
      <c r="B337" s="298" t="str">
        <f t="shared" si="27"/>
        <v>HPS0170-ST</v>
      </c>
      <c r="C337" s="294" t="str">
        <f>VLOOKUP(LEFT(A337,7),'Tariff Schedule Lookup Table'!$A$8:$G$198,2,FALSE)</f>
        <v>High Pressure Sodium 400</v>
      </c>
      <c r="D337" s="295">
        <f t="shared" si="28"/>
        <v>330</v>
      </c>
      <c r="E337" s="294">
        <f t="shared" si="29"/>
        <v>3</v>
      </c>
      <c r="F337" s="294" t="str">
        <f>VLOOKUP(D337,'Tariff Schedule Lookup Table'!I$7:L$298,2,FALSE)</f>
        <v>HIGH PRESSURE SODIUM 400W (310/360)</v>
      </c>
      <c r="G337" s="294" t="str">
        <f>IF(F337 = "BULKHEADS ETC", "SHARED OR NO POLE", VLOOKUP(D337,'Tariff Schedule Lookup Table'!I$7:L$298,3,FALSE))</f>
        <v>STEEL POLE</v>
      </c>
      <c r="H337" s="294">
        <f>IF(F337 = "NO CAPITAL", 1, VLOOKUP(D337,'Tariff Schedule Lookup Table'!I$7:L$298,4,FALSE))</f>
        <v>1</v>
      </c>
      <c r="I337" s="296">
        <f>VLOOKUP(G337,'Input data'!$A$68:$B$72,2,FALSE)</f>
        <v>9.8748837500000004</v>
      </c>
      <c r="J337" s="296">
        <f>VLOOKUP($B337,'Maintenance Costs'!$A:$AB,22,FALSE)</f>
        <v>26.828017090382705</v>
      </c>
      <c r="K337" s="296">
        <f>VLOOKUP($B337,'Maintenance Costs'!$A:$AB,28,FALSE)</f>
        <v>22.799484541395373</v>
      </c>
      <c r="L337" s="297">
        <f t="shared" si="30"/>
        <v>59.502385381778076</v>
      </c>
      <c r="M337">
        <v>91.087654187278929</v>
      </c>
      <c r="N337" s="30">
        <f t="shared" si="31"/>
        <v>-31.585268805500853</v>
      </c>
    </row>
    <row r="338" spans="1:14" x14ac:dyDescent="0.2">
      <c r="A338" s="299" t="s">
        <v>590</v>
      </c>
      <c r="B338" s="298" t="str">
        <f t="shared" si="27"/>
        <v>HPS0170-ST</v>
      </c>
      <c r="C338" s="294" t="str">
        <f>VLOOKUP(LEFT(A338,7),'Tariff Schedule Lookup Table'!$A$8:$G$198,2,FALSE)</f>
        <v>High Pressure Sodium 400</v>
      </c>
      <c r="D338" s="295">
        <f t="shared" si="28"/>
        <v>330</v>
      </c>
      <c r="E338" s="294">
        <f t="shared" si="29"/>
        <v>4</v>
      </c>
      <c r="F338" s="294" t="str">
        <f>VLOOKUP(D338,'Tariff Schedule Lookup Table'!I$7:L$298,2,FALSE)</f>
        <v>HIGH PRESSURE SODIUM 400W (310/360)</v>
      </c>
      <c r="G338" s="294" t="str">
        <f>IF(F338 = "BULKHEADS ETC", "SHARED OR NO POLE", VLOOKUP(D338,'Tariff Schedule Lookup Table'!I$7:L$298,3,FALSE))</f>
        <v>STEEL POLE</v>
      </c>
      <c r="H338" s="294">
        <f>IF(F338 = "NO CAPITAL", 1, VLOOKUP(D338,'Tariff Schedule Lookup Table'!I$7:L$298,4,FALSE))</f>
        <v>1</v>
      </c>
      <c r="I338" s="296">
        <f>VLOOKUP(G338,'Input data'!$A$68:$B$72,2,FALSE)</f>
        <v>9.8748837500000004</v>
      </c>
      <c r="J338" s="296">
        <f>VLOOKUP($B338,'Maintenance Costs'!$A:$AB,22,FALSE)</f>
        <v>26.828017090382705</v>
      </c>
      <c r="K338" s="296">
        <f>VLOOKUP($B338,'Maintenance Costs'!$A:$AB,28,FALSE)</f>
        <v>22.799484541395373</v>
      </c>
      <c r="L338" s="297">
        <f t="shared" si="30"/>
        <v>59.502385381778076</v>
      </c>
      <c r="M338">
        <v>91.087654187278929</v>
      </c>
      <c r="N338" s="30">
        <f t="shared" si="31"/>
        <v>-31.585268805500853</v>
      </c>
    </row>
    <row r="339" spans="1:14" x14ac:dyDescent="0.2">
      <c r="A339" s="299" t="s">
        <v>1222</v>
      </c>
      <c r="B339" s="298" t="str">
        <f t="shared" si="27"/>
        <v>HPS0170-ST</v>
      </c>
      <c r="C339" s="294" t="str">
        <f>VLOOKUP(LEFT(A339,7),'Tariff Schedule Lookup Table'!$A$8:$G$198,2,FALSE)</f>
        <v>High Pressure Sodium 400</v>
      </c>
      <c r="D339" s="295">
        <f t="shared" si="28"/>
        <v>400</v>
      </c>
      <c r="E339" s="294">
        <f t="shared" si="29"/>
        <v>1</v>
      </c>
      <c r="F339" s="294" t="str">
        <f>VLOOKUP(D339,'Tariff Schedule Lookup Table'!I$7:L$298,2,FALSE)</f>
        <v>HIGH PRESSURE SODIUM 400W (310/360)</v>
      </c>
      <c r="G339" s="294" t="str">
        <f>IF(F339 = "BULKHEADS ETC", "SHARED OR NO POLE", VLOOKUP(D339,'Tariff Schedule Lookup Table'!I$7:L$298,3,FALSE))</f>
        <v>STEEL POLE</v>
      </c>
      <c r="H339" s="294">
        <f>IF(F339 = "NO CAPITAL", 1, VLOOKUP(D339,'Tariff Schedule Lookup Table'!I$7:L$298,4,FALSE))</f>
        <v>2</v>
      </c>
      <c r="I339" s="296">
        <f>VLOOKUP(G339,'Input data'!$A$68:$B$72,2,FALSE)</f>
        <v>9.8748837500000004</v>
      </c>
      <c r="J339" s="296">
        <f>VLOOKUP($B339,'Maintenance Costs'!$A:$AB,22,FALSE)</f>
        <v>26.828017090382705</v>
      </c>
      <c r="K339" s="296">
        <f>VLOOKUP($B339,'Maintenance Costs'!$A:$AB,28,FALSE)</f>
        <v>22.799484541395373</v>
      </c>
      <c r="L339" s="297">
        <f t="shared" si="30"/>
        <v>54.564943506778071</v>
      </c>
      <c r="M339">
        <v>86.150212312278938</v>
      </c>
      <c r="N339" s="30">
        <f t="shared" si="31"/>
        <v>-31.585268805500867</v>
      </c>
    </row>
    <row r="340" spans="1:14" x14ac:dyDescent="0.2">
      <c r="A340" s="299" t="s">
        <v>1223</v>
      </c>
      <c r="B340" s="298" t="str">
        <f t="shared" si="27"/>
        <v>HPS0170-ST</v>
      </c>
      <c r="C340" s="294" t="str">
        <f>VLOOKUP(LEFT(A340,7),'Tariff Schedule Lookup Table'!$A$8:$G$198,2,FALSE)</f>
        <v>High Pressure Sodium 400</v>
      </c>
      <c r="D340" s="295">
        <f t="shared" si="28"/>
        <v>400</v>
      </c>
      <c r="E340" s="294">
        <f t="shared" si="29"/>
        <v>2</v>
      </c>
      <c r="F340" s="294" t="str">
        <f>VLOOKUP(D340,'Tariff Schedule Lookup Table'!I$7:L$298,2,FALSE)</f>
        <v>HIGH PRESSURE SODIUM 400W (310/360)</v>
      </c>
      <c r="G340" s="294" t="str">
        <f>IF(F340 = "BULKHEADS ETC", "SHARED OR NO POLE", VLOOKUP(D340,'Tariff Schedule Lookup Table'!I$7:L$298,3,FALSE))</f>
        <v>STEEL POLE</v>
      </c>
      <c r="H340" s="294">
        <f>IF(F340 = "NO CAPITAL", 1, VLOOKUP(D340,'Tariff Schedule Lookup Table'!I$7:L$298,4,FALSE))</f>
        <v>2</v>
      </c>
      <c r="I340" s="296">
        <f>VLOOKUP(G340,'Input data'!$A$68:$B$72,2,FALSE)</f>
        <v>9.8748837500000004</v>
      </c>
      <c r="J340" s="296">
        <f>VLOOKUP($B340,'Maintenance Costs'!$A:$AB,22,FALSE)</f>
        <v>26.828017090382705</v>
      </c>
      <c r="K340" s="296">
        <f>VLOOKUP($B340,'Maintenance Costs'!$A:$AB,28,FALSE)</f>
        <v>22.799484541395373</v>
      </c>
      <c r="L340" s="297">
        <f t="shared" si="30"/>
        <v>54.564943506778071</v>
      </c>
      <c r="M340">
        <v>86.150212312278938</v>
      </c>
      <c r="N340" s="30">
        <f t="shared" si="31"/>
        <v>-31.585268805500867</v>
      </c>
    </row>
    <row r="341" spans="1:14" x14ac:dyDescent="0.2">
      <c r="A341" s="299" t="s">
        <v>591</v>
      </c>
      <c r="B341" s="298" t="str">
        <f t="shared" si="27"/>
        <v>HPS0170-ST</v>
      </c>
      <c r="C341" s="294" t="str">
        <f>VLOOKUP(LEFT(A341,7),'Tariff Schedule Lookup Table'!$A$8:$G$198,2,FALSE)</f>
        <v>High Pressure Sodium 400</v>
      </c>
      <c r="D341" s="295">
        <f t="shared" si="28"/>
        <v>400</v>
      </c>
      <c r="E341" s="294">
        <f t="shared" si="29"/>
        <v>4</v>
      </c>
      <c r="F341" s="294" t="str">
        <f>VLOOKUP(D341,'Tariff Schedule Lookup Table'!I$7:L$298,2,FALSE)</f>
        <v>HIGH PRESSURE SODIUM 400W (310/360)</v>
      </c>
      <c r="G341" s="294" t="str">
        <f>IF(F341 = "BULKHEADS ETC", "SHARED OR NO POLE", VLOOKUP(D341,'Tariff Schedule Lookup Table'!I$7:L$298,3,FALSE))</f>
        <v>STEEL POLE</v>
      </c>
      <c r="H341" s="294">
        <f>IF(F341 = "NO CAPITAL", 1, VLOOKUP(D341,'Tariff Schedule Lookup Table'!I$7:L$298,4,FALSE))</f>
        <v>2</v>
      </c>
      <c r="I341" s="296">
        <f>VLOOKUP(G341,'Input data'!$A$68:$B$72,2,FALSE)</f>
        <v>9.8748837500000004</v>
      </c>
      <c r="J341" s="296">
        <f>VLOOKUP($B341,'Maintenance Costs'!$A:$AB,22,FALSE)</f>
        <v>26.828017090382705</v>
      </c>
      <c r="K341" s="296">
        <f>VLOOKUP($B341,'Maintenance Costs'!$A:$AB,28,FALSE)</f>
        <v>22.799484541395373</v>
      </c>
      <c r="L341" s="297">
        <f t="shared" si="30"/>
        <v>54.564943506778071</v>
      </c>
      <c r="M341">
        <v>86.150212312278938</v>
      </c>
      <c r="N341" s="30">
        <f t="shared" si="31"/>
        <v>-31.585268805500867</v>
      </c>
    </row>
    <row r="342" spans="1:14" x14ac:dyDescent="0.2">
      <c r="A342" s="299" t="s">
        <v>1225</v>
      </c>
      <c r="B342" s="298" t="str">
        <f t="shared" si="27"/>
        <v>HPS0170-ST</v>
      </c>
      <c r="C342" s="294" t="str">
        <f>VLOOKUP(LEFT(A342,7),'Tariff Schedule Lookup Table'!$A$8:$G$198,2,FALSE)</f>
        <v>High Pressure Sodium 400</v>
      </c>
      <c r="D342" s="295">
        <f t="shared" si="28"/>
        <v>440</v>
      </c>
      <c r="E342" s="294">
        <f t="shared" si="29"/>
        <v>2</v>
      </c>
      <c r="F342" s="294" t="str">
        <f>VLOOKUP(D342,'Tariff Schedule Lookup Table'!I$7:L$298,2,FALSE)</f>
        <v>HIGH PRESSURE SODIUM 400W (310/360)</v>
      </c>
      <c r="G342" s="294" t="str">
        <f>IF(F342 = "BULKHEADS ETC", "SHARED OR NO POLE", VLOOKUP(D342,'Tariff Schedule Lookup Table'!I$7:L$298,3,FALSE))</f>
        <v>STEEL POLE</v>
      </c>
      <c r="H342" s="294">
        <f>IF(F342 = "NO CAPITAL", 1, VLOOKUP(D342,'Tariff Schedule Lookup Table'!I$7:L$298,4,FALSE))</f>
        <v>3</v>
      </c>
      <c r="I342" s="296">
        <f>VLOOKUP(G342,'Input data'!$A$68:$B$72,2,FALSE)</f>
        <v>9.8748837500000004</v>
      </c>
      <c r="J342" s="296">
        <f>VLOOKUP($B342,'Maintenance Costs'!$A:$AB,22,FALSE)</f>
        <v>26.828017090382705</v>
      </c>
      <c r="K342" s="296">
        <f>VLOOKUP($B342,'Maintenance Costs'!$A:$AB,28,FALSE)</f>
        <v>22.799484541395373</v>
      </c>
      <c r="L342" s="297">
        <f t="shared" si="30"/>
        <v>52.919129548444744</v>
      </c>
      <c r="M342">
        <v>84.504398353945604</v>
      </c>
      <c r="N342" s="30">
        <f t="shared" si="31"/>
        <v>-31.58526880550086</v>
      </c>
    </row>
    <row r="343" spans="1:14" x14ac:dyDescent="0.2">
      <c r="A343" s="299" t="s">
        <v>592</v>
      </c>
      <c r="B343" s="298" t="str">
        <f t="shared" si="27"/>
        <v>HPS0170-ST</v>
      </c>
      <c r="C343" s="294" t="str">
        <f>VLOOKUP(LEFT(A343,7),'Tariff Schedule Lookup Table'!$A$8:$G$198,2,FALSE)</f>
        <v>High Pressure Sodium 400</v>
      </c>
      <c r="D343" s="295">
        <f t="shared" si="28"/>
        <v>440</v>
      </c>
      <c r="E343" s="294">
        <f t="shared" si="29"/>
        <v>4</v>
      </c>
      <c r="F343" s="294" t="str">
        <f>VLOOKUP(D343,'Tariff Schedule Lookup Table'!I$7:L$298,2,FALSE)</f>
        <v>HIGH PRESSURE SODIUM 400W (310/360)</v>
      </c>
      <c r="G343" s="294" t="str">
        <f>IF(F343 = "BULKHEADS ETC", "SHARED OR NO POLE", VLOOKUP(D343,'Tariff Schedule Lookup Table'!I$7:L$298,3,FALSE))</f>
        <v>STEEL POLE</v>
      </c>
      <c r="H343" s="294">
        <f>IF(F343 = "NO CAPITAL", 1, VLOOKUP(D343,'Tariff Schedule Lookup Table'!I$7:L$298,4,FALSE))</f>
        <v>3</v>
      </c>
      <c r="I343" s="296">
        <f>VLOOKUP(G343,'Input data'!$A$68:$B$72,2,FALSE)</f>
        <v>9.8748837500000004</v>
      </c>
      <c r="J343" s="296">
        <f>VLOOKUP($B343,'Maintenance Costs'!$A:$AB,22,FALSE)</f>
        <v>26.828017090382705</v>
      </c>
      <c r="K343" s="296">
        <f>VLOOKUP($B343,'Maintenance Costs'!$A:$AB,28,FALSE)</f>
        <v>22.799484541395373</v>
      </c>
      <c r="L343" s="297">
        <f t="shared" si="30"/>
        <v>52.919129548444744</v>
      </c>
      <c r="M343">
        <v>84.504398353945604</v>
      </c>
      <c r="N343" s="30">
        <f t="shared" si="31"/>
        <v>-31.58526880550086</v>
      </c>
    </row>
    <row r="344" spans="1:14" x14ac:dyDescent="0.2">
      <c r="A344" s="299" t="s">
        <v>1226</v>
      </c>
      <c r="B344" s="298" t="str">
        <f t="shared" si="27"/>
        <v>HPS0170-ST</v>
      </c>
      <c r="C344" s="294" t="str">
        <f>VLOOKUP(LEFT(A344,7),'Tariff Schedule Lookup Table'!$A$8:$G$198,2,FALSE)</f>
        <v>High Pressure Sodium 400</v>
      </c>
      <c r="D344" s="295">
        <f t="shared" si="28"/>
        <v>480</v>
      </c>
      <c r="E344" s="294">
        <f t="shared" si="29"/>
        <v>2</v>
      </c>
      <c r="F344" s="294" t="str">
        <f>VLOOKUP(D344,'Tariff Schedule Lookup Table'!I$7:L$298,2,FALSE)</f>
        <v>HIGH PRESSURE SODIUM 400W (310/360)</v>
      </c>
      <c r="G344" s="294" t="str">
        <f>IF(F344 = "BULKHEADS ETC", "SHARED OR NO POLE", VLOOKUP(D344,'Tariff Schedule Lookup Table'!I$7:L$298,3,FALSE))</f>
        <v>STEEL POLE</v>
      </c>
      <c r="H344" s="294">
        <f>IF(F344 = "NO CAPITAL", 1, VLOOKUP(D344,'Tariff Schedule Lookup Table'!I$7:L$298,4,FALSE))</f>
        <v>4</v>
      </c>
      <c r="I344" s="296">
        <f>VLOOKUP(G344,'Input data'!$A$68:$B$72,2,FALSE)</f>
        <v>9.8748837500000004</v>
      </c>
      <c r="J344" s="296">
        <f>VLOOKUP($B344,'Maintenance Costs'!$A:$AB,22,FALSE)</f>
        <v>26.828017090382705</v>
      </c>
      <c r="K344" s="296">
        <f>VLOOKUP($B344,'Maintenance Costs'!$A:$AB,28,FALSE)</f>
        <v>22.799484541395373</v>
      </c>
      <c r="L344" s="297">
        <f t="shared" si="30"/>
        <v>52.096222569278076</v>
      </c>
      <c r="M344">
        <v>83.681491374778929</v>
      </c>
      <c r="N344" s="30">
        <f t="shared" si="31"/>
        <v>-31.585268805500853</v>
      </c>
    </row>
    <row r="345" spans="1:14" x14ac:dyDescent="0.2">
      <c r="A345" s="299" t="s">
        <v>593</v>
      </c>
      <c r="B345" s="298" t="str">
        <f t="shared" si="27"/>
        <v>HPS0170-ST</v>
      </c>
      <c r="C345" s="294" t="str">
        <f>VLOOKUP(LEFT(A345,7),'Tariff Schedule Lookup Table'!$A$8:$G$198,2,FALSE)</f>
        <v>High Pressure Sodium 400</v>
      </c>
      <c r="D345" s="295">
        <f t="shared" si="28"/>
        <v>480</v>
      </c>
      <c r="E345" s="294">
        <f t="shared" si="29"/>
        <v>4</v>
      </c>
      <c r="F345" s="294" t="str">
        <f>VLOOKUP(D345,'Tariff Schedule Lookup Table'!I$7:L$298,2,FALSE)</f>
        <v>HIGH PRESSURE SODIUM 400W (310/360)</v>
      </c>
      <c r="G345" s="294" t="str">
        <f>IF(F345 = "BULKHEADS ETC", "SHARED OR NO POLE", VLOOKUP(D345,'Tariff Schedule Lookup Table'!I$7:L$298,3,FALSE))</f>
        <v>STEEL POLE</v>
      </c>
      <c r="H345" s="294">
        <f>IF(F345 = "NO CAPITAL", 1, VLOOKUP(D345,'Tariff Schedule Lookup Table'!I$7:L$298,4,FALSE))</f>
        <v>4</v>
      </c>
      <c r="I345" s="296">
        <f>VLOOKUP(G345,'Input data'!$A$68:$B$72,2,FALSE)</f>
        <v>9.8748837500000004</v>
      </c>
      <c r="J345" s="296">
        <f>VLOOKUP($B345,'Maintenance Costs'!$A:$AB,22,FALSE)</f>
        <v>26.828017090382705</v>
      </c>
      <c r="K345" s="296">
        <f>VLOOKUP($B345,'Maintenance Costs'!$A:$AB,28,FALSE)</f>
        <v>22.799484541395373</v>
      </c>
      <c r="L345" s="297">
        <f t="shared" si="30"/>
        <v>52.096222569278076</v>
      </c>
      <c r="M345">
        <v>83.681491374778929</v>
      </c>
      <c r="N345" s="30">
        <f t="shared" si="31"/>
        <v>-31.585268805500853</v>
      </c>
    </row>
    <row r="346" spans="1:14" x14ac:dyDescent="0.2">
      <c r="A346" s="299" t="s">
        <v>1227</v>
      </c>
      <c r="B346" s="298" t="str">
        <f t="shared" si="27"/>
        <v>HPS0170-ST</v>
      </c>
      <c r="C346" s="294" t="str">
        <f>VLOOKUP(LEFT(A346,7),'Tariff Schedule Lookup Table'!$A$8:$G$198,2,FALSE)</f>
        <v>High Pressure Sodium 400</v>
      </c>
      <c r="D346" s="295">
        <f t="shared" si="28"/>
        <v>560</v>
      </c>
      <c r="E346" s="294">
        <f t="shared" si="29"/>
        <v>2</v>
      </c>
      <c r="F346" s="294" t="str">
        <f>VLOOKUP(D346,'Tariff Schedule Lookup Table'!I$7:L$298,2,FALSE)</f>
        <v>HIGH PRESSURE SODIUM 400W (310/360)</v>
      </c>
      <c r="G346" s="294" t="str">
        <f>IF(F346 = "BULKHEADS ETC", "SHARED OR NO POLE", VLOOKUP(D346,'Tariff Schedule Lookup Table'!I$7:L$298,3,FALSE))</f>
        <v>R/BOUT COLUMN</v>
      </c>
      <c r="H346" s="294">
        <f>IF(F346 = "NO CAPITAL", 1, VLOOKUP(D346,'Tariff Schedule Lookup Table'!I$7:L$298,4,FALSE))</f>
        <v>3</v>
      </c>
      <c r="I346" s="296">
        <f>VLOOKUP(G346,'Input data'!$A$68:$B$72,2,FALSE)</f>
        <v>9.8748837500000004</v>
      </c>
      <c r="J346" s="296">
        <f>VLOOKUP($B346,'Maintenance Costs'!$A:$AB,22,FALSE)</f>
        <v>26.828017090382705</v>
      </c>
      <c r="K346" s="296">
        <f>VLOOKUP($B346,'Maintenance Costs'!$A:$AB,28,FALSE)</f>
        <v>22.799484541395373</v>
      </c>
      <c r="L346" s="297">
        <f t="shared" si="30"/>
        <v>52.919129548444744</v>
      </c>
      <c r="M346">
        <v>84.504398353945604</v>
      </c>
      <c r="N346" s="30">
        <f t="shared" si="31"/>
        <v>-31.58526880550086</v>
      </c>
    </row>
    <row r="347" spans="1:14" x14ac:dyDescent="0.2">
      <c r="A347" s="299" t="s">
        <v>594</v>
      </c>
      <c r="B347" s="298" t="str">
        <f t="shared" si="27"/>
        <v>HPS0170-ST</v>
      </c>
      <c r="C347" s="294" t="str">
        <f>VLOOKUP(LEFT(A347,7),'Tariff Schedule Lookup Table'!$A$8:$G$198,2,FALSE)</f>
        <v>High Pressure Sodium 400</v>
      </c>
      <c r="D347" s="295">
        <f t="shared" si="28"/>
        <v>560</v>
      </c>
      <c r="E347" s="294">
        <f t="shared" si="29"/>
        <v>4</v>
      </c>
      <c r="F347" s="294" t="str">
        <f>VLOOKUP(D347,'Tariff Schedule Lookup Table'!I$7:L$298,2,FALSE)</f>
        <v>HIGH PRESSURE SODIUM 400W (310/360)</v>
      </c>
      <c r="G347" s="294" t="str">
        <f>IF(F347 = "BULKHEADS ETC", "SHARED OR NO POLE", VLOOKUP(D347,'Tariff Schedule Lookup Table'!I$7:L$298,3,FALSE))</f>
        <v>R/BOUT COLUMN</v>
      </c>
      <c r="H347" s="294">
        <f>IF(F347 = "NO CAPITAL", 1, VLOOKUP(D347,'Tariff Schedule Lookup Table'!I$7:L$298,4,FALSE))</f>
        <v>3</v>
      </c>
      <c r="I347" s="296">
        <f>VLOOKUP(G347,'Input data'!$A$68:$B$72,2,FALSE)</f>
        <v>9.8748837500000004</v>
      </c>
      <c r="J347" s="296">
        <f>VLOOKUP($B347,'Maintenance Costs'!$A:$AB,22,FALSE)</f>
        <v>26.828017090382705</v>
      </c>
      <c r="K347" s="296">
        <f>VLOOKUP($B347,'Maintenance Costs'!$A:$AB,28,FALSE)</f>
        <v>22.799484541395373</v>
      </c>
      <c r="L347" s="297">
        <f t="shared" si="30"/>
        <v>52.919129548444744</v>
      </c>
      <c r="M347">
        <v>84.504398353945604</v>
      </c>
      <c r="N347" s="30">
        <f t="shared" si="31"/>
        <v>-31.58526880550086</v>
      </c>
    </row>
    <row r="348" spans="1:14" x14ac:dyDescent="0.2">
      <c r="A348" s="299" t="s">
        <v>1228</v>
      </c>
      <c r="B348" s="298" t="str">
        <f t="shared" si="27"/>
        <v>HPS0170-ST</v>
      </c>
      <c r="C348" s="294" t="str">
        <f>VLOOKUP(LEFT(A348,7),'Tariff Schedule Lookup Table'!$A$8:$G$198,2,FALSE)</f>
        <v>High Pressure Sodium 400</v>
      </c>
      <c r="D348" s="295">
        <f t="shared" si="28"/>
        <v>600</v>
      </c>
      <c r="E348" s="294">
        <f t="shared" si="29"/>
        <v>1</v>
      </c>
      <c r="F348" s="294" t="str">
        <f>VLOOKUP(D348,'Tariff Schedule Lookup Table'!I$7:L$298,2,FALSE)</f>
        <v>HIGH PRESSURE SODIUM 400W (310/360)</v>
      </c>
      <c r="G348" s="294" t="str">
        <f>IF(F348 = "BULKHEADS ETC", "SHARED OR NO POLE", VLOOKUP(D348,'Tariff Schedule Lookup Table'!I$7:L$298,3,FALSE))</f>
        <v>R/BOUT COLUMN</v>
      </c>
      <c r="H348" s="294">
        <f>IF(F348 = "NO CAPITAL", 1, VLOOKUP(D348,'Tariff Schedule Lookup Table'!I$7:L$298,4,FALSE))</f>
        <v>4</v>
      </c>
      <c r="I348" s="296">
        <f>VLOOKUP(G348,'Input data'!$A$68:$B$72,2,FALSE)</f>
        <v>9.8748837500000004</v>
      </c>
      <c r="J348" s="296">
        <f>VLOOKUP($B348,'Maintenance Costs'!$A:$AB,22,FALSE)</f>
        <v>26.828017090382705</v>
      </c>
      <c r="K348" s="296">
        <f>VLOOKUP($B348,'Maintenance Costs'!$A:$AB,28,FALSE)</f>
        <v>22.799484541395373</v>
      </c>
      <c r="L348" s="297">
        <f t="shared" si="30"/>
        <v>52.096222569278076</v>
      </c>
      <c r="M348">
        <v>83.681491374778929</v>
      </c>
      <c r="N348" s="30">
        <f t="shared" si="31"/>
        <v>-31.585268805500853</v>
      </c>
    </row>
    <row r="349" spans="1:14" x14ac:dyDescent="0.2">
      <c r="A349" s="299" t="s">
        <v>1229</v>
      </c>
      <c r="B349" s="298" t="str">
        <f t="shared" si="27"/>
        <v>HPS0170-ST</v>
      </c>
      <c r="C349" s="294" t="str">
        <f>VLOOKUP(LEFT(A349,7),'Tariff Schedule Lookup Table'!$A$8:$G$198,2,FALSE)</f>
        <v>High Pressure Sodium 400</v>
      </c>
      <c r="D349" s="295">
        <f t="shared" si="28"/>
        <v>600</v>
      </c>
      <c r="E349" s="294">
        <f t="shared" si="29"/>
        <v>2</v>
      </c>
      <c r="F349" s="294" t="str">
        <f>VLOOKUP(D349,'Tariff Schedule Lookup Table'!I$7:L$298,2,FALSE)</f>
        <v>HIGH PRESSURE SODIUM 400W (310/360)</v>
      </c>
      <c r="G349" s="294" t="str">
        <f>IF(F349 = "BULKHEADS ETC", "SHARED OR NO POLE", VLOOKUP(D349,'Tariff Schedule Lookup Table'!I$7:L$298,3,FALSE))</f>
        <v>R/BOUT COLUMN</v>
      </c>
      <c r="H349" s="294">
        <f>IF(F349 = "NO CAPITAL", 1, VLOOKUP(D349,'Tariff Schedule Lookup Table'!I$7:L$298,4,FALSE))</f>
        <v>4</v>
      </c>
      <c r="I349" s="296">
        <f>VLOOKUP(G349,'Input data'!$A$68:$B$72,2,FALSE)</f>
        <v>9.8748837500000004</v>
      </c>
      <c r="J349" s="296">
        <f>VLOOKUP($B349,'Maintenance Costs'!$A:$AB,22,FALSE)</f>
        <v>26.828017090382705</v>
      </c>
      <c r="K349" s="296">
        <f>VLOOKUP($B349,'Maintenance Costs'!$A:$AB,28,FALSE)</f>
        <v>22.799484541395373</v>
      </c>
      <c r="L349" s="297">
        <f t="shared" si="30"/>
        <v>52.096222569278076</v>
      </c>
      <c r="M349">
        <v>83.681491374778929</v>
      </c>
      <c r="N349" s="30">
        <f t="shared" si="31"/>
        <v>-31.585268805500853</v>
      </c>
    </row>
    <row r="350" spans="1:14" x14ac:dyDescent="0.2">
      <c r="A350" s="299" t="s">
        <v>595</v>
      </c>
      <c r="B350" s="298" t="str">
        <f t="shared" si="27"/>
        <v>HPS0170-ST</v>
      </c>
      <c r="C350" s="294" t="str">
        <f>VLOOKUP(LEFT(A350,7),'Tariff Schedule Lookup Table'!$A$8:$G$198,2,FALSE)</f>
        <v>High Pressure Sodium 400</v>
      </c>
      <c r="D350" s="295">
        <f t="shared" si="28"/>
        <v>600</v>
      </c>
      <c r="E350" s="294">
        <f t="shared" si="29"/>
        <v>4</v>
      </c>
      <c r="F350" s="294" t="str">
        <f>VLOOKUP(D350,'Tariff Schedule Lookup Table'!I$7:L$298,2,FALSE)</f>
        <v>HIGH PRESSURE SODIUM 400W (310/360)</v>
      </c>
      <c r="G350" s="294" t="str">
        <f>IF(F350 = "BULKHEADS ETC", "SHARED OR NO POLE", VLOOKUP(D350,'Tariff Schedule Lookup Table'!I$7:L$298,3,FALSE))</f>
        <v>R/BOUT COLUMN</v>
      </c>
      <c r="H350" s="294">
        <f>IF(F350 = "NO CAPITAL", 1, VLOOKUP(D350,'Tariff Schedule Lookup Table'!I$7:L$298,4,FALSE))</f>
        <v>4</v>
      </c>
      <c r="I350" s="296">
        <f>VLOOKUP(G350,'Input data'!$A$68:$B$72,2,FALSE)</f>
        <v>9.8748837500000004</v>
      </c>
      <c r="J350" s="296">
        <f>VLOOKUP($B350,'Maintenance Costs'!$A:$AB,22,FALSE)</f>
        <v>26.828017090382705</v>
      </c>
      <c r="K350" s="296">
        <f>VLOOKUP($B350,'Maintenance Costs'!$A:$AB,28,FALSE)</f>
        <v>22.799484541395373</v>
      </c>
      <c r="L350" s="297">
        <f t="shared" si="30"/>
        <v>52.096222569278076</v>
      </c>
      <c r="M350">
        <v>83.681491374778929</v>
      </c>
      <c r="N350" s="30">
        <f t="shared" si="31"/>
        <v>-31.585268805500853</v>
      </c>
    </row>
    <row r="351" spans="1:14" x14ac:dyDescent="0.2">
      <c r="A351" s="299" t="s">
        <v>1230</v>
      </c>
      <c r="B351" s="298" t="str">
        <f t="shared" si="27"/>
        <v>HPS0170-ST</v>
      </c>
      <c r="C351" s="294" t="str">
        <f>VLOOKUP(LEFT(A351,7),'Tariff Schedule Lookup Table'!$A$8:$G$198,2,FALSE)</f>
        <v>High Pressure Sodium 400</v>
      </c>
      <c r="D351" s="295">
        <f t="shared" si="28"/>
        <v>620</v>
      </c>
      <c r="E351" s="294">
        <f t="shared" si="29"/>
        <v>1</v>
      </c>
      <c r="F351" s="294" t="str">
        <f>VLOOKUP(D351,'Tariff Schedule Lookup Table'!I$7:L$298,2,FALSE)</f>
        <v>METAL HALIDE/HPS 400W FLOOD (310/360)</v>
      </c>
      <c r="G351" s="294" t="str">
        <f>IF(F351 = "BULKHEADS ETC", "SHARED OR NO POLE", VLOOKUP(D351,'Tariff Schedule Lookup Table'!I$7:L$298,3,FALSE))</f>
        <v>SHARED OR NO POLE</v>
      </c>
      <c r="H351" s="294">
        <f>IF(F351 = "NO CAPITAL", 1, VLOOKUP(D351,'Tariff Schedule Lookup Table'!I$7:L$298,4,FALSE))</f>
        <v>1</v>
      </c>
      <c r="I351" s="296">
        <f>VLOOKUP(G351,'Input data'!$A$68:$B$72,2,FALSE)</f>
        <v>0</v>
      </c>
      <c r="J351" s="296">
        <f>VLOOKUP($B351,'Maintenance Costs'!$A:$AB,22,FALSE)</f>
        <v>26.828017090382705</v>
      </c>
      <c r="K351" s="296">
        <f>VLOOKUP($B351,'Maintenance Costs'!$A:$AB,28,FALSE)</f>
        <v>22.799484541395373</v>
      </c>
      <c r="L351" s="297">
        <f t="shared" si="30"/>
        <v>49.627501631778074</v>
      </c>
      <c r="M351">
        <v>81.212770437278934</v>
      </c>
      <c r="N351" s="30">
        <f t="shared" si="31"/>
        <v>-31.58526880550086</v>
      </c>
    </row>
    <row r="352" spans="1:14" x14ac:dyDescent="0.2">
      <c r="A352" s="299" t="s">
        <v>1231</v>
      </c>
      <c r="B352" s="298" t="str">
        <f t="shared" si="27"/>
        <v>HPS0170-ST</v>
      </c>
      <c r="C352" s="294" t="str">
        <f>VLOOKUP(LEFT(A352,7),'Tariff Schedule Lookup Table'!$A$8:$G$198,2,FALSE)</f>
        <v>High Pressure Sodium 400</v>
      </c>
      <c r="D352" s="295">
        <f t="shared" si="28"/>
        <v>620</v>
      </c>
      <c r="E352" s="294">
        <f t="shared" si="29"/>
        <v>2</v>
      </c>
      <c r="F352" s="294" t="str">
        <f>VLOOKUP(D352,'Tariff Schedule Lookup Table'!I$7:L$298,2,FALSE)</f>
        <v>METAL HALIDE/HPS 400W FLOOD (310/360)</v>
      </c>
      <c r="G352" s="294" t="str">
        <f>IF(F352 = "BULKHEADS ETC", "SHARED OR NO POLE", VLOOKUP(D352,'Tariff Schedule Lookup Table'!I$7:L$298,3,FALSE))</f>
        <v>SHARED OR NO POLE</v>
      </c>
      <c r="H352" s="294">
        <f>IF(F352 = "NO CAPITAL", 1, VLOOKUP(D352,'Tariff Schedule Lookup Table'!I$7:L$298,4,FALSE))</f>
        <v>1</v>
      </c>
      <c r="I352" s="296">
        <f>VLOOKUP(G352,'Input data'!$A$68:$B$72,2,FALSE)</f>
        <v>0</v>
      </c>
      <c r="J352" s="296">
        <f>VLOOKUP($B352,'Maintenance Costs'!$A:$AB,22,FALSE)</f>
        <v>26.828017090382705</v>
      </c>
      <c r="K352" s="296">
        <f>VLOOKUP($B352,'Maintenance Costs'!$A:$AB,28,FALSE)</f>
        <v>22.799484541395373</v>
      </c>
      <c r="L352" s="297">
        <f t="shared" si="30"/>
        <v>49.627501631778074</v>
      </c>
      <c r="M352">
        <v>81.212770437278934</v>
      </c>
      <c r="N352" s="30">
        <f t="shared" si="31"/>
        <v>-31.58526880550086</v>
      </c>
    </row>
    <row r="353" spans="1:14" x14ac:dyDescent="0.2">
      <c r="A353" s="299" t="s">
        <v>1232</v>
      </c>
      <c r="B353" s="298" t="str">
        <f t="shared" si="27"/>
        <v>HPS0170-ST</v>
      </c>
      <c r="C353" s="294" t="str">
        <f>VLOOKUP(LEFT(A353,7),'Tariff Schedule Lookup Table'!$A$8:$G$198,2,FALSE)</f>
        <v>High Pressure Sodium 400</v>
      </c>
      <c r="D353" s="295">
        <f t="shared" si="28"/>
        <v>620</v>
      </c>
      <c r="E353" s="294">
        <f t="shared" si="29"/>
        <v>3</v>
      </c>
      <c r="F353" s="294" t="str">
        <f>VLOOKUP(D353,'Tariff Schedule Lookup Table'!I$7:L$298,2,FALSE)</f>
        <v>METAL HALIDE/HPS 400W FLOOD (310/360)</v>
      </c>
      <c r="G353" s="294" t="str">
        <f>IF(F353 = "BULKHEADS ETC", "SHARED OR NO POLE", VLOOKUP(D353,'Tariff Schedule Lookup Table'!I$7:L$298,3,FALSE))</f>
        <v>SHARED OR NO POLE</v>
      </c>
      <c r="H353" s="294">
        <f>IF(F353 = "NO CAPITAL", 1, VLOOKUP(D353,'Tariff Schedule Lookup Table'!I$7:L$298,4,FALSE))</f>
        <v>1</v>
      </c>
      <c r="I353" s="296">
        <f>VLOOKUP(G353,'Input data'!$A$68:$B$72,2,FALSE)</f>
        <v>0</v>
      </c>
      <c r="J353" s="296">
        <f>VLOOKUP($B353,'Maintenance Costs'!$A:$AB,22,FALSE)</f>
        <v>26.828017090382705</v>
      </c>
      <c r="K353" s="296">
        <f>VLOOKUP($B353,'Maintenance Costs'!$A:$AB,28,FALSE)</f>
        <v>22.799484541395373</v>
      </c>
      <c r="L353" s="297">
        <f t="shared" si="30"/>
        <v>49.627501631778074</v>
      </c>
      <c r="M353">
        <v>81.212770437278934</v>
      </c>
      <c r="N353" s="30">
        <f t="shared" si="31"/>
        <v>-31.58526880550086</v>
      </c>
    </row>
    <row r="354" spans="1:14" x14ac:dyDescent="0.2">
      <c r="A354" s="299" t="s">
        <v>596</v>
      </c>
      <c r="B354" s="298" t="str">
        <f t="shared" si="27"/>
        <v>HPS0170-ST</v>
      </c>
      <c r="C354" s="294" t="str">
        <f>VLOOKUP(LEFT(A354,7),'Tariff Schedule Lookup Table'!$A$8:$G$198,2,FALSE)</f>
        <v>High Pressure Sodium 400</v>
      </c>
      <c r="D354" s="295">
        <f t="shared" si="28"/>
        <v>620</v>
      </c>
      <c r="E354" s="294">
        <f t="shared" si="29"/>
        <v>4</v>
      </c>
      <c r="F354" s="294" t="str">
        <f>VLOOKUP(D354,'Tariff Schedule Lookup Table'!I$7:L$298,2,FALSE)</f>
        <v>METAL HALIDE/HPS 400W FLOOD (310/360)</v>
      </c>
      <c r="G354" s="294" t="str">
        <f>IF(F354 = "BULKHEADS ETC", "SHARED OR NO POLE", VLOOKUP(D354,'Tariff Schedule Lookup Table'!I$7:L$298,3,FALSE))</f>
        <v>SHARED OR NO POLE</v>
      </c>
      <c r="H354" s="294">
        <f>IF(F354 = "NO CAPITAL", 1, VLOOKUP(D354,'Tariff Schedule Lookup Table'!I$7:L$298,4,FALSE))</f>
        <v>1</v>
      </c>
      <c r="I354" s="296">
        <f>VLOOKUP(G354,'Input data'!$A$68:$B$72,2,FALSE)</f>
        <v>0</v>
      </c>
      <c r="J354" s="296">
        <f>VLOOKUP($B354,'Maintenance Costs'!$A:$AB,22,FALSE)</f>
        <v>26.828017090382705</v>
      </c>
      <c r="K354" s="296">
        <f>VLOOKUP($B354,'Maintenance Costs'!$A:$AB,28,FALSE)</f>
        <v>22.799484541395373</v>
      </c>
      <c r="L354" s="297">
        <f t="shared" si="30"/>
        <v>49.627501631778074</v>
      </c>
      <c r="M354">
        <v>81.212770437278934</v>
      </c>
      <c r="N354" s="30">
        <f t="shared" si="31"/>
        <v>-31.58526880550086</v>
      </c>
    </row>
    <row r="355" spans="1:14" x14ac:dyDescent="0.2">
      <c r="A355" s="299" t="s">
        <v>1233</v>
      </c>
      <c r="B355" s="298" t="str">
        <f t="shared" si="27"/>
        <v>HPS0170-ST</v>
      </c>
      <c r="C355" s="294" t="str">
        <f>VLOOKUP(LEFT(A355,7),'Tariff Schedule Lookup Table'!$A$8:$G$198,2,FALSE)</f>
        <v>High Pressure Sodium 400</v>
      </c>
      <c r="D355" s="295">
        <f t="shared" si="28"/>
        <v>660</v>
      </c>
      <c r="E355" s="294">
        <f t="shared" si="29"/>
        <v>1</v>
      </c>
      <c r="F355" s="294" t="str">
        <f>VLOOKUP(D355,'Tariff Schedule Lookup Table'!I$7:L$298,2,FALSE)</f>
        <v>METAL HALIDE/HPS 400W FLOOD (310/360)</v>
      </c>
      <c r="G355" s="294" t="str">
        <f>IF(F355 = "BULKHEADS ETC", "SHARED OR NO POLE", VLOOKUP(D355,'Tariff Schedule Lookup Table'!I$7:L$298,3,FALSE))</f>
        <v>SHARED OR NO POLE</v>
      </c>
      <c r="H355" s="294">
        <f>IF(F355 = "NO CAPITAL", 1, VLOOKUP(D355,'Tariff Schedule Lookup Table'!I$7:L$298,4,FALSE))</f>
        <v>2</v>
      </c>
      <c r="I355" s="296">
        <f>VLOOKUP(G355,'Input data'!$A$68:$B$72,2,FALSE)</f>
        <v>0</v>
      </c>
      <c r="J355" s="296">
        <f>VLOOKUP($B355,'Maintenance Costs'!$A:$AB,22,FALSE)</f>
        <v>26.828017090382705</v>
      </c>
      <c r="K355" s="296">
        <f>VLOOKUP($B355,'Maintenance Costs'!$A:$AB,28,FALSE)</f>
        <v>22.799484541395373</v>
      </c>
      <c r="L355" s="297">
        <f t="shared" si="30"/>
        <v>49.627501631778074</v>
      </c>
      <c r="M355">
        <v>81.212770437278934</v>
      </c>
      <c r="N355" s="30">
        <f t="shared" si="31"/>
        <v>-31.58526880550086</v>
      </c>
    </row>
    <row r="356" spans="1:14" x14ac:dyDescent="0.2">
      <c r="A356" s="299" t="s">
        <v>1234</v>
      </c>
      <c r="B356" s="298" t="str">
        <f t="shared" si="27"/>
        <v>HPS0170-ST</v>
      </c>
      <c r="C356" s="294" t="str">
        <f>VLOOKUP(LEFT(A356,7),'Tariff Schedule Lookup Table'!$A$8:$G$198,2,FALSE)</f>
        <v>High Pressure Sodium 400</v>
      </c>
      <c r="D356" s="295">
        <f t="shared" si="28"/>
        <v>660</v>
      </c>
      <c r="E356" s="294">
        <f t="shared" si="29"/>
        <v>2</v>
      </c>
      <c r="F356" s="294" t="str">
        <f>VLOOKUP(D356,'Tariff Schedule Lookup Table'!I$7:L$298,2,FALSE)</f>
        <v>METAL HALIDE/HPS 400W FLOOD (310/360)</v>
      </c>
      <c r="G356" s="294" t="str">
        <f>IF(F356 = "BULKHEADS ETC", "SHARED OR NO POLE", VLOOKUP(D356,'Tariff Schedule Lookup Table'!I$7:L$298,3,FALSE))</f>
        <v>SHARED OR NO POLE</v>
      </c>
      <c r="H356" s="294">
        <f>IF(F356 = "NO CAPITAL", 1, VLOOKUP(D356,'Tariff Schedule Lookup Table'!I$7:L$298,4,FALSE))</f>
        <v>2</v>
      </c>
      <c r="I356" s="296">
        <f>VLOOKUP(G356,'Input data'!$A$68:$B$72,2,FALSE)</f>
        <v>0</v>
      </c>
      <c r="J356" s="296">
        <f>VLOOKUP($B356,'Maintenance Costs'!$A:$AB,22,FALSE)</f>
        <v>26.828017090382705</v>
      </c>
      <c r="K356" s="296">
        <f>VLOOKUP($B356,'Maintenance Costs'!$A:$AB,28,FALSE)</f>
        <v>22.799484541395373</v>
      </c>
      <c r="L356" s="297">
        <f t="shared" si="30"/>
        <v>49.627501631778074</v>
      </c>
      <c r="M356">
        <v>81.212770437278934</v>
      </c>
      <c r="N356" s="30">
        <f t="shared" si="31"/>
        <v>-31.58526880550086</v>
      </c>
    </row>
    <row r="357" spans="1:14" x14ac:dyDescent="0.2">
      <c r="A357" s="299" t="s">
        <v>597</v>
      </c>
      <c r="B357" s="298" t="str">
        <f t="shared" si="27"/>
        <v>HPS0170-ST</v>
      </c>
      <c r="C357" s="294" t="str">
        <f>VLOOKUP(LEFT(A357,7),'Tariff Schedule Lookup Table'!$A$8:$G$198,2,FALSE)</f>
        <v>High Pressure Sodium 400</v>
      </c>
      <c r="D357" s="295">
        <f t="shared" si="28"/>
        <v>660</v>
      </c>
      <c r="E357" s="294">
        <f t="shared" si="29"/>
        <v>4</v>
      </c>
      <c r="F357" s="294" t="str">
        <f>VLOOKUP(D357,'Tariff Schedule Lookup Table'!I$7:L$298,2,FALSE)</f>
        <v>METAL HALIDE/HPS 400W FLOOD (310/360)</v>
      </c>
      <c r="G357" s="294" t="str">
        <f>IF(F357 = "BULKHEADS ETC", "SHARED OR NO POLE", VLOOKUP(D357,'Tariff Schedule Lookup Table'!I$7:L$298,3,FALSE))</f>
        <v>SHARED OR NO POLE</v>
      </c>
      <c r="H357" s="294">
        <f>IF(F357 = "NO CAPITAL", 1, VLOOKUP(D357,'Tariff Schedule Lookup Table'!I$7:L$298,4,FALSE))</f>
        <v>2</v>
      </c>
      <c r="I357" s="296">
        <f>VLOOKUP(G357,'Input data'!$A$68:$B$72,2,FALSE)</f>
        <v>0</v>
      </c>
      <c r="J357" s="296">
        <f>VLOOKUP($B357,'Maintenance Costs'!$A:$AB,22,FALSE)</f>
        <v>26.828017090382705</v>
      </c>
      <c r="K357" s="296">
        <f>VLOOKUP($B357,'Maintenance Costs'!$A:$AB,28,FALSE)</f>
        <v>22.799484541395373</v>
      </c>
      <c r="L357" s="297">
        <f t="shared" si="30"/>
        <v>49.627501631778074</v>
      </c>
      <c r="M357">
        <v>81.212770437278934</v>
      </c>
      <c r="N357" s="30">
        <f t="shared" si="31"/>
        <v>-31.58526880550086</v>
      </c>
    </row>
    <row r="358" spans="1:14" x14ac:dyDescent="0.2">
      <c r="A358" s="299" t="s">
        <v>1235</v>
      </c>
      <c r="B358" s="298" t="str">
        <f t="shared" si="27"/>
        <v>HPS0170-ST</v>
      </c>
      <c r="C358" s="294" t="str">
        <f>VLOOKUP(LEFT(A358,7),'Tariff Schedule Lookup Table'!$A$8:$G$198,2,FALSE)</f>
        <v>High Pressure Sodium 400</v>
      </c>
      <c r="D358" s="295">
        <f t="shared" si="28"/>
        <v>770</v>
      </c>
      <c r="E358" s="294">
        <f t="shared" si="29"/>
        <v>1</v>
      </c>
      <c r="F358" s="294" t="str">
        <f>VLOOKUP(D358,'Tariff Schedule Lookup Table'!I$7:L$298,2,FALSE)</f>
        <v>HIGH PRESSURE SODIUM 400W (310/360)</v>
      </c>
      <c r="G358" s="294" t="str">
        <f>IF(F358 = "BULKHEADS ETC", "SHARED OR NO POLE", VLOOKUP(D358,'Tariff Schedule Lookup Table'!I$7:L$298,3,FALSE))</f>
        <v>WOOD POLE</v>
      </c>
      <c r="H358" s="294">
        <f>IF(F358 = "NO CAPITAL", 1, VLOOKUP(D358,'Tariff Schedule Lookup Table'!I$7:L$298,4,FALSE))</f>
        <v>2</v>
      </c>
      <c r="I358" s="296">
        <f>VLOOKUP(G358,'Input data'!$A$68:$B$72,2,FALSE)</f>
        <v>10.809914000000001</v>
      </c>
      <c r="J358" s="296">
        <f>VLOOKUP($B358,'Maintenance Costs'!$A:$AB,22,FALSE)</f>
        <v>26.828017090382705</v>
      </c>
      <c r="K358" s="296">
        <f>VLOOKUP($B358,'Maintenance Costs'!$A:$AB,28,FALSE)</f>
        <v>22.799484541395373</v>
      </c>
      <c r="L358" s="297">
        <f t="shared" si="30"/>
        <v>55.032458631778077</v>
      </c>
      <c r="M358">
        <v>86.61772743727893</v>
      </c>
      <c r="N358" s="30">
        <f t="shared" si="31"/>
        <v>-31.585268805500853</v>
      </c>
    </row>
    <row r="359" spans="1:14" x14ac:dyDescent="0.2">
      <c r="A359" s="299" t="s">
        <v>1236</v>
      </c>
      <c r="B359" s="298" t="str">
        <f t="shared" si="27"/>
        <v>HPS0170-ST</v>
      </c>
      <c r="C359" s="294" t="str">
        <f>VLOOKUP(LEFT(A359,7),'Tariff Schedule Lookup Table'!$A$8:$G$198,2,FALSE)</f>
        <v>High Pressure Sodium 400</v>
      </c>
      <c r="D359" s="295">
        <f t="shared" si="28"/>
        <v>770</v>
      </c>
      <c r="E359" s="294">
        <f t="shared" si="29"/>
        <v>2</v>
      </c>
      <c r="F359" s="294" t="str">
        <f>VLOOKUP(D359,'Tariff Schedule Lookup Table'!I$7:L$298,2,FALSE)</f>
        <v>HIGH PRESSURE SODIUM 400W (310/360)</v>
      </c>
      <c r="G359" s="294" t="str">
        <f>IF(F359 = "BULKHEADS ETC", "SHARED OR NO POLE", VLOOKUP(D359,'Tariff Schedule Lookup Table'!I$7:L$298,3,FALSE))</f>
        <v>WOOD POLE</v>
      </c>
      <c r="H359" s="294">
        <f>IF(F359 = "NO CAPITAL", 1, VLOOKUP(D359,'Tariff Schedule Lookup Table'!I$7:L$298,4,FALSE))</f>
        <v>2</v>
      </c>
      <c r="I359" s="296">
        <f>VLOOKUP(G359,'Input data'!$A$68:$B$72,2,FALSE)</f>
        <v>10.809914000000001</v>
      </c>
      <c r="J359" s="296">
        <f>VLOOKUP($B359,'Maintenance Costs'!$A:$AB,22,FALSE)</f>
        <v>26.828017090382705</v>
      </c>
      <c r="K359" s="296">
        <f>VLOOKUP($B359,'Maintenance Costs'!$A:$AB,28,FALSE)</f>
        <v>22.799484541395373</v>
      </c>
      <c r="L359" s="297">
        <f t="shared" si="30"/>
        <v>55.032458631778077</v>
      </c>
      <c r="M359">
        <v>86.61772743727893</v>
      </c>
      <c r="N359" s="30">
        <f t="shared" si="31"/>
        <v>-31.585268805500853</v>
      </c>
    </row>
    <row r="360" spans="1:14" x14ac:dyDescent="0.2">
      <c r="A360" s="299" t="s">
        <v>1237</v>
      </c>
      <c r="B360" s="298" t="str">
        <f t="shared" si="27"/>
        <v>HPS0170-ST</v>
      </c>
      <c r="C360" s="294" t="str">
        <f>VLOOKUP(LEFT(A360,7),'Tariff Schedule Lookup Table'!$A$8:$G$198,2,FALSE)</f>
        <v>High Pressure Sodium 400</v>
      </c>
      <c r="D360" s="295">
        <f t="shared" si="28"/>
        <v>900</v>
      </c>
      <c r="E360" s="294">
        <f t="shared" si="29"/>
        <v>1</v>
      </c>
      <c r="F360" s="294" t="str">
        <f>VLOOKUP(D360,'Tariff Schedule Lookup Table'!I$7:L$298,2,FALSE)</f>
        <v>METAL HALIDE/HPS 400W FLOOD (310/360)</v>
      </c>
      <c r="G360" s="294" t="str">
        <f>IF(F360 = "BULKHEADS ETC", "SHARED OR NO POLE", VLOOKUP(D360,'Tariff Schedule Lookup Table'!I$7:L$298,3,FALSE))</f>
        <v>WOOD POLE</v>
      </c>
      <c r="H360" s="294">
        <f>IF(F360 = "NO CAPITAL", 1, VLOOKUP(D360,'Tariff Schedule Lookup Table'!I$7:L$298,4,FALSE))</f>
        <v>2</v>
      </c>
      <c r="I360" s="296">
        <f>VLOOKUP(G360,'Input data'!$A$68:$B$72,2,FALSE)</f>
        <v>10.809914000000001</v>
      </c>
      <c r="J360" s="296">
        <f>VLOOKUP($B360,'Maintenance Costs'!$A:$AB,22,FALSE)</f>
        <v>26.828017090382705</v>
      </c>
      <c r="K360" s="296">
        <f>VLOOKUP($B360,'Maintenance Costs'!$A:$AB,28,FALSE)</f>
        <v>22.799484541395373</v>
      </c>
      <c r="L360" s="297">
        <f t="shared" si="30"/>
        <v>55.032458631778077</v>
      </c>
      <c r="M360">
        <v>86.61772743727893</v>
      </c>
      <c r="N360" s="30">
        <f t="shared" si="31"/>
        <v>-31.585268805500853</v>
      </c>
    </row>
    <row r="361" spans="1:14" x14ac:dyDescent="0.2">
      <c r="A361" s="299" t="s">
        <v>598</v>
      </c>
      <c r="B361" s="298" t="str">
        <f t="shared" si="27"/>
        <v>HPS0170-ST</v>
      </c>
      <c r="C361" s="294" t="str">
        <f>VLOOKUP(LEFT(A361,7),'Tariff Schedule Lookup Table'!$A$8:$G$198,2,FALSE)</f>
        <v>High Pressure Sodium 400</v>
      </c>
      <c r="D361" s="295">
        <f t="shared" si="28"/>
        <v>900</v>
      </c>
      <c r="E361" s="294">
        <f t="shared" si="29"/>
        <v>4</v>
      </c>
      <c r="F361" s="294" t="str">
        <f>VLOOKUP(D361,'Tariff Schedule Lookup Table'!I$7:L$298,2,FALSE)</f>
        <v>METAL HALIDE/HPS 400W FLOOD (310/360)</v>
      </c>
      <c r="G361" s="294" t="str">
        <f>IF(F361 = "BULKHEADS ETC", "SHARED OR NO POLE", VLOOKUP(D361,'Tariff Schedule Lookup Table'!I$7:L$298,3,FALSE))</f>
        <v>WOOD POLE</v>
      </c>
      <c r="H361" s="294">
        <f>IF(F361 = "NO CAPITAL", 1, VLOOKUP(D361,'Tariff Schedule Lookup Table'!I$7:L$298,4,FALSE))</f>
        <v>2</v>
      </c>
      <c r="I361" s="296">
        <f>VLOOKUP(G361,'Input data'!$A$68:$B$72,2,FALSE)</f>
        <v>10.809914000000001</v>
      </c>
      <c r="J361" s="296">
        <f>VLOOKUP($B361,'Maintenance Costs'!$A:$AB,22,FALSE)</f>
        <v>26.828017090382705</v>
      </c>
      <c r="K361" s="296">
        <f>VLOOKUP($B361,'Maintenance Costs'!$A:$AB,28,FALSE)</f>
        <v>22.799484541395373</v>
      </c>
      <c r="L361" s="297">
        <f t="shared" si="30"/>
        <v>55.032458631778077</v>
      </c>
      <c r="M361">
        <v>86.61772743727893</v>
      </c>
      <c r="N361" s="30">
        <f t="shared" si="31"/>
        <v>-31.585268805500853</v>
      </c>
    </row>
    <row r="362" spans="1:14" x14ac:dyDescent="0.2">
      <c r="A362" s="299" t="s">
        <v>1238</v>
      </c>
      <c r="B362" s="298" t="str">
        <f t="shared" si="27"/>
        <v>HPS0170-ST</v>
      </c>
      <c r="C362" s="294" t="str">
        <f>VLOOKUP(LEFT(A362,7),'Tariff Schedule Lookup Table'!$A$8:$G$198,2,FALSE)</f>
        <v>High Pressure Sodium 400</v>
      </c>
      <c r="D362" s="295">
        <f t="shared" si="28"/>
        <v>1030</v>
      </c>
      <c r="E362" s="294">
        <f t="shared" si="29"/>
        <v>1</v>
      </c>
      <c r="F362" s="294" t="str">
        <f>VLOOKUP(D362,'Tariff Schedule Lookup Table'!I$7:L$298,2,FALSE)</f>
        <v>HIGH PRESSURE SODIUM 400W (310/360)</v>
      </c>
      <c r="G362" s="294" t="str">
        <f>IF(F362 = "BULKHEADS ETC", "SHARED OR NO POLE", VLOOKUP(D362,'Tariff Schedule Lookup Table'!I$7:L$298,3,FALSE))</f>
        <v>SHARED OR NO POLE</v>
      </c>
      <c r="H362" s="294">
        <f>IF(F362 = "NO CAPITAL", 1, VLOOKUP(D362,'Tariff Schedule Lookup Table'!I$7:L$298,4,FALSE))</f>
        <v>2</v>
      </c>
      <c r="I362" s="296">
        <f>VLOOKUP(G362,'Input data'!$A$68:$B$72,2,FALSE)</f>
        <v>0</v>
      </c>
      <c r="J362" s="296">
        <f>VLOOKUP($B362,'Maintenance Costs'!$A:$AB,22,FALSE)</f>
        <v>26.828017090382705</v>
      </c>
      <c r="K362" s="296">
        <f>VLOOKUP($B362,'Maintenance Costs'!$A:$AB,28,FALSE)</f>
        <v>22.799484541395373</v>
      </c>
      <c r="L362" s="297">
        <f t="shared" si="30"/>
        <v>49.627501631778074</v>
      </c>
      <c r="M362">
        <v>81.212770437278934</v>
      </c>
      <c r="N362" s="30">
        <f t="shared" si="31"/>
        <v>-31.58526880550086</v>
      </c>
    </row>
    <row r="363" spans="1:14" x14ac:dyDescent="0.2">
      <c r="A363" s="299" t="s">
        <v>1239</v>
      </c>
      <c r="B363" s="298" t="str">
        <f t="shared" si="27"/>
        <v>HPS0170-ST</v>
      </c>
      <c r="C363" s="294" t="str">
        <f>VLOOKUP(LEFT(A363,7),'Tariff Schedule Lookup Table'!$A$8:$G$198,2,FALSE)</f>
        <v>High Pressure Sodium 400</v>
      </c>
      <c r="D363" s="295">
        <f t="shared" si="28"/>
        <v>1030</v>
      </c>
      <c r="E363" s="294">
        <f t="shared" si="29"/>
        <v>2</v>
      </c>
      <c r="F363" s="294" t="str">
        <f>VLOOKUP(D363,'Tariff Schedule Lookup Table'!I$7:L$298,2,FALSE)</f>
        <v>HIGH PRESSURE SODIUM 400W (310/360)</v>
      </c>
      <c r="G363" s="294" t="str">
        <f>IF(F363 = "BULKHEADS ETC", "SHARED OR NO POLE", VLOOKUP(D363,'Tariff Schedule Lookup Table'!I$7:L$298,3,FALSE))</f>
        <v>SHARED OR NO POLE</v>
      </c>
      <c r="H363" s="294">
        <f>IF(F363 = "NO CAPITAL", 1, VLOOKUP(D363,'Tariff Schedule Lookup Table'!I$7:L$298,4,FALSE))</f>
        <v>2</v>
      </c>
      <c r="I363" s="296">
        <f>VLOOKUP(G363,'Input data'!$A$68:$B$72,2,FALSE)</f>
        <v>0</v>
      </c>
      <c r="J363" s="296">
        <f>VLOOKUP($B363,'Maintenance Costs'!$A:$AB,22,FALSE)</f>
        <v>26.828017090382705</v>
      </c>
      <c r="K363" s="296">
        <f>VLOOKUP($B363,'Maintenance Costs'!$A:$AB,28,FALSE)</f>
        <v>22.799484541395373</v>
      </c>
      <c r="L363" s="297">
        <f t="shared" si="30"/>
        <v>49.627501631778074</v>
      </c>
      <c r="M363">
        <v>81.212770437278934</v>
      </c>
      <c r="N363" s="30">
        <f t="shared" si="31"/>
        <v>-31.58526880550086</v>
      </c>
    </row>
    <row r="364" spans="1:14" x14ac:dyDescent="0.2">
      <c r="A364" s="299" t="s">
        <v>599</v>
      </c>
      <c r="B364" s="298" t="str">
        <f t="shared" si="27"/>
        <v>HPS0170-ST</v>
      </c>
      <c r="C364" s="294" t="str">
        <f>VLOOKUP(LEFT(A364,7),'Tariff Schedule Lookup Table'!$A$8:$G$198,2,FALSE)</f>
        <v>High Pressure Sodium 400</v>
      </c>
      <c r="D364" s="295">
        <f t="shared" si="28"/>
        <v>1030</v>
      </c>
      <c r="E364" s="294">
        <f t="shared" si="29"/>
        <v>4</v>
      </c>
      <c r="F364" s="294" t="str">
        <f>VLOOKUP(D364,'Tariff Schedule Lookup Table'!I$7:L$298,2,FALSE)</f>
        <v>HIGH PRESSURE SODIUM 400W (310/360)</v>
      </c>
      <c r="G364" s="294" t="str">
        <f>IF(F364 = "BULKHEADS ETC", "SHARED OR NO POLE", VLOOKUP(D364,'Tariff Schedule Lookup Table'!I$7:L$298,3,FALSE))</f>
        <v>SHARED OR NO POLE</v>
      </c>
      <c r="H364" s="294">
        <f>IF(F364 = "NO CAPITAL", 1, VLOOKUP(D364,'Tariff Schedule Lookup Table'!I$7:L$298,4,FALSE))</f>
        <v>2</v>
      </c>
      <c r="I364" s="296">
        <f>VLOOKUP(G364,'Input data'!$A$68:$B$72,2,FALSE)</f>
        <v>0</v>
      </c>
      <c r="J364" s="296">
        <f>VLOOKUP($B364,'Maintenance Costs'!$A:$AB,22,FALSE)</f>
        <v>26.828017090382705</v>
      </c>
      <c r="K364" s="296">
        <f>VLOOKUP($B364,'Maintenance Costs'!$A:$AB,28,FALSE)</f>
        <v>22.799484541395373</v>
      </c>
      <c r="L364" s="297">
        <f t="shared" si="30"/>
        <v>49.627501631778074</v>
      </c>
      <c r="M364">
        <v>81.212770437278934</v>
      </c>
      <c r="N364" s="30">
        <f t="shared" si="31"/>
        <v>-31.58526880550086</v>
      </c>
    </row>
    <row r="365" spans="1:14" x14ac:dyDescent="0.2">
      <c r="A365" s="299" t="s">
        <v>1241</v>
      </c>
      <c r="B365" s="298" t="str">
        <f t="shared" si="27"/>
        <v>HPS0170-ST</v>
      </c>
      <c r="C365" s="294" t="str">
        <f>VLOOKUP(LEFT(A365,7),'Tariff Schedule Lookup Table'!$A$8:$G$198,2,FALSE)</f>
        <v>High Pressure Sodium 400</v>
      </c>
      <c r="D365" s="295">
        <f t="shared" si="28"/>
        <v>1080</v>
      </c>
      <c r="E365" s="294">
        <f t="shared" si="29"/>
        <v>1</v>
      </c>
      <c r="F365" s="294" t="str">
        <f>VLOOKUP(D365,'Tariff Schedule Lookup Table'!I$7:L$298,2,FALSE)</f>
        <v>METAL HALIDE/HPS 400W FLOOD (310/360)</v>
      </c>
      <c r="G365" s="294" t="str">
        <f>IF(F365 = "BULKHEADS ETC", "SHARED OR NO POLE", VLOOKUP(D365,'Tariff Schedule Lookup Table'!I$7:L$298,3,FALSE))</f>
        <v>SHARED OR NO POLE</v>
      </c>
      <c r="H365" s="294">
        <f>IF(F365 = "NO CAPITAL", 1, VLOOKUP(D365,'Tariff Schedule Lookup Table'!I$7:L$298,4,FALSE))</f>
        <v>2</v>
      </c>
      <c r="I365" s="296">
        <f>VLOOKUP(G365,'Input data'!$A$68:$B$72,2,FALSE)</f>
        <v>0</v>
      </c>
      <c r="J365" s="296">
        <f>VLOOKUP($B365,'Maintenance Costs'!$A:$AB,22,FALSE)</f>
        <v>26.828017090382705</v>
      </c>
      <c r="K365" s="296">
        <f>VLOOKUP($B365,'Maintenance Costs'!$A:$AB,28,FALSE)</f>
        <v>22.799484541395373</v>
      </c>
      <c r="L365" s="297">
        <f t="shared" si="30"/>
        <v>49.627501631778074</v>
      </c>
      <c r="M365">
        <v>81.212770437278934</v>
      </c>
      <c r="N365" s="30">
        <f t="shared" si="31"/>
        <v>-31.58526880550086</v>
      </c>
    </row>
    <row r="366" spans="1:14" x14ac:dyDescent="0.2">
      <c r="A366" s="299" t="s">
        <v>1242</v>
      </c>
      <c r="B366" s="298" t="str">
        <f t="shared" si="27"/>
        <v>HPS0170-ST</v>
      </c>
      <c r="C366" s="294" t="str">
        <f>VLOOKUP(LEFT(A366,7),'Tariff Schedule Lookup Table'!$A$8:$G$198,2,FALSE)</f>
        <v>High Pressure Sodium 400</v>
      </c>
      <c r="D366" s="295">
        <f t="shared" si="28"/>
        <v>1080</v>
      </c>
      <c r="E366" s="294">
        <f t="shared" si="29"/>
        <v>2</v>
      </c>
      <c r="F366" s="294" t="str">
        <f>VLOOKUP(D366,'Tariff Schedule Lookup Table'!I$7:L$298,2,FALSE)</f>
        <v>METAL HALIDE/HPS 400W FLOOD (310/360)</v>
      </c>
      <c r="G366" s="294" t="str">
        <f>IF(F366 = "BULKHEADS ETC", "SHARED OR NO POLE", VLOOKUP(D366,'Tariff Schedule Lookup Table'!I$7:L$298,3,FALSE))</f>
        <v>SHARED OR NO POLE</v>
      </c>
      <c r="H366" s="294">
        <f>IF(F366 = "NO CAPITAL", 1, VLOOKUP(D366,'Tariff Schedule Lookup Table'!I$7:L$298,4,FALSE))</f>
        <v>2</v>
      </c>
      <c r="I366" s="296">
        <f>VLOOKUP(G366,'Input data'!$A$68:$B$72,2,FALSE)</f>
        <v>0</v>
      </c>
      <c r="J366" s="296">
        <f>VLOOKUP($B366,'Maintenance Costs'!$A:$AB,22,FALSE)</f>
        <v>26.828017090382705</v>
      </c>
      <c r="K366" s="296">
        <f>VLOOKUP($B366,'Maintenance Costs'!$A:$AB,28,FALSE)</f>
        <v>22.799484541395373</v>
      </c>
      <c r="L366" s="297">
        <f t="shared" si="30"/>
        <v>49.627501631778074</v>
      </c>
      <c r="M366">
        <v>81.212770437278934</v>
      </c>
      <c r="N366" s="30">
        <f t="shared" si="31"/>
        <v>-31.58526880550086</v>
      </c>
    </row>
    <row r="367" spans="1:14" x14ac:dyDescent="0.2">
      <c r="A367" s="299" t="s">
        <v>1243</v>
      </c>
      <c r="B367" s="298" t="str">
        <f t="shared" si="27"/>
        <v>HPS0170-ST</v>
      </c>
      <c r="C367" s="294" t="str">
        <f>VLOOKUP(LEFT(A367,7),'Tariff Schedule Lookup Table'!$A$8:$G$198,2,FALSE)</f>
        <v>High Pressure Sodium 400</v>
      </c>
      <c r="D367" s="295">
        <f t="shared" si="28"/>
        <v>1130</v>
      </c>
      <c r="E367" s="294">
        <f t="shared" si="29"/>
        <v>1</v>
      </c>
      <c r="F367" s="294" t="str">
        <f>VLOOKUP(D367,'Tariff Schedule Lookup Table'!I$7:L$298,2,FALSE)</f>
        <v>METAL HALIDE/HPS 400W FLOOD (310/360)</v>
      </c>
      <c r="G367" s="294" t="str">
        <f>IF(F367 = "BULKHEADS ETC", "SHARED OR NO POLE", VLOOKUP(D367,'Tariff Schedule Lookup Table'!I$7:L$298,3,FALSE))</f>
        <v>STEEL POLE</v>
      </c>
      <c r="H367" s="294">
        <f>IF(F367 = "NO CAPITAL", 1, VLOOKUP(D367,'Tariff Schedule Lookup Table'!I$7:L$298,4,FALSE))</f>
        <v>2</v>
      </c>
      <c r="I367" s="296">
        <f>VLOOKUP(G367,'Input data'!$A$68:$B$72,2,FALSE)</f>
        <v>9.8748837500000004</v>
      </c>
      <c r="J367" s="296">
        <f>VLOOKUP($B367,'Maintenance Costs'!$A:$AB,22,FALSE)</f>
        <v>26.828017090382705</v>
      </c>
      <c r="K367" s="296">
        <f>VLOOKUP($B367,'Maintenance Costs'!$A:$AB,28,FALSE)</f>
        <v>22.799484541395373</v>
      </c>
      <c r="L367" s="297">
        <f t="shared" si="30"/>
        <v>54.564943506778071</v>
      </c>
      <c r="M367">
        <v>86.150212312278938</v>
      </c>
      <c r="N367" s="30">
        <f t="shared" si="31"/>
        <v>-31.585268805500867</v>
      </c>
    </row>
    <row r="368" spans="1:14" x14ac:dyDescent="0.2">
      <c r="A368" s="299" t="s">
        <v>1244</v>
      </c>
      <c r="B368" s="298" t="str">
        <f t="shared" si="27"/>
        <v>HPS0170-ST</v>
      </c>
      <c r="C368" s="294" t="str">
        <f>VLOOKUP(LEFT(A368,7),'Tariff Schedule Lookup Table'!$A$8:$G$198,2,FALSE)</f>
        <v>High Pressure Sodium 400</v>
      </c>
      <c r="D368" s="295">
        <f t="shared" si="28"/>
        <v>1130</v>
      </c>
      <c r="E368" s="294">
        <f t="shared" si="29"/>
        <v>2</v>
      </c>
      <c r="F368" s="294" t="str">
        <f>VLOOKUP(D368,'Tariff Schedule Lookup Table'!I$7:L$298,2,FALSE)</f>
        <v>METAL HALIDE/HPS 400W FLOOD (310/360)</v>
      </c>
      <c r="G368" s="294" t="str">
        <f>IF(F368 = "BULKHEADS ETC", "SHARED OR NO POLE", VLOOKUP(D368,'Tariff Schedule Lookup Table'!I$7:L$298,3,FALSE))</f>
        <v>STEEL POLE</v>
      </c>
      <c r="H368" s="294">
        <f>IF(F368 = "NO CAPITAL", 1, VLOOKUP(D368,'Tariff Schedule Lookup Table'!I$7:L$298,4,FALSE))</f>
        <v>2</v>
      </c>
      <c r="I368" s="296">
        <f>VLOOKUP(G368,'Input data'!$A$68:$B$72,2,FALSE)</f>
        <v>9.8748837500000004</v>
      </c>
      <c r="J368" s="296">
        <f>VLOOKUP($B368,'Maintenance Costs'!$A:$AB,22,FALSE)</f>
        <v>26.828017090382705</v>
      </c>
      <c r="K368" s="296">
        <f>VLOOKUP($B368,'Maintenance Costs'!$A:$AB,28,FALSE)</f>
        <v>22.799484541395373</v>
      </c>
      <c r="L368" s="297">
        <f t="shared" si="30"/>
        <v>54.564943506778071</v>
      </c>
      <c r="M368">
        <v>86.150212312278938</v>
      </c>
      <c r="N368" s="30">
        <f t="shared" si="31"/>
        <v>-31.585268805500867</v>
      </c>
    </row>
    <row r="369" spans="1:14" x14ac:dyDescent="0.2">
      <c r="A369" s="299" t="s">
        <v>1245</v>
      </c>
      <c r="B369" s="298" t="str">
        <f t="shared" si="27"/>
        <v>HPS0170-ST</v>
      </c>
      <c r="C369" s="294" t="str">
        <f>VLOOKUP(LEFT(A369,7),'Tariff Schedule Lookup Table'!$A$8:$G$198,2,FALSE)</f>
        <v>High Pressure Sodium 400</v>
      </c>
      <c r="D369" s="295">
        <f t="shared" si="28"/>
        <v>1130</v>
      </c>
      <c r="E369" s="294">
        <f t="shared" si="29"/>
        <v>3</v>
      </c>
      <c r="F369" s="294" t="str">
        <f>VLOOKUP(D369,'Tariff Schedule Lookup Table'!I$7:L$298,2,FALSE)</f>
        <v>METAL HALIDE/HPS 400W FLOOD (310/360)</v>
      </c>
      <c r="G369" s="294" t="str">
        <f>IF(F369 = "BULKHEADS ETC", "SHARED OR NO POLE", VLOOKUP(D369,'Tariff Schedule Lookup Table'!I$7:L$298,3,FALSE))</f>
        <v>STEEL POLE</v>
      </c>
      <c r="H369" s="294">
        <f>IF(F369 = "NO CAPITAL", 1, VLOOKUP(D369,'Tariff Schedule Lookup Table'!I$7:L$298,4,FALSE))</f>
        <v>2</v>
      </c>
      <c r="I369" s="296">
        <f>VLOOKUP(G369,'Input data'!$A$68:$B$72,2,FALSE)</f>
        <v>9.8748837500000004</v>
      </c>
      <c r="J369" s="296">
        <f>VLOOKUP($B369,'Maintenance Costs'!$A:$AB,22,FALSE)</f>
        <v>26.828017090382705</v>
      </c>
      <c r="K369" s="296">
        <f>VLOOKUP($B369,'Maintenance Costs'!$A:$AB,28,FALSE)</f>
        <v>22.799484541395373</v>
      </c>
      <c r="L369" s="297">
        <f t="shared" si="30"/>
        <v>54.564943506778071</v>
      </c>
      <c r="M369">
        <v>86.150212312278938</v>
      </c>
      <c r="N369" s="30">
        <f t="shared" si="31"/>
        <v>-31.585268805500867</v>
      </c>
    </row>
    <row r="370" spans="1:14" x14ac:dyDescent="0.2">
      <c r="A370" s="299" t="s">
        <v>541</v>
      </c>
      <c r="B370" s="298" t="str">
        <f t="shared" si="27"/>
        <v>HPS0170-ST</v>
      </c>
      <c r="C370" s="294" t="str">
        <f>VLOOKUP(LEFT(A370,7),'Tariff Schedule Lookup Table'!$A$8:$G$198,2,FALSE)</f>
        <v>High Pressure Sodium 400</v>
      </c>
      <c r="D370" s="295">
        <f t="shared" si="28"/>
        <v>1130</v>
      </c>
      <c r="E370" s="294">
        <f t="shared" si="29"/>
        <v>4</v>
      </c>
      <c r="F370" s="294" t="str">
        <f>VLOOKUP(D370,'Tariff Schedule Lookup Table'!I$7:L$298,2,FALSE)</f>
        <v>METAL HALIDE/HPS 400W FLOOD (310/360)</v>
      </c>
      <c r="G370" s="294" t="str">
        <f>IF(F370 = "BULKHEADS ETC", "SHARED OR NO POLE", VLOOKUP(D370,'Tariff Schedule Lookup Table'!I$7:L$298,3,FALSE))</f>
        <v>STEEL POLE</v>
      </c>
      <c r="H370" s="294">
        <f>IF(F370 = "NO CAPITAL", 1, VLOOKUP(D370,'Tariff Schedule Lookup Table'!I$7:L$298,4,FALSE))</f>
        <v>2</v>
      </c>
      <c r="I370" s="296">
        <f>VLOOKUP(G370,'Input data'!$A$68:$B$72,2,FALSE)</f>
        <v>9.8748837500000004</v>
      </c>
      <c r="J370" s="296">
        <f>VLOOKUP($B370,'Maintenance Costs'!$A:$AB,22,FALSE)</f>
        <v>26.828017090382705</v>
      </c>
      <c r="K370" s="296">
        <f>VLOOKUP($B370,'Maintenance Costs'!$A:$AB,28,FALSE)</f>
        <v>22.799484541395373</v>
      </c>
      <c r="L370" s="297">
        <f t="shared" si="30"/>
        <v>54.564943506778071</v>
      </c>
      <c r="M370">
        <v>86.150212312278938</v>
      </c>
      <c r="N370" s="30">
        <f t="shared" si="31"/>
        <v>-31.585268805500867</v>
      </c>
    </row>
    <row r="371" spans="1:14" x14ac:dyDescent="0.2">
      <c r="A371" s="299" t="s">
        <v>1246</v>
      </c>
      <c r="B371" s="298" t="str">
        <f t="shared" si="27"/>
        <v>HPS0170-ST</v>
      </c>
      <c r="C371" s="294" t="str">
        <f>VLOOKUP(LEFT(A371,7),'Tariff Schedule Lookup Table'!$A$8:$G$198,2,FALSE)</f>
        <v>High Pressure Sodium 400</v>
      </c>
      <c r="D371" s="295">
        <f t="shared" si="28"/>
        <v>1170</v>
      </c>
      <c r="E371" s="294">
        <f t="shared" si="29"/>
        <v>1</v>
      </c>
      <c r="F371" s="294" t="str">
        <f>VLOOKUP(D371,'Tariff Schedule Lookup Table'!I$7:L$298,2,FALSE)</f>
        <v>METAL HALIDE/HPS 400W FLOOD (310/360)</v>
      </c>
      <c r="G371" s="294" t="str">
        <f>IF(F371 = "BULKHEADS ETC", "SHARED OR NO POLE", VLOOKUP(D371,'Tariff Schedule Lookup Table'!I$7:L$298,3,FALSE))</f>
        <v>STEEL POLE</v>
      </c>
      <c r="H371" s="294">
        <f>IF(F371 = "NO CAPITAL", 1, VLOOKUP(D371,'Tariff Schedule Lookup Table'!I$7:L$298,4,FALSE))</f>
        <v>1</v>
      </c>
      <c r="I371" s="296">
        <f>VLOOKUP(G371,'Input data'!$A$68:$B$72,2,FALSE)</f>
        <v>9.8748837500000004</v>
      </c>
      <c r="J371" s="296">
        <f>VLOOKUP($B371,'Maintenance Costs'!$A:$AB,22,FALSE)</f>
        <v>26.828017090382705</v>
      </c>
      <c r="K371" s="296">
        <f>VLOOKUP($B371,'Maintenance Costs'!$A:$AB,28,FALSE)</f>
        <v>22.799484541395373</v>
      </c>
      <c r="L371" s="297">
        <f t="shared" si="30"/>
        <v>59.502385381778076</v>
      </c>
      <c r="M371">
        <v>91.087654187278929</v>
      </c>
      <c r="N371" s="30">
        <f t="shared" si="31"/>
        <v>-31.585268805500853</v>
      </c>
    </row>
    <row r="372" spans="1:14" x14ac:dyDescent="0.2">
      <c r="A372" s="299" t="s">
        <v>1247</v>
      </c>
      <c r="B372" s="298" t="str">
        <f t="shared" si="27"/>
        <v>HPS0170-ST</v>
      </c>
      <c r="C372" s="294" t="str">
        <f>VLOOKUP(LEFT(A372,7),'Tariff Schedule Lookup Table'!$A$8:$G$198,2,FALSE)</f>
        <v>High Pressure Sodium 400</v>
      </c>
      <c r="D372" s="295">
        <f t="shared" si="28"/>
        <v>1170</v>
      </c>
      <c r="E372" s="294">
        <f t="shared" si="29"/>
        <v>2</v>
      </c>
      <c r="F372" s="294" t="str">
        <f>VLOOKUP(D372,'Tariff Schedule Lookup Table'!I$7:L$298,2,FALSE)</f>
        <v>METAL HALIDE/HPS 400W FLOOD (310/360)</v>
      </c>
      <c r="G372" s="294" t="str">
        <f>IF(F372 = "BULKHEADS ETC", "SHARED OR NO POLE", VLOOKUP(D372,'Tariff Schedule Lookup Table'!I$7:L$298,3,FALSE))</f>
        <v>STEEL POLE</v>
      </c>
      <c r="H372" s="294">
        <f>IF(F372 = "NO CAPITAL", 1, VLOOKUP(D372,'Tariff Schedule Lookup Table'!I$7:L$298,4,FALSE))</f>
        <v>1</v>
      </c>
      <c r="I372" s="296">
        <f>VLOOKUP(G372,'Input data'!$A$68:$B$72,2,FALSE)</f>
        <v>9.8748837500000004</v>
      </c>
      <c r="J372" s="296">
        <f>VLOOKUP($B372,'Maintenance Costs'!$A:$AB,22,FALSE)</f>
        <v>26.828017090382705</v>
      </c>
      <c r="K372" s="296">
        <f>VLOOKUP($B372,'Maintenance Costs'!$A:$AB,28,FALSE)</f>
        <v>22.799484541395373</v>
      </c>
      <c r="L372" s="297">
        <f t="shared" si="30"/>
        <v>59.502385381778076</v>
      </c>
      <c r="M372">
        <v>91.087654187278929</v>
      </c>
      <c r="N372" s="30">
        <f t="shared" si="31"/>
        <v>-31.585268805500853</v>
      </c>
    </row>
    <row r="373" spans="1:14" x14ac:dyDescent="0.2">
      <c r="A373" s="299" t="s">
        <v>1248</v>
      </c>
      <c r="B373" s="298" t="str">
        <f t="shared" si="27"/>
        <v>HPS0170-ST</v>
      </c>
      <c r="C373" s="294" t="str">
        <f>VLOOKUP(LEFT(A373,7),'Tariff Schedule Lookup Table'!$A$8:$G$198,2,FALSE)</f>
        <v>High Pressure Sodium 400</v>
      </c>
      <c r="D373" s="295">
        <f t="shared" si="28"/>
        <v>1170</v>
      </c>
      <c r="E373" s="294">
        <f t="shared" si="29"/>
        <v>3</v>
      </c>
      <c r="F373" s="294" t="str">
        <f>VLOOKUP(D373,'Tariff Schedule Lookup Table'!I$7:L$298,2,FALSE)</f>
        <v>METAL HALIDE/HPS 400W FLOOD (310/360)</v>
      </c>
      <c r="G373" s="294" t="str">
        <f>IF(F373 = "BULKHEADS ETC", "SHARED OR NO POLE", VLOOKUP(D373,'Tariff Schedule Lookup Table'!I$7:L$298,3,FALSE))</f>
        <v>STEEL POLE</v>
      </c>
      <c r="H373" s="294">
        <f>IF(F373 = "NO CAPITAL", 1, VLOOKUP(D373,'Tariff Schedule Lookup Table'!I$7:L$298,4,FALSE))</f>
        <v>1</v>
      </c>
      <c r="I373" s="296">
        <f>VLOOKUP(G373,'Input data'!$A$68:$B$72,2,FALSE)</f>
        <v>9.8748837500000004</v>
      </c>
      <c r="J373" s="296">
        <f>VLOOKUP($B373,'Maintenance Costs'!$A:$AB,22,FALSE)</f>
        <v>26.828017090382705</v>
      </c>
      <c r="K373" s="296">
        <f>VLOOKUP($B373,'Maintenance Costs'!$A:$AB,28,FALSE)</f>
        <v>22.799484541395373</v>
      </c>
      <c r="L373" s="297">
        <f t="shared" si="30"/>
        <v>59.502385381778076</v>
      </c>
      <c r="M373">
        <v>91.087654187278929</v>
      </c>
      <c r="N373" s="30">
        <f t="shared" si="31"/>
        <v>-31.585268805500853</v>
      </c>
    </row>
    <row r="374" spans="1:14" x14ac:dyDescent="0.2">
      <c r="A374" s="299" t="s">
        <v>600</v>
      </c>
      <c r="B374" s="298" t="str">
        <f t="shared" si="27"/>
        <v>HPS0170-ST</v>
      </c>
      <c r="C374" s="294" t="str">
        <f>VLOOKUP(LEFT(A374,7),'Tariff Schedule Lookup Table'!$A$8:$G$198,2,FALSE)</f>
        <v>High Pressure Sodium 400</v>
      </c>
      <c r="D374" s="295">
        <f t="shared" si="28"/>
        <v>1170</v>
      </c>
      <c r="E374" s="294">
        <f t="shared" si="29"/>
        <v>4</v>
      </c>
      <c r="F374" s="294" t="str">
        <f>VLOOKUP(D374,'Tariff Schedule Lookup Table'!I$7:L$298,2,FALSE)</f>
        <v>METAL HALIDE/HPS 400W FLOOD (310/360)</v>
      </c>
      <c r="G374" s="294" t="str">
        <f>IF(F374 = "BULKHEADS ETC", "SHARED OR NO POLE", VLOOKUP(D374,'Tariff Schedule Lookup Table'!I$7:L$298,3,FALSE))</f>
        <v>STEEL POLE</v>
      </c>
      <c r="H374" s="294">
        <f>IF(F374 = "NO CAPITAL", 1, VLOOKUP(D374,'Tariff Schedule Lookup Table'!I$7:L$298,4,FALSE))</f>
        <v>1</v>
      </c>
      <c r="I374" s="296">
        <f>VLOOKUP(G374,'Input data'!$A$68:$B$72,2,FALSE)</f>
        <v>9.8748837500000004</v>
      </c>
      <c r="J374" s="296">
        <f>VLOOKUP($B374,'Maintenance Costs'!$A:$AB,22,FALSE)</f>
        <v>26.828017090382705</v>
      </c>
      <c r="K374" s="296">
        <f>VLOOKUP($B374,'Maintenance Costs'!$A:$AB,28,FALSE)</f>
        <v>22.799484541395373</v>
      </c>
      <c r="L374" s="297">
        <f t="shared" si="30"/>
        <v>59.502385381778076</v>
      </c>
      <c r="M374">
        <v>91.087654187278929</v>
      </c>
      <c r="N374" s="30">
        <f t="shared" si="31"/>
        <v>-31.585268805500853</v>
      </c>
    </row>
    <row r="375" spans="1:14" x14ac:dyDescent="0.2">
      <c r="A375" s="299" t="s">
        <v>1249</v>
      </c>
      <c r="B375" s="298" t="str">
        <f t="shared" si="27"/>
        <v>HPS0170-ST</v>
      </c>
      <c r="C375" s="294" t="str">
        <f>VLOOKUP(LEFT(A375,7),'Tariff Schedule Lookup Table'!$A$8:$G$198,2,FALSE)</f>
        <v>High Pressure Sodium 400</v>
      </c>
      <c r="D375" s="295">
        <f t="shared" si="28"/>
        <v>1250</v>
      </c>
      <c r="E375" s="294">
        <f t="shared" si="29"/>
        <v>1</v>
      </c>
      <c r="F375" s="294" t="str">
        <f>VLOOKUP(D375,'Tariff Schedule Lookup Table'!I$7:L$298,2,FALSE)</f>
        <v>METAL HALIDE/HPS 400W FLOOD (310/360)</v>
      </c>
      <c r="G375" s="294" t="str">
        <f>IF(F375 = "BULKHEADS ETC", "SHARED OR NO POLE", VLOOKUP(D375,'Tariff Schedule Lookup Table'!I$7:L$298,3,FALSE))</f>
        <v>WOOD POLE</v>
      </c>
      <c r="H375" s="294">
        <f>IF(F375 = "NO CAPITAL", 1, VLOOKUP(D375,'Tariff Schedule Lookup Table'!I$7:L$298,4,FALSE))</f>
        <v>3</v>
      </c>
      <c r="I375" s="296">
        <f>VLOOKUP(G375,'Input data'!$A$68:$B$72,2,FALSE)</f>
        <v>10.809914000000001</v>
      </c>
      <c r="J375" s="296">
        <f>VLOOKUP($B375,'Maintenance Costs'!$A:$AB,22,FALSE)</f>
        <v>26.828017090382705</v>
      </c>
      <c r="K375" s="296">
        <f>VLOOKUP($B375,'Maintenance Costs'!$A:$AB,28,FALSE)</f>
        <v>22.799484541395373</v>
      </c>
      <c r="L375" s="297">
        <f t="shared" si="30"/>
        <v>53.23080629844474</v>
      </c>
      <c r="M375">
        <v>84.816075103945607</v>
      </c>
      <c r="N375" s="30">
        <f t="shared" si="31"/>
        <v>-31.585268805500867</v>
      </c>
    </row>
    <row r="376" spans="1:14" x14ac:dyDescent="0.2">
      <c r="A376" s="299" t="s">
        <v>1250</v>
      </c>
      <c r="B376" s="298" t="str">
        <f t="shared" si="27"/>
        <v>HPS0170-TA</v>
      </c>
      <c r="C376" s="294" t="str">
        <f>VLOOKUP(LEFT(A376,7),'Tariff Schedule Lookup Table'!$A$8:$G$198,2,FALSE)</f>
        <v>High Pressure Sodium 400</v>
      </c>
      <c r="D376" s="295">
        <f t="shared" si="28"/>
        <v>70</v>
      </c>
      <c r="E376" s="294">
        <f t="shared" si="29"/>
        <v>1</v>
      </c>
      <c r="F376" s="294" t="str">
        <f>VLOOKUP(D376,'Tariff Schedule Lookup Table'!I$7:L$298,2,FALSE)</f>
        <v>HIGH PRESSURE SODIUM 400W (310/360)</v>
      </c>
      <c r="G376" s="294" t="str">
        <f>IF(F376 = "BULKHEADS ETC", "SHARED OR NO POLE", VLOOKUP(D376,'Tariff Schedule Lookup Table'!I$7:L$298,3,FALSE))</f>
        <v>SHARED OR NO POLE</v>
      </c>
      <c r="H376" s="294">
        <f>IF(F376 = "NO CAPITAL", 1, VLOOKUP(D376,'Tariff Schedule Lookup Table'!I$7:L$298,4,FALSE))</f>
        <v>1</v>
      </c>
      <c r="I376" s="296">
        <f>VLOOKUP(G376,'Input data'!$A$68:$B$72,2,FALSE)</f>
        <v>0</v>
      </c>
      <c r="J376" s="296">
        <f>VLOOKUP($B376,'Maintenance Costs'!$A:$AB,22,FALSE)</f>
        <v>28.620242222626629</v>
      </c>
      <c r="K376" s="296">
        <f>VLOOKUP($B376,'Maintenance Costs'!$A:$AB,28,FALSE)</f>
        <v>32.05803804139537</v>
      </c>
      <c r="L376" s="297">
        <f t="shared" si="30"/>
        <v>60.678280264022</v>
      </c>
      <c r="M376">
        <v>84.701403707790035</v>
      </c>
      <c r="N376" s="30">
        <f t="shared" si="31"/>
        <v>-24.023123443768036</v>
      </c>
    </row>
    <row r="377" spans="1:14" x14ac:dyDescent="0.2">
      <c r="A377" s="299" t="s">
        <v>1252</v>
      </c>
      <c r="B377" s="298" t="str">
        <f t="shared" si="27"/>
        <v>HPS0170-TA</v>
      </c>
      <c r="C377" s="294" t="str">
        <f>VLOOKUP(LEFT(A377,7),'Tariff Schedule Lookup Table'!$A$8:$G$198,2,FALSE)</f>
        <v>High Pressure Sodium 400</v>
      </c>
      <c r="D377" s="295">
        <f t="shared" si="28"/>
        <v>240</v>
      </c>
      <c r="E377" s="294">
        <f t="shared" si="29"/>
        <v>1</v>
      </c>
      <c r="F377" s="294" t="str">
        <f>VLOOKUP(D377,'Tariff Schedule Lookup Table'!I$7:L$298,2,FALSE)</f>
        <v>HIGH PRESSURE SODIUM 400W (310/360)</v>
      </c>
      <c r="G377" s="294" t="str">
        <f>IF(F377 = "BULKHEADS ETC", "SHARED OR NO POLE", VLOOKUP(D377,'Tariff Schedule Lookup Table'!I$7:L$298,3,FALSE))</f>
        <v>WOOD POLE</v>
      </c>
      <c r="H377" s="294">
        <f>IF(F377 = "NO CAPITAL", 1, VLOOKUP(D377,'Tariff Schedule Lookup Table'!I$7:L$298,4,FALSE))</f>
        <v>1</v>
      </c>
      <c r="I377" s="296">
        <f>VLOOKUP(G377,'Input data'!$A$68:$B$72,2,FALSE)</f>
        <v>10.809914000000001</v>
      </c>
      <c r="J377" s="296">
        <f>VLOOKUP($B377,'Maintenance Costs'!$A:$AB,22,FALSE)</f>
        <v>28.620242222626629</v>
      </c>
      <c r="K377" s="296">
        <f>VLOOKUP($B377,'Maintenance Costs'!$A:$AB,28,FALSE)</f>
        <v>32.05803804139537</v>
      </c>
      <c r="L377" s="297">
        <f t="shared" si="30"/>
        <v>71.488194264021999</v>
      </c>
      <c r="M377">
        <v>95.511317707790042</v>
      </c>
      <c r="N377" s="30">
        <f t="shared" si="31"/>
        <v>-24.023123443768043</v>
      </c>
    </row>
    <row r="378" spans="1:14" x14ac:dyDescent="0.2">
      <c r="A378" s="299" t="s">
        <v>1253</v>
      </c>
      <c r="B378" s="298" t="str">
        <f t="shared" si="27"/>
        <v>HPS0170-TA</v>
      </c>
      <c r="C378" s="294" t="str">
        <f>VLOOKUP(LEFT(A378,7),'Tariff Schedule Lookup Table'!$A$8:$G$198,2,FALSE)</f>
        <v>High Pressure Sodium 400</v>
      </c>
      <c r="D378" s="295">
        <f t="shared" si="28"/>
        <v>330</v>
      </c>
      <c r="E378" s="294">
        <f t="shared" si="29"/>
        <v>1</v>
      </c>
      <c r="F378" s="294" t="str">
        <f>VLOOKUP(D378,'Tariff Schedule Lookup Table'!I$7:L$298,2,FALSE)</f>
        <v>HIGH PRESSURE SODIUM 400W (310/360)</v>
      </c>
      <c r="G378" s="294" t="str">
        <f>IF(F378 = "BULKHEADS ETC", "SHARED OR NO POLE", VLOOKUP(D378,'Tariff Schedule Lookup Table'!I$7:L$298,3,FALSE))</f>
        <v>STEEL POLE</v>
      </c>
      <c r="H378" s="294">
        <f>IF(F378 = "NO CAPITAL", 1, VLOOKUP(D378,'Tariff Schedule Lookup Table'!I$7:L$298,4,FALSE))</f>
        <v>1</v>
      </c>
      <c r="I378" s="296">
        <f>VLOOKUP(G378,'Input data'!$A$68:$B$72,2,FALSE)</f>
        <v>9.8748837500000004</v>
      </c>
      <c r="J378" s="296">
        <f>VLOOKUP($B378,'Maintenance Costs'!$A:$AB,22,FALSE)</f>
        <v>28.620242222626629</v>
      </c>
      <c r="K378" s="296">
        <f>VLOOKUP($B378,'Maintenance Costs'!$A:$AB,28,FALSE)</f>
        <v>32.05803804139537</v>
      </c>
      <c r="L378" s="297">
        <f t="shared" si="30"/>
        <v>70.553164014022002</v>
      </c>
      <c r="M378">
        <v>94.576287457790031</v>
      </c>
      <c r="N378" s="30">
        <f t="shared" si="31"/>
        <v>-24.023123443768029</v>
      </c>
    </row>
    <row r="379" spans="1:14" x14ac:dyDescent="0.2">
      <c r="A379" s="299" t="s">
        <v>1254</v>
      </c>
      <c r="B379" s="298" t="str">
        <f t="shared" si="27"/>
        <v>HPS0170-TA</v>
      </c>
      <c r="C379" s="294" t="str">
        <f>VLOOKUP(LEFT(A379,7),'Tariff Schedule Lookup Table'!$A$8:$G$198,2,FALSE)</f>
        <v>High Pressure Sodium 400</v>
      </c>
      <c r="D379" s="295">
        <f t="shared" si="28"/>
        <v>400</v>
      </c>
      <c r="E379" s="294">
        <f t="shared" si="29"/>
        <v>1</v>
      </c>
      <c r="F379" s="294" t="str">
        <f>VLOOKUP(D379,'Tariff Schedule Lookup Table'!I$7:L$298,2,FALSE)</f>
        <v>HIGH PRESSURE SODIUM 400W (310/360)</v>
      </c>
      <c r="G379" s="294" t="str">
        <f>IF(F379 = "BULKHEADS ETC", "SHARED OR NO POLE", VLOOKUP(D379,'Tariff Schedule Lookup Table'!I$7:L$298,3,FALSE))</f>
        <v>STEEL POLE</v>
      </c>
      <c r="H379" s="294">
        <f>IF(F379 = "NO CAPITAL", 1, VLOOKUP(D379,'Tariff Schedule Lookup Table'!I$7:L$298,4,FALSE))</f>
        <v>2</v>
      </c>
      <c r="I379" s="296">
        <f>VLOOKUP(G379,'Input data'!$A$68:$B$72,2,FALSE)</f>
        <v>9.8748837500000004</v>
      </c>
      <c r="J379" s="296">
        <f>VLOOKUP($B379,'Maintenance Costs'!$A:$AB,22,FALSE)</f>
        <v>28.620242222626629</v>
      </c>
      <c r="K379" s="296">
        <f>VLOOKUP($B379,'Maintenance Costs'!$A:$AB,28,FALSE)</f>
        <v>32.05803804139537</v>
      </c>
      <c r="L379" s="297">
        <f t="shared" si="30"/>
        <v>65.615722139021997</v>
      </c>
      <c r="M379">
        <v>89.63884558279004</v>
      </c>
      <c r="N379" s="30">
        <f t="shared" si="31"/>
        <v>-24.023123443768043</v>
      </c>
    </row>
    <row r="380" spans="1:14" x14ac:dyDescent="0.2">
      <c r="A380" s="299" t="s">
        <v>1255</v>
      </c>
      <c r="B380" s="298" t="str">
        <f t="shared" si="27"/>
        <v>HPS0170-TA</v>
      </c>
      <c r="C380" s="294" t="str">
        <f>VLOOKUP(LEFT(A380,7),'Tariff Schedule Lookup Table'!$A$8:$G$198,2,FALSE)</f>
        <v>High Pressure Sodium 400</v>
      </c>
      <c r="D380" s="295">
        <f t="shared" si="28"/>
        <v>600</v>
      </c>
      <c r="E380" s="294">
        <f t="shared" si="29"/>
        <v>1</v>
      </c>
      <c r="F380" s="294" t="str">
        <f>VLOOKUP(D380,'Tariff Schedule Lookup Table'!I$7:L$298,2,FALSE)</f>
        <v>HIGH PRESSURE SODIUM 400W (310/360)</v>
      </c>
      <c r="G380" s="294" t="str">
        <f>IF(F380 = "BULKHEADS ETC", "SHARED OR NO POLE", VLOOKUP(D380,'Tariff Schedule Lookup Table'!I$7:L$298,3,FALSE))</f>
        <v>R/BOUT COLUMN</v>
      </c>
      <c r="H380" s="294">
        <f>IF(F380 = "NO CAPITAL", 1, VLOOKUP(D380,'Tariff Schedule Lookup Table'!I$7:L$298,4,FALSE))</f>
        <v>4</v>
      </c>
      <c r="I380" s="296">
        <f>VLOOKUP(G380,'Input data'!$A$68:$B$72,2,FALSE)</f>
        <v>9.8748837500000004</v>
      </c>
      <c r="J380" s="296">
        <f>VLOOKUP($B380,'Maintenance Costs'!$A:$AB,22,FALSE)</f>
        <v>28.620242222626629</v>
      </c>
      <c r="K380" s="296">
        <f>VLOOKUP($B380,'Maintenance Costs'!$A:$AB,28,FALSE)</f>
        <v>32.05803804139537</v>
      </c>
      <c r="L380" s="297">
        <f t="shared" si="30"/>
        <v>63.147001201522002</v>
      </c>
      <c r="M380">
        <v>87.170124645290031</v>
      </c>
      <c r="N380" s="30">
        <f t="shared" si="31"/>
        <v>-24.023123443768029</v>
      </c>
    </row>
    <row r="381" spans="1:14" x14ac:dyDescent="0.2">
      <c r="A381" s="299" t="s">
        <v>1256</v>
      </c>
      <c r="B381" s="298" t="str">
        <f t="shared" si="27"/>
        <v>HPS0170-TA</v>
      </c>
      <c r="C381" s="294" t="str">
        <f>VLOOKUP(LEFT(A381,7),'Tariff Schedule Lookup Table'!$A$8:$G$198,2,FALSE)</f>
        <v>High Pressure Sodium 400</v>
      </c>
      <c r="D381" s="295">
        <f t="shared" si="28"/>
        <v>600</v>
      </c>
      <c r="E381" s="294">
        <f t="shared" si="29"/>
        <v>2</v>
      </c>
      <c r="F381" s="294" t="str">
        <f>VLOOKUP(D381,'Tariff Schedule Lookup Table'!I$7:L$298,2,FALSE)</f>
        <v>HIGH PRESSURE SODIUM 400W (310/360)</v>
      </c>
      <c r="G381" s="294" t="str">
        <f>IF(F381 = "BULKHEADS ETC", "SHARED OR NO POLE", VLOOKUP(D381,'Tariff Schedule Lookup Table'!I$7:L$298,3,FALSE))</f>
        <v>R/BOUT COLUMN</v>
      </c>
      <c r="H381" s="294">
        <f>IF(F381 = "NO CAPITAL", 1, VLOOKUP(D381,'Tariff Schedule Lookup Table'!I$7:L$298,4,FALSE))</f>
        <v>4</v>
      </c>
      <c r="I381" s="296">
        <f>VLOOKUP(G381,'Input data'!$A$68:$B$72,2,FALSE)</f>
        <v>9.8748837500000004</v>
      </c>
      <c r="J381" s="296">
        <f>VLOOKUP($B381,'Maintenance Costs'!$A:$AB,22,FALSE)</f>
        <v>28.620242222626629</v>
      </c>
      <c r="K381" s="296">
        <f>VLOOKUP($B381,'Maintenance Costs'!$A:$AB,28,FALSE)</f>
        <v>32.05803804139537</v>
      </c>
      <c r="L381" s="297">
        <f t="shared" si="30"/>
        <v>63.147001201522002</v>
      </c>
      <c r="M381">
        <v>87.170124645290031</v>
      </c>
      <c r="N381" s="30">
        <f t="shared" si="31"/>
        <v>-24.023123443768029</v>
      </c>
    </row>
    <row r="382" spans="1:14" x14ac:dyDescent="0.2">
      <c r="A382" s="299" t="s">
        <v>1257</v>
      </c>
      <c r="B382" s="298" t="str">
        <f t="shared" si="27"/>
        <v>HPS0170-TA</v>
      </c>
      <c r="C382" s="294" t="str">
        <f>VLOOKUP(LEFT(A382,7),'Tariff Schedule Lookup Table'!$A$8:$G$198,2,FALSE)</f>
        <v>High Pressure Sodium 400</v>
      </c>
      <c r="D382" s="295">
        <f t="shared" si="28"/>
        <v>1080</v>
      </c>
      <c r="E382" s="294">
        <f t="shared" si="29"/>
        <v>1</v>
      </c>
      <c r="F382" s="294" t="str">
        <f>VLOOKUP(D382,'Tariff Schedule Lookup Table'!I$7:L$298,2,FALSE)</f>
        <v>METAL HALIDE/HPS 400W FLOOD (310/360)</v>
      </c>
      <c r="G382" s="294" t="str">
        <f>IF(F382 = "BULKHEADS ETC", "SHARED OR NO POLE", VLOOKUP(D382,'Tariff Schedule Lookup Table'!I$7:L$298,3,FALSE))</f>
        <v>SHARED OR NO POLE</v>
      </c>
      <c r="H382" s="294">
        <f>IF(F382 = "NO CAPITAL", 1, VLOOKUP(D382,'Tariff Schedule Lookup Table'!I$7:L$298,4,FALSE))</f>
        <v>2</v>
      </c>
      <c r="I382" s="296">
        <f>VLOOKUP(G382,'Input data'!$A$68:$B$72,2,FALSE)</f>
        <v>0</v>
      </c>
      <c r="J382" s="296">
        <f>VLOOKUP($B382,'Maintenance Costs'!$A:$AB,22,FALSE)</f>
        <v>28.620242222626629</v>
      </c>
      <c r="K382" s="296">
        <f>VLOOKUP($B382,'Maintenance Costs'!$A:$AB,28,FALSE)</f>
        <v>32.05803804139537</v>
      </c>
      <c r="L382" s="297">
        <f t="shared" si="30"/>
        <v>60.678280264022</v>
      </c>
      <c r="M382">
        <v>84.701403707790035</v>
      </c>
      <c r="N382" s="30">
        <f t="shared" si="31"/>
        <v>-24.023123443768036</v>
      </c>
    </row>
    <row r="383" spans="1:14" ht="22.5" x14ac:dyDescent="0.2">
      <c r="A383" s="299" t="s">
        <v>1258</v>
      </c>
      <c r="B383" s="298" t="str">
        <f t="shared" si="27"/>
        <v>HPS0180-ST</v>
      </c>
      <c r="C383" s="294" t="str">
        <f>VLOOKUP(LEFT(A383,7),'Tariff Schedule Lookup Table'!$A$8:$G$198,2,FALSE)</f>
        <v>High Pressure Sodium 2x400</v>
      </c>
      <c r="D383" s="295">
        <f t="shared" si="28"/>
        <v>860</v>
      </c>
      <c r="E383" s="294">
        <f t="shared" si="29"/>
        <v>1</v>
      </c>
      <c r="F383" s="294" t="str">
        <f>VLOOKUP(D383,'Tariff Schedule Lookup Table'!I$7:L$298,2,FALSE)</f>
        <v>HIGH PRESSURE SODIUM 2X250 W OR 2X400 W FLOOD</v>
      </c>
      <c r="G383" s="294" t="str">
        <f>IF(F383 = "BULKHEADS ETC", "SHARED OR NO POLE", VLOOKUP(D383,'Tariff Schedule Lookup Table'!I$7:L$298,3,FALSE))</f>
        <v>R/BOUT COLUMN</v>
      </c>
      <c r="H383" s="294">
        <f>IF(F383 = "NO CAPITAL", 1, VLOOKUP(D383,'Tariff Schedule Lookup Table'!I$7:L$298,4,FALSE))</f>
        <v>3</v>
      </c>
      <c r="I383" s="296">
        <f>VLOOKUP(G383,'Input data'!$A$68:$B$72,2,FALSE)</f>
        <v>9.8748837500000004</v>
      </c>
      <c r="J383" s="296">
        <f>VLOOKUP($B383,'Maintenance Costs'!$A:$AB,22,FALSE)</f>
        <v>28.101278646086183</v>
      </c>
      <c r="K383" s="296">
        <f>VLOOKUP($B383,'Maintenance Costs'!$A:$AB,28,FALSE)</f>
        <v>34.227632041395367</v>
      </c>
      <c r="L383" s="297">
        <f t="shared" si="30"/>
        <v>65.620538604148223</v>
      </c>
      <c r="M383">
        <v>102.27065164539853</v>
      </c>
      <c r="N383" s="30">
        <f t="shared" si="31"/>
        <v>-36.650113041250307</v>
      </c>
    </row>
    <row r="384" spans="1:14" ht="22.5" x14ac:dyDescent="0.2">
      <c r="A384" s="299" t="s">
        <v>1259</v>
      </c>
      <c r="B384" s="298" t="str">
        <f t="shared" si="27"/>
        <v>HPS0180-ST</v>
      </c>
      <c r="C384" s="294" t="str">
        <f>VLOOKUP(LEFT(A384,7),'Tariff Schedule Lookup Table'!$A$8:$G$198,2,FALSE)</f>
        <v>High Pressure Sodium 2x400</v>
      </c>
      <c r="D384" s="295">
        <f t="shared" si="28"/>
        <v>870</v>
      </c>
      <c r="E384" s="294">
        <f t="shared" si="29"/>
        <v>1</v>
      </c>
      <c r="F384" s="294" t="str">
        <f>VLOOKUP(D384,'Tariff Schedule Lookup Table'!I$7:L$298,2,FALSE)</f>
        <v>HIGH PRESSURE SODIUM 2X250 W OR 2X400 W FLOOD</v>
      </c>
      <c r="G384" s="294" t="str">
        <f>IF(F384 = "BULKHEADS ETC", "SHARED OR NO POLE", VLOOKUP(D384,'Tariff Schedule Lookup Table'!I$7:L$298,3,FALSE))</f>
        <v>R/BOUT COLUMN</v>
      </c>
      <c r="H384" s="294">
        <f>IF(F384 = "NO CAPITAL", 1, VLOOKUP(D384,'Tariff Schedule Lookup Table'!I$7:L$298,4,FALSE))</f>
        <v>4</v>
      </c>
      <c r="I384" s="296">
        <f>VLOOKUP(G384,'Input data'!$A$68:$B$72,2,FALSE)</f>
        <v>9.8748837500000004</v>
      </c>
      <c r="J384" s="296">
        <f>VLOOKUP($B384,'Maintenance Costs'!$A:$AB,22,FALSE)</f>
        <v>28.101278646086183</v>
      </c>
      <c r="K384" s="296">
        <f>VLOOKUP($B384,'Maintenance Costs'!$A:$AB,28,FALSE)</f>
        <v>34.227632041395367</v>
      </c>
      <c r="L384" s="297">
        <f t="shared" si="30"/>
        <v>64.797631624981548</v>
      </c>
      <c r="M384">
        <v>101.44774466623186</v>
      </c>
      <c r="N384" s="30">
        <f t="shared" si="31"/>
        <v>-36.650113041250307</v>
      </c>
    </row>
    <row r="385" spans="1:14" ht="22.5" x14ac:dyDescent="0.2">
      <c r="A385" s="299" t="s">
        <v>1260</v>
      </c>
      <c r="B385" s="298" t="str">
        <f t="shared" si="27"/>
        <v>HPS0180-ST</v>
      </c>
      <c r="C385" s="294" t="str">
        <f>VLOOKUP(LEFT(A385,7),'Tariff Schedule Lookup Table'!$A$8:$G$198,2,FALSE)</f>
        <v>High Pressure Sodium 2x400</v>
      </c>
      <c r="D385" s="295">
        <f t="shared" si="28"/>
        <v>870</v>
      </c>
      <c r="E385" s="294">
        <f t="shared" si="29"/>
        <v>2</v>
      </c>
      <c r="F385" s="294" t="str">
        <f>VLOOKUP(D385,'Tariff Schedule Lookup Table'!I$7:L$298,2,FALSE)</f>
        <v>HIGH PRESSURE SODIUM 2X250 W OR 2X400 W FLOOD</v>
      </c>
      <c r="G385" s="294" t="str">
        <f>IF(F385 = "BULKHEADS ETC", "SHARED OR NO POLE", VLOOKUP(D385,'Tariff Schedule Lookup Table'!I$7:L$298,3,FALSE))</f>
        <v>R/BOUT COLUMN</v>
      </c>
      <c r="H385" s="294">
        <f>IF(F385 = "NO CAPITAL", 1, VLOOKUP(D385,'Tariff Schedule Lookup Table'!I$7:L$298,4,FALSE))</f>
        <v>4</v>
      </c>
      <c r="I385" s="296">
        <f>VLOOKUP(G385,'Input data'!$A$68:$B$72,2,FALSE)</f>
        <v>9.8748837500000004</v>
      </c>
      <c r="J385" s="296">
        <f>VLOOKUP($B385,'Maintenance Costs'!$A:$AB,22,FALSE)</f>
        <v>28.101278646086183</v>
      </c>
      <c r="K385" s="296">
        <f>VLOOKUP($B385,'Maintenance Costs'!$A:$AB,28,FALSE)</f>
        <v>34.227632041395367</v>
      </c>
      <c r="L385" s="297">
        <f t="shared" si="30"/>
        <v>64.797631624981548</v>
      </c>
      <c r="M385">
        <v>101.44774466623186</v>
      </c>
      <c r="N385" s="30">
        <f t="shared" si="31"/>
        <v>-36.650113041250307</v>
      </c>
    </row>
    <row r="386" spans="1:14" ht="22.5" x14ac:dyDescent="0.2">
      <c r="A386" s="299" t="s">
        <v>1261</v>
      </c>
      <c r="B386" s="298" t="str">
        <f t="shared" si="27"/>
        <v>HPS0180-ST</v>
      </c>
      <c r="C386" s="294" t="str">
        <f>VLOOKUP(LEFT(A386,7),'Tariff Schedule Lookup Table'!$A$8:$G$198,2,FALSE)</f>
        <v>High Pressure Sodium 2x400</v>
      </c>
      <c r="D386" s="295">
        <f t="shared" si="28"/>
        <v>1490</v>
      </c>
      <c r="E386" s="294">
        <f t="shared" si="29"/>
        <v>1</v>
      </c>
      <c r="F386" s="294" t="str">
        <f>VLOOKUP(D386,'Tariff Schedule Lookup Table'!I$7:L$298,2,FALSE)</f>
        <v>HIGH PRESSURE SODIUM 2X250 W OR 2X400 W FLOOD</v>
      </c>
      <c r="G386" s="294" t="str">
        <f>IF(F386 = "BULKHEADS ETC", "SHARED OR NO POLE", VLOOKUP(D386,'Tariff Schedule Lookup Table'!I$7:L$298,3,FALSE))</f>
        <v>R/BOUT COLUMN</v>
      </c>
      <c r="H386" s="294">
        <f>IF(F386 = "NO CAPITAL", 1, VLOOKUP(D386,'Tariff Schedule Lookup Table'!I$7:L$298,4,FALSE))</f>
        <v>2</v>
      </c>
      <c r="I386" s="296">
        <f>VLOOKUP(G386,'Input data'!$A$68:$B$72,2,FALSE)</f>
        <v>9.8748837500000004</v>
      </c>
      <c r="J386" s="296">
        <f>VLOOKUP($B386,'Maintenance Costs'!$A:$AB,22,FALSE)</f>
        <v>28.101278646086183</v>
      </c>
      <c r="K386" s="296">
        <f>VLOOKUP($B386,'Maintenance Costs'!$A:$AB,28,FALSE)</f>
        <v>34.227632041395367</v>
      </c>
      <c r="L386" s="297">
        <f t="shared" si="30"/>
        <v>67.266352562481558</v>
      </c>
      <c r="M386">
        <v>103.91646560373187</v>
      </c>
      <c r="N386" s="30">
        <f t="shared" si="31"/>
        <v>-36.650113041250307</v>
      </c>
    </row>
    <row r="387" spans="1:14" x14ac:dyDescent="0.2">
      <c r="A387" s="299" t="s">
        <v>1262</v>
      </c>
      <c r="B387" s="298" t="str">
        <f t="shared" si="27"/>
        <v>HPS0190-ST</v>
      </c>
      <c r="C387" s="294" t="str">
        <f>VLOOKUP(LEFT(A387,7),'Tariff Schedule Lookup Table'!$A$8:$G$198,2,FALSE)</f>
        <v>High Pressure Sodium 3x400</v>
      </c>
      <c r="D387" s="295">
        <f t="shared" si="28"/>
        <v>1470</v>
      </c>
      <c r="E387" s="294">
        <f t="shared" si="29"/>
        <v>2</v>
      </c>
      <c r="F387" s="294" t="str">
        <f>VLOOKUP(D387,'Tariff Schedule Lookup Table'!I$7:L$298,2,FALSE)</f>
        <v>HIGH PRESSURE SODIUM 3X400 W POST TOP</v>
      </c>
      <c r="G387" s="294" t="str">
        <f>IF(F387 = "BULKHEADS ETC", "SHARED OR NO POLE", VLOOKUP(D387,'Tariff Schedule Lookup Table'!I$7:L$298,3,FALSE))</f>
        <v>R/BOUT COLUMN</v>
      </c>
      <c r="H387" s="294">
        <f>IF(F387 = "NO CAPITAL", 1, VLOOKUP(D387,'Tariff Schedule Lookup Table'!I$7:L$298,4,FALSE))</f>
        <v>1</v>
      </c>
      <c r="I387" s="296">
        <f>VLOOKUP(G387,'Input data'!$A$68:$B$72,2,FALSE)</f>
        <v>9.8748837500000004</v>
      </c>
      <c r="J387" s="296">
        <f>VLOOKUP($B387,'Maintenance Costs'!$A:$AB,22,FALSE)</f>
        <v>29.668398906504667</v>
      </c>
      <c r="K387" s="296">
        <f>VLOOKUP($B387,'Maintenance Costs'!$A:$AB,28,FALSE)</f>
        <v>45.655779541395368</v>
      </c>
      <c r="L387" s="297">
        <f t="shared" si="30"/>
        <v>85.199062197900034</v>
      </c>
      <c r="M387">
        <v>127.0997940987954</v>
      </c>
      <c r="N387" s="30">
        <f t="shared" si="31"/>
        <v>-41.900731900895366</v>
      </c>
    </row>
    <row r="388" spans="1:14" x14ac:dyDescent="0.2">
      <c r="A388" s="299" t="s">
        <v>824</v>
      </c>
      <c r="B388" s="298" t="str">
        <f t="shared" si="27"/>
        <v>HPS0190-ST</v>
      </c>
      <c r="C388" s="294" t="str">
        <f>VLOOKUP(LEFT(A388,7),'Tariff Schedule Lookup Table'!$A$8:$G$198,2,FALSE)</f>
        <v>High Pressure Sodium 3x400</v>
      </c>
      <c r="D388" s="295">
        <f t="shared" si="28"/>
        <v>1470</v>
      </c>
      <c r="E388" s="294">
        <f t="shared" si="29"/>
        <v>4</v>
      </c>
      <c r="F388" s="294" t="str">
        <f>VLOOKUP(D388,'Tariff Schedule Lookup Table'!I$7:L$298,2,FALSE)</f>
        <v>HIGH PRESSURE SODIUM 3X400 W POST TOP</v>
      </c>
      <c r="G388" s="294" t="str">
        <f>IF(F388 = "BULKHEADS ETC", "SHARED OR NO POLE", VLOOKUP(D388,'Tariff Schedule Lookup Table'!I$7:L$298,3,FALSE))</f>
        <v>R/BOUT COLUMN</v>
      </c>
      <c r="H388" s="294">
        <f>IF(F388 = "NO CAPITAL", 1, VLOOKUP(D388,'Tariff Schedule Lookup Table'!I$7:L$298,4,FALSE))</f>
        <v>1</v>
      </c>
      <c r="I388" s="296">
        <f>VLOOKUP(G388,'Input data'!$A$68:$B$72,2,FALSE)</f>
        <v>9.8748837500000004</v>
      </c>
      <c r="J388" s="296">
        <f>VLOOKUP($B388,'Maintenance Costs'!$A:$AB,22,FALSE)</f>
        <v>29.668398906504667</v>
      </c>
      <c r="K388" s="296">
        <f>VLOOKUP($B388,'Maintenance Costs'!$A:$AB,28,FALSE)</f>
        <v>45.655779541395368</v>
      </c>
      <c r="L388" s="297">
        <f t="shared" si="30"/>
        <v>85.199062197900034</v>
      </c>
      <c r="M388">
        <v>127.0997940987954</v>
      </c>
      <c r="N388" s="30">
        <f t="shared" si="31"/>
        <v>-41.900731900895366</v>
      </c>
    </row>
    <row r="389" spans="1:14" x14ac:dyDescent="0.2">
      <c r="A389" s="299" t="s">
        <v>1263</v>
      </c>
      <c r="B389" s="298" t="str">
        <f t="shared" si="27"/>
        <v>HPS0250-ST</v>
      </c>
      <c r="C389" s="294" t="str">
        <f>VLOOKUP(LEFT(A389,7),'Tariff Schedule Lookup Table'!$A$8:$G$198,2,FALSE)</f>
        <v>High Pressure Sodium 1000</v>
      </c>
      <c r="D389" s="295">
        <f t="shared" si="28"/>
        <v>120</v>
      </c>
      <c r="E389" s="294">
        <f t="shared" si="29"/>
        <v>1</v>
      </c>
      <c r="F389" s="294" t="str">
        <f>VLOOKUP(D389,'Tariff Schedule Lookup Table'!I$7:L$298,2,FALSE)</f>
        <v xml:space="preserve">METAL HALIDE 1000W FLOODLIGHT </v>
      </c>
      <c r="G389" s="294" t="str">
        <f>IF(F389 = "BULKHEADS ETC", "SHARED OR NO POLE", VLOOKUP(D389,'Tariff Schedule Lookup Table'!I$7:L$298,3,FALSE))</f>
        <v>SHARED OR NO POLE</v>
      </c>
      <c r="H389" s="294">
        <f>IF(F389 = "NO CAPITAL", 1, VLOOKUP(D389,'Tariff Schedule Lookup Table'!I$7:L$298,4,FALSE))</f>
        <v>1</v>
      </c>
      <c r="I389" s="296">
        <f>VLOOKUP(G389,'Input data'!$A$68:$B$72,2,FALSE)</f>
        <v>0</v>
      </c>
      <c r="J389" s="296">
        <f>VLOOKUP($B389,'Maintenance Costs'!$A:$AB,22,FALSE)</f>
        <v>28.596819242626626</v>
      </c>
      <c r="K389" s="296">
        <f>VLOOKUP($B389,'Maintenance Costs'!$A:$AB,28,FALSE)</f>
        <v>28.201881541395373</v>
      </c>
      <c r="L389" s="297">
        <f t="shared" si="30"/>
        <v>56.798700784022003</v>
      </c>
      <c r="M389">
        <v>91.847141050871073</v>
      </c>
      <c r="N389" s="30">
        <f t="shared" si="31"/>
        <v>-35.04844026684907</v>
      </c>
    </row>
    <row r="390" spans="1:14" x14ac:dyDescent="0.2">
      <c r="A390" s="299" t="s">
        <v>1264</v>
      </c>
      <c r="B390" s="298" t="str">
        <f t="shared" si="27"/>
        <v>HPS0250-ST</v>
      </c>
      <c r="C390" s="294" t="str">
        <f>VLOOKUP(LEFT(A390,7),'Tariff Schedule Lookup Table'!$A$8:$G$198,2,FALSE)</f>
        <v>High Pressure Sodium 1000</v>
      </c>
      <c r="D390" s="295">
        <f t="shared" si="28"/>
        <v>120</v>
      </c>
      <c r="E390" s="294">
        <f t="shared" si="29"/>
        <v>2</v>
      </c>
      <c r="F390" s="294" t="str">
        <f>VLOOKUP(D390,'Tariff Schedule Lookup Table'!I$7:L$298,2,FALSE)</f>
        <v xml:space="preserve">METAL HALIDE 1000W FLOODLIGHT </v>
      </c>
      <c r="G390" s="294" t="str">
        <f>IF(F390 = "BULKHEADS ETC", "SHARED OR NO POLE", VLOOKUP(D390,'Tariff Schedule Lookup Table'!I$7:L$298,3,FALSE))</f>
        <v>SHARED OR NO POLE</v>
      </c>
      <c r="H390" s="294">
        <f>IF(F390 = "NO CAPITAL", 1, VLOOKUP(D390,'Tariff Schedule Lookup Table'!I$7:L$298,4,FALSE))</f>
        <v>1</v>
      </c>
      <c r="I390" s="296">
        <f>VLOOKUP(G390,'Input data'!$A$68:$B$72,2,FALSE)</f>
        <v>0</v>
      </c>
      <c r="J390" s="296">
        <f>VLOOKUP($B390,'Maintenance Costs'!$A:$AB,22,FALSE)</f>
        <v>28.596819242626626</v>
      </c>
      <c r="K390" s="296">
        <f>VLOOKUP($B390,'Maintenance Costs'!$A:$AB,28,FALSE)</f>
        <v>28.201881541395373</v>
      </c>
      <c r="L390" s="297">
        <f t="shared" si="30"/>
        <v>56.798700784022003</v>
      </c>
      <c r="M390">
        <v>91.847141050871073</v>
      </c>
      <c r="N390" s="30">
        <f t="shared" si="31"/>
        <v>-35.04844026684907</v>
      </c>
    </row>
    <row r="391" spans="1:14" x14ac:dyDescent="0.2">
      <c r="A391" s="299" t="s">
        <v>1265</v>
      </c>
      <c r="B391" s="298" t="str">
        <f t="shared" si="27"/>
        <v>HPS0250-ST</v>
      </c>
      <c r="C391" s="294" t="str">
        <f>VLOOKUP(LEFT(A391,7),'Tariff Schedule Lookup Table'!$A$8:$G$198,2,FALSE)</f>
        <v>High Pressure Sodium 1000</v>
      </c>
      <c r="D391" s="295">
        <f t="shared" si="28"/>
        <v>840</v>
      </c>
      <c r="E391" s="294">
        <f t="shared" si="29"/>
        <v>1</v>
      </c>
      <c r="F391" s="294" t="str">
        <f>VLOOKUP(D391,'Tariff Schedule Lookup Table'!I$7:L$298,2,FALSE)</f>
        <v xml:space="preserve">METAL HALIDE 1000W FLOODLIGHT </v>
      </c>
      <c r="G391" s="294" t="str">
        <f>IF(F391 = "BULKHEADS ETC", "SHARED OR NO POLE", VLOOKUP(D391,'Tariff Schedule Lookup Table'!I$7:L$298,3,FALSE))</f>
        <v>R/BOUT COLUMN</v>
      </c>
      <c r="H391" s="294">
        <f>IF(F391 = "NO CAPITAL", 1, VLOOKUP(D391,'Tariff Schedule Lookup Table'!I$7:L$298,4,FALSE))</f>
        <v>3</v>
      </c>
      <c r="I391" s="296">
        <f>VLOOKUP(G391,'Input data'!$A$68:$B$72,2,FALSE)</f>
        <v>9.8748837500000004</v>
      </c>
      <c r="J391" s="296">
        <f>VLOOKUP($B391,'Maintenance Costs'!$A:$AB,22,FALSE)</f>
        <v>28.596819242626626</v>
      </c>
      <c r="K391" s="296">
        <f>VLOOKUP($B391,'Maintenance Costs'!$A:$AB,28,FALSE)</f>
        <v>28.201881541395373</v>
      </c>
      <c r="L391" s="297">
        <f t="shared" si="30"/>
        <v>60.090328700688673</v>
      </c>
      <c r="M391">
        <v>95.138768967537743</v>
      </c>
      <c r="N391" s="30">
        <f t="shared" si="31"/>
        <v>-35.04844026684907</v>
      </c>
    </row>
    <row r="392" spans="1:14" x14ac:dyDescent="0.2">
      <c r="A392" s="299" t="s">
        <v>1266</v>
      </c>
      <c r="B392" s="298" t="str">
        <f t="shared" si="27"/>
        <v>HPS0250-ST</v>
      </c>
      <c r="C392" s="294" t="str">
        <f>VLOOKUP(LEFT(A392,7),'Tariff Schedule Lookup Table'!$A$8:$G$198,2,FALSE)</f>
        <v>High Pressure Sodium 1000</v>
      </c>
      <c r="D392" s="295">
        <f t="shared" si="28"/>
        <v>850</v>
      </c>
      <c r="E392" s="294">
        <f t="shared" si="29"/>
        <v>1</v>
      </c>
      <c r="F392" s="294" t="str">
        <f>VLOOKUP(D392,'Tariff Schedule Lookup Table'!I$7:L$298,2,FALSE)</f>
        <v xml:space="preserve">METAL HALIDE 1000W FLOODLIGHT </v>
      </c>
      <c r="G392" s="294" t="str">
        <f>IF(F392 = "BULKHEADS ETC", "SHARED OR NO POLE", VLOOKUP(D392,'Tariff Schedule Lookup Table'!I$7:L$298,3,FALSE))</f>
        <v>R/BOUT COLUMN</v>
      </c>
      <c r="H392" s="294">
        <f>IF(F392 = "NO CAPITAL", 1, VLOOKUP(D392,'Tariff Schedule Lookup Table'!I$7:L$298,4,FALSE))</f>
        <v>2</v>
      </c>
      <c r="I392" s="296">
        <f>VLOOKUP(G392,'Input data'!$A$68:$B$72,2,FALSE)</f>
        <v>9.8748837500000004</v>
      </c>
      <c r="J392" s="296">
        <f>VLOOKUP($B392,'Maintenance Costs'!$A:$AB,22,FALSE)</f>
        <v>28.596819242626626</v>
      </c>
      <c r="K392" s="296">
        <f>VLOOKUP($B392,'Maintenance Costs'!$A:$AB,28,FALSE)</f>
        <v>28.201881541395373</v>
      </c>
      <c r="L392" s="297">
        <f t="shared" si="30"/>
        <v>61.736142659022001</v>
      </c>
      <c r="M392">
        <v>96.784582925871078</v>
      </c>
      <c r="N392" s="30">
        <f t="shared" si="31"/>
        <v>-35.048440266849077</v>
      </c>
    </row>
    <row r="393" spans="1:14" x14ac:dyDescent="0.2">
      <c r="A393" s="299" t="s">
        <v>1267</v>
      </c>
      <c r="B393" s="298" t="str">
        <f t="shared" si="27"/>
        <v>HPS0250-ST</v>
      </c>
      <c r="C393" s="294" t="str">
        <f>VLOOKUP(LEFT(A393,7),'Tariff Schedule Lookup Table'!$A$8:$G$198,2,FALSE)</f>
        <v>High Pressure Sodium 1000</v>
      </c>
      <c r="D393" s="295">
        <f t="shared" si="28"/>
        <v>1050</v>
      </c>
      <c r="E393" s="294">
        <f t="shared" si="29"/>
        <v>1</v>
      </c>
      <c r="F393" s="294" t="str">
        <f>VLOOKUP(D393,'Tariff Schedule Lookup Table'!I$7:L$298,2,FALSE)</f>
        <v xml:space="preserve">METAL HALIDE 1000W FLOODLIGHT </v>
      </c>
      <c r="G393" s="294" t="str">
        <f>IF(F393 = "BULKHEADS ETC", "SHARED OR NO POLE", VLOOKUP(D393,'Tariff Schedule Lookup Table'!I$7:L$298,3,FALSE))</f>
        <v>R/BOUT COLUMN</v>
      </c>
      <c r="H393" s="294">
        <f>IF(F393 = "NO CAPITAL", 1, VLOOKUP(D393,'Tariff Schedule Lookup Table'!I$7:L$298,4,FALSE))</f>
        <v>4</v>
      </c>
      <c r="I393" s="296">
        <f>VLOOKUP(G393,'Input data'!$A$68:$B$72,2,FALSE)</f>
        <v>9.8748837500000004</v>
      </c>
      <c r="J393" s="296">
        <f>VLOOKUP($B393,'Maintenance Costs'!$A:$AB,22,FALSE)</f>
        <v>28.596819242626626</v>
      </c>
      <c r="K393" s="296">
        <f>VLOOKUP($B393,'Maintenance Costs'!$A:$AB,28,FALSE)</f>
        <v>28.201881541395373</v>
      </c>
      <c r="L393" s="297">
        <f t="shared" si="30"/>
        <v>59.267421721522005</v>
      </c>
      <c r="M393">
        <v>94.315861988371068</v>
      </c>
      <c r="N393" s="30">
        <f t="shared" si="31"/>
        <v>-35.048440266849063</v>
      </c>
    </row>
    <row r="394" spans="1:14" x14ac:dyDescent="0.2">
      <c r="A394" s="299" t="s">
        <v>1268</v>
      </c>
      <c r="B394" s="298" t="str">
        <f t="shared" ref="B394:B457" si="32">LEFT(A394,10)</f>
        <v>HPS0250-ST</v>
      </c>
      <c r="C394" s="294" t="str">
        <f>VLOOKUP(LEFT(A394,7),'Tariff Schedule Lookup Table'!$A$8:$G$198,2,FALSE)</f>
        <v>High Pressure Sodium 1000</v>
      </c>
      <c r="D394" s="295">
        <f t="shared" ref="D394:D457" si="33">1*MID(A394,12,4)</f>
        <v>1050</v>
      </c>
      <c r="E394" s="294">
        <f t="shared" ref="E394:E457" si="34">1*(MID(A394,17,3))</f>
        <v>2</v>
      </c>
      <c r="F394" s="294" t="str">
        <f>VLOOKUP(D394,'Tariff Schedule Lookup Table'!I$7:L$298,2,FALSE)</f>
        <v xml:space="preserve">METAL HALIDE 1000W FLOODLIGHT </v>
      </c>
      <c r="G394" s="294" t="str">
        <f>IF(F394 = "BULKHEADS ETC", "SHARED OR NO POLE", VLOOKUP(D394,'Tariff Schedule Lookup Table'!I$7:L$298,3,FALSE))</f>
        <v>R/BOUT COLUMN</v>
      </c>
      <c r="H394" s="294">
        <f>IF(F394 = "NO CAPITAL", 1, VLOOKUP(D394,'Tariff Schedule Lookup Table'!I$7:L$298,4,FALSE))</f>
        <v>4</v>
      </c>
      <c r="I394" s="296">
        <f>VLOOKUP(G394,'Input data'!$A$68:$B$72,2,FALSE)</f>
        <v>9.8748837500000004</v>
      </c>
      <c r="J394" s="296">
        <f>VLOOKUP($B394,'Maintenance Costs'!$A:$AB,22,FALSE)</f>
        <v>28.596819242626626</v>
      </c>
      <c r="K394" s="296">
        <f>VLOOKUP($B394,'Maintenance Costs'!$A:$AB,28,FALSE)</f>
        <v>28.201881541395373</v>
      </c>
      <c r="L394" s="297">
        <f t="shared" ref="L394:L457" si="35">K394+J394+I394/H394</f>
        <v>59.267421721522005</v>
      </c>
      <c r="M394">
        <v>94.315861988371068</v>
      </c>
      <c r="N394" s="30">
        <f t="shared" si="31"/>
        <v>-35.048440266849063</v>
      </c>
    </row>
    <row r="395" spans="1:14" x14ac:dyDescent="0.2">
      <c r="A395" s="299" t="s">
        <v>546</v>
      </c>
      <c r="B395" s="298" t="str">
        <f t="shared" si="32"/>
        <v>HPS0250-ST</v>
      </c>
      <c r="C395" s="294" t="str">
        <f>VLOOKUP(LEFT(A395,7),'Tariff Schedule Lookup Table'!$A$8:$G$198,2,FALSE)</f>
        <v>High Pressure Sodium 1000</v>
      </c>
      <c r="D395" s="295">
        <f t="shared" si="33"/>
        <v>1050</v>
      </c>
      <c r="E395" s="294">
        <f t="shared" si="34"/>
        <v>4</v>
      </c>
      <c r="F395" s="294" t="str">
        <f>VLOOKUP(D395,'Tariff Schedule Lookup Table'!I$7:L$298,2,FALSE)</f>
        <v xml:space="preserve">METAL HALIDE 1000W FLOODLIGHT </v>
      </c>
      <c r="G395" s="294" t="str">
        <f>IF(F395 = "BULKHEADS ETC", "SHARED OR NO POLE", VLOOKUP(D395,'Tariff Schedule Lookup Table'!I$7:L$298,3,FALSE))</f>
        <v>R/BOUT COLUMN</v>
      </c>
      <c r="H395" s="294">
        <f>IF(F395 = "NO CAPITAL", 1, VLOOKUP(D395,'Tariff Schedule Lookup Table'!I$7:L$298,4,FALSE))</f>
        <v>4</v>
      </c>
      <c r="I395" s="296">
        <f>VLOOKUP(G395,'Input data'!$A$68:$B$72,2,FALSE)</f>
        <v>9.8748837500000004</v>
      </c>
      <c r="J395" s="296">
        <f>VLOOKUP($B395,'Maintenance Costs'!$A:$AB,22,FALSE)</f>
        <v>28.596819242626626</v>
      </c>
      <c r="K395" s="296">
        <f>VLOOKUP($B395,'Maintenance Costs'!$A:$AB,28,FALSE)</f>
        <v>28.201881541395373</v>
      </c>
      <c r="L395" s="297">
        <f t="shared" si="35"/>
        <v>59.267421721522005</v>
      </c>
      <c r="M395">
        <v>94.315861988371068</v>
      </c>
      <c r="N395" s="30">
        <f t="shared" ref="N395:N458" si="36">L395-M395</f>
        <v>-35.048440266849063</v>
      </c>
    </row>
    <row r="396" spans="1:14" x14ac:dyDescent="0.2">
      <c r="A396" s="299" t="s">
        <v>1269</v>
      </c>
      <c r="B396" s="298" t="str">
        <f t="shared" si="32"/>
        <v>INC0030-ST</v>
      </c>
      <c r="C396" s="294" t="str">
        <f>VLOOKUP(LEFT(A396,7),'Tariff Schedule Lookup Table'!$A$8:$G$198,2,FALSE)</f>
        <v>Incandescent 60</v>
      </c>
      <c r="D396" s="295">
        <f t="shared" si="33"/>
        <v>1</v>
      </c>
      <c r="E396" s="294">
        <f t="shared" si="34"/>
        <v>6</v>
      </c>
      <c r="F396" s="294" t="str">
        <f>VLOOKUP(D396,'Tariff Schedule Lookup Table'!I$7:L$298,2,FALSE)</f>
        <v>NO CAPITAL</v>
      </c>
      <c r="G396" s="294" t="str">
        <f>IF(F396 = "BULKHEADS ETC", "SHARED OR NO POLE", VLOOKUP(D396,'Tariff Schedule Lookup Table'!I$7:L$298,3,FALSE))</f>
        <v>NO CAPITAL</v>
      </c>
      <c r="H396" s="294">
        <f>IF(F396 = "NO CAPITAL", 1, VLOOKUP(D396,'Tariff Schedule Lookup Table'!I$7:L$298,4,FALSE))</f>
        <v>1</v>
      </c>
      <c r="I396" s="296">
        <f>VLOOKUP(G396,'Input data'!$A$68:$B$72,2,FALSE)</f>
        <v>0</v>
      </c>
      <c r="J396" s="296">
        <v>0</v>
      </c>
      <c r="K396" s="296">
        <v>0</v>
      </c>
      <c r="L396" s="297">
        <f t="shared" si="35"/>
        <v>0</v>
      </c>
      <c r="M396">
        <v>0</v>
      </c>
      <c r="N396" s="30">
        <f t="shared" si="36"/>
        <v>0</v>
      </c>
    </row>
    <row r="397" spans="1:14" x14ac:dyDescent="0.2">
      <c r="A397" s="299" t="s">
        <v>1270</v>
      </c>
      <c r="B397" s="298" t="str">
        <f t="shared" si="32"/>
        <v>INC0030-ST</v>
      </c>
      <c r="C397" s="294" t="str">
        <f>VLOOKUP(LEFT(A397,7),'Tariff Schedule Lookup Table'!$A$8:$G$198,2,FALSE)</f>
        <v>Incandescent 60</v>
      </c>
      <c r="D397" s="295">
        <f t="shared" si="33"/>
        <v>10</v>
      </c>
      <c r="E397" s="294">
        <f t="shared" si="34"/>
        <v>1</v>
      </c>
      <c r="F397" s="294" t="str">
        <f>VLOOKUP(D397,'Tariff Schedule Lookup Table'!I$7:L$298,2,FALSE)</f>
        <v>MERCURY VAPOUR 80W</v>
      </c>
      <c r="G397" s="294" t="str">
        <f>IF(F397 = "BULKHEADS ETC", "SHARED OR NO POLE", VLOOKUP(D397,'Tariff Schedule Lookup Table'!I$7:L$298,3,FALSE))</f>
        <v>SHARED OR NO POLE</v>
      </c>
      <c r="H397" s="294">
        <f>IF(F397 = "NO CAPITAL", 1, VLOOKUP(D397,'Tariff Schedule Lookup Table'!I$7:L$298,4,FALSE))</f>
        <v>1</v>
      </c>
      <c r="I397" s="296">
        <f>VLOOKUP(G397,'Input data'!$A$68:$B$72,2,FALSE)</f>
        <v>0</v>
      </c>
      <c r="J397" s="296">
        <f>VLOOKUP($B397,'Maintenance Costs'!$A:$AB,22,FALSE)</f>
        <v>4.1509667855066281</v>
      </c>
      <c r="K397" s="296">
        <f>VLOOKUP($B397,'Maintenance Costs'!$A:$AB,28,FALSE)</f>
        <v>11.668172041395373</v>
      </c>
      <c r="L397" s="297">
        <f t="shared" si="35"/>
        <v>15.819138826902002</v>
      </c>
      <c r="M397">
        <v>19.682257322483387</v>
      </c>
      <c r="N397" s="30">
        <f t="shared" si="36"/>
        <v>-3.8631184955813858</v>
      </c>
    </row>
    <row r="398" spans="1:14" x14ac:dyDescent="0.2">
      <c r="A398" s="299" t="s">
        <v>1271</v>
      </c>
      <c r="B398" s="298" t="str">
        <f t="shared" si="32"/>
        <v>INC0030-ST</v>
      </c>
      <c r="C398" s="294" t="str">
        <f>VLOOKUP(LEFT(A398,7),'Tariff Schedule Lookup Table'!$A$8:$G$198,2,FALSE)</f>
        <v>Incandescent 60</v>
      </c>
      <c r="D398" s="295">
        <f t="shared" si="33"/>
        <v>10</v>
      </c>
      <c r="E398" s="294">
        <f t="shared" si="34"/>
        <v>2</v>
      </c>
      <c r="F398" s="294" t="str">
        <f>VLOOKUP(D398,'Tariff Schedule Lookup Table'!I$7:L$298,2,FALSE)</f>
        <v>MERCURY VAPOUR 80W</v>
      </c>
      <c r="G398" s="294" t="str">
        <f>IF(F398 = "BULKHEADS ETC", "SHARED OR NO POLE", VLOOKUP(D398,'Tariff Schedule Lookup Table'!I$7:L$298,3,FALSE))</f>
        <v>SHARED OR NO POLE</v>
      </c>
      <c r="H398" s="294">
        <f>IF(F398 = "NO CAPITAL", 1, VLOOKUP(D398,'Tariff Schedule Lookup Table'!I$7:L$298,4,FALSE))</f>
        <v>1</v>
      </c>
      <c r="I398" s="296">
        <f>VLOOKUP(G398,'Input data'!$A$68:$B$72,2,FALSE)</f>
        <v>0</v>
      </c>
      <c r="J398" s="296">
        <f>VLOOKUP($B398,'Maintenance Costs'!$A:$AB,22,FALSE)</f>
        <v>4.1509667855066281</v>
      </c>
      <c r="K398" s="296">
        <f>VLOOKUP($B398,'Maintenance Costs'!$A:$AB,28,FALSE)</f>
        <v>11.668172041395373</v>
      </c>
      <c r="L398" s="297">
        <f t="shared" si="35"/>
        <v>15.819138826902002</v>
      </c>
      <c r="M398">
        <v>19.682257322483387</v>
      </c>
      <c r="N398" s="30">
        <f t="shared" si="36"/>
        <v>-3.8631184955813858</v>
      </c>
    </row>
    <row r="399" spans="1:14" x14ac:dyDescent="0.2">
      <c r="A399" s="299" t="s">
        <v>1272</v>
      </c>
      <c r="B399" s="298" t="str">
        <f t="shared" si="32"/>
        <v>INC0030-ST</v>
      </c>
      <c r="C399" s="294" t="str">
        <f>VLOOKUP(LEFT(A399,7),'Tariff Schedule Lookup Table'!$A$8:$G$198,2,FALSE)</f>
        <v>Incandescent 60</v>
      </c>
      <c r="D399" s="295">
        <f t="shared" si="33"/>
        <v>810</v>
      </c>
      <c r="E399" s="294">
        <f t="shared" si="34"/>
        <v>2</v>
      </c>
      <c r="F399" s="294" t="str">
        <f>VLOOKUP(D399,'Tariff Schedule Lookup Table'!I$7:L$298,2,FALSE)</f>
        <v>MERCURY VAPOUR 80W</v>
      </c>
      <c r="G399" s="294" t="str">
        <f>IF(F399 = "BULKHEADS ETC", "SHARED OR NO POLE", VLOOKUP(D399,'Tariff Schedule Lookup Table'!I$7:L$298,3,FALSE))</f>
        <v>WOOD POLE</v>
      </c>
      <c r="H399" s="294">
        <f>IF(F399 = "NO CAPITAL", 1, VLOOKUP(D399,'Tariff Schedule Lookup Table'!I$7:L$298,4,FALSE))</f>
        <v>1</v>
      </c>
      <c r="I399" s="296">
        <f>VLOOKUP(G399,'Input data'!$A$68:$B$72,2,FALSE)</f>
        <v>10.809914000000001</v>
      </c>
      <c r="J399" s="296">
        <f>VLOOKUP($B399,'Maintenance Costs'!$A:$AB,22,FALSE)</f>
        <v>4.1509667855066281</v>
      </c>
      <c r="K399" s="296">
        <f>VLOOKUP($B399,'Maintenance Costs'!$A:$AB,28,FALSE)</f>
        <v>11.668172041395373</v>
      </c>
      <c r="L399" s="297">
        <f t="shared" si="35"/>
        <v>26.629052826902004</v>
      </c>
      <c r="M399">
        <v>30.492171322483387</v>
      </c>
      <c r="N399" s="30">
        <f t="shared" si="36"/>
        <v>-3.8631184955813822</v>
      </c>
    </row>
    <row r="400" spans="1:14" x14ac:dyDescent="0.2">
      <c r="A400" s="299" t="s">
        <v>1273</v>
      </c>
      <c r="B400" s="298" t="str">
        <f t="shared" si="32"/>
        <v>INC0030-ST</v>
      </c>
      <c r="C400" s="294" t="str">
        <f>VLOOKUP(LEFT(A400,7),'Tariff Schedule Lookup Table'!$A$8:$G$198,2,FALSE)</f>
        <v>Incandescent 60</v>
      </c>
      <c r="D400" s="295">
        <f t="shared" si="33"/>
        <v>820</v>
      </c>
      <c r="E400" s="294">
        <f t="shared" si="34"/>
        <v>2</v>
      </c>
      <c r="F400" s="294" t="str">
        <f>VLOOKUP(D400,'Tariff Schedule Lookup Table'!I$7:L$298,2,FALSE)</f>
        <v>MERCURY VAPOUR 80W</v>
      </c>
      <c r="G400" s="294" t="str">
        <f>IF(F400 = "BULKHEADS ETC", "SHARED OR NO POLE", VLOOKUP(D400,'Tariff Schedule Lookup Table'!I$7:L$298,3,FALSE))</f>
        <v>SHARED OR NO POLE</v>
      </c>
      <c r="H400" s="294">
        <f>IF(F400 = "NO CAPITAL", 1, VLOOKUP(D400,'Tariff Schedule Lookup Table'!I$7:L$298,4,FALSE))</f>
        <v>3</v>
      </c>
      <c r="I400" s="296">
        <f>VLOOKUP(G400,'Input data'!$A$68:$B$72,2,FALSE)</f>
        <v>0</v>
      </c>
      <c r="J400" s="296">
        <f>VLOOKUP($B400,'Maintenance Costs'!$A:$AB,22,FALSE)</f>
        <v>4.1509667855066281</v>
      </c>
      <c r="K400" s="296">
        <f>VLOOKUP($B400,'Maintenance Costs'!$A:$AB,28,FALSE)</f>
        <v>11.668172041395373</v>
      </c>
      <c r="L400" s="297">
        <f t="shared" si="35"/>
        <v>15.819138826902002</v>
      </c>
      <c r="M400">
        <v>19.682257322483387</v>
      </c>
      <c r="N400" s="30">
        <f t="shared" si="36"/>
        <v>-3.8631184955813858</v>
      </c>
    </row>
    <row r="401" spans="1:14" x14ac:dyDescent="0.2">
      <c r="A401" s="299" t="s">
        <v>1274</v>
      </c>
      <c r="B401" s="298" t="str">
        <f t="shared" si="32"/>
        <v>INC0030-ST</v>
      </c>
      <c r="C401" s="294" t="str">
        <f>VLOOKUP(LEFT(A401,7),'Tariff Schedule Lookup Table'!$A$8:$G$198,2,FALSE)</f>
        <v>Incandescent 60</v>
      </c>
      <c r="D401" s="295">
        <f t="shared" si="33"/>
        <v>990</v>
      </c>
      <c r="E401" s="294">
        <f t="shared" si="34"/>
        <v>2</v>
      </c>
      <c r="F401" s="294" t="str">
        <f>VLOOKUP(D401,'Tariff Schedule Lookup Table'!I$7:L$298,2,FALSE)</f>
        <v>MERCURY VAPOUR 80W</v>
      </c>
      <c r="G401" s="294" t="str">
        <f>IF(F401 = "BULKHEADS ETC", "SHARED OR NO POLE", VLOOKUP(D401,'Tariff Schedule Lookup Table'!I$7:L$298,3,FALSE))</f>
        <v>STEEL POLE</v>
      </c>
      <c r="H401" s="294">
        <f>IF(F401 = "NO CAPITAL", 1, VLOOKUP(D401,'Tariff Schedule Lookup Table'!I$7:L$298,4,FALSE))</f>
        <v>1</v>
      </c>
      <c r="I401" s="296">
        <f>VLOOKUP(G401,'Input data'!$A$68:$B$72,2,FALSE)</f>
        <v>9.8748837500000004</v>
      </c>
      <c r="J401" s="296">
        <f>VLOOKUP($B401,'Maintenance Costs'!$A:$AB,22,FALSE)</f>
        <v>4.1509667855066281</v>
      </c>
      <c r="K401" s="296">
        <f>VLOOKUP($B401,'Maintenance Costs'!$A:$AB,28,FALSE)</f>
        <v>11.668172041395373</v>
      </c>
      <c r="L401" s="297">
        <f t="shared" si="35"/>
        <v>25.694022576902</v>
      </c>
      <c r="M401">
        <v>29.55714107248339</v>
      </c>
      <c r="N401" s="30">
        <f t="shared" si="36"/>
        <v>-3.8631184955813893</v>
      </c>
    </row>
    <row r="402" spans="1:14" x14ac:dyDescent="0.2">
      <c r="A402" s="299" t="s">
        <v>1275</v>
      </c>
      <c r="B402" s="298" t="str">
        <f t="shared" si="32"/>
        <v>INC0040-ST</v>
      </c>
      <c r="C402" s="294" t="str">
        <f>VLOOKUP(LEFT(A402,7),'Tariff Schedule Lookup Table'!$A$8:$G$198,2,FALSE)</f>
        <v>Incandescent 75</v>
      </c>
      <c r="D402" s="295">
        <f t="shared" si="33"/>
        <v>1</v>
      </c>
      <c r="E402" s="294">
        <f t="shared" si="34"/>
        <v>6</v>
      </c>
      <c r="F402" s="294" t="str">
        <f>VLOOKUP(D402,'Tariff Schedule Lookup Table'!I$7:L$298,2,FALSE)</f>
        <v>NO CAPITAL</v>
      </c>
      <c r="G402" s="294" t="str">
        <f>IF(F402 = "BULKHEADS ETC", "SHARED OR NO POLE", VLOOKUP(D402,'Tariff Schedule Lookup Table'!I$7:L$298,3,FALSE))</f>
        <v>NO CAPITAL</v>
      </c>
      <c r="H402" s="294">
        <f>IF(F402 = "NO CAPITAL", 1, VLOOKUP(D402,'Tariff Schedule Lookup Table'!I$7:L$298,4,FALSE))</f>
        <v>1</v>
      </c>
      <c r="I402" s="296">
        <f>VLOOKUP(G402,'Input data'!$A$68:$B$72,2,FALSE)</f>
        <v>0</v>
      </c>
      <c r="J402" s="296">
        <v>0</v>
      </c>
      <c r="K402" s="296">
        <v>0</v>
      </c>
      <c r="L402" s="297">
        <f t="shared" si="35"/>
        <v>0</v>
      </c>
      <c r="M402">
        <v>0</v>
      </c>
      <c r="N402" s="30">
        <f t="shared" si="36"/>
        <v>0</v>
      </c>
    </row>
    <row r="403" spans="1:14" x14ac:dyDescent="0.2">
      <c r="A403" s="299" t="s">
        <v>1276</v>
      </c>
      <c r="B403" s="298" t="str">
        <f t="shared" si="32"/>
        <v>INC0040-ST</v>
      </c>
      <c r="C403" s="294" t="str">
        <f>VLOOKUP(LEFT(A403,7),'Tariff Schedule Lookup Table'!$A$8:$G$198,2,FALSE)</f>
        <v>Incandescent 75</v>
      </c>
      <c r="D403" s="295">
        <f t="shared" si="33"/>
        <v>10</v>
      </c>
      <c r="E403" s="294">
        <f t="shared" si="34"/>
        <v>1</v>
      </c>
      <c r="F403" s="294" t="str">
        <f>VLOOKUP(D403,'Tariff Schedule Lookup Table'!I$7:L$298,2,FALSE)</f>
        <v>MERCURY VAPOUR 80W</v>
      </c>
      <c r="G403" s="294" t="str">
        <f>IF(F403 = "BULKHEADS ETC", "SHARED OR NO POLE", VLOOKUP(D403,'Tariff Schedule Lookup Table'!I$7:L$298,3,FALSE))</f>
        <v>SHARED OR NO POLE</v>
      </c>
      <c r="H403" s="294">
        <f>IF(F403 = "NO CAPITAL", 1, VLOOKUP(D403,'Tariff Schedule Lookup Table'!I$7:L$298,4,FALSE))</f>
        <v>1</v>
      </c>
      <c r="I403" s="296">
        <f>VLOOKUP(G403,'Input data'!$A$68:$B$72,2,FALSE)</f>
        <v>0</v>
      </c>
      <c r="J403" s="296">
        <f>VLOOKUP($B403,'Maintenance Costs'!$A:$AB,22,FALSE)</f>
        <v>4.1509667855066281</v>
      </c>
      <c r="K403" s="296">
        <f>VLOOKUP($B403,'Maintenance Costs'!$A:$AB,28,FALSE)</f>
        <v>11.668172041395373</v>
      </c>
      <c r="L403" s="297">
        <f t="shared" si="35"/>
        <v>15.819138826902002</v>
      </c>
      <c r="M403">
        <v>19.682257322483387</v>
      </c>
      <c r="N403" s="30">
        <f t="shared" si="36"/>
        <v>-3.8631184955813858</v>
      </c>
    </row>
    <row r="404" spans="1:14" x14ac:dyDescent="0.2">
      <c r="A404" s="299" t="s">
        <v>1277</v>
      </c>
      <c r="B404" s="298" t="str">
        <f t="shared" si="32"/>
        <v>INC0050-ST</v>
      </c>
      <c r="C404" s="294" t="str">
        <f>VLOOKUP(LEFT(A404,7),'Tariff Schedule Lookup Table'!$A$8:$G$198,2,FALSE)</f>
        <v>Incandescent 100</v>
      </c>
      <c r="D404" s="295">
        <f t="shared" si="33"/>
        <v>1</v>
      </c>
      <c r="E404" s="294">
        <f t="shared" si="34"/>
        <v>6</v>
      </c>
      <c r="F404" s="294" t="str">
        <f>VLOOKUP(D404,'Tariff Schedule Lookup Table'!I$7:L$298,2,FALSE)</f>
        <v>NO CAPITAL</v>
      </c>
      <c r="G404" s="294" t="str">
        <f>IF(F404 = "BULKHEADS ETC", "SHARED OR NO POLE", VLOOKUP(D404,'Tariff Schedule Lookup Table'!I$7:L$298,3,FALSE))</f>
        <v>NO CAPITAL</v>
      </c>
      <c r="H404" s="294">
        <f>IF(F404 = "NO CAPITAL", 1, VLOOKUP(D404,'Tariff Schedule Lookup Table'!I$7:L$298,4,FALSE))</f>
        <v>1</v>
      </c>
      <c r="I404" s="296">
        <f>VLOOKUP(G404,'Input data'!$A$68:$B$72,2,FALSE)</f>
        <v>0</v>
      </c>
      <c r="J404" s="296">
        <v>0</v>
      </c>
      <c r="K404" s="296">
        <v>0</v>
      </c>
      <c r="L404" s="297">
        <f t="shared" si="35"/>
        <v>0</v>
      </c>
      <c r="M404">
        <v>0</v>
      </c>
      <c r="N404" s="30">
        <f t="shared" si="36"/>
        <v>0</v>
      </c>
    </row>
    <row r="405" spans="1:14" x14ac:dyDescent="0.2">
      <c r="A405" s="299" t="s">
        <v>1278</v>
      </c>
      <c r="B405" s="298" t="str">
        <f t="shared" si="32"/>
        <v>INC0050-ST</v>
      </c>
      <c r="C405" s="294" t="str">
        <f>VLOOKUP(LEFT(A405,7),'Tariff Schedule Lookup Table'!$A$8:$G$198,2,FALSE)</f>
        <v>Incandescent 100</v>
      </c>
      <c r="D405" s="295">
        <f t="shared" si="33"/>
        <v>10</v>
      </c>
      <c r="E405" s="294">
        <f t="shared" si="34"/>
        <v>1</v>
      </c>
      <c r="F405" s="294" t="str">
        <f>VLOOKUP(D405,'Tariff Schedule Lookup Table'!I$7:L$298,2,FALSE)</f>
        <v>MERCURY VAPOUR 80W</v>
      </c>
      <c r="G405" s="294" t="str">
        <f>IF(F405 = "BULKHEADS ETC", "SHARED OR NO POLE", VLOOKUP(D405,'Tariff Schedule Lookup Table'!I$7:L$298,3,FALSE))</f>
        <v>SHARED OR NO POLE</v>
      </c>
      <c r="H405" s="294">
        <f>IF(F405 = "NO CAPITAL", 1, VLOOKUP(D405,'Tariff Schedule Lookup Table'!I$7:L$298,4,FALSE))</f>
        <v>1</v>
      </c>
      <c r="I405" s="296">
        <f>VLOOKUP(G405,'Input data'!$A$68:$B$72,2,FALSE)</f>
        <v>0</v>
      </c>
      <c r="J405" s="296">
        <f>VLOOKUP($B405,'Maintenance Costs'!$A:$AB,22,FALSE)</f>
        <v>4.1509667855066281</v>
      </c>
      <c r="K405" s="296">
        <f>VLOOKUP($B405,'Maintenance Costs'!$A:$AB,28,FALSE)</f>
        <v>11.668172041395373</v>
      </c>
      <c r="L405" s="297">
        <f t="shared" si="35"/>
        <v>15.819138826902002</v>
      </c>
      <c r="M405">
        <v>19.682257322483387</v>
      </c>
      <c r="N405" s="30">
        <f t="shared" si="36"/>
        <v>-3.8631184955813858</v>
      </c>
    </row>
    <row r="406" spans="1:14" x14ac:dyDescent="0.2">
      <c r="A406" s="299" t="s">
        <v>1279</v>
      </c>
      <c r="B406" s="298" t="str">
        <f t="shared" si="32"/>
        <v>INC0050-ST</v>
      </c>
      <c r="C406" s="294" t="str">
        <f>VLOOKUP(LEFT(A406,7),'Tariff Schedule Lookup Table'!$A$8:$G$198,2,FALSE)</f>
        <v>Incandescent 100</v>
      </c>
      <c r="D406" s="295">
        <f t="shared" si="33"/>
        <v>10</v>
      </c>
      <c r="E406" s="294">
        <f t="shared" si="34"/>
        <v>2</v>
      </c>
      <c r="F406" s="294" t="str">
        <f>VLOOKUP(D406,'Tariff Schedule Lookup Table'!I$7:L$298,2,FALSE)</f>
        <v>MERCURY VAPOUR 80W</v>
      </c>
      <c r="G406" s="294" t="str">
        <f>IF(F406 = "BULKHEADS ETC", "SHARED OR NO POLE", VLOOKUP(D406,'Tariff Schedule Lookup Table'!I$7:L$298,3,FALSE))</f>
        <v>SHARED OR NO POLE</v>
      </c>
      <c r="H406" s="294">
        <f>IF(F406 = "NO CAPITAL", 1, VLOOKUP(D406,'Tariff Schedule Lookup Table'!I$7:L$298,4,FALSE))</f>
        <v>1</v>
      </c>
      <c r="I406" s="296">
        <f>VLOOKUP(G406,'Input data'!$A$68:$B$72,2,FALSE)</f>
        <v>0</v>
      </c>
      <c r="J406" s="296">
        <f>VLOOKUP($B406,'Maintenance Costs'!$A:$AB,22,FALSE)</f>
        <v>4.1509667855066281</v>
      </c>
      <c r="K406" s="296">
        <f>VLOOKUP($B406,'Maintenance Costs'!$A:$AB,28,FALSE)</f>
        <v>11.668172041395373</v>
      </c>
      <c r="L406" s="297">
        <f t="shared" si="35"/>
        <v>15.819138826902002</v>
      </c>
      <c r="M406">
        <v>19.682257322483387</v>
      </c>
      <c r="N406" s="30">
        <f t="shared" si="36"/>
        <v>-3.8631184955813858</v>
      </c>
    </row>
    <row r="407" spans="1:14" x14ac:dyDescent="0.2">
      <c r="A407" s="299" t="s">
        <v>1280</v>
      </c>
      <c r="B407" s="298" t="str">
        <f t="shared" si="32"/>
        <v>INC0050-ST</v>
      </c>
      <c r="C407" s="294" t="str">
        <f>VLOOKUP(LEFT(A407,7),'Tariff Schedule Lookup Table'!$A$8:$G$198,2,FALSE)</f>
        <v>Incandescent 100</v>
      </c>
      <c r="D407" s="295">
        <f t="shared" si="33"/>
        <v>810</v>
      </c>
      <c r="E407" s="294">
        <f t="shared" si="34"/>
        <v>2</v>
      </c>
      <c r="F407" s="294" t="str">
        <f>VLOOKUP(D407,'Tariff Schedule Lookup Table'!I$7:L$298,2,FALSE)</f>
        <v>MERCURY VAPOUR 80W</v>
      </c>
      <c r="G407" s="294" t="str">
        <f>IF(F407 = "BULKHEADS ETC", "SHARED OR NO POLE", VLOOKUP(D407,'Tariff Schedule Lookup Table'!I$7:L$298,3,FALSE))</f>
        <v>WOOD POLE</v>
      </c>
      <c r="H407" s="294">
        <f>IF(F407 = "NO CAPITAL", 1, VLOOKUP(D407,'Tariff Schedule Lookup Table'!I$7:L$298,4,FALSE))</f>
        <v>1</v>
      </c>
      <c r="I407" s="296">
        <f>VLOOKUP(G407,'Input data'!$A$68:$B$72,2,FALSE)</f>
        <v>10.809914000000001</v>
      </c>
      <c r="J407" s="296">
        <f>VLOOKUP($B407,'Maintenance Costs'!$A:$AB,22,FALSE)</f>
        <v>4.1509667855066281</v>
      </c>
      <c r="K407" s="296">
        <f>VLOOKUP($B407,'Maintenance Costs'!$A:$AB,28,FALSE)</f>
        <v>11.668172041395373</v>
      </c>
      <c r="L407" s="297">
        <f t="shared" si="35"/>
        <v>26.629052826902004</v>
      </c>
      <c r="M407">
        <v>30.492171322483387</v>
      </c>
      <c r="N407" s="30">
        <f t="shared" si="36"/>
        <v>-3.8631184955813822</v>
      </c>
    </row>
    <row r="408" spans="1:14" x14ac:dyDescent="0.2">
      <c r="A408" s="299" t="s">
        <v>1281</v>
      </c>
      <c r="B408" s="298" t="str">
        <f t="shared" si="32"/>
        <v>INC0080-ST</v>
      </c>
      <c r="C408" s="294" t="str">
        <f>VLOOKUP(LEFT(A408,7),'Tariff Schedule Lookup Table'!$A$8:$G$198,2,FALSE)</f>
        <v>Incandescent 150</v>
      </c>
      <c r="D408" s="295">
        <f t="shared" si="33"/>
        <v>1</v>
      </c>
      <c r="E408" s="294">
        <f t="shared" si="34"/>
        <v>6</v>
      </c>
      <c r="F408" s="294" t="str">
        <f>VLOOKUP(D408,'Tariff Schedule Lookup Table'!I$7:L$298,2,FALSE)</f>
        <v>NO CAPITAL</v>
      </c>
      <c r="G408" s="294" t="str">
        <f>IF(F408 = "BULKHEADS ETC", "SHARED OR NO POLE", VLOOKUP(D408,'Tariff Schedule Lookup Table'!I$7:L$298,3,FALSE))</f>
        <v>NO CAPITAL</v>
      </c>
      <c r="H408" s="294">
        <f>IF(F408 = "NO CAPITAL", 1, VLOOKUP(D408,'Tariff Schedule Lookup Table'!I$7:L$298,4,FALSE))</f>
        <v>1</v>
      </c>
      <c r="I408" s="296">
        <f>VLOOKUP(G408,'Input data'!$A$68:$B$72,2,FALSE)</f>
        <v>0</v>
      </c>
      <c r="J408" s="296">
        <v>0</v>
      </c>
      <c r="K408" s="296">
        <v>0</v>
      </c>
      <c r="L408" s="297">
        <f t="shared" si="35"/>
        <v>0</v>
      </c>
      <c r="M408">
        <v>0</v>
      </c>
      <c r="N408" s="30">
        <f t="shared" si="36"/>
        <v>0</v>
      </c>
    </row>
    <row r="409" spans="1:14" x14ac:dyDescent="0.2">
      <c r="A409" s="299" t="s">
        <v>1282</v>
      </c>
      <c r="B409" s="298" t="str">
        <f t="shared" si="32"/>
        <v>INC0080-ST</v>
      </c>
      <c r="C409" s="294" t="str">
        <f>VLOOKUP(LEFT(A409,7),'Tariff Schedule Lookup Table'!$A$8:$G$198,2,FALSE)</f>
        <v>Incandescent 150</v>
      </c>
      <c r="D409" s="295">
        <f t="shared" si="33"/>
        <v>10</v>
      </c>
      <c r="E409" s="294">
        <f t="shared" si="34"/>
        <v>2</v>
      </c>
      <c r="F409" s="294" t="str">
        <f>VLOOKUP(D409,'Tariff Schedule Lookup Table'!I$7:L$298,2,FALSE)</f>
        <v>MERCURY VAPOUR 80W</v>
      </c>
      <c r="G409" s="294" t="str">
        <f>IF(F409 = "BULKHEADS ETC", "SHARED OR NO POLE", VLOOKUP(D409,'Tariff Schedule Lookup Table'!I$7:L$298,3,FALSE))</f>
        <v>SHARED OR NO POLE</v>
      </c>
      <c r="H409" s="294">
        <f>IF(F409 = "NO CAPITAL", 1, VLOOKUP(D409,'Tariff Schedule Lookup Table'!I$7:L$298,4,FALSE))</f>
        <v>1</v>
      </c>
      <c r="I409" s="296">
        <f>VLOOKUP(G409,'Input data'!$A$68:$B$72,2,FALSE)</f>
        <v>0</v>
      </c>
      <c r="J409" s="296">
        <f>VLOOKUP($B409,'Maintenance Costs'!$A:$AB,22,FALSE)</f>
        <v>5.4658782433960358</v>
      </c>
      <c r="K409" s="296">
        <f>VLOOKUP($B409,'Maintenance Costs'!$A:$AB,28,FALSE)</f>
        <v>11.668172041395373</v>
      </c>
      <c r="L409" s="297">
        <f t="shared" si="35"/>
        <v>17.134050284791407</v>
      </c>
      <c r="M409">
        <v>20.992825138133195</v>
      </c>
      <c r="N409" s="30">
        <f t="shared" si="36"/>
        <v>-3.8587748533417887</v>
      </c>
    </row>
    <row r="410" spans="1:14" x14ac:dyDescent="0.2">
      <c r="A410" s="299" t="s">
        <v>1283</v>
      </c>
      <c r="B410" s="298" t="str">
        <f t="shared" si="32"/>
        <v>INC0090-ST</v>
      </c>
      <c r="C410" s="294" t="str">
        <f>VLOOKUP(LEFT(A410,7),'Tariff Schedule Lookup Table'!$A$8:$G$198,2,FALSE)</f>
        <v>Incandescent 200</v>
      </c>
      <c r="D410" s="295">
        <f t="shared" si="33"/>
        <v>10</v>
      </c>
      <c r="E410" s="294">
        <f t="shared" si="34"/>
        <v>2</v>
      </c>
      <c r="F410" s="294" t="str">
        <f>VLOOKUP(D410,'Tariff Schedule Lookup Table'!I$7:L$298,2,FALSE)</f>
        <v>MERCURY VAPOUR 80W</v>
      </c>
      <c r="G410" s="294" t="str">
        <f>IF(F410 = "BULKHEADS ETC", "SHARED OR NO POLE", VLOOKUP(D410,'Tariff Schedule Lookup Table'!I$7:L$298,3,FALSE))</f>
        <v>SHARED OR NO POLE</v>
      </c>
      <c r="H410" s="294">
        <f>IF(F410 = "NO CAPITAL", 1, VLOOKUP(D410,'Tariff Schedule Lookup Table'!I$7:L$298,4,FALSE))</f>
        <v>1</v>
      </c>
      <c r="I410" s="296">
        <f>VLOOKUP(G410,'Input data'!$A$68:$B$72,2,FALSE)</f>
        <v>0</v>
      </c>
      <c r="J410" s="296">
        <f>VLOOKUP($B410,'Maintenance Costs'!$A:$AB,22,FALSE)</f>
        <v>5.4658782433960358</v>
      </c>
      <c r="K410" s="296">
        <f>VLOOKUP($B410,'Maintenance Costs'!$A:$AB,28,FALSE)</f>
        <v>11.668172041395373</v>
      </c>
      <c r="L410" s="297">
        <f t="shared" si="35"/>
        <v>17.134050284791407</v>
      </c>
      <c r="M410">
        <v>20.992825138133195</v>
      </c>
      <c r="N410" s="30">
        <f t="shared" si="36"/>
        <v>-3.8587748533417887</v>
      </c>
    </row>
    <row r="411" spans="1:14" x14ac:dyDescent="0.2">
      <c r="A411" s="299" t="s">
        <v>1284</v>
      </c>
      <c r="B411" s="298" t="str">
        <f t="shared" si="32"/>
        <v>INC0100-ST</v>
      </c>
      <c r="C411" s="294" t="str">
        <f>VLOOKUP(LEFT(A411,7),'Tariff Schedule Lookup Table'!$A$8:$G$198,2,FALSE)</f>
        <v>Incandescent 300</v>
      </c>
      <c r="D411" s="295">
        <f t="shared" si="33"/>
        <v>1</v>
      </c>
      <c r="E411" s="294">
        <f t="shared" si="34"/>
        <v>6</v>
      </c>
      <c r="F411" s="294" t="str">
        <f>VLOOKUP(D411,'Tariff Schedule Lookup Table'!I$7:L$298,2,FALSE)</f>
        <v>NO CAPITAL</v>
      </c>
      <c r="G411" s="294" t="str">
        <f>IF(F411 = "BULKHEADS ETC", "SHARED OR NO POLE", VLOOKUP(D411,'Tariff Schedule Lookup Table'!I$7:L$298,3,FALSE))</f>
        <v>NO CAPITAL</v>
      </c>
      <c r="H411" s="294">
        <f>IF(F411 = "NO CAPITAL", 1, VLOOKUP(D411,'Tariff Schedule Lookup Table'!I$7:L$298,4,FALSE))</f>
        <v>1</v>
      </c>
      <c r="I411" s="296">
        <f>VLOOKUP(G411,'Input data'!$A$68:$B$72,2,FALSE)</f>
        <v>0</v>
      </c>
      <c r="J411" s="296">
        <v>0</v>
      </c>
      <c r="K411" s="296">
        <v>0</v>
      </c>
      <c r="L411" s="297">
        <f t="shared" si="35"/>
        <v>0</v>
      </c>
      <c r="M411">
        <v>0</v>
      </c>
      <c r="N411" s="30">
        <f t="shared" si="36"/>
        <v>0</v>
      </c>
    </row>
    <row r="412" spans="1:14" x14ac:dyDescent="0.2">
      <c r="A412" s="299" t="s">
        <v>1285</v>
      </c>
      <c r="B412" s="298" t="str">
        <f t="shared" si="32"/>
        <v>INC0100-ST</v>
      </c>
      <c r="C412" s="294" t="str">
        <f>VLOOKUP(LEFT(A412,7),'Tariff Schedule Lookup Table'!$A$8:$G$198,2,FALSE)</f>
        <v>Incandescent 300</v>
      </c>
      <c r="D412" s="295">
        <f t="shared" si="33"/>
        <v>740</v>
      </c>
      <c r="E412" s="294">
        <f t="shared" si="34"/>
        <v>2</v>
      </c>
      <c r="F412" s="294" t="str">
        <f>VLOOKUP(D412,'Tariff Schedule Lookup Table'!I$7:L$298,2,FALSE)</f>
        <v>MERCURY VAPOUR 80W</v>
      </c>
      <c r="G412" s="294" t="str">
        <f>IF(F412 = "BULKHEADS ETC", "SHARED OR NO POLE", VLOOKUP(D412,'Tariff Schedule Lookup Table'!I$7:L$298,3,FALSE))</f>
        <v>SHARED OR NO POLE</v>
      </c>
      <c r="H412" s="294">
        <f>IF(F412 = "NO CAPITAL", 1, VLOOKUP(D412,'Tariff Schedule Lookup Table'!I$7:L$298,4,FALSE))</f>
        <v>2</v>
      </c>
      <c r="I412" s="296">
        <f>VLOOKUP(G412,'Input data'!$A$68:$B$72,2,FALSE)</f>
        <v>0</v>
      </c>
      <c r="J412" s="296">
        <f>VLOOKUP($B412,'Maintenance Costs'!$A:$AB,22,FALSE)</f>
        <v>5.4658782433960358</v>
      </c>
      <c r="K412" s="296">
        <f>VLOOKUP($B412,'Maintenance Costs'!$A:$AB,28,FALSE)</f>
        <v>11.668172041395373</v>
      </c>
      <c r="L412" s="297">
        <f t="shared" si="35"/>
        <v>17.134050284791407</v>
      </c>
      <c r="M412">
        <v>20.992825138133195</v>
      </c>
      <c r="N412" s="30">
        <f t="shared" si="36"/>
        <v>-3.8587748533417887</v>
      </c>
    </row>
    <row r="413" spans="1:14" x14ac:dyDescent="0.2">
      <c r="A413" s="299" t="s">
        <v>1286</v>
      </c>
      <c r="B413" s="298" t="str">
        <f t="shared" si="32"/>
        <v>INC0100-ST</v>
      </c>
      <c r="C413" s="294" t="str">
        <f>VLOOKUP(LEFT(A413,7),'Tariff Schedule Lookup Table'!$A$8:$G$198,2,FALSE)</f>
        <v>Incandescent 300</v>
      </c>
      <c r="D413" s="295">
        <f t="shared" si="33"/>
        <v>810</v>
      </c>
      <c r="E413" s="294">
        <f t="shared" si="34"/>
        <v>1</v>
      </c>
      <c r="F413" s="294" t="str">
        <f>VLOOKUP(D413,'Tariff Schedule Lookup Table'!I$7:L$298,2,FALSE)</f>
        <v>MERCURY VAPOUR 80W</v>
      </c>
      <c r="G413" s="294" t="str">
        <f>IF(F413 = "BULKHEADS ETC", "SHARED OR NO POLE", VLOOKUP(D413,'Tariff Schedule Lookup Table'!I$7:L$298,3,FALSE))</f>
        <v>WOOD POLE</v>
      </c>
      <c r="H413" s="294">
        <f>IF(F413 = "NO CAPITAL", 1, VLOOKUP(D413,'Tariff Schedule Lookup Table'!I$7:L$298,4,FALSE))</f>
        <v>1</v>
      </c>
      <c r="I413" s="296">
        <f>VLOOKUP(G413,'Input data'!$A$68:$B$72,2,FALSE)</f>
        <v>10.809914000000001</v>
      </c>
      <c r="J413" s="296">
        <f>VLOOKUP($B413,'Maintenance Costs'!$A:$AB,22,FALSE)</f>
        <v>5.4658782433960358</v>
      </c>
      <c r="K413" s="296">
        <f>VLOOKUP($B413,'Maintenance Costs'!$A:$AB,28,FALSE)</f>
        <v>11.668172041395373</v>
      </c>
      <c r="L413" s="297">
        <f t="shared" si="35"/>
        <v>27.943964284791406</v>
      </c>
      <c r="M413">
        <v>31.802739138133198</v>
      </c>
      <c r="N413" s="30">
        <f t="shared" si="36"/>
        <v>-3.8587748533417923</v>
      </c>
    </row>
    <row r="414" spans="1:14" x14ac:dyDescent="0.2">
      <c r="A414" s="299" t="s">
        <v>1287</v>
      </c>
      <c r="B414" s="298" t="str">
        <f t="shared" si="32"/>
        <v>INC0100-ST</v>
      </c>
      <c r="C414" s="294" t="str">
        <f>VLOOKUP(LEFT(A414,7),'Tariff Schedule Lookup Table'!$A$8:$G$198,2,FALSE)</f>
        <v>Incandescent 300</v>
      </c>
      <c r="D414" s="295">
        <f t="shared" si="33"/>
        <v>990</v>
      </c>
      <c r="E414" s="294">
        <f t="shared" si="34"/>
        <v>1</v>
      </c>
      <c r="F414" s="294" t="str">
        <f>VLOOKUP(D414,'Tariff Schedule Lookup Table'!I$7:L$298,2,FALSE)</f>
        <v>MERCURY VAPOUR 80W</v>
      </c>
      <c r="G414" s="294" t="str">
        <f>IF(F414 = "BULKHEADS ETC", "SHARED OR NO POLE", VLOOKUP(D414,'Tariff Schedule Lookup Table'!I$7:L$298,3,FALSE))</f>
        <v>STEEL POLE</v>
      </c>
      <c r="H414" s="294">
        <f>IF(F414 = "NO CAPITAL", 1, VLOOKUP(D414,'Tariff Schedule Lookup Table'!I$7:L$298,4,FALSE))</f>
        <v>1</v>
      </c>
      <c r="I414" s="296">
        <f>VLOOKUP(G414,'Input data'!$A$68:$B$72,2,FALSE)</f>
        <v>9.8748837500000004</v>
      </c>
      <c r="J414" s="296">
        <f>VLOOKUP($B414,'Maintenance Costs'!$A:$AB,22,FALSE)</f>
        <v>5.4658782433960358</v>
      </c>
      <c r="K414" s="296">
        <f>VLOOKUP($B414,'Maintenance Costs'!$A:$AB,28,FALSE)</f>
        <v>11.668172041395373</v>
      </c>
      <c r="L414" s="297">
        <f t="shared" si="35"/>
        <v>27.008934034791409</v>
      </c>
      <c r="M414">
        <v>30.867708888133194</v>
      </c>
      <c r="N414" s="30">
        <f t="shared" si="36"/>
        <v>-3.8587748533417852</v>
      </c>
    </row>
    <row r="415" spans="1:14" x14ac:dyDescent="0.2">
      <c r="A415" s="299" t="s">
        <v>1288</v>
      </c>
      <c r="B415" s="298" t="str">
        <f t="shared" si="32"/>
        <v>INC0110-ST</v>
      </c>
      <c r="C415" s="294" t="str">
        <f>VLOOKUP(LEFT(A415,7),'Tariff Schedule Lookup Table'!$A$8:$G$198,2,FALSE)</f>
        <v>Incandescent 500</v>
      </c>
      <c r="D415" s="295">
        <f t="shared" si="33"/>
        <v>1</v>
      </c>
      <c r="E415" s="294">
        <f t="shared" si="34"/>
        <v>6</v>
      </c>
      <c r="F415" s="294" t="str">
        <f>VLOOKUP(D415,'Tariff Schedule Lookup Table'!I$7:L$298,2,FALSE)</f>
        <v>NO CAPITAL</v>
      </c>
      <c r="G415" s="294" t="str">
        <f>IF(F415 = "BULKHEADS ETC", "SHARED OR NO POLE", VLOOKUP(D415,'Tariff Schedule Lookup Table'!I$7:L$298,3,FALSE))</f>
        <v>NO CAPITAL</v>
      </c>
      <c r="H415" s="294">
        <f>IF(F415 = "NO CAPITAL", 1, VLOOKUP(D415,'Tariff Schedule Lookup Table'!I$7:L$298,4,FALSE))</f>
        <v>1</v>
      </c>
      <c r="I415" s="296">
        <f>VLOOKUP(G415,'Input data'!$A$68:$B$72,2,FALSE)</f>
        <v>0</v>
      </c>
      <c r="J415" s="296">
        <v>0</v>
      </c>
      <c r="K415" s="296">
        <v>0</v>
      </c>
      <c r="L415" s="297">
        <f t="shared" si="35"/>
        <v>0</v>
      </c>
      <c r="M415">
        <v>0</v>
      </c>
      <c r="N415" s="30">
        <f t="shared" si="36"/>
        <v>0</v>
      </c>
    </row>
    <row r="416" spans="1:14" x14ac:dyDescent="0.2">
      <c r="A416" s="299" t="s">
        <v>1289</v>
      </c>
      <c r="B416" s="298" t="str">
        <f t="shared" si="32"/>
        <v>INC0110-ST</v>
      </c>
      <c r="C416" s="294" t="str">
        <f>VLOOKUP(LEFT(A416,7),'Tariff Schedule Lookup Table'!$A$8:$G$198,2,FALSE)</f>
        <v>Incandescent 500</v>
      </c>
      <c r="D416" s="295">
        <f t="shared" si="33"/>
        <v>10</v>
      </c>
      <c r="E416" s="294">
        <f t="shared" si="34"/>
        <v>2</v>
      </c>
      <c r="F416" s="294" t="str">
        <f>VLOOKUP(D416,'Tariff Schedule Lookup Table'!I$7:L$298,2,FALSE)</f>
        <v>MERCURY VAPOUR 80W</v>
      </c>
      <c r="G416" s="294" t="str">
        <f>IF(F416 = "BULKHEADS ETC", "SHARED OR NO POLE", VLOOKUP(D416,'Tariff Schedule Lookup Table'!I$7:L$298,3,FALSE))</f>
        <v>SHARED OR NO POLE</v>
      </c>
      <c r="H416" s="294">
        <f>IF(F416 = "NO CAPITAL", 1, VLOOKUP(D416,'Tariff Schedule Lookup Table'!I$7:L$298,4,FALSE))</f>
        <v>1</v>
      </c>
      <c r="I416" s="296">
        <f>VLOOKUP(G416,'Input data'!$A$68:$B$72,2,FALSE)</f>
        <v>0</v>
      </c>
      <c r="J416" s="296">
        <f>VLOOKUP($B416,'Maintenance Costs'!$A:$AB,22,FALSE)</f>
        <v>5.4658782433960358</v>
      </c>
      <c r="K416" s="296">
        <f>VLOOKUP($B416,'Maintenance Costs'!$A:$AB,28,FALSE)</f>
        <v>11.668172041395373</v>
      </c>
      <c r="L416" s="297">
        <f t="shared" si="35"/>
        <v>17.134050284791407</v>
      </c>
      <c r="M416">
        <v>20.992825138133195</v>
      </c>
      <c r="N416" s="30">
        <f t="shared" si="36"/>
        <v>-3.8587748533417887</v>
      </c>
    </row>
    <row r="417" spans="1:14" x14ac:dyDescent="0.2">
      <c r="A417" s="299" t="s">
        <v>1290</v>
      </c>
      <c r="B417" s="298" t="str">
        <f t="shared" si="32"/>
        <v>INC0160-ST</v>
      </c>
      <c r="C417" s="294" t="str">
        <f>VLOOKUP(LEFT(A417,7),'Tariff Schedule Lookup Table'!$A$8:$G$198,2,FALSE)</f>
        <v>Incandescent 1500</v>
      </c>
      <c r="D417" s="295">
        <f t="shared" si="33"/>
        <v>620</v>
      </c>
      <c r="E417" s="294">
        <f t="shared" si="34"/>
        <v>2</v>
      </c>
      <c r="F417" s="294" t="str">
        <f>VLOOKUP(D417,'Tariff Schedule Lookup Table'!I$7:L$298,2,FALSE)</f>
        <v>METAL HALIDE/HPS 400W FLOOD (310/360)</v>
      </c>
      <c r="G417" s="294" t="str">
        <f>IF(F417 = "BULKHEADS ETC", "SHARED OR NO POLE", VLOOKUP(D417,'Tariff Schedule Lookup Table'!I$7:L$298,3,FALSE))</f>
        <v>SHARED OR NO POLE</v>
      </c>
      <c r="H417" s="294">
        <f>IF(F417 = "NO CAPITAL", 1, VLOOKUP(D417,'Tariff Schedule Lookup Table'!I$7:L$298,4,FALSE))</f>
        <v>1</v>
      </c>
      <c r="I417" s="296">
        <f>VLOOKUP(G417,'Input data'!$A$68:$B$72,2,FALSE)</f>
        <v>0</v>
      </c>
      <c r="J417" s="296">
        <f>VLOOKUP($B417,'Maintenance Costs'!$A:$AB,22,FALSE)</f>
        <v>4.2104523532627027</v>
      </c>
      <c r="K417" s="296">
        <f>VLOOKUP($B417,'Maintenance Costs'!$A:$AB,28,FALSE)</f>
        <v>11.668172041395373</v>
      </c>
      <c r="L417" s="297">
        <f t="shared" si="35"/>
        <v>15.878624394658075</v>
      </c>
      <c r="M417">
        <v>19.737399247999861</v>
      </c>
      <c r="N417" s="30">
        <f t="shared" si="36"/>
        <v>-3.8587748533417852</v>
      </c>
    </row>
    <row r="418" spans="1:14" x14ac:dyDescent="0.2">
      <c r="A418" s="299" t="s">
        <v>1291</v>
      </c>
      <c r="B418" s="298" t="str">
        <f t="shared" si="32"/>
        <v>LPS0030-ST</v>
      </c>
      <c r="C418" s="294" t="str">
        <f>VLOOKUP(LEFT(A418,7),'Tariff Schedule Lookup Table'!$A$8:$G$198,2,FALSE)</f>
        <v>Low Pressure Sodium 55</v>
      </c>
      <c r="D418" s="295">
        <f t="shared" si="33"/>
        <v>40</v>
      </c>
      <c r="E418" s="294">
        <f t="shared" si="34"/>
        <v>1</v>
      </c>
      <c r="F418" s="294" t="str">
        <f>VLOOKUP(D418,'Tariff Schedule Lookup Table'!I$7:L$298,2,FALSE)</f>
        <v>HIGH PRESSURE SODIUM 70W (100)</v>
      </c>
      <c r="G418" s="294" t="str">
        <f>IF(F418 = "BULKHEADS ETC", "SHARED OR NO POLE", VLOOKUP(D418,'Tariff Schedule Lookup Table'!I$7:L$298,3,FALSE))</f>
        <v>SHARED OR NO POLE</v>
      </c>
      <c r="H418" s="294">
        <f>IF(F418 = "NO CAPITAL", 1, VLOOKUP(D418,'Tariff Schedule Lookup Table'!I$7:L$298,4,FALSE))</f>
        <v>1</v>
      </c>
      <c r="I418" s="296">
        <f>VLOOKUP(G418,'Input data'!$A$68:$B$72,2,FALSE)</f>
        <v>0</v>
      </c>
      <c r="J418" s="296">
        <f>VLOOKUP($B418,'Maintenance Costs'!$A:$AB,22,FALSE)</f>
        <v>18.455476319515515</v>
      </c>
      <c r="K418" s="296">
        <f>VLOOKUP($B418,'Maintenance Costs'!$A:$AB,28,FALSE)</f>
        <v>24.124448041395375</v>
      </c>
      <c r="L418" s="297">
        <f t="shared" si="35"/>
        <v>42.579924360910894</v>
      </c>
      <c r="M418">
        <v>65.631765076013707</v>
      </c>
      <c r="N418" s="30">
        <f t="shared" si="36"/>
        <v>-23.051840715102813</v>
      </c>
    </row>
    <row r="419" spans="1:14" x14ac:dyDescent="0.2">
      <c r="A419" s="299" t="s">
        <v>1292</v>
      </c>
      <c r="B419" s="298" t="str">
        <f t="shared" si="32"/>
        <v>LPS0030-ST</v>
      </c>
      <c r="C419" s="294" t="str">
        <f>VLOOKUP(LEFT(A419,7),'Tariff Schedule Lookup Table'!$A$8:$G$198,2,FALSE)</f>
        <v>Low Pressure Sodium 55</v>
      </c>
      <c r="D419" s="295">
        <f t="shared" si="33"/>
        <v>40</v>
      </c>
      <c r="E419" s="294">
        <f t="shared" si="34"/>
        <v>2</v>
      </c>
      <c r="F419" s="294" t="str">
        <f>VLOOKUP(D419,'Tariff Schedule Lookup Table'!I$7:L$298,2,FALSE)</f>
        <v>HIGH PRESSURE SODIUM 70W (100)</v>
      </c>
      <c r="G419" s="294" t="str">
        <f>IF(F419 = "BULKHEADS ETC", "SHARED OR NO POLE", VLOOKUP(D419,'Tariff Schedule Lookup Table'!I$7:L$298,3,FALSE))</f>
        <v>SHARED OR NO POLE</v>
      </c>
      <c r="H419" s="294">
        <f>IF(F419 = "NO CAPITAL", 1, VLOOKUP(D419,'Tariff Schedule Lookup Table'!I$7:L$298,4,FALSE))</f>
        <v>1</v>
      </c>
      <c r="I419" s="296">
        <f>VLOOKUP(G419,'Input data'!$A$68:$B$72,2,FALSE)</f>
        <v>0</v>
      </c>
      <c r="J419" s="296">
        <f>VLOOKUP($B419,'Maintenance Costs'!$A:$AB,22,FALSE)</f>
        <v>18.455476319515515</v>
      </c>
      <c r="K419" s="296">
        <f>VLOOKUP($B419,'Maintenance Costs'!$A:$AB,28,FALSE)</f>
        <v>24.124448041395375</v>
      </c>
      <c r="L419" s="297">
        <f t="shared" si="35"/>
        <v>42.579924360910894</v>
      </c>
      <c r="M419">
        <v>65.631765076013707</v>
      </c>
      <c r="N419" s="30">
        <f t="shared" si="36"/>
        <v>-23.051840715102813</v>
      </c>
    </row>
    <row r="420" spans="1:14" x14ac:dyDescent="0.2">
      <c r="A420" s="299" t="s">
        <v>1293</v>
      </c>
      <c r="B420" s="298" t="str">
        <f t="shared" si="32"/>
        <v>LPS0030-ST</v>
      </c>
      <c r="C420" s="294" t="str">
        <f>VLOOKUP(LEFT(A420,7),'Tariff Schedule Lookup Table'!$A$8:$G$198,2,FALSE)</f>
        <v>Low Pressure Sodium 55</v>
      </c>
      <c r="D420" s="295">
        <f t="shared" si="33"/>
        <v>350</v>
      </c>
      <c r="E420" s="294">
        <f t="shared" si="34"/>
        <v>1</v>
      </c>
      <c r="F420" s="294" t="str">
        <f>VLOOKUP(D420,'Tariff Schedule Lookup Table'!I$7:L$298,2,FALSE)</f>
        <v>HIGH PRESSURE SODIUM 70W (100)</v>
      </c>
      <c r="G420" s="294" t="str">
        <f>IF(F420 = "BULKHEADS ETC", "SHARED OR NO POLE", VLOOKUP(D420,'Tariff Schedule Lookup Table'!I$7:L$298,3,FALSE))</f>
        <v>WOOD POLE</v>
      </c>
      <c r="H420" s="294">
        <f>IF(F420 = "NO CAPITAL", 1, VLOOKUP(D420,'Tariff Schedule Lookup Table'!I$7:L$298,4,FALSE))</f>
        <v>1</v>
      </c>
      <c r="I420" s="296">
        <f>VLOOKUP(G420,'Input data'!$A$68:$B$72,2,FALSE)</f>
        <v>10.809914000000001</v>
      </c>
      <c r="J420" s="296">
        <f>VLOOKUP($B420,'Maintenance Costs'!$A:$AB,22,FALSE)</f>
        <v>18.455476319515515</v>
      </c>
      <c r="K420" s="296">
        <f>VLOOKUP($B420,'Maintenance Costs'!$A:$AB,28,FALSE)</f>
        <v>24.124448041395375</v>
      </c>
      <c r="L420" s="297">
        <f t="shared" si="35"/>
        <v>53.389838360910893</v>
      </c>
      <c r="M420">
        <v>76.441679076013713</v>
      </c>
      <c r="N420" s="30">
        <f t="shared" si="36"/>
        <v>-23.05184071510282</v>
      </c>
    </row>
    <row r="421" spans="1:14" x14ac:dyDescent="0.2">
      <c r="A421" s="299" t="s">
        <v>1294</v>
      </c>
      <c r="B421" s="298" t="str">
        <f t="shared" si="32"/>
        <v>LPS0030-ST</v>
      </c>
      <c r="C421" s="294" t="str">
        <f>VLOOKUP(LEFT(A421,7),'Tariff Schedule Lookup Table'!$A$8:$G$198,2,FALSE)</f>
        <v>Low Pressure Sodium 55</v>
      </c>
      <c r="D421" s="295">
        <f t="shared" si="33"/>
        <v>360</v>
      </c>
      <c r="E421" s="294">
        <f t="shared" si="34"/>
        <v>1</v>
      </c>
      <c r="F421" s="294" t="str">
        <f>VLOOKUP(D421,'Tariff Schedule Lookup Table'!I$7:L$298,2,FALSE)</f>
        <v>HIGH PRESSURE SODIUM 70W (100)</v>
      </c>
      <c r="G421" s="294" t="str">
        <f>IF(F421 = "BULKHEADS ETC", "SHARED OR NO POLE", VLOOKUP(D421,'Tariff Schedule Lookup Table'!I$7:L$298,3,FALSE))</f>
        <v>STEEL POLE</v>
      </c>
      <c r="H421" s="294">
        <f>IF(F421 = "NO CAPITAL", 1, VLOOKUP(D421,'Tariff Schedule Lookup Table'!I$7:L$298,4,FALSE))</f>
        <v>1</v>
      </c>
      <c r="I421" s="296">
        <f>VLOOKUP(G421,'Input data'!$A$68:$B$72,2,FALSE)</f>
        <v>9.8748837500000004</v>
      </c>
      <c r="J421" s="296">
        <f>VLOOKUP($B421,'Maintenance Costs'!$A:$AB,22,FALSE)</f>
        <v>18.455476319515515</v>
      </c>
      <c r="K421" s="296">
        <f>VLOOKUP($B421,'Maintenance Costs'!$A:$AB,28,FALSE)</f>
        <v>24.124448041395375</v>
      </c>
      <c r="L421" s="297">
        <f t="shared" si="35"/>
        <v>52.454808110910896</v>
      </c>
      <c r="M421">
        <v>75.506648826013702</v>
      </c>
      <c r="N421" s="30">
        <f t="shared" si="36"/>
        <v>-23.051840715102806</v>
      </c>
    </row>
    <row r="422" spans="1:14" x14ac:dyDescent="0.2">
      <c r="A422" s="299" t="s">
        <v>1295</v>
      </c>
      <c r="B422" s="298" t="str">
        <f t="shared" si="32"/>
        <v>LPS0030-ST</v>
      </c>
      <c r="C422" s="294" t="str">
        <f>VLOOKUP(LEFT(A422,7),'Tariff Schedule Lookup Table'!$A$8:$G$198,2,FALSE)</f>
        <v>Low Pressure Sodium 55</v>
      </c>
      <c r="D422" s="295">
        <f t="shared" si="33"/>
        <v>360</v>
      </c>
      <c r="E422" s="294">
        <f t="shared" si="34"/>
        <v>2</v>
      </c>
      <c r="F422" s="294" t="str">
        <f>VLOOKUP(D422,'Tariff Schedule Lookup Table'!I$7:L$298,2,FALSE)</f>
        <v>HIGH PRESSURE SODIUM 70W (100)</v>
      </c>
      <c r="G422" s="294" t="str">
        <f>IF(F422 = "BULKHEADS ETC", "SHARED OR NO POLE", VLOOKUP(D422,'Tariff Schedule Lookup Table'!I$7:L$298,3,FALSE))</f>
        <v>STEEL POLE</v>
      </c>
      <c r="H422" s="294">
        <f>IF(F422 = "NO CAPITAL", 1, VLOOKUP(D422,'Tariff Schedule Lookup Table'!I$7:L$298,4,FALSE))</f>
        <v>1</v>
      </c>
      <c r="I422" s="296">
        <f>VLOOKUP(G422,'Input data'!$A$68:$B$72,2,FALSE)</f>
        <v>9.8748837500000004</v>
      </c>
      <c r="J422" s="296">
        <f>VLOOKUP($B422,'Maintenance Costs'!$A:$AB,22,FALSE)</f>
        <v>18.455476319515515</v>
      </c>
      <c r="K422" s="296">
        <f>VLOOKUP($B422,'Maintenance Costs'!$A:$AB,28,FALSE)</f>
        <v>24.124448041395375</v>
      </c>
      <c r="L422" s="297">
        <f t="shared" si="35"/>
        <v>52.454808110910896</v>
      </c>
      <c r="M422">
        <v>75.506648826013702</v>
      </c>
      <c r="N422" s="30">
        <f t="shared" si="36"/>
        <v>-23.051840715102806</v>
      </c>
    </row>
    <row r="423" spans="1:14" x14ac:dyDescent="0.2">
      <c r="A423" s="299" t="s">
        <v>1296</v>
      </c>
      <c r="B423" s="298" t="str">
        <f t="shared" si="32"/>
        <v>LPS0030-ST</v>
      </c>
      <c r="C423" s="294" t="str">
        <f>VLOOKUP(LEFT(A423,7),'Tariff Schedule Lookup Table'!$A$8:$G$198,2,FALSE)</f>
        <v>Low Pressure Sodium 55</v>
      </c>
      <c r="D423" s="295">
        <f t="shared" si="33"/>
        <v>890</v>
      </c>
      <c r="E423" s="294">
        <f t="shared" si="34"/>
        <v>1</v>
      </c>
      <c r="F423" s="294" t="str">
        <f>VLOOKUP(D423,'Tariff Schedule Lookup Table'!I$7:L$298,2,FALSE)</f>
        <v>HIGH PRESSURE SODIUM 70W (100)</v>
      </c>
      <c r="G423" s="294" t="str">
        <f>IF(F423 = "BULKHEADS ETC", "SHARED OR NO POLE", VLOOKUP(D423,'Tariff Schedule Lookup Table'!I$7:L$298,3,FALSE))</f>
        <v>SHARED OR NO POLE</v>
      </c>
      <c r="H423" s="294">
        <f>IF(F423 = "NO CAPITAL", 1, VLOOKUP(D423,'Tariff Schedule Lookup Table'!I$7:L$298,4,FALSE))</f>
        <v>2</v>
      </c>
      <c r="I423" s="296">
        <f>VLOOKUP(G423,'Input data'!$A$68:$B$72,2,FALSE)</f>
        <v>0</v>
      </c>
      <c r="J423" s="296">
        <f>VLOOKUP($B423,'Maintenance Costs'!$A:$AB,22,FALSE)</f>
        <v>18.455476319515515</v>
      </c>
      <c r="K423" s="296">
        <f>VLOOKUP($B423,'Maintenance Costs'!$A:$AB,28,FALSE)</f>
        <v>24.124448041395375</v>
      </c>
      <c r="L423" s="297">
        <f t="shared" si="35"/>
        <v>42.579924360910894</v>
      </c>
      <c r="M423">
        <v>65.631765076013707</v>
      </c>
      <c r="N423" s="30">
        <f t="shared" si="36"/>
        <v>-23.051840715102813</v>
      </c>
    </row>
    <row r="424" spans="1:14" x14ac:dyDescent="0.2">
      <c r="A424" s="299" t="s">
        <v>1297</v>
      </c>
      <c r="B424" s="298" t="str">
        <f t="shared" si="32"/>
        <v>LPS0030-ST</v>
      </c>
      <c r="C424" s="294" t="str">
        <f>VLOOKUP(LEFT(A424,7),'Tariff Schedule Lookup Table'!$A$8:$G$198,2,FALSE)</f>
        <v>Low Pressure Sodium 55</v>
      </c>
      <c r="D424" s="295">
        <f t="shared" si="33"/>
        <v>890</v>
      </c>
      <c r="E424" s="294">
        <f t="shared" si="34"/>
        <v>2</v>
      </c>
      <c r="F424" s="294" t="str">
        <f>VLOOKUP(D424,'Tariff Schedule Lookup Table'!I$7:L$298,2,FALSE)</f>
        <v>HIGH PRESSURE SODIUM 70W (100)</v>
      </c>
      <c r="G424" s="294" t="str">
        <f>IF(F424 = "BULKHEADS ETC", "SHARED OR NO POLE", VLOOKUP(D424,'Tariff Schedule Lookup Table'!I$7:L$298,3,FALSE))</f>
        <v>SHARED OR NO POLE</v>
      </c>
      <c r="H424" s="294">
        <f>IF(F424 = "NO CAPITAL", 1, VLOOKUP(D424,'Tariff Schedule Lookup Table'!I$7:L$298,4,FALSE))</f>
        <v>2</v>
      </c>
      <c r="I424" s="296">
        <f>VLOOKUP(G424,'Input data'!$A$68:$B$72,2,FALSE)</f>
        <v>0</v>
      </c>
      <c r="J424" s="296">
        <f>VLOOKUP($B424,'Maintenance Costs'!$A:$AB,22,FALSE)</f>
        <v>18.455476319515515</v>
      </c>
      <c r="K424" s="296">
        <f>VLOOKUP($B424,'Maintenance Costs'!$A:$AB,28,FALSE)</f>
        <v>24.124448041395375</v>
      </c>
      <c r="L424" s="297">
        <f t="shared" si="35"/>
        <v>42.579924360910894</v>
      </c>
      <c r="M424">
        <v>65.631765076013707</v>
      </c>
      <c r="N424" s="30">
        <f t="shared" si="36"/>
        <v>-23.051840715102813</v>
      </c>
    </row>
    <row r="425" spans="1:14" x14ac:dyDescent="0.2">
      <c r="A425" s="299" t="s">
        <v>1298</v>
      </c>
      <c r="B425" s="298" t="str">
        <f t="shared" si="32"/>
        <v>LPS0040-ST</v>
      </c>
      <c r="C425" s="294" t="str">
        <f>VLOOKUP(LEFT(A425,7),'Tariff Schedule Lookup Table'!$A$8:$G$198,2,FALSE)</f>
        <v>Low Pressure Sodium 90/100</v>
      </c>
      <c r="D425" s="295">
        <f t="shared" si="33"/>
        <v>50</v>
      </c>
      <c r="E425" s="294">
        <f t="shared" si="34"/>
        <v>1</v>
      </c>
      <c r="F425" s="294" t="str">
        <f>VLOOKUP(D425,'Tariff Schedule Lookup Table'!I$7:L$298,2,FALSE)</f>
        <v>HIGH PRESSURE SODIUM 150W</v>
      </c>
      <c r="G425" s="294" t="str">
        <f>IF(F425 = "BULKHEADS ETC", "SHARED OR NO POLE", VLOOKUP(D425,'Tariff Schedule Lookup Table'!I$7:L$298,3,FALSE))</f>
        <v>SHARED OR NO POLE</v>
      </c>
      <c r="H425" s="294">
        <f>IF(F425 = "NO CAPITAL", 1, VLOOKUP(D425,'Tariff Schedule Lookup Table'!I$7:L$298,4,FALSE))</f>
        <v>1</v>
      </c>
      <c r="I425" s="296">
        <f>VLOOKUP(G425,'Input data'!$A$68:$B$72,2,FALSE)</f>
        <v>0</v>
      </c>
      <c r="J425" s="296">
        <f>VLOOKUP($B425,'Maintenance Costs'!$A:$AB,22,FALSE)</f>
        <v>18.724246919515515</v>
      </c>
      <c r="K425" s="296">
        <f>VLOOKUP($B425,'Maintenance Costs'!$A:$AB,28,FALSE)</f>
        <v>25.136385541395374</v>
      </c>
      <c r="L425" s="297">
        <f t="shared" si="35"/>
        <v>43.860632460910892</v>
      </c>
      <c r="M425">
        <v>67.463010352013697</v>
      </c>
      <c r="N425" s="30">
        <f t="shared" si="36"/>
        <v>-23.602377891102805</v>
      </c>
    </row>
    <row r="426" spans="1:14" x14ac:dyDescent="0.2">
      <c r="A426" s="299" t="s">
        <v>1299</v>
      </c>
      <c r="B426" s="298" t="str">
        <f t="shared" si="32"/>
        <v>LPS0040-ST</v>
      </c>
      <c r="C426" s="294" t="str">
        <f>VLOOKUP(LEFT(A426,7),'Tariff Schedule Lookup Table'!$A$8:$G$198,2,FALSE)</f>
        <v>Low Pressure Sodium 90/100</v>
      </c>
      <c r="D426" s="295">
        <f t="shared" si="33"/>
        <v>50</v>
      </c>
      <c r="E426" s="294">
        <f t="shared" si="34"/>
        <v>2</v>
      </c>
      <c r="F426" s="294" t="str">
        <f>VLOOKUP(D426,'Tariff Schedule Lookup Table'!I$7:L$298,2,FALSE)</f>
        <v>HIGH PRESSURE SODIUM 150W</v>
      </c>
      <c r="G426" s="294" t="str">
        <f>IF(F426 = "BULKHEADS ETC", "SHARED OR NO POLE", VLOOKUP(D426,'Tariff Schedule Lookup Table'!I$7:L$298,3,FALSE))</f>
        <v>SHARED OR NO POLE</v>
      </c>
      <c r="H426" s="294">
        <f>IF(F426 = "NO CAPITAL", 1, VLOOKUP(D426,'Tariff Schedule Lookup Table'!I$7:L$298,4,FALSE))</f>
        <v>1</v>
      </c>
      <c r="I426" s="296">
        <f>VLOOKUP(G426,'Input data'!$A$68:$B$72,2,FALSE)</f>
        <v>0</v>
      </c>
      <c r="J426" s="296">
        <f>VLOOKUP($B426,'Maintenance Costs'!$A:$AB,22,FALSE)</f>
        <v>18.724246919515515</v>
      </c>
      <c r="K426" s="296">
        <f>VLOOKUP($B426,'Maintenance Costs'!$A:$AB,28,FALSE)</f>
        <v>25.136385541395374</v>
      </c>
      <c r="L426" s="297">
        <f t="shared" si="35"/>
        <v>43.860632460910892</v>
      </c>
      <c r="M426">
        <v>67.463010352013697</v>
      </c>
      <c r="N426" s="30">
        <f t="shared" si="36"/>
        <v>-23.602377891102805</v>
      </c>
    </row>
    <row r="427" spans="1:14" x14ac:dyDescent="0.2">
      <c r="A427" s="299" t="s">
        <v>1300</v>
      </c>
      <c r="B427" s="298" t="str">
        <f t="shared" si="32"/>
        <v>LPS0040-ST</v>
      </c>
      <c r="C427" s="294" t="str">
        <f>VLOOKUP(LEFT(A427,7),'Tariff Schedule Lookup Table'!$A$8:$G$198,2,FALSE)</f>
        <v>Low Pressure Sodium 90/100</v>
      </c>
      <c r="D427" s="295">
        <f t="shared" si="33"/>
        <v>220</v>
      </c>
      <c r="E427" s="294">
        <f t="shared" si="34"/>
        <v>1</v>
      </c>
      <c r="F427" s="294" t="str">
        <f>VLOOKUP(D427,'Tariff Schedule Lookup Table'!I$7:L$298,2,FALSE)</f>
        <v>HIGH PRESSURE SODIUM 150W</v>
      </c>
      <c r="G427" s="294" t="str">
        <f>IF(F427 = "BULKHEADS ETC", "SHARED OR NO POLE", VLOOKUP(D427,'Tariff Schedule Lookup Table'!I$7:L$298,3,FALSE))</f>
        <v>WOOD POLE</v>
      </c>
      <c r="H427" s="294">
        <f>IF(F427 = "NO CAPITAL", 1, VLOOKUP(D427,'Tariff Schedule Lookup Table'!I$7:L$298,4,FALSE))</f>
        <v>1</v>
      </c>
      <c r="I427" s="296">
        <f>VLOOKUP(G427,'Input data'!$A$68:$B$72,2,FALSE)</f>
        <v>10.809914000000001</v>
      </c>
      <c r="J427" s="296">
        <f>VLOOKUP($B427,'Maintenance Costs'!$A:$AB,22,FALSE)</f>
        <v>18.724246919515515</v>
      </c>
      <c r="K427" s="296">
        <f>VLOOKUP($B427,'Maintenance Costs'!$A:$AB,28,FALSE)</f>
        <v>25.136385541395374</v>
      </c>
      <c r="L427" s="297">
        <f t="shared" si="35"/>
        <v>54.670546460910892</v>
      </c>
      <c r="M427">
        <v>78.272924352013703</v>
      </c>
      <c r="N427" s="30">
        <f t="shared" si="36"/>
        <v>-23.602377891102812</v>
      </c>
    </row>
    <row r="428" spans="1:14" x14ac:dyDescent="0.2">
      <c r="A428" s="299" t="s">
        <v>1301</v>
      </c>
      <c r="B428" s="298" t="str">
        <f t="shared" si="32"/>
        <v>LPS0040-ST</v>
      </c>
      <c r="C428" s="294" t="str">
        <f>VLOOKUP(LEFT(A428,7),'Tariff Schedule Lookup Table'!$A$8:$G$198,2,FALSE)</f>
        <v>Low Pressure Sodium 90/100</v>
      </c>
      <c r="D428" s="295">
        <f t="shared" si="33"/>
        <v>220</v>
      </c>
      <c r="E428" s="294">
        <f t="shared" si="34"/>
        <v>2</v>
      </c>
      <c r="F428" s="294" t="str">
        <f>VLOOKUP(D428,'Tariff Schedule Lookup Table'!I$7:L$298,2,FALSE)</f>
        <v>HIGH PRESSURE SODIUM 150W</v>
      </c>
      <c r="G428" s="294" t="str">
        <f>IF(F428 = "BULKHEADS ETC", "SHARED OR NO POLE", VLOOKUP(D428,'Tariff Schedule Lookup Table'!I$7:L$298,3,FALSE))</f>
        <v>WOOD POLE</v>
      </c>
      <c r="H428" s="294">
        <f>IF(F428 = "NO CAPITAL", 1, VLOOKUP(D428,'Tariff Schedule Lookup Table'!I$7:L$298,4,FALSE))</f>
        <v>1</v>
      </c>
      <c r="I428" s="296">
        <f>VLOOKUP(G428,'Input data'!$A$68:$B$72,2,FALSE)</f>
        <v>10.809914000000001</v>
      </c>
      <c r="J428" s="296">
        <f>VLOOKUP($B428,'Maintenance Costs'!$A:$AB,22,FALSE)</f>
        <v>18.724246919515515</v>
      </c>
      <c r="K428" s="296">
        <f>VLOOKUP($B428,'Maintenance Costs'!$A:$AB,28,FALSE)</f>
        <v>25.136385541395374</v>
      </c>
      <c r="L428" s="297">
        <f t="shared" si="35"/>
        <v>54.670546460910892</v>
      </c>
      <c r="M428">
        <v>78.272924352013703</v>
      </c>
      <c r="N428" s="30">
        <f t="shared" si="36"/>
        <v>-23.602377891102812</v>
      </c>
    </row>
    <row r="429" spans="1:14" x14ac:dyDescent="0.2">
      <c r="A429" s="299" t="s">
        <v>1302</v>
      </c>
      <c r="B429" s="298" t="str">
        <f t="shared" si="32"/>
        <v>LPS0040-ST</v>
      </c>
      <c r="C429" s="294" t="str">
        <f>VLOOKUP(LEFT(A429,7),'Tariff Schedule Lookup Table'!$A$8:$G$198,2,FALSE)</f>
        <v>Low Pressure Sodium 90/100</v>
      </c>
      <c r="D429" s="295">
        <f t="shared" si="33"/>
        <v>310</v>
      </c>
      <c r="E429" s="294">
        <f t="shared" si="34"/>
        <v>1</v>
      </c>
      <c r="F429" s="294" t="str">
        <f>VLOOKUP(D429,'Tariff Schedule Lookup Table'!I$7:L$298,2,FALSE)</f>
        <v>HIGH PRESSURE SODIUM 150W</v>
      </c>
      <c r="G429" s="294" t="str">
        <f>IF(F429 = "BULKHEADS ETC", "SHARED OR NO POLE", VLOOKUP(D429,'Tariff Schedule Lookup Table'!I$7:L$298,3,FALSE))</f>
        <v>STEEL POLE</v>
      </c>
      <c r="H429" s="294">
        <f>IF(F429 = "NO CAPITAL", 1, VLOOKUP(D429,'Tariff Schedule Lookup Table'!I$7:L$298,4,FALSE))</f>
        <v>1</v>
      </c>
      <c r="I429" s="296">
        <f>VLOOKUP(G429,'Input data'!$A$68:$B$72,2,FALSE)</f>
        <v>9.8748837500000004</v>
      </c>
      <c r="J429" s="296">
        <f>VLOOKUP($B429,'Maintenance Costs'!$A:$AB,22,FALSE)</f>
        <v>18.724246919515515</v>
      </c>
      <c r="K429" s="296">
        <f>VLOOKUP($B429,'Maintenance Costs'!$A:$AB,28,FALSE)</f>
        <v>25.136385541395374</v>
      </c>
      <c r="L429" s="297">
        <f t="shared" si="35"/>
        <v>53.735516210910895</v>
      </c>
      <c r="M429">
        <v>77.337894102013692</v>
      </c>
      <c r="N429" s="30">
        <f t="shared" si="36"/>
        <v>-23.602377891102797</v>
      </c>
    </row>
    <row r="430" spans="1:14" x14ac:dyDescent="0.2">
      <c r="A430" s="299" t="s">
        <v>1303</v>
      </c>
      <c r="B430" s="298" t="str">
        <f t="shared" si="32"/>
        <v>LPS0040-ST</v>
      </c>
      <c r="C430" s="294" t="str">
        <f>VLOOKUP(LEFT(A430,7),'Tariff Schedule Lookup Table'!$A$8:$G$198,2,FALSE)</f>
        <v>Low Pressure Sodium 90/100</v>
      </c>
      <c r="D430" s="295">
        <f t="shared" si="33"/>
        <v>310</v>
      </c>
      <c r="E430" s="294">
        <f t="shared" si="34"/>
        <v>2</v>
      </c>
      <c r="F430" s="294" t="str">
        <f>VLOOKUP(D430,'Tariff Schedule Lookup Table'!I$7:L$298,2,FALSE)</f>
        <v>HIGH PRESSURE SODIUM 150W</v>
      </c>
      <c r="G430" s="294" t="str">
        <f>IF(F430 = "BULKHEADS ETC", "SHARED OR NO POLE", VLOOKUP(D430,'Tariff Schedule Lookup Table'!I$7:L$298,3,FALSE))</f>
        <v>STEEL POLE</v>
      </c>
      <c r="H430" s="294">
        <f>IF(F430 = "NO CAPITAL", 1, VLOOKUP(D430,'Tariff Schedule Lookup Table'!I$7:L$298,4,FALSE))</f>
        <v>1</v>
      </c>
      <c r="I430" s="296">
        <f>VLOOKUP(G430,'Input data'!$A$68:$B$72,2,FALSE)</f>
        <v>9.8748837500000004</v>
      </c>
      <c r="J430" s="296">
        <f>VLOOKUP($B430,'Maintenance Costs'!$A:$AB,22,FALSE)</f>
        <v>18.724246919515515</v>
      </c>
      <c r="K430" s="296">
        <f>VLOOKUP($B430,'Maintenance Costs'!$A:$AB,28,FALSE)</f>
        <v>25.136385541395374</v>
      </c>
      <c r="L430" s="297">
        <f t="shared" si="35"/>
        <v>53.735516210910895</v>
      </c>
      <c r="M430">
        <v>77.337894102013692</v>
      </c>
      <c r="N430" s="30">
        <f t="shared" si="36"/>
        <v>-23.602377891102797</v>
      </c>
    </row>
    <row r="431" spans="1:14" x14ac:dyDescent="0.2">
      <c r="A431" s="299" t="s">
        <v>1304</v>
      </c>
      <c r="B431" s="298" t="str">
        <f t="shared" si="32"/>
        <v>LPS0050-ST</v>
      </c>
      <c r="C431" s="294" t="str">
        <f>VLOOKUP(LEFT(A431,7),'Tariff Schedule Lookup Table'!$A$8:$G$198,2,FALSE)</f>
        <v>Low Pressure Sodium 135</v>
      </c>
      <c r="D431" s="295">
        <f t="shared" si="33"/>
        <v>60</v>
      </c>
      <c r="E431" s="294">
        <f t="shared" si="34"/>
        <v>1</v>
      </c>
      <c r="F431" s="294" t="str">
        <f>VLOOKUP(D431,'Tariff Schedule Lookup Table'!I$7:L$298,2,FALSE)</f>
        <v>HIGH PRESSURE SODIUM 250W (210/220)</v>
      </c>
      <c r="G431" s="294" t="str">
        <f>IF(F431 = "BULKHEADS ETC", "SHARED OR NO POLE", VLOOKUP(D431,'Tariff Schedule Lookup Table'!I$7:L$298,3,FALSE))</f>
        <v>SHARED OR NO POLE</v>
      </c>
      <c r="H431" s="294">
        <f>IF(F431 = "NO CAPITAL", 1, VLOOKUP(D431,'Tariff Schedule Lookup Table'!I$7:L$298,4,FALSE))</f>
        <v>1</v>
      </c>
      <c r="I431" s="296">
        <f>VLOOKUP(G431,'Input data'!$A$68:$B$72,2,FALSE)</f>
        <v>0</v>
      </c>
      <c r="J431" s="296">
        <f>VLOOKUP($B431,'Maintenance Costs'!$A:$AB,22,FALSE)</f>
        <v>19.040942879515519</v>
      </c>
      <c r="K431" s="296">
        <f>VLOOKUP($B431,'Maintenance Costs'!$A:$AB,28,FALSE)</f>
        <v>26.202293041395375</v>
      </c>
      <c r="L431" s="297">
        <f t="shared" si="35"/>
        <v>45.243235920910891</v>
      </c>
      <c r="M431">
        <v>69.45216177361371</v>
      </c>
      <c r="N431" s="30">
        <f t="shared" si="36"/>
        <v>-24.208925852702819</v>
      </c>
    </row>
    <row r="432" spans="1:14" x14ac:dyDescent="0.2">
      <c r="A432" s="299" t="s">
        <v>1305</v>
      </c>
      <c r="B432" s="298" t="str">
        <f t="shared" si="32"/>
        <v>LPS0050-ST</v>
      </c>
      <c r="C432" s="294" t="str">
        <f>VLOOKUP(LEFT(A432,7),'Tariff Schedule Lookup Table'!$A$8:$G$198,2,FALSE)</f>
        <v>Low Pressure Sodium 135</v>
      </c>
      <c r="D432" s="295">
        <f t="shared" si="33"/>
        <v>60</v>
      </c>
      <c r="E432" s="294">
        <f t="shared" si="34"/>
        <v>2</v>
      </c>
      <c r="F432" s="294" t="str">
        <f>VLOOKUP(D432,'Tariff Schedule Lookup Table'!I$7:L$298,2,FALSE)</f>
        <v>HIGH PRESSURE SODIUM 250W (210/220)</v>
      </c>
      <c r="G432" s="294" t="str">
        <f>IF(F432 = "BULKHEADS ETC", "SHARED OR NO POLE", VLOOKUP(D432,'Tariff Schedule Lookup Table'!I$7:L$298,3,FALSE))</f>
        <v>SHARED OR NO POLE</v>
      </c>
      <c r="H432" s="294">
        <f>IF(F432 = "NO CAPITAL", 1, VLOOKUP(D432,'Tariff Schedule Lookup Table'!I$7:L$298,4,FALSE))</f>
        <v>1</v>
      </c>
      <c r="I432" s="296">
        <f>VLOOKUP(G432,'Input data'!$A$68:$B$72,2,FALSE)</f>
        <v>0</v>
      </c>
      <c r="J432" s="296">
        <f>VLOOKUP($B432,'Maintenance Costs'!$A:$AB,22,FALSE)</f>
        <v>19.040942879515519</v>
      </c>
      <c r="K432" s="296">
        <f>VLOOKUP($B432,'Maintenance Costs'!$A:$AB,28,FALSE)</f>
        <v>26.202293041395375</v>
      </c>
      <c r="L432" s="297">
        <f t="shared" si="35"/>
        <v>45.243235920910891</v>
      </c>
      <c r="M432">
        <v>69.45216177361371</v>
      </c>
      <c r="N432" s="30">
        <f t="shared" si="36"/>
        <v>-24.208925852702819</v>
      </c>
    </row>
    <row r="433" spans="1:14" x14ac:dyDescent="0.2">
      <c r="A433" s="299" t="s">
        <v>1306</v>
      </c>
      <c r="B433" s="298" t="str">
        <f t="shared" si="32"/>
        <v>LPS0050-ST</v>
      </c>
      <c r="C433" s="294" t="str">
        <f>VLOOKUP(LEFT(A433,7),'Tariff Schedule Lookup Table'!$A$8:$G$198,2,FALSE)</f>
        <v>Low Pressure Sodium 135</v>
      </c>
      <c r="D433" s="295">
        <f t="shared" si="33"/>
        <v>230</v>
      </c>
      <c r="E433" s="294">
        <f t="shared" si="34"/>
        <v>1</v>
      </c>
      <c r="F433" s="294" t="str">
        <f>VLOOKUP(D433,'Tariff Schedule Lookup Table'!I$7:L$298,2,FALSE)</f>
        <v>HIGH PRESSURE SODIUM 250W (210/220)</v>
      </c>
      <c r="G433" s="294" t="str">
        <f>IF(F433 = "BULKHEADS ETC", "SHARED OR NO POLE", VLOOKUP(D433,'Tariff Schedule Lookup Table'!I$7:L$298,3,FALSE))</f>
        <v>WOOD POLE</v>
      </c>
      <c r="H433" s="294">
        <f>IF(F433 = "NO CAPITAL", 1, VLOOKUP(D433,'Tariff Schedule Lookup Table'!I$7:L$298,4,FALSE))</f>
        <v>1</v>
      </c>
      <c r="I433" s="296">
        <f>VLOOKUP(G433,'Input data'!$A$68:$B$72,2,FALSE)</f>
        <v>10.809914000000001</v>
      </c>
      <c r="J433" s="296">
        <f>VLOOKUP($B433,'Maintenance Costs'!$A:$AB,22,FALSE)</f>
        <v>19.040942879515519</v>
      </c>
      <c r="K433" s="296">
        <f>VLOOKUP($B433,'Maintenance Costs'!$A:$AB,28,FALSE)</f>
        <v>26.202293041395375</v>
      </c>
      <c r="L433" s="297">
        <f t="shared" si="35"/>
        <v>56.05314992091089</v>
      </c>
      <c r="M433">
        <v>80.262075773613716</v>
      </c>
      <c r="N433" s="30">
        <f t="shared" si="36"/>
        <v>-24.208925852702826</v>
      </c>
    </row>
    <row r="434" spans="1:14" x14ac:dyDescent="0.2">
      <c r="A434" s="299" t="s">
        <v>1307</v>
      </c>
      <c r="B434" s="298" t="str">
        <f t="shared" si="32"/>
        <v>LPS0050-ST</v>
      </c>
      <c r="C434" s="294" t="str">
        <f>VLOOKUP(LEFT(A434,7),'Tariff Schedule Lookup Table'!$A$8:$G$198,2,FALSE)</f>
        <v>Low Pressure Sodium 135</v>
      </c>
      <c r="D434" s="295">
        <f t="shared" si="33"/>
        <v>320</v>
      </c>
      <c r="E434" s="294">
        <f t="shared" si="34"/>
        <v>1</v>
      </c>
      <c r="F434" s="294" t="str">
        <f>VLOOKUP(D434,'Tariff Schedule Lookup Table'!I$7:L$298,2,FALSE)</f>
        <v>HIGH PRESSURE SODIUM 250W (210/220)</v>
      </c>
      <c r="G434" s="294" t="str">
        <f>IF(F434 = "BULKHEADS ETC", "SHARED OR NO POLE", VLOOKUP(D434,'Tariff Schedule Lookup Table'!I$7:L$298,3,FALSE))</f>
        <v>STEEL POLE</v>
      </c>
      <c r="H434" s="294">
        <f>IF(F434 = "NO CAPITAL", 1, VLOOKUP(D434,'Tariff Schedule Lookup Table'!I$7:L$298,4,FALSE))</f>
        <v>1</v>
      </c>
      <c r="I434" s="296">
        <f>VLOOKUP(G434,'Input data'!$A$68:$B$72,2,FALSE)</f>
        <v>9.8748837500000004</v>
      </c>
      <c r="J434" s="296">
        <f>VLOOKUP($B434,'Maintenance Costs'!$A:$AB,22,FALSE)</f>
        <v>19.040942879515519</v>
      </c>
      <c r="K434" s="296">
        <f>VLOOKUP($B434,'Maintenance Costs'!$A:$AB,28,FALSE)</f>
        <v>26.202293041395375</v>
      </c>
      <c r="L434" s="297">
        <f t="shared" si="35"/>
        <v>55.118119670910893</v>
      </c>
      <c r="M434">
        <v>79.327045523613705</v>
      </c>
      <c r="N434" s="30">
        <f t="shared" si="36"/>
        <v>-24.208925852702812</v>
      </c>
    </row>
    <row r="435" spans="1:14" x14ac:dyDescent="0.2">
      <c r="A435" s="299" t="s">
        <v>1308</v>
      </c>
      <c r="B435" s="298" t="str">
        <f t="shared" si="32"/>
        <v>LPS0060-ST</v>
      </c>
      <c r="C435" s="294" t="str">
        <f>VLOOKUP(LEFT(A435,7),'Tariff Schedule Lookup Table'!$A$8:$G$198,2,FALSE)</f>
        <v>Low Pressure Sodium 150</v>
      </c>
      <c r="D435" s="295">
        <f t="shared" si="33"/>
        <v>60</v>
      </c>
      <c r="E435" s="294">
        <f t="shared" si="34"/>
        <v>1</v>
      </c>
      <c r="F435" s="294" t="str">
        <f>VLOOKUP(D435,'Tariff Schedule Lookup Table'!I$7:L$298,2,FALSE)</f>
        <v>HIGH PRESSURE SODIUM 250W (210/220)</v>
      </c>
      <c r="G435" s="294" t="str">
        <f>IF(F435 = "BULKHEADS ETC", "SHARED OR NO POLE", VLOOKUP(D435,'Tariff Schedule Lookup Table'!I$7:L$298,3,FALSE))</f>
        <v>SHARED OR NO POLE</v>
      </c>
      <c r="H435" s="294">
        <f>IF(F435 = "NO CAPITAL", 1, VLOOKUP(D435,'Tariff Schedule Lookup Table'!I$7:L$298,4,FALSE))</f>
        <v>1</v>
      </c>
      <c r="I435" s="296">
        <f>VLOOKUP(G435,'Input data'!$A$68:$B$72,2,FALSE)</f>
        <v>0</v>
      </c>
      <c r="J435" s="296">
        <f>VLOOKUP($B435,'Maintenance Costs'!$A:$AB,22,FALSE)</f>
        <v>32.491934559515514</v>
      </c>
      <c r="K435" s="296">
        <f>VLOOKUP($B435,'Maintenance Costs'!$A:$AB,28,FALSE)</f>
        <v>26.202293041395375</v>
      </c>
      <c r="L435" s="297">
        <f t="shared" si="35"/>
        <v>58.694227600910892</v>
      </c>
      <c r="M435">
        <v>93.574273519747038</v>
      </c>
      <c r="N435" s="30">
        <f t="shared" si="36"/>
        <v>-34.880045918836146</v>
      </c>
    </row>
    <row r="436" spans="1:14" x14ac:dyDescent="0.2">
      <c r="A436" s="299" t="s">
        <v>1309</v>
      </c>
      <c r="B436" s="298" t="str">
        <f t="shared" si="32"/>
        <v>LPS0060-ST</v>
      </c>
      <c r="C436" s="294" t="str">
        <f>VLOOKUP(LEFT(A436,7),'Tariff Schedule Lookup Table'!$A$8:$G$198,2,FALSE)</f>
        <v>Low Pressure Sodium 150</v>
      </c>
      <c r="D436" s="295">
        <f t="shared" si="33"/>
        <v>60</v>
      </c>
      <c r="E436" s="294">
        <f t="shared" si="34"/>
        <v>2</v>
      </c>
      <c r="F436" s="294" t="str">
        <f>VLOOKUP(D436,'Tariff Schedule Lookup Table'!I$7:L$298,2,FALSE)</f>
        <v>HIGH PRESSURE SODIUM 250W (210/220)</v>
      </c>
      <c r="G436" s="294" t="str">
        <f>IF(F436 = "BULKHEADS ETC", "SHARED OR NO POLE", VLOOKUP(D436,'Tariff Schedule Lookup Table'!I$7:L$298,3,FALSE))</f>
        <v>SHARED OR NO POLE</v>
      </c>
      <c r="H436" s="294">
        <f>IF(F436 = "NO CAPITAL", 1, VLOOKUP(D436,'Tariff Schedule Lookup Table'!I$7:L$298,4,FALSE))</f>
        <v>1</v>
      </c>
      <c r="I436" s="296">
        <f>VLOOKUP(G436,'Input data'!$A$68:$B$72,2,FALSE)</f>
        <v>0</v>
      </c>
      <c r="J436" s="296">
        <f>VLOOKUP($B436,'Maintenance Costs'!$A:$AB,22,FALSE)</f>
        <v>32.491934559515514</v>
      </c>
      <c r="K436" s="296">
        <f>VLOOKUP($B436,'Maintenance Costs'!$A:$AB,28,FALSE)</f>
        <v>26.202293041395375</v>
      </c>
      <c r="L436" s="297">
        <f t="shared" si="35"/>
        <v>58.694227600910892</v>
      </c>
      <c r="M436">
        <v>93.574273519747038</v>
      </c>
      <c r="N436" s="30">
        <f t="shared" si="36"/>
        <v>-34.880045918836146</v>
      </c>
    </row>
    <row r="437" spans="1:14" x14ac:dyDescent="0.2">
      <c r="A437" s="299" t="s">
        <v>1310</v>
      </c>
      <c r="B437" s="298" t="str">
        <f t="shared" si="32"/>
        <v>LPS0060-ST</v>
      </c>
      <c r="C437" s="294" t="str">
        <f>VLOOKUP(LEFT(A437,7),'Tariff Schedule Lookup Table'!$A$8:$G$198,2,FALSE)</f>
        <v>Low Pressure Sodium 150</v>
      </c>
      <c r="D437" s="295">
        <f t="shared" si="33"/>
        <v>230</v>
      </c>
      <c r="E437" s="294">
        <f t="shared" si="34"/>
        <v>2</v>
      </c>
      <c r="F437" s="294" t="str">
        <f>VLOOKUP(D437,'Tariff Schedule Lookup Table'!I$7:L$298,2,FALSE)</f>
        <v>HIGH PRESSURE SODIUM 250W (210/220)</v>
      </c>
      <c r="G437" s="294" t="str">
        <f>IF(F437 = "BULKHEADS ETC", "SHARED OR NO POLE", VLOOKUP(D437,'Tariff Schedule Lookup Table'!I$7:L$298,3,FALSE))</f>
        <v>WOOD POLE</v>
      </c>
      <c r="H437" s="294">
        <f>IF(F437 = "NO CAPITAL", 1, VLOOKUP(D437,'Tariff Schedule Lookup Table'!I$7:L$298,4,FALSE))</f>
        <v>1</v>
      </c>
      <c r="I437" s="296">
        <f>VLOOKUP(G437,'Input data'!$A$68:$B$72,2,FALSE)</f>
        <v>10.809914000000001</v>
      </c>
      <c r="J437" s="296">
        <f>VLOOKUP($B437,'Maintenance Costs'!$A:$AB,22,FALSE)</f>
        <v>32.491934559515514</v>
      </c>
      <c r="K437" s="296">
        <f>VLOOKUP($B437,'Maintenance Costs'!$A:$AB,28,FALSE)</f>
        <v>26.202293041395375</v>
      </c>
      <c r="L437" s="297">
        <f t="shared" si="35"/>
        <v>69.504141600910899</v>
      </c>
      <c r="M437">
        <v>104.38418751974704</v>
      </c>
      <c r="N437" s="30">
        <f t="shared" si="36"/>
        <v>-34.880045918836146</v>
      </c>
    </row>
    <row r="438" spans="1:14" x14ac:dyDescent="0.2">
      <c r="A438" s="299" t="s">
        <v>1311</v>
      </c>
      <c r="B438" s="298" t="str">
        <f t="shared" si="32"/>
        <v>LPS0060-ST</v>
      </c>
      <c r="C438" s="294" t="str">
        <f>VLOOKUP(LEFT(A438,7),'Tariff Schedule Lookup Table'!$A$8:$G$198,2,FALSE)</f>
        <v>Low Pressure Sodium 150</v>
      </c>
      <c r="D438" s="295">
        <f t="shared" si="33"/>
        <v>320</v>
      </c>
      <c r="E438" s="294">
        <f t="shared" si="34"/>
        <v>2</v>
      </c>
      <c r="F438" s="294" t="str">
        <f>VLOOKUP(D438,'Tariff Schedule Lookup Table'!I$7:L$298,2,FALSE)</f>
        <v>HIGH PRESSURE SODIUM 250W (210/220)</v>
      </c>
      <c r="G438" s="294" t="str">
        <f>IF(F438 = "BULKHEADS ETC", "SHARED OR NO POLE", VLOOKUP(D438,'Tariff Schedule Lookup Table'!I$7:L$298,3,FALSE))</f>
        <v>STEEL POLE</v>
      </c>
      <c r="H438" s="294">
        <f>IF(F438 = "NO CAPITAL", 1, VLOOKUP(D438,'Tariff Schedule Lookup Table'!I$7:L$298,4,FALSE))</f>
        <v>1</v>
      </c>
      <c r="I438" s="296">
        <f>VLOOKUP(G438,'Input data'!$A$68:$B$72,2,FALSE)</f>
        <v>9.8748837500000004</v>
      </c>
      <c r="J438" s="296">
        <f>VLOOKUP($B438,'Maintenance Costs'!$A:$AB,22,FALSE)</f>
        <v>32.491934559515514</v>
      </c>
      <c r="K438" s="296">
        <f>VLOOKUP($B438,'Maintenance Costs'!$A:$AB,28,FALSE)</f>
        <v>26.202293041395375</v>
      </c>
      <c r="L438" s="297">
        <f t="shared" si="35"/>
        <v>68.569111350910887</v>
      </c>
      <c r="M438">
        <v>103.44915726974703</v>
      </c>
      <c r="N438" s="30">
        <f t="shared" si="36"/>
        <v>-34.880045918836146</v>
      </c>
    </row>
    <row r="439" spans="1:14" x14ac:dyDescent="0.2">
      <c r="A439" s="299" t="s">
        <v>1312</v>
      </c>
      <c r="B439" s="298" t="str">
        <f t="shared" si="32"/>
        <v>LPS0060-ST</v>
      </c>
      <c r="C439" s="294" t="str">
        <f>VLOOKUP(LEFT(A439,7),'Tariff Schedule Lookup Table'!$A$8:$G$198,2,FALSE)</f>
        <v>Low Pressure Sodium 150</v>
      </c>
      <c r="D439" s="295">
        <f t="shared" si="33"/>
        <v>390</v>
      </c>
      <c r="E439" s="294">
        <f t="shared" si="34"/>
        <v>2</v>
      </c>
      <c r="F439" s="294" t="str">
        <f>VLOOKUP(D439,'Tariff Schedule Lookup Table'!I$7:L$298,2,FALSE)</f>
        <v>HIGH PRESSURE SODIUM 250W (210/220)</v>
      </c>
      <c r="G439" s="294" t="str">
        <f>IF(F439 = "BULKHEADS ETC", "SHARED OR NO POLE", VLOOKUP(D439,'Tariff Schedule Lookup Table'!I$7:L$298,3,FALSE))</f>
        <v>STEEL POLE</v>
      </c>
      <c r="H439" s="294">
        <f>IF(F439 = "NO CAPITAL", 1, VLOOKUP(D439,'Tariff Schedule Lookup Table'!I$7:L$298,4,FALSE))</f>
        <v>2</v>
      </c>
      <c r="I439" s="296">
        <f>VLOOKUP(G439,'Input data'!$A$68:$B$72,2,FALSE)</f>
        <v>9.8748837500000004</v>
      </c>
      <c r="J439" s="296">
        <f>VLOOKUP($B439,'Maintenance Costs'!$A:$AB,22,FALSE)</f>
        <v>32.491934559515514</v>
      </c>
      <c r="K439" s="296">
        <f>VLOOKUP($B439,'Maintenance Costs'!$A:$AB,28,FALSE)</f>
        <v>26.202293041395375</v>
      </c>
      <c r="L439" s="297">
        <f t="shared" si="35"/>
        <v>63.63166947591089</v>
      </c>
      <c r="M439">
        <v>98.511715394747043</v>
      </c>
      <c r="N439" s="30">
        <f t="shared" si="36"/>
        <v>-34.880045918836153</v>
      </c>
    </row>
    <row r="440" spans="1:14" x14ac:dyDescent="0.2">
      <c r="A440" s="299" t="s">
        <v>1313</v>
      </c>
      <c r="B440" s="298" t="str">
        <f t="shared" si="32"/>
        <v>LPS0060-ST</v>
      </c>
      <c r="C440" s="294" t="str">
        <f>VLOOKUP(LEFT(A440,7),'Tariff Schedule Lookup Table'!$A$8:$G$198,2,FALSE)</f>
        <v>Low Pressure Sodium 150</v>
      </c>
      <c r="D440" s="295">
        <f t="shared" si="33"/>
        <v>590</v>
      </c>
      <c r="E440" s="294">
        <f t="shared" si="34"/>
        <v>2</v>
      </c>
      <c r="F440" s="294" t="str">
        <f>VLOOKUP(D440,'Tariff Schedule Lookup Table'!I$7:L$298,2,FALSE)</f>
        <v>HIGH PRESSURE SODIUM 250W (210/220)</v>
      </c>
      <c r="G440" s="294" t="str">
        <f>IF(F440 = "BULKHEADS ETC", "SHARED OR NO POLE", VLOOKUP(D440,'Tariff Schedule Lookup Table'!I$7:L$298,3,FALSE))</f>
        <v>R/BOUT COLUMN</v>
      </c>
      <c r="H440" s="294">
        <f>IF(F440 = "NO CAPITAL", 1, VLOOKUP(D440,'Tariff Schedule Lookup Table'!I$7:L$298,4,FALSE))</f>
        <v>4</v>
      </c>
      <c r="I440" s="296">
        <f>VLOOKUP(G440,'Input data'!$A$68:$B$72,2,FALSE)</f>
        <v>9.8748837500000004</v>
      </c>
      <c r="J440" s="296">
        <f>VLOOKUP($B440,'Maintenance Costs'!$A:$AB,22,FALSE)</f>
        <v>32.491934559515514</v>
      </c>
      <c r="K440" s="296">
        <f>VLOOKUP($B440,'Maintenance Costs'!$A:$AB,28,FALSE)</f>
        <v>26.202293041395375</v>
      </c>
      <c r="L440" s="297">
        <f t="shared" si="35"/>
        <v>61.162948538410895</v>
      </c>
      <c r="M440">
        <v>96.042994457247033</v>
      </c>
      <c r="N440" s="30">
        <f t="shared" si="36"/>
        <v>-34.880045918836139</v>
      </c>
    </row>
    <row r="441" spans="1:14" x14ac:dyDescent="0.2">
      <c r="A441" s="299" t="s">
        <v>1314</v>
      </c>
      <c r="B441" s="298" t="str">
        <f t="shared" si="32"/>
        <v>LPS0060-ST</v>
      </c>
      <c r="C441" s="294" t="str">
        <f>VLOOKUP(LEFT(A441,7),'Tariff Schedule Lookup Table'!$A$8:$G$198,2,FALSE)</f>
        <v>Low Pressure Sodium 150</v>
      </c>
      <c r="D441" s="295">
        <f t="shared" si="33"/>
        <v>960</v>
      </c>
      <c r="E441" s="294">
        <f t="shared" si="34"/>
        <v>2</v>
      </c>
      <c r="F441" s="294" t="str">
        <f>VLOOKUP(D441,'Tariff Schedule Lookup Table'!I$7:L$298,2,FALSE)</f>
        <v>HIGH PRESSURE SODIUM 250W (210/220)</v>
      </c>
      <c r="G441" s="294" t="str">
        <f>IF(F441 = "BULKHEADS ETC", "SHARED OR NO POLE", VLOOKUP(D441,'Tariff Schedule Lookup Table'!I$7:L$298,3,FALSE))</f>
        <v>SHARED OR NO POLE</v>
      </c>
      <c r="H441" s="294">
        <f>IF(F441 = "NO CAPITAL", 1, VLOOKUP(D441,'Tariff Schedule Lookup Table'!I$7:L$298,4,FALSE))</f>
        <v>2</v>
      </c>
      <c r="I441" s="296">
        <f>VLOOKUP(G441,'Input data'!$A$68:$B$72,2,FALSE)</f>
        <v>0</v>
      </c>
      <c r="J441" s="296">
        <f>VLOOKUP($B441,'Maintenance Costs'!$A:$AB,22,FALSE)</f>
        <v>32.491934559515514</v>
      </c>
      <c r="K441" s="296">
        <f>VLOOKUP($B441,'Maintenance Costs'!$A:$AB,28,FALSE)</f>
        <v>26.202293041395375</v>
      </c>
      <c r="L441" s="297">
        <f t="shared" si="35"/>
        <v>58.694227600910892</v>
      </c>
      <c r="M441">
        <v>93.574273519747038</v>
      </c>
      <c r="N441" s="30">
        <f t="shared" si="36"/>
        <v>-34.880045918836146</v>
      </c>
    </row>
    <row r="442" spans="1:14" x14ac:dyDescent="0.2">
      <c r="A442" s="299" t="s">
        <v>1315</v>
      </c>
      <c r="B442" s="298" t="str">
        <f t="shared" si="32"/>
        <v>LPS0090-ST</v>
      </c>
      <c r="C442" s="294" t="str">
        <f>VLOOKUP(LEFT(A442,7),'Tariff Schedule Lookup Table'!$A$8:$G$198,2,FALSE)</f>
        <v>Low Pressure Sodium 310</v>
      </c>
      <c r="D442" s="295">
        <f t="shared" si="33"/>
        <v>70</v>
      </c>
      <c r="E442" s="294">
        <f t="shared" si="34"/>
        <v>2</v>
      </c>
      <c r="F442" s="294" t="str">
        <f>VLOOKUP(D442,'Tariff Schedule Lookup Table'!I$7:L$298,2,FALSE)</f>
        <v>HIGH PRESSURE SODIUM 400W (310/360)</v>
      </c>
      <c r="G442" s="294" t="str">
        <f>IF(F442 = "BULKHEADS ETC", "SHARED OR NO POLE", VLOOKUP(D442,'Tariff Schedule Lookup Table'!I$7:L$298,3,FALSE))</f>
        <v>SHARED OR NO POLE</v>
      </c>
      <c r="H442" s="294">
        <f>IF(F442 = "NO CAPITAL", 1, VLOOKUP(D442,'Tariff Schedule Lookup Table'!I$7:L$298,4,FALSE))</f>
        <v>1</v>
      </c>
      <c r="I442" s="296">
        <f>VLOOKUP(G442,'Input data'!$A$68:$B$72,2,FALSE)</f>
        <v>0</v>
      </c>
      <c r="J442" s="296">
        <f>VLOOKUP($B442,'Maintenance Costs'!$A:$AB,22,FALSE)</f>
        <v>32.491934559515514</v>
      </c>
      <c r="K442" s="296">
        <f>VLOOKUP($B442,'Maintenance Costs'!$A:$AB,28,FALSE)</f>
        <v>26.202293041395375</v>
      </c>
      <c r="L442" s="297">
        <f t="shared" si="35"/>
        <v>58.694227600910892</v>
      </c>
      <c r="M442">
        <v>93.574273519747038</v>
      </c>
      <c r="N442" s="30">
        <f t="shared" si="36"/>
        <v>-34.880045918836146</v>
      </c>
    </row>
    <row r="443" spans="1:14" ht="22.5" x14ac:dyDescent="0.2">
      <c r="A443" s="299" t="s">
        <v>1316</v>
      </c>
      <c r="B443" s="298" t="str">
        <f t="shared" si="32"/>
        <v>MHR0010-ST</v>
      </c>
      <c r="C443" s="294" t="str">
        <f>VLOOKUP(LEFT(A443,7),'Tariff Schedule Lookup Table'!$A$8:$G$198,2,FALSE)</f>
        <v>Metal Hallide (Reactor Control Gear) 70</v>
      </c>
      <c r="D443" s="295">
        <f t="shared" si="33"/>
        <v>1</v>
      </c>
      <c r="E443" s="294">
        <f t="shared" si="34"/>
        <v>6</v>
      </c>
      <c r="F443" s="294" t="str">
        <f>VLOOKUP(D443,'Tariff Schedule Lookup Table'!I$7:L$298,2,FALSE)</f>
        <v>NO CAPITAL</v>
      </c>
      <c r="G443" s="294" t="str">
        <f>IF(F443 = "BULKHEADS ETC", "SHARED OR NO POLE", VLOOKUP(D443,'Tariff Schedule Lookup Table'!I$7:L$298,3,FALSE))</f>
        <v>NO CAPITAL</v>
      </c>
      <c r="H443" s="294">
        <f>IF(F443 = "NO CAPITAL", 1, VLOOKUP(D443,'Tariff Schedule Lookup Table'!I$7:L$298,4,FALSE))</f>
        <v>1</v>
      </c>
      <c r="I443" s="296">
        <f>VLOOKUP(G443,'Input data'!$A$68:$B$72,2,FALSE)</f>
        <v>0</v>
      </c>
      <c r="J443" s="296">
        <v>0</v>
      </c>
      <c r="K443" s="296">
        <v>0</v>
      </c>
      <c r="L443" s="297">
        <f t="shared" si="35"/>
        <v>0</v>
      </c>
      <c r="M443">
        <v>0</v>
      </c>
      <c r="N443" s="30">
        <f t="shared" si="36"/>
        <v>0</v>
      </c>
    </row>
    <row r="444" spans="1:14" ht="22.5" x14ac:dyDescent="0.2">
      <c r="A444" s="299" t="s">
        <v>1317</v>
      </c>
      <c r="B444" s="298" t="str">
        <f t="shared" si="32"/>
        <v>MHR0010-ST</v>
      </c>
      <c r="C444" s="294" t="str">
        <f>VLOOKUP(LEFT(A444,7),'Tariff Schedule Lookup Table'!$A$8:$G$198,2,FALSE)</f>
        <v>Metal Hallide (Reactor Control Gear) 70</v>
      </c>
      <c r="D444" s="295">
        <f t="shared" si="33"/>
        <v>40</v>
      </c>
      <c r="E444" s="294">
        <f t="shared" si="34"/>
        <v>2</v>
      </c>
      <c r="F444" s="294" t="str">
        <f>VLOOKUP(D444,'Tariff Schedule Lookup Table'!I$7:L$298,2,FALSE)</f>
        <v>HIGH PRESSURE SODIUM 70W (100)</v>
      </c>
      <c r="G444" s="294" t="str">
        <f>IF(F444 = "BULKHEADS ETC", "SHARED OR NO POLE", VLOOKUP(D444,'Tariff Schedule Lookup Table'!I$7:L$298,3,FALSE))</f>
        <v>SHARED OR NO POLE</v>
      </c>
      <c r="H444" s="294">
        <f>IF(F444 = "NO CAPITAL", 1, VLOOKUP(D444,'Tariff Schedule Lookup Table'!I$7:L$298,4,FALSE))</f>
        <v>1</v>
      </c>
      <c r="I444" s="296">
        <f>VLOOKUP(G444,'Input data'!$A$68:$B$72,2,FALSE)</f>
        <v>0</v>
      </c>
      <c r="J444" s="296">
        <f>VLOOKUP($B444,'Maintenance Costs'!$A:$AB,22,FALSE)</f>
        <v>13.466988499071071</v>
      </c>
      <c r="K444" s="296">
        <f>VLOOKUP($B444,'Maintenance Costs'!$A:$AB,28,FALSE)</f>
        <v>25.862282041395371</v>
      </c>
      <c r="L444" s="297">
        <f t="shared" si="35"/>
        <v>39.329270540466439</v>
      </c>
      <c r="M444">
        <v>53.618412989675932</v>
      </c>
      <c r="N444" s="30">
        <f t="shared" si="36"/>
        <v>-14.289142449209493</v>
      </c>
    </row>
    <row r="445" spans="1:14" ht="22.5" x14ac:dyDescent="0.2">
      <c r="A445" s="299" t="s">
        <v>543</v>
      </c>
      <c r="B445" s="298" t="str">
        <f t="shared" si="32"/>
        <v>MHR0010-ST</v>
      </c>
      <c r="C445" s="294" t="str">
        <f>VLOOKUP(LEFT(A445,7),'Tariff Schedule Lookup Table'!$A$8:$G$198,2,FALSE)</f>
        <v>Metal Hallide (Reactor Control Gear) 70</v>
      </c>
      <c r="D445" s="295">
        <f t="shared" si="33"/>
        <v>40</v>
      </c>
      <c r="E445" s="294">
        <f t="shared" si="34"/>
        <v>4</v>
      </c>
      <c r="F445" s="294" t="str">
        <f>VLOOKUP(D445,'Tariff Schedule Lookup Table'!I$7:L$298,2,FALSE)</f>
        <v>HIGH PRESSURE SODIUM 70W (100)</v>
      </c>
      <c r="G445" s="294" t="str">
        <f>IF(F445 = "BULKHEADS ETC", "SHARED OR NO POLE", VLOOKUP(D445,'Tariff Schedule Lookup Table'!I$7:L$298,3,FALSE))</f>
        <v>SHARED OR NO POLE</v>
      </c>
      <c r="H445" s="294">
        <f>IF(F445 = "NO CAPITAL", 1, VLOOKUP(D445,'Tariff Schedule Lookup Table'!I$7:L$298,4,FALSE))</f>
        <v>1</v>
      </c>
      <c r="I445" s="296">
        <f>VLOOKUP(G445,'Input data'!$A$68:$B$72,2,FALSE)</f>
        <v>0</v>
      </c>
      <c r="J445" s="296">
        <f>VLOOKUP($B445,'Maintenance Costs'!$A:$AB,22,FALSE)</f>
        <v>13.466988499071071</v>
      </c>
      <c r="K445" s="296">
        <f>VLOOKUP($B445,'Maintenance Costs'!$A:$AB,28,FALSE)</f>
        <v>25.862282041395371</v>
      </c>
      <c r="L445" s="297">
        <f t="shared" si="35"/>
        <v>39.329270540466439</v>
      </c>
      <c r="M445">
        <v>53.618412989675932</v>
      </c>
      <c r="N445" s="30">
        <f t="shared" si="36"/>
        <v>-14.289142449209493</v>
      </c>
    </row>
    <row r="446" spans="1:14" ht="22.5" x14ac:dyDescent="0.2">
      <c r="A446" s="299" t="s">
        <v>1318</v>
      </c>
      <c r="B446" s="298" t="str">
        <f t="shared" si="32"/>
        <v>MHR0010-ST</v>
      </c>
      <c r="C446" s="294" t="str">
        <f>VLOOKUP(LEFT(A446,7),'Tariff Schedule Lookup Table'!$A$8:$G$198,2,FALSE)</f>
        <v>Metal Hallide (Reactor Control Gear) 70</v>
      </c>
      <c r="D446" s="295">
        <f t="shared" si="33"/>
        <v>360</v>
      </c>
      <c r="E446" s="294">
        <f t="shared" si="34"/>
        <v>2</v>
      </c>
      <c r="F446" s="294" t="str">
        <f>VLOOKUP(D446,'Tariff Schedule Lookup Table'!I$7:L$298,2,FALSE)</f>
        <v>HIGH PRESSURE SODIUM 70W (100)</v>
      </c>
      <c r="G446" s="294" t="str">
        <f>IF(F446 = "BULKHEADS ETC", "SHARED OR NO POLE", VLOOKUP(D446,'Tariff Schedule Lookup Table'!I$7:L$298,3,FALSE))</f>
        <v>STEEL POLE</v>
      </c>
      <c r="H446" s="294">
        <f>IF(F446 = "NO CAPITAL", 1, VLOOKUP(D446,'Tariff Schedule Lookup Table'!I$7:L$298,4,FALSE))</f>
        <v>1</v>
      </c>
      <c r="I446" s="296">
        <f>VLOOKUP(G446,'Input data'!$A$68:$B$72,2,FALSE)</f>
        <v>9.8748837500000004</v>
      </c>
      <c r="J446" s="296">
        <f>VLOOKUP($B446,'Maintenance Costs'!$A:$AB,22,FALSE)</f>
        <v>13.466988499071071</v>
      </c>
      <c r="K446" s="296">
        <f>VLOOKUP($B446,'Maintenance Costs'!$A:$AB,28,FALSE)</f>
        <v>25.862282041395371</v>
      </c>
      <c r="L446" s="297">
        <f t="shared" si="35"/>
        <v>49.204154290466441</v>
      </c>
      <c r="M446">
        <v>63.493296739675934</v>
      </c>
      <c r="N446" s="30">
        <f t="shared" si="36"/>
        <v>-14.289142449209493</v>
      </c>
    </row>
    <row r="447" spans="1:14" ht="22.5" x14ac:dyDescent="0.2">
      <c r="A447" s="299" t="s">
        <v>544</v>
      </c>
      <c r="B447" s="298" t="str">
        <f t="shared" si="32"/>
        <v>MHR0010-ST</v>
      </c>
      <c r="C447" s="294" t="str">
        <f>VLOOKUP(LEFT(A447,7),'Tariff Schedule Lookup Table'!$A$8:$G$198,2,FALSE)</f>
        <v>Metal Hallide (Reactor Control Gear) 70</v>
      </c>
      <c r="D447" s="295">
        <f t="shared" si="33"/>
        <v>360</v>
      </c>
      <c r="E447" s="294">
        <f t="shared" si="34"/>
        <v>4</v>
      </c>
      <c r="F447" s="294" t="str">
        <f>VLOOKUP(D447,'Tariff Schedule Lookup Table'!I$7:L$298,2,FALSE)</f>
        <v>HIGH PRESSURE SODIUM 70W (100)</v>
      </c>
      <c r="G447" s="294" t="str">
        <f>IF(F447 = "BULKHEADS ETC", "SHARED OR NO POLE", VLOOKUP(D447,'Tariff Schedule Lookup Table'!I$7:L$298,3,FALSE))</f>
        <v>STEEL POLE</v>
      </c>
      <c r="H447" s="294">
        <f>IF(F447 = "NO CAPITAL", 1, VLOOKUP(D447,'Tariff Schedule Lookup Table'!I$7:L$298,4,FALSE))</f>
        <v>1</v>
      </c>
      <c r="I447" s="296">
        <f>VLOOKUP(G447,'Input data'!$A$68:$B$72,2,FALSE)</f>
        <v>9.8748837500000004</v>
      </c>
      <c r="J447" s="296">
        <f>VLOOKUP($B447,'Maintenance Costs'!$A:$AB,22,FALSE)</f>
        <v>13.466988499071071</v>
      </c>
      <c r="K447" s="296">
        <f>VLOOKUP($B447,'Maintenance Costs'!$A:$AB,28,FALSE)</f>
        <v>25.862282041395371</v>
      </c>
      <c r="L447" s="297">
        <f t="shared" si="35"/>
        <v>49.204154290466441</v>
      </c>
      <c r="M447">
        <v>63.493296739675934</v>
      </c>
      <c r="N447" s="30">
        <f t="shared" si="36"/>
        <v>-14.289142449209493</v>
      </c>
    </row>
    <row r="448" spans="1:14" ht="22.5" x14ac:dyDescent="0.2">
      <c r="A448" s="299" t="s">
        <v>1319</v>
      </c>
      <c r="B448" s="298" t="str">
        <f t="shared" si="32"/>
        <v>MHR0010-ST</v>
      </c>
      <c r="C448" s="294" t="str">
        <f>VLOOKUP(LEFT(A448,7),'Tariff Schedule Lookup Table'!$A$8:$G$198,2,FALSE)</f>
        <v>Metal Hallide (Reactor Control Gear) 70</v>
      </c>
      <c r="D448" s="295">
        <f t="shared" si="33"/>
        <v>730</v>
      </c>
      <c r="E448" s="294">
        <f t="shared" si="34"/>
        <v>2</v>
      </c>
      <c r="F448" s="294" t="str">
        <f>VLOOKUP(D448,'Tariff Schedule Lookup Table'!I$7:L$298,2,FALSE)</f>
        <v>HIGH PRESSURE SODIUM 70W (100)</v>
      </c>
      <c r="G448" s="294" t="str">
        <f>IF(F448 = "BULKHEADS ETC", "SHARED OR NO POLE", VLOOKUP(D448,'Tariff Schedule Lookup Table'!I$7:L$298,3,FALSE))</f>
        <v>STEEL POLE</v>
      </c>
      <c r="H448" s="294">
        <f>IF(F448 = "NO CAPITAL", 1, VLOOKUP(D448,'Tariff Schedule Lookup Table'!I$7:L$298,4,FALSE))</f>
        <v>2</v>
      </c>
      <c r="I448" s="296">
        <f>VLOOKUP(G448,'Input data'!$A$68:$B$72,2,FALSE)</f>
        <v>9.8748837500000004</v>
      </c>
      <c r="J448" s="296">
        <f>VLOOKUP($B448,'Maintenance Costs'!$A:$AB,22,FALSE)</f>
        <v>13.466988499071071</v>
      </c>
      <c r="K448" s="296">
        <f>VLOOKUP($B448,'Maintenance Costs'!$A:$AB,28,FALSE)</f>
        <v>25.862282041395371</v>
      </c>
      <c r="L448" s="297">
        <f t="shared" si="35"/>
        <v>44.266712415466436</v>
      </c>
      <c r="M448">
        <v>58.555854864675929</v>
      </c>
      <c r="N448" s="30">
        <f t="shared" si="36"/>
        <v>-14.289142449209493</v>
      </c>
    </row>
    <row r="449" spans="1:14" ht="22.5" x14ac:dyDescent="0.2">
      <c r="A449" s="299" t="s">
        <v>1320</v>
      </c>
      <c r="B449" s="298" t="str">
        <f t="shared" si="32"/>
        <v>MHR0020-ST</v>
      </c>
      <c r="C449" s="294" t="str">
        <f>VLOOKUP(LEFT(A449,7),'Tariff Schedule Lookup Table'!$A$8:$G$198,2,FALSE)</f>
        <v>Metal Hallide (Reactor Control Gear) 100</v>
      </c>
      <c r="D449" s="295">
        <f t="shared" si="33"/>
        <v>1</v>
      </c>
      <c r="E449" s="294">
        <f t="shared" si="34"/>
        <v>6</v>
      </c>
      <c r="F449" s="294" t="str">
        <f>VLOOKUP(D449,'Tariff Schedule Lookup Table'!I$7:L$298,2,FALSE)</f>
        <v>NO CAPITAL</v>
      </c>
      <c r="G449" s="294" t="str">
        <f>IF(F449 = "BULKHEADS ETC", "SHARED OR NO POLE", VLOOKUP(D449,'Tariff Schedule Lookup Table'!I$7:L$298,3,FALSE))</f>
        <v>NO CAPITAL</v>
      </c>
      <c r="H449" s="294">
        <f>IF(F449 = "NO CAPITAL", 1, VLOOKUP(D449,'Tariff Schedule Lookup Table'!I$7:L$298,4,FALSE))</f>
        <v>1</v>
      </c>
      <c r="I449" s="296">
        <f>VLOOKUP(G449,'Input data'!$A$68:$B$72,2,FALSE)</f>
        <v>0</v>
      </c>
      <c r="J449" s="296">
        <v>0</v>
      </c>
      <c r="K449" s="296">
        <v>0</v>
      </c>
      <c r="L449" s="297">
        <f t="shared" si="35"/>
        <v>0</v>
      </c>
      <c r="M449">
        <v>0</v>
      </c>
      <c r="N449" s="30">
        <f t="shared" si="36"/>
        <v>0</v>
      </c>
    </row>
    <row r="450" spans="1:14" ht="22.5" x14ac:dyDescent="0.2">
      <c r="A450" s="299" t="s">
        <v>1321</v>
      </c>
      <c r="B450" s="298" t="str">
        <f t="shared" si="32"/>
        <v>MHR0030-ST</v>
      </c>
      <c r="C450" s="294" t="str">
        <f>VLOOKUP(LEFT(A450,7),'Tariff Schedule Lookup Table'!$A$8:$G$198,2,FALSE)</f>
        <v>Metal Hallide (Reactor Control Gear) 150</v>
      </c>
      <c r="D450" s="295">
        <f t="shared" si="33"/>
        <v>1</v>
      </c>
      <c r="E450" s="294">
        <f t="shared" si="34"/>
        <v>6</v>
      </c>
      <c r="F450" s="294" t="str">
        <f>VLOOKUP(D450,'Tariff Schedule Lookup Table'!I$7:L$298,2,FALSE)</f>
        <v>NO CAPITAL</v>
      </c>
      <c r="G450" s="294" t="str">
        <f>IF(F450 = "BULKHEADS ETC", "SHARED OR NO POLE", VLOOKUP(D450,'Tariff Schedule Lookup Table'!I$7:L$298,3,FALSE))</f>
        <v>NO CAPITAL</v>
      </c>
      <c r="H450" s="294">
        <f>IF(F450 = "NO CAPITAL", 1, VLOOKUP(D450,'Tariff Schedule Lookup Table'!I$7:L$298,4,FALSE))</f>
        <v>1</v>
      </c>
      <c r="I450" s="296">
        <f>VLOOKUP(G450,'Input data'!$A$68:$B$72,2,FALSE)</f>
        <v>0</v>
      </c>
      <c r="J450" s="296">
        <v>0</v>
      </c>
      <c r="K450" s="296">
        <v>0</v>
      </c>
      <c r="L450" s="297">
        <f t="shared" si="35"/>
        <v>0</v>
      </c>
      <c r="M450">
        <v>0</v>
      </c>
      <c r="N450" s="30">
        <f t="shared" si="36"/>
        <v>0</v>
      </c>
    </row>
    <row r="451" spans="1:14" ht="22.5" x14ac:dyDescent="0.2">
      <c r="A451" s="299" t="s">
        <v>1322</v>
      </c>
      <c r="B451" s="298" t="str">
        <f t="shared" si="32"/>
        <v>MHR0030-ST</v>
      </c>
      <c r="C451" s="294" t="str">
        <f>VLOOKUP(LEFT(A451,7),'Tariff Schedule Lookup Table'!$A$8:$G$198,2,FALSE)</f>
        <v>Metal Hallide (Reactor Control Gear) 150</v>
      </c>
      <c r="D451" s="295">
        <f t="shared" si="33"/>
        <v>50</v>
      </c>
      <c r="E451" s="294">
        <f t="shared" si="34"/>
        <v>2</v>
      </c>
      <c r="F451" s="294" t="str">
        <f>VLOOKUP(D451,'Tariff Schedule Lookup Table'!I$7:L$298,2,FALSE)</f>
        <v>HIGH PRESSURE SODIUM 150W</v>
      </c>
      <c r="G451" s="294" t="str">
        <f>IF(F451 = "BULKHEADS ETC", "SHARED OR NO POLE", VLOOKUP(D451,'Tariff Schedule Lookup Table'!I$7:L$298,3,FALSE))</f>
        <v>SHARED OR NO POLE</v>
      </c>
      <c r="H451" s="294">
        <f>IF(F451 = "NO CAPITAL", 1, VLOOKUP(D451,'Tariff Schedule Lookup Table'!I$7:L$298,4,FALSE))</f>
        <v>1</v>
      </c>
      <c r="I451" s="296">
        <f>VLOOKUP(G451,'Input data'!$A$68:$B$72,2,FALSE)</f>
        <v>0</v>
      </c>
      <c r="J451" s="296">
        <f>VLOOKUP($B451,'Maintenance Costs'!$A:$AB,22,FALSE)</f>
        <v>22.43431628573774</v>
      </c>
      <c r="K451" s="296">
        <f>VLOOKUP($B451,'Maintenance Costs'!$A:$AB,28,FALSE)</f>
        <v>25.862282041395371</v>
      </c>
      <c r="L451" s="297">
        <f t="shared" si="35"/>
        <v>48.296598327133111</v>
      </c>
      <c r="M451">
        <v>66.284763488342605</v>
      </c>
      <c r="N451" s="30">
        <f t="shared" si="36"/>
        <v>-17.988165161209494</v>
      </c>
    </row>
    <row r="452" spans="1:14" ht="22.5" x14ac:dyDescent="0.2">
      <c r="A452" s="299" t="s">
        <v>1323</v>
      </c>
      <c r="B452" s="298" t="str">
        <f t="shared" si="32"/>
        <v>MHR0030-ST</v>
      </c>
      <c r="C452" s="294" t="str">
        <f>VLOOKUP(LEFT(A452,7),'Tariff Schedule Lookup Table'!$A$8:$G$198,2,FALSE)</f>
        <v>Metal Hallide (Reactor Control Gear) 150</v>
      </c>
      <c r="D452" s="295">
        <f t="shared" si="33"/>
        <v>310</v>
      </c>
      <c r="E452" s="294">
        <f t="shared" si="34"/>
        <v>2</v>
      </c>
      <c r="F452" s="294" t="str">
        <f>VLOOKUP(D452,'Tariff Schedule Lookup Table'!I$7:L$298,2,FALSE)</f>
        <v>HIGH PRESSURE SODIUM 150W</v>
      </c>
      <c r="G452" s="294" t="str">
        <f>IF(F452 = "BULKHEADS ETC", "SHARED OR NO POLE", VLOOKUP(D452,'Tariff Schedule Lookup Table'!I$7:L$298,3,FALSE))</f>
        <v>STEEL POLE</v>
      </c>
      <c r="H452" s="294">
        <f>IF(F452 = "NO CAPITAL", 1, VLOOKUP(D452,'Tariff Schedule Lookup Table'!I$7:L$298,4,FALSE))</f>
        <v>1</v>
      </c>
      <c r="I452" s="296">
        <f>VLOOKUP(G452,'Input data'!$A$68:$B$72,2,FALSE)</f>
        <v>9.8748837500000004</v>
      </c>
      <c r="J452" s="296">
        <f>VLOOKUP($B452,'Maintenance Costs'!$A:$AB,22,FALSE)</f>
        <v>22.43431628573774</v>
      </c>
      <c r="K452" s="296">
        <f>VLOOKUP($B452,'Maintenance Costs'!$A:$AB,28,FALSE)</f>
        <v>25.862282041395371</v>
      </c>
      <c r="L452" s="297">
        <f t="shared" si="35"/>
        <v>58.171482077133113</v>
      </c>
      <c r="M452">
        <v>76.1596472383426</v>
      </c>
      <c r="N452" s="30">
        <f t="shared" si="36"/>
        <v>-17.988165161209487</v>
      </c>
    </row>
    <row r="453" spans="1:14" ht="22.5" x14ac:dyDescent="0.2">
      <c r="A453" s="299" t="s">
        <v>1324</v>
      </c>
      <c r="B453" s="298" t="str">
        <f t="shared" si="32"/>
        <v>MHR0030-ST</v>
      </c>
      <c r="C453" s="294" t="str">
        <f>VLOOKUP(LEFT(A453,7),'Tariff Schedule Lookup Table'!$A$8:$G$198,2,FALSE)</f>
        <v>Metal Hallide (Reactor Control Gear) 150</v>
      </c>
      <c r="D453" s="295">
        <f t="shared" si="33"/>
        <v>690</v>
      </c>
      <c r="E453" s="294">
        <f t="shared" si="34"/>
        <v>2</v>
      </c>
      <c r="F453" s="294" t="str">
        <f>VLOOKUP(D453,'Tariff Schedule Lookup Table'!I$7:L$298,2,FALSE)</f>
        <v>HIGH PRESSURE SODIUM 150W</v>
      </c>
      <c r="G453" s="294" t="str">
        <f>IF(F453 = "BULKHEADS ETC", "SHARED OR NO POLE", VLOOKUP(D453,'Tariff Schedule Lookup Table'!I$7:L$298,3,FALSE))</f>
        <v>STEEL POLE</v>
      </c>
      <c r="H453" s="294">
        <f>IF(F453 = "NO CAPITAL", 1, VLOOKUP(D453,'Tariff Schedule Lookup Table'!I$7:L$298,4,FALSE))</f>
        <v>2</v>
      </c>
      <c r="I453" s="296">
        <f>VLOOKUP(G453,'Input data'!$A$68:$B$72,2,FALSE)</f>
        <v>9.8748837500000004</v>
      </c>
      <c r="J453" s="296">
        <f>VLOOKUP($B453,'Maintenance Costs'!$A:$AB,22,FALSE)</f>
        <v>22.43431628573774</v>
      </c>
      <c r="K453" s="296">
        <f>VLOOKUP($B453,'Maintenance Costs'!$A:$AB,28,FALSE)</f>
        <v>25.862282041395371</v>
      </c>
      <c r="L453" s="297">
        <f t="shared" si="35"/>
        <v>53.234040202133109</v>
      </c>
      <c r="M453">
        <v>71.22220536334261</v>
      </c>
      <c r="N453" s="30">
        <f t="shared" si="36"/>
        <v>-17.988165161209501</v>
      </c>
    </row>
    <row r="454" spans="1:14" ht="22.5" x14ac:dyDescent="0.2">
      <c r="A454" s="299" t="s">
        <v>1325</v>
      </c>
      <c r="B454" s="298" t="str">
        <f t="shared" si="32"/>
        <v>MHR0030-ST</v>
      </c>
      <c r="C454" s="294" t="str">
        <f>VLOOKUP(LEFT(A454,7),'Tariff Schedule Lookup Table'!$A$8:$G$198,2,FALSE)</f>
        <v>Metal Hallide (Reactor Control Gear) 150</v>
      </c>
      <c r="D454" s="295">
        <f t="shared" si="33"/>
        <v>710</v>
      </c>
      <c r="E454" s="294">
        <f t="shared" si="34"/>
        <v>2</v>
      </c>
      <c r="F454" s="294" t="str">
        <f>VLOOKUP(D454,'Tariff Schedule Lookup Table'!I$7:L$298,2,FALSE)</f>
        <v>HIGH PRESSURE SODIUM 150W</v>
      </c>
      <c r="G454" s="294" t="str">
        <f>IF(F454 = "BULKHEADS ETC", "SHARED OR NO POLE", VLOOKUP(D454,'Tariff Schedule Lookup Table'!I$7:L$298,3,FALSE))</f>
        <v>STEEL POLE</v>
      </c>
      <c r="H454" s="294">
        <f>IF(F454 = "NO CAPITAL", 1, VLOOKUP(D454,'Tariff Schedule Lookup Table'!I$7:L$298,4,FALSE))</f>
        <v>3</v>
      </c>
      <c r="I454" s="296">
        <f>VLOOKUP(G454,'Input data'!$A$68:$B$72,2,FALSE)</f>
        <v>9.8748837500000004</v>
      </c>
      <c r="J454" s="296">
        <f>VLOOKUP($B454,'Maintenance Costs'!$A:$AB,22,FALSE)</f>
        <v>22.43431628573774</v>
      </c>
      <c r="K454" s="296">
        <f>VLOOKUP($B454,'Maintenance Costs'!$A:$AB,28,FALSE)</f>
        <v>25.862282041395371</v>
      </c>
      <c r="L454" s="297">
        <f t="shared" si="35"/>
        <v>51.588226243799781</v>
      </c>
      <c r="M454">
        <v>69.576391405009275</v>
      </c>
      <c r="N454" s="30">
        <f t="shared" si="36"/>
        <v>-17.988165161209494</v>
      </c>
    </row>
    <row r="455" spans="1:14" ht="22.5" x14ac:dyDescent="0.2">
      <c r="A455" s="299" t="s">
        <v>1326</v>
      </c>
      <c r="B455" s="298" t="str">
        <f t="shared" si="32"/>
        <v>MHR0060-ST</v>
      </c>
      <c r="C455" s="294" t="str">
        <f>VLOOKUP(LEFT(A455,7),'Tariff Schedule Lookup Table'!$A$8:$G$198,2,FALSE)</f>
        <v>Metal Hallide (Reactor Control Gear) 250</v>
      </c>
      <c r="D455" s="295">
        <f t="shared" si="33"/>
        <v>60</v>
      </c>
      <c r="E455" s="294">
        <f t="shared" si="34"/>
        <v>1</v>
      </c>
      <c r="F455" s="294" t="str">
        <f>VLOOKUP(D455,'Tariff Schedule Lookup Table'!I$7:L$298,2,FALSE)</f>
        <v>HIGH PRESSURE SODIUM 250W (210/220)</v>
      </c>
      <c r="G455" s="294" t="str">
        <f>IF(F455 = "BULKHEADS ETC", "SHARED OR NO POLE", VLOOKUP(D455,'Tariff Schedule Lookup Table'!I$7:L$298,3,FALSE))</f>
        <v>SHARED OR NO POLE</v>
      </c>
      <c r="H455" s="294">
        <f>IF(F455 = "NO CAPITAL", 1, VLOOKUP(D455,'Tariff Schedule Lookup Table'!I$7:L$298,4,FALSE))</f>
        <v>1</v>
      </c>
      <c r="I455" s="296">
        <f>VLOOKUP(G455,'Input data'!$A$68:$B$72,2,FALSE)</f>
        <v>0</v>
      </c>
      <c r="J455" s="296">
        <f>VLOOKUP($B455,'Maintenance Costs'!$A:$AB,22,FALSE)</f>
        <v>22.332001109197293</v>
      </c>
      <c r="K455" s="296">
        <f>VLOOKUP($B455,'Maintenance Costs'!$A:$AB,28,FALSE)</f>
        <v>25.862282041395371</v>
      </c>
      <c r="L455" s="297">
        <f t="shared" si="35"/>
        <v>48.194283150592668</v>
      </c>
      <c r="M455">
        <v>66.085784264198537</v>
      </c>
      <c r="N455" s="30">
        <f t="shared" si="36"/>
        <v>-17.891501113605869</v>
      </c>
    </row>
    <row r="456" spans="1:14" ht="22.5" x14ac:dyDescent="0.2">
      <c r="A456" s="299" t="s">
        <v>1327</v>
      </c>
      <c r="B456" s="298" t="str">
        <f t="shared" si="32"/>
        <v>MHR0060-ST</v>
      </c>
      <c r="C456" s="294" t="str">
        <f>VLOOKUP(LEFT(A456,7),'Tariff Schedule Lookup Table'!$A$8:$G$198,2,FALSE)</f>
        <v>Metal Hallide (Reactor Control Gear) 250</v>
      </c>
      <c r="D456" s="295">
        <f t="shared" si="33"/>
        <v>60</v>
      </c>
      <c r="E456" s="294">
        <f t="shared" si="34"/>
        <v>2</v>
      </c>
      <c r="F456" s="294" t="str">
        <f>VLOOKUP(D456,'Tariff Schedule Lookup Table'!I$7:L$298,2,FALSE)</f>
        <v>HIGH PRESSURE SODIUM 250W (210/220)</v>
      </c>
      <c r="G456" s="294" t="str">
        <f>IF(F456 = "BULKHEADS ETC", "SHARED OR NO POLE", VLOOKUP(D456,'Tariff Schedule Lookup Table'!I$7:L$298,3,FALSE))</f>
        <v>SHARED OR NO POLE</v>
      </c>
      <c r="H456" s="294">
        <f>IF(F456 = "NO CAPITAL", 1, VLOOKUP(D456,'Tariff Schedule Lookup Table'!I$7:L$298,4,FALSE))</f>
        <v>1</v>
      </c>
      <c r="I456" s="296">
        <f>VLOOKUP(G456,'Input data'!$A$68:$B$72,2,FALSE)</f>
        <v>0</v>
      </c>
      <c r="J456" s="296">
        <f>VLOOKUP($B456,'Maintenance Costs'!$A:$AB,22,FALSE)</f>
        <v>22.332001109197293</v>
      </c>
      <c r="K456" s="296">
        <f>VLOOKUP($B456,'Maintenance Costs'!$A:$AB,28,FALSE)</f>
        <v>25.862282041395371</v>
      </c>
      <c r="L456" s="297">
        <f t="shared" si="35"/>
        <v>48.194283150592668</v>
      </c>
      <c r="M456">
        <v>66.085784264198537</v>
      </c>
      <c r="N456" s="30">
        <f t="shared" si="36"/>
        <v>-17.891501113605869</v>
      </c>
    </row>
    <row r="457" spans="1:14" ht="22.5" x14ac:dyDescent="0.2">
      <c r="A457" s="299" t="s">
        <v>1328</v>
      </c>
      <c r="B457" s="298" t="str">
        <f t="shared" si="32"/>
        <v>MHR0060-ST</v>
      </c>
      <c r="C457" s="294" t="str">
        <f>VLOOKUP(LEFT(A457,7),'Tariff Schedule Lookup Table'!$A$8:$G$198,2,FALSE)</f>
        <v>Metal Hallide (Reactor Control Gear) 250</v>
      </c>
      <c r="D457" s="295">
        <f t="shared" si="33"/>
        <v>60</v>
      </c>
      <c r="E457" s="294">
        <f t="shared" si="34"/>
        <v>3</v>
      </c>
      <c r="F457" s="294" t="str">
        <f>VLOOKUP(D457,'Tariff Schedule Lookup Table'!I$7:L$298,2,FALSE)</f>
        <v>HIGH PRESSURE SODIUM 250W (210/220)</v>
      </c>
      <c r="G457" s="294" t="str">
        <f>IF(F457 = "BULKHEADS ETC", "SHARED OR NO POLE", VLOOKUP(D457,'Tariff Schedule Lookup Table'!I$7:L$298,3,FALSE))</f>
        <v>SHARED OR NO POLE</v>
      </c>
      <c r="H457" s="294">
        <f>IF(F457 = "NO CAPITAL", 1, VLOOKUP(D457,'Tariff Schedule Lookup Table'!I$7:L$298,4,FALSE))</f>
        <v>1</v>
      </c>
      <c r="I457" s="296">
        <f>VLOOKUP(G457,'Input data'!$A$68:$B$72,2,FALSE)</f>
        <v>0</v>
      </c>
      <c r="J457" s="296">
        <f>VLOOKUP($B457,'Maintenance Costs'!$A:$AB,22,FALSE)</f>
        <v>22.332001109197293</v>
      </c>
      <c r="K457" s="296">
        <f>VLOOKUP($B457,'Maintenance Costs'!$A:$AB,28,FALSE)</f>
        <v>25.862282041395371</v>
      </c>
      <c r="L457" s="297">
        <f t="shared" si="35"/>
        <v>48.194283150592668</v>
      </c>
      <c r="M457">
        <v>66.085784264198537</v>
      </c>
      <c r="N457" s="30">
        <f t="shared" si="36"/>
        <v>-17.891501113605869</v>
      </c>
    </row>
    <row r="458" spans="1:14" ht="22.5" x14ac:dyDescent="0.2">
      <c r="A458" s="299" t="s">
        <v>601</v>
      </c>
      <c r="B458" s="298" t="str">
        <f t="shared" ref="B458:B521" si="37">LEFT(A458,10)</f>
        <v>MHR0060-ST</v>
      </c>
      <c r="C458" s="294" t="str">
        <f>VLOOKUP(LEFT(A458,7),'Tariff Schedule Lookup Table'!$A$8:$G$198,2,FALSE)</f>
        <v>Metal Hallide (Reactor Control Gear) 250</v>
      </c>
      <c r="D458" s="295">
        <f t="shared" ref="D458:D521" si="38">1*MID(A458,12,4)</f>
        <v>60</v>
      </c>
      <c r="E458" s="294">
        <f t="shared" ref="E458:E521" si="39">1*(MID(A458,17,3))</f>
        <v>4</v>
      </c>
      <c r="F458" s="294" t="str">
        <f>VLOOKUP(D458,'Tariff Schedule Lookup Table'!I$7:L$298,2,FALSE)</f>
        <v>HIGH PRESSURE SODIUM 250W (210/220)</v>
      </c>
      <c r="G458" s="294" t="str">
        <f>IF(F458 = "BULKHEADS ETC", "SHARED OR NO POLE", VLOOKUP(D458,'Tariff Schedule Lookup Table'!I$7:L$298,3,FALSE))</f>
        <v>SHARED OR NO POLE</v>
      </c>
      <c r="H458" s="294">
        <f>IF(F458 = "NO CAPITAL", 1, VLOOKUP(D458,'Tariff Schedule Lookup Table'!I$7:L$298,4,FALSE))</f>
        <v>1</v>
      </c>
      <c r="I458" s="296">
        <f>VLOOKUP(G458,'Input data'!$A$68:$B$72,2,FALSE)</f>
        <v>0</v>
      </c>
      <c r="J458" s="296">
        <f>VLOOKUP($B458,'Maintenance Costs'!$A:$AB,22,FALSE)</f>
        <v>22.332001109197293</v>
      </c>
      <c r="K458" s="296">
        <f>VLOOKUP($B458,'Maintenance Costs'!$A:$AB,28,FALSE)</f>
        <v>25.862282041395371</v>
      </c>
      <c r="L458" s="297">
        <f t="shared" ref="L458:L521" si="40">K458+J458+I458/H458</f>
        <v>48.194283150592668</v>
      </c>
      <c r="M458">
        <v>66.085784264198537</v>
      </c>
      <c r="N458" s="30">
        <f t="shared" si="36"/>
        <v>-17.891501113605869</v>
      </c>
    </row>
    <row r="459" spans="1:14" ht="22.5" x14ac:dyDescent="0.2">
      <c r="A459" s="299" t="s">
        <v>1329</v>
      </c>
      <c r="B459" s="298" t="str">
        <f t="shared" si="37"/>
        <v>MHR0060-ST</v>
      </c>
      <c r="C459" s="294" t="str">
        <f>VLOOKUP(LEFT(A459,7),'Tariff Schedule Lookup Table'!$A$8:$G$198,2,FALSE)</f>
        <v>Metal Hallide (Reactor Control Gear) 250</v>
      </c>
      <c r="D459" s="295">
        <f t="shared" si="38"/>
        <v>320</v>
      </c>
      <c r="E459" s="294">
        <f t="shared" si="39"/>
        <v>1</v>
      </c>
      <c r="F459" s="294" t="str">
        <f>VLOOKUP(D459,'Tariff Schedule Lookup Table'!I$7:L$298,2,FALSE)</f>
        <v>HIGH PRESSURE SODIUM 250W (210/220)</v>
      </c>
      <c r="G459" s="294" t="str">
        <f>IF(F459 = "BULKHEADS ETC", "SHARED OR NO POLE", VLOOKUP(D459,'Tariff Schedule Lookup Table'!I$7:L$298,3,FALSE))</f>
        <v>STEEL POLE</v>
      </c>
      <c r="H459" s="294">
        <f>IF(F459 = "NO CAPITAL", 1, VLOOKUP(D459,'Tariff Schedule Lookup Table'!I$7:L$298,4,FALSE))</f>
        <v>1</v>
      </c>
      <c r="I459" s="296">
        <f>VLOOKUP(G459,'Input data'!$A$68:$B$72,2,FALSE)</f>
        <v>9.8748837500000004</v>
      </c>
      <c r="J459" s="296">
        <f>VLOOKUP($B459,'Maintenance Costs'!$A:$AB,22,FALSE)</f>
        <v>22.332001109197293</v>
      </c>
      <c r="K459" s="296">
        <f>VLOOKUP($B459,'Maintenance Costs'!$A:$AB,28,FALSE)</f>
        <v>25.862282041395371</v>
      </c>
      <c r="L459" s="297">
        <f t="shared" si="40"/>
        <v>58.06916690059267</v>
      </c>
      <c r="M459">
        <v>75.960668014198532</v>
      </c>
      <c r="N459" s="30">
        <f t="shared" ref="N459:N522" si="41">L459-M459</f>
        <v>-17.891501113605862</v>
      </c>
    </row>
    <row r="460" spans="1:14" ht="22.5" x14ac:dyDescent="0.2">
      <c r="A460" s="299" t="s">
        <v>1330</v>
      </c>
      <c r="B460" s="298" t="str">
        <f t="shared" si="37"/>
        <v>MHR0060-ST</v>
      </c>
      <c r="C460" s="294" t="str">
        <f>VLOOKUP(LEFT(A460,7),'Tariff Schedule Lookup Table'!$A$8:$G$198,2,FALSE)</f>
        <v>Metal Hallide (Reactor Control Gear) 250</v>
      </c>
      <c r="D460" s="295">
        <f t="shared" si="38"/>
        <v>320</v>
      </c>
      <c r="E460" s="294">
        <f t="shared" si="39"/>
        <v>2</v>
      </c>
      <c r="F460" s="294" t="str">
        <f>VLOOKUP(D460,'Tariff Schedule Lookup Table'!I$7:L$298,2,FALSE)</f>
        <v>HIGH PRESSURE SODIUM 250W (210/220)</v>
      </c>
      <c r="G460" s="294" t="str">
        <f>IF(F460 = "BULKHEADS ETC", "SHARED OR NO POLE", VLOOKUP(D460,'Tariff Schedule Lookup Table'!I$7:L$298,3,FALSE))</f>
        <v>STEEL POLE</v>
      </c>
      <c r="H460" s="294">
        <f>IF(F460 = "NO CAPITAL", 1, VLOOKUP(D460,'Tariff Schedule Lookup Table'!I$7:L$298,4,FALSE))</f>
        <v>1</v>
      </c>
      <c r="I460" s="296">
        <f>VLOOKUP(G460,'Input data'!$A$68:$B$72,2,FALSE)</f>
        <v>9.8748837500000004</v>
      </c>
      <c r="J460" s="296">
        <f>VLOOKUP($B460,'Maintenance Costs'!$A:$AB,22,FALSE)</f>
        <v>22.332001109197293</v>
      </c>
      <c r="K460" s="296">
        <f>VLOOKUP($B460,'Maintenance Costs'!$A:$AB,28,FALSE)</f>
        <v>25.862282041395371</v>
      </c>
      <c r="L460" s="297">
        <f t="shared" si="40"/>
        <v>58.06916690059267</v>
      </c>
      <c r="M460">
        <v>75.960668014198532</v>
      </c>
      <c r="N460" s="30">
        <f t="shared" si="41"/>
        <v>-17.891501113605862</v>
      </c>
    </row>
    <row r="461" spans="1:14" ht="22.5" x14ac:dyDescent="0.2">
      <c r="A461" s="299" t="s">
        <v>1331</v>
      </c>
      <c r="B461" s="298" t="str">
        <f t="shared" si="37"/>
        <v>MHR0060-ST</v>
      </c>
      <c r="C461" s="294" t="str">
        <f>VLOOKUP(LEFT(A461,7),'Tariff Schedule Lookup Table'!$A$8:$G$198,2,FALSE)</f>
        <v>Metal Hallide (Reactor Control Gear) 250</v>
      </c>
      <c r="D461" s="295">
        <f t="shared" si="38"/>
        <v>320</v>
      </c>
      <c r="E461" s="294">
        <f t="shared" si="39"/>
        <v>3</v>
      </c>
      <c r="F461" s="294" t="str">
        <f>VLOOKUP(D461,'Tariff Schedule Lookup Table'!I$7:L$298,2,FALSE)</f>
        <v>HIGH PRESSURE SODIUM 250W (210/220)</v>
      </c>
      <c r="G461" s="294" t="str">
        <f>IF(F461 = "BULKHEADS ETC", "SHARED OR NO POLE", VLOOKUP(D461,'Tariff Schedule Lookup Table'!I$7:L$298,3,FALSE))</f>
        <v>STEEL POLE</v>
      </c>
      <c r="H461" s="294">
        <f>IF(F461 = "NO CAPITAL", 1, VLOOKUP(D461,'Tariff Schedule Lookup Table'!I$7:L$298,4,FALSE))</f>
        <v>1</v>
      </c>
      <c r="I461" s="296">
        <f>VLOOKUP(G461,'Input data'!$A$68:$B$72,2,FALSE)</f>
        <v>9.8748837500000004</v>
      </c>
      <c r="J461" s="296">
        <f>VLOOKUP($B461,'Maintenance Costs'!$A:$AB,22,FALSE)</f>
        <v>22.332001109197293</v>
      </c>
      <c r="K461" s="296">
        <f>VLOOKUP($B461,'Maintenance Costs'!$A:$AB,28,FALSE)</f>
        <v>25.862282041395371</v>
      </c>
      <c r="L461" s="297">
        <f t="shared" si="40"/>
        <v>58.06916690059267</v>
      </c>
      <c r="M461">
        <v>75.960668014198532</v>
      </c>
      <c r="N461" s="30">
        <f t="shared" si="41"/>
        <v>-17.891501113605862</v>
      </c>
    </row>
    <row r="462" spans="1:14" ht="22.5" x14ac:dyDescent="0.2">
      <c r="A462" s="299" t="s">
        <v>602</v>
      </c>
      <c r="B462" s="298" t="str">
        <f t="shared" si="37"/>
        <v>MHR0060-ST</v>
      </c>
      <c r="C462" s="294" t="str">
        <f>VLOOKUP(LEFT(A462,7),'Tariff Schedule Lookup Table'!$A$8:$G$198,2,FALSE)</f>
        <v>Metal Hallide (Reactor Control Gear) 250</v>
      </c>
      <c r="D462" s="295">
        <f t="shared" si="38"/>
        <v>320</v>
      </c>
      <c r="E462" s="294">
        <f t="shared" si="39"/>
        <v>4</v>
      </c>
      <c r="F462" s="294" t="str">
        <f>VLOOKUP(D462,'Tariff Schedule Lookup Table'!I$7:L$298,2,FALSE)</f>
        <v>HIGH PRESSURE SODIUM 250W (210/220)</v>
      </c>
      <c r="G462" s="294" t="str">
        <f>IF(F462 = "BULKHEADS ETC", "SHARED OR NO POLE", VLOOKUP(D462,'Tariff Schedule Lookup Table'!I$7:L$298,3,FALSE))</f>
        <v>STEEL POLE</v>
      </c>
      <c r="H462" s="294">
        <f>IF(F462 = "NO CAPITAL", 1, VLOOKUP(D462,'Tariff Schedule Lookup Table'!I$7:L$298,4,FALSE))</f>
        <v>1</v>
      </c>
      <c r="I462" s="296">
        <f>VLOOKUP(G462,'Input data'!$A$68:$B$72,2,FALSE)</f>
        <v>9.8748837500000004</v>
      </c>
      <c r="J462" s="296">
        <f>VLOOKUP($B462,'Maintenance Costs'!$A:$AB,22,FALSE)</f>
        <v>22.332001109197293</v>
      </c>
      <c r="K462" s="296">
        <f>VLOOKUP($B462,'Maintenance Costs'!$A:$AB,28,FALSE)</f>
        <v>25.862282041395371</v>
      </c>
      <c r="L462" s="297">
        <f t="shared" si="40"/>
        <v>58.06916690059267</v>
      </c>
      <c r="M462">
        <v>75.960668014198532</v>
      </c>
      <c r="N462" s="30">
        <f t="shared" si="41"/>
        <v>-17.891501113605862</v>
      </c>
    </row>
    <row r="463" spans="1:14" ht="22.5" x14ac:dyDescent="0.2">
      <c r="A463" s="299" t="s">
        <v>1333</v>
      </c>
      <c r="B463" s="298" t="str">
        <f t="shared" si="37"/>
        <v>MHR0060-ST</v>
      </c>
      <c r="C463" s="294" t="str">
        <f>VLOOKUP(LEFT(A463,7),'Tariff Schedule Lookup Table'!$A$8:$G$198,2,FALSE)</f>
        <v>Metal Hallide (Reactor Control Gear) 250</v>
      </c>
      <c r="D463" s="295">
        <f t="shared" si="38"/>
        <v>390</v>
      </c>
      <c r="E463" s="294">
        <f t="shared" si="39"/>
        <v>2</v>
      </c>
      <c r="F463" s="294" t="str">
        <f>VLOOKUP(D463,'Tariff Schedule Lookup Table'!I$7:L$298,2,FALSE)</f>
        <v>HIGH PRESSURE SODIUM 250W (210/220)</v>
      </c>
      <c r="G463" s="294" t="str">
        <f>IF(F463 = "BULKHEADS ETC", "SHARED OR NO POLE", VLOOKUP(D463,'Tariff Schedule Lookup Table'!I$7:L$298,3,FALSE))</f>
        <v>STEEL POLE</v>
      </c>
      <c r="H463" s="294">
        <f>IF(F463 = "NO CAPITAL", 1, VLOOKUP(D463,'Tariff Schedule Lookup Table'!I$7:L$298,4,FALSE))</f>
        <v>2</v>
      </c>
      <c r="I463" s="296">
        <f>VLOOKUP(G463,'Input data'!$A$68:$B$72,2,FALSE)</f>
        <v>9.8748837500000004</v>
      </c>
      <c r="J463" s="296">
        <f>VLOOKUP($B463,'Maintenance Costs'!$A:$AB,22,FALSE)</f>
        <v>22.332001109197293</v>
      </c>
      <c r="K463" s="296">
        <f>VLOOKUP($B463,'Maintenance Costs'!$A:$AB,28,FALSE)</f>
        <v>25.862282041395371</v>
      </c>
      <c r="L463" s="297">
        <f t="shared" si="40"/>
        <v>53.131725025592665</v>
      </c>
      <c r="M463">
        <v>71.023226139198542</v>
      </c>
      <c r="N463" s="30">
        <f t="shared" si="41"/>
        <v>-17.891501113605877</v>
      </c>
    </row>
    <row r="464" spans="1:14" ht="22.5" x14ac:dyDescent="0.2">
      <c r="A464" s="299" t="s">
        <v>603</v>
      </c>
      <c r="B464" s="298" t="str">
        <f t="shared" si="37"/>
        <v>MHR0060-ST</v>
      </c>
      <c r="C464" s="294" t="str">
        <f>VLOOKUP(LEFT(A464,7),'Tariff Schedule Lookup Table'!$A$8:$G$198,2,FALSE)</f>
        <v>Metal Hallide (Reactor Control Gear) 250</v>
      </c>
      <c r="D464" s="295">
        <f t="shared" si="38"/>
        <v>390</v>
      </c>
      <c r="E464" s="294">
        <f t="shared" si="39"/>
        <v>4</v>
      </c>
      <c r="F464" s="294" t="str">
        <f>VLOOKUP(D464,'Tariff Schedule Lookup Table'!I$7:L$298,2,FALSE)</f>
        <v>HIGH PRESSURE SODIUM 250W (210/220)</v>
      </c>
      <c r="G464" s="294" t="str">
        <f>IF(F464 = "BULKHEADS ETC", "SHARED OR NO POLE", VLOOKUP(D464,'Tariff Schedule Lookup Table'!I$7:L$298,3,FALSE))</f>
        <v>STEEL POLE</v>
      </c>
      <c r="H464" s="294">
        <f>IF(F464 = "NO CAPITAL", 1, VLOOKUP(D464,'Tariff Schedule Lookup Table'!I$7:L$298,4,FALSE))</f>
        <v>2</v>
      </c>
      <c r="I464" s="296">
        <f>VLOOKUP(G464,'Input data'!$A$68:$B$72,2,FALSE)</f>
        <v>9.8748837500000004</v>
      </c>
      <c r="J464" s="296">
        <f>VLOOKUP($B464,'Maintenance Costs'!$A:$AB,22,FALSE)</f>
        <v>22.332001109197293</v>
      </c>
      <c r="K464" s="296">
        <f>VLOOKUP($B464,'Maintenance Costs'!$A:$AB,28,FALSE)</f>
        <v>25.862282041395371</v>
      </c>
      <c r="L464" s="297">
        <f t="shared" si="40"/>
        <v>53.131725025592665</v>
      </c>
      <c r="M464">
        <v>71.023226139198542</v>
      </c>
      <c r="N464" s="30">
        <f t="shared" si="41"/>
        <v>-17.891501113605877</v>
      </c>
    </row>
    <row r="465" spans="1:14" ht="22.5" x14ac:dyDescent="0.2">
      <c r="A465" s="299" t="s">
        <v>1334</v>
      </c>
      <c r="B465" s="298" t="str">
        <f t="shared" si="37"/>
        <v>MHR0060-ST</v>
      </c>
      <c r="C465" s="294" t="str">
        <f>VLOOKUP(LEFT(A465,7),'Tariff Schedule Lookup Table'!$A$8:$G$198,2,FALSE)</f>
        <v>Metal Hallide (Reactor Control Gear) 250</v>
      </c>
      <c r="D465" s="295">
        <f t="shared" si="38"/>
        <v>590</v>
      </c>
      <c r="E465" s="294">
        <f t="shared" si="39"/>
        <v>2</v>
      </c>
      <c r="F465" s="294" t="str">
        <f>VLOOKUP(D465,'Tariff Schedule Lookup Table'!I$7:L$298,2,FALSE)</f>
        <v>HIGH PRESSURE SODIUM 250W (210/220)</v>
      </c>
      <c r="G465" s="294" t="str">
        <f>IF(F465 = "BULKHEADS ETC", "SHARED OR NO POLE", VLOOKUP(D465,'Tariff Schedule Lookup Table'!I$7:L$298,3,FALSE))</f>
        <v>R/BOUT COLUMN</v>
      </c>
      <c r="H465" s="294">
        <f>IF(F465 = "NO CAPITAL", 1, VLOOKUP(D465,'Tariff Schedule Lookup Table'!I$7:L$298,4,FALSE))</f>
        <v>4</v>
      </c>
      <c r="I465" s="296">
        <f>VLOOKUP(G465,'Input data'!$A$68:$B$72,2,FALSE)</f>
        <v>9.8748837500000004</v>
      </c>
      <c r="J465" s="296">
        <f>VLOOKUP($B465,'Maintenance Costs'!$A:$AB,22,FALSE)</f>
        <v>22.332001109197293</v>
      </c>
      <c r="K465" s="296">
        <f>VLOOKUP($B465,'Maintenance Costs'!$A:$AB,28,FALSE)</f>
        <v>25.862282041395371</v>
      </c>
      <c r="L465" s="297">
        <f t="shared" si="40"/>
        <v>50.66300408809267</v>
      </c>
      <c r="M465">
        <v>68.554505201698532</v>
      </c>
      <c r="N465" s="30">
        <f t="shared" si="41"/>
        <v>-17.891501113605862</v>
      </c>
    </row>
    <row r="466" spans="1:14" ht="22.5" x14ac:dyDescent="0.2">
      <c r="A466" s="299" t="s">
        <v>1335</v>
      </c>
      <c r="B466" s="298" t="str">
        <f t="shared" si="37"/>
        <v>MHR0060-ST</v>
      </c>
      <c r="C466" s="294" t="str">
        <f>VLOOKUP(LEFT(A466,7),'Tariff Schedule Lookup Table'!$A$8:$G$198,2,FALSE)</f>
        <v>Metal Hallide (Reactor Control Gear) 250</v>
      </c>
      <c r="D466" s="295">
        <f t="shared" si="38"/>
        <v>610</v>
      </c>
      <c r="E466" s="294">
        <f t="shared" si="39"/>
        <v>1</v>
      </c>
      <c r="F466" s="294" t="str">
        <f>VLOOKUP(D466,'Tariff Schedule Lookup Table'!I$7:L$298,2,FALSE)</f>
        <v>METAL HALIDE/HPS 250W FLOOD (210/220)</v>
      </c>
      <c r="G466" s="294" t="str">
        <f>IF(F466 = "BULKHEADS ETC", "SHARED OR NO POLE", VLOOKUP(D466,'Tariff Schedule Lookup Table'!I$7:L$298,3,FALSE))</f>
        <v>SHARED OR NO POLE</v>
      </c>
      <c r="H466" s="294">
        <f>IF(F466 = "NO CAPITAL", 1, VLOOKUP(D466,'Tariff Schedule Lookup Table'!I$7:L$298,4,FALSE))</f>
        <v>1</v>
      </c>
      <c r="I466" s="296">
        <f>VLOOKUP(G466,'Input data'!$A$68:$B$72,2,FALSE)</f>
        <v>0</v>
      </c>
      <c r="J466" s="296">
        <f>VLOOKUP($B466,'Maintenance Costs'!$A:$AB,22,FALSE)</f>
        <v>22.332001109197293</v>
      </c>
      <c r="K466" s="296">
        <f>VLOOKUP($B466,'Maintenance Costs'!$A:$AB,28,FALSE)</f>
        <v>25.862282041395371</v>
      </c>
      <c r="L466" s="297">
        <f t="shared" si="40"/>
        <v>48.194283150592668</v>
      </c>
      <c r="M466">
        <v>66.085784264198537</v>
      </c>
      <c r="N466" s="30">
        <f t="shared" si="41"/>
        <v>-17.891501113605869</v>
      </c>
    </row>
    <row r="467" spans="1:14" ht="22.5" x14ac:dyDescent="0.2">
      <c r="A467" s="299" t="s">
        <v>1336</v>
      </c>
      <c r="B467" s="298" t="str">
        <f t="shared" si="37"/>
        <v>MHR0060-ST</v>
      </c>
      <c r="C467" s="294" t="str">
        <f>VLOOKUP(LEFT(A467,7),'Tariff Schedule Lookup Table'!$A$8:$G$198,2,FALSE)</f>
        <v>Metal Hallide (Reactor Control Gear) 250</v>
      </c>
      <c r="D467" s="295">
        <f t="shared" si="38"/>
        <v>610</v>
      </c>
      <c r="E467" s="294">
        <f t="shared" si="39"/>
        <v>2</v>
      </c>
      <c r="F467" s="294" t="str">
        <f>VLOOKUP(D467,'Tariff Schedule Lookup Table'!I$7:L$298,2,FALSE)</f>
        <v>METAL HALIDE/HPS 250W FLOOD (210/220)</v>
      </c>
      <c r="G467" s="294" t="str">
        <f>IF(F467 = "BULKHEADS ETC", "SHARED OR NO POLE", VLOOKUP(D467,'Tariff Schedule Lookup Table'!I$7:L$298,3,FALSE))</f>
        <v>SHARED OR NO POLE</v>
      </c>
      <c r="H467" s="294">
        <f>IF(F467 = "NO CAPITAL", 1, VLOOKUP(D467,'Tariff Schedule Lookup Table'!I$7:L$298,4,FALSE))</f>
        <v>1</v>
      </c>
      <c r="I467" s="296">
        <f>VLOOKUP(G467,'Input data'!$A$68:$B$72,2,FALSE)</f>
        <v>0</v>
      </c>
      <c r="J467" s="296">
        <f>VLOOKUP($B467,'Maintenance Costs'!$A:$AB,22,FALSE)</f>
        <v>22.332001109197293</v>
      </c>
      <c r="K467" s="296">
        <f>VLOOKUP($B467,'Maintenance Costs'!$A:$AB,28,FALSE)</f>
        <v>25.862282041395371</v>
      </c>
      <c r="L467" s="297">
        <f t="shared" si="40"/>
        <v>48.194283150592668</v>
      </c>
      <c r="M467">
        <v>66.085784264198537</v>
      </c>
      <c r="N467" s="30">
        <f t="shared" si="41"/>
        <v>-17.891501113605869</v>
      </c>
    </row>
    <row r="468" spans="1:14" ht="22.5" x14ac:dyDescent="0.2">
      <c r="A468" s="299" t="s">
        <v>1337</v>
      </c>
      <c r="B468" s="298" t="str">
        <f t="shared" si="37"/>
        <v>MHR0060-ST</v>
      </c>
      <c r="C468" s="294" t="str">
        <f>VLOOKUP(LEFT(A468,7),'Tariff Schedule Lookup Table'!$A$8:$G$198,2,FALSE)</f>
        <v>Metal Hallide (Reactor Control Gear) 250</v>
      </c>
      <c r="D468" s="295">
        <f t="shared" si="38"/>
        <v>610</v>
      </c>
      <c r="E468" s="294">
        <f t="shared" si="39"/>
        <v>3</v>
      </c>
      <c r="F468" s="294" t="str">
        <f>VLOOKUP(D468,'Tariff Schedule Lookup Table'!I$7:L$298,2,FALSE)</f>
        <v>METAL HALIDE/HPS 250W FLOOD (210/220)</v>
      </c>
      <c r="G468" s="294" t="str">
        <f>IF(F468 = "BULKHEADS ETC", "SHARED OR NO POLE", VLOOKUP(D468,'Tariff Schedule Lookup Table'!I$7:L$298,3,FALSE))</f>
        <v>SHARED OR NO POLE</v>
      </c>
      <c r="H468" s="294">
        <f>IF(F468 = "NO CAPITAL", 1, VLOOKUP(D468,'Tariff Schedule Lookup Table'!I$7:L$298,4,FALSE))</f>
        <v>1</v>
      </c>
      <c r="I468" s="296">
        <f>VLOOKUP(G468,'Input data'!$A$68:$B$72,2,FALSE)</f>
        <v>0</v>
      </c>
      <c r="J468" s="296">
        <f>VLOOKUP($B468,'Maintenance Costs'!$A:$AB,22,FALSE)</f>
        <v>22.332001109197293</v>
      </c>
      <c r="K468" s="296">
        <f>VLOOKUP($B468,'Maintenance Costs'!$A:$AB,28,FALSE)</f>
        <v>25.862282041395371</v>
      </c>
      <c r="L468" s="297">
        <f t="shared" si="40"/>
        <v>48.194283150592668</v>
      </c>
      <c r="M468">
        <v>66.085784264198537</v>
      </c>
      <c r="N468" s="30">
        <f t="shared" si="41"/>
        <v>-17.891501113605869</v>
      </c>
    </row>
    <row r="469" spans="1:14" ht="22.5" x14ac:dyDescent="0.2">
      <c r="A469" s="299" t="s">
        <v>604</v>
      </c>
      <c r="B469" s="298" t="str">
        <f t="shared" si="37"/>
        <v>MHR0060-ST</v>
      </c>
      <c r="C469" s="294" t="str">
        <f>VLOOKUP(LEFT(A469,7),'Tariff Schedule Lookup Table'!$A$8:$G$198,2,FALSE)</f>
        <v>Metal Hallide (Reactor Control Gear) 250</v>
      </c>
      <c r="D469" s="295">
        <f t="shared" si="38"/>
        <v>610</v>
      </c>
      <c r="E469" s="294">
        <f t="shared" si="39"/>
        <v>4</v>
      </c>
      <c r="F469" s="294" t="str">
        <f>VLOOKUP(D469,'Tariff Schedule Lookup Table'!I$7:L$298,2,FALSE)</f>
        <v>METAL HALIDE/HPS 250W FLOOD (210/220)</v>
      </c>
      <c r="G469" s="294" t="str">
        <f>IF(F469 = "BULKHEADS ETC", "SHARED OR NO POLE", VLOOKUP(D469,'Tariff Schedule Lookup Table'!I$7:L$298,3,FALSE))</f>
        <v>SHARED OR NO POLE</v>
      </c>
      <c r="H469" s="294">
        <f>IF(F469 = "NO CAPITAL", 1, VLOOKUP(D469,'Tariff Schedule Lookup Table'!I$7:L$298,4,FALSE))</f>
        <v>1</v>
      </c>
      <c r="I469" s="296">
        <f>VLOOKUP(G469,'Input data'!$A$68:$B$72,2,FALSE)</f>
        <v>0</v>
      </c>
      <c r="J469" s="296">
        <f>VLOOKUP($B469,'Maintenance Costs'!$A:$AB,22,FALSE)</f>
        <v>22.332001109197293</v>
      </c>
      <c r="K469" s="296">
        <f>VLOOKUP($B469,'Maintenance Costs'!$A:$AB,28,FALSE)</f>
        <v>25.862282041395371</v>
      </c>
      <c r="L469" s="297">
        <f t="shared" si="40"/>
        <v>48.194283150592668</v>
      </c>
      <c r="M469">
        <v>66.085784264198537</v>
      </c>
      <c r="N469" s="30">
        <f t="shared" si="41"/>
        <v>-17.891501113605869</v>
      </c>
    </row>
    <row r="470" spans="1:14" ht="22.5" x14ac:dyDescent="0.2">
      <c r="A470" s="299" t="s">
        <v>1338</v>
      </c>
      <c r="B470" s="298" t="str">
        <f t="shared" si="37"/>
        <v>MHR0060-ST</v>
      </c>
      <c r="C470" s="294" t="str">
        <f>VLOOKUP(LEFT(A470,7),'Tariff Schedule Lookup Table'!$A$8:$G$198,2,FALSE)</f>
        <v>Metal Hallide (Reactor Control Gear) 250</v>
      </c>
      <c r="D470" s="295">
        <f t="shared" si="38"/>
        <v>650</v>
      </c>
      <c r="E470" s="294">
        <f t="shared" si="39"/>
        <v>2</v>
      </c>
      <c r="F470" s="294" t="str">
        <f>VLOOKUP(D470,'Tariff Schedule Lookup Table'!I$7:L$298,2,FALSE)</f>
        <v>METAL HALIDE/HPS 250W FLOOD (210/220)</v>
      </c>
      <c r="G470" s="294" t="str">
        <f>IF(F470 = "BULKHEADS ETC", "SHARED OR NO POLE", VLOOKUP(D470,'Tariff Schedule Lookup Table'!I$7:L$298,3,FALSE))</f>
        <v>SHARED OR NO POLE</v>
      </c>
      <c r="H470" s="294">
        <f>IF(F470 = "NO CAPITAL", 1, VLOOKUP(D470,'Tariff Schedule Lookup Table'!I$7:L$298,4,FALSE))</f>
        <v>2</v>
      </c>
      <c r="I470" s="296">
        <f>VLOOKUP(G470,'Input data'!$A$68:$B$72,2,FALSE)</f>
        <v>0</v>
      </c>
      <c r="J470" s="296">
        <f>VLOOKUP($B470,'Maintenance Costs'!$A:$AB,22,FALSE)</f>
        <v>22.332001109197293</v>
      </c>
      <c r="K470" s="296">
        <f>VLOOKUP($B470,'Maintenance Costs'!$A:$AB,28,FALSE)</f>
        <v>25.862282041395371</v>
      </c>
      <c r="L470" s="297">
        <f t="shared" si="40"/>
        <v>48.194283150592668</v>
      </c>
      <c r="M470">
        <v>66.085784264198537</v>
      </c>
      <c r="N470" s="30">
        <f t="shared" si="41"/>
        <v>-17.891501113605869</v>
      </c>
    </row>
    <row r="471" spans="1:14" ht="22.5" x14ac:dyDescent="0.2">
      <c r="A471" s="299" t="s">
        <v>1339</v>
      </c>
      <c r="B471" s="298" t="str">
        <f t="shared" si="37"/>
        <v>MHR0060-ST</v>
      </c>
      <c r="C471" s="294" t="str">
        <f>VLOOKUP(LEFT(A471,7),'Tariff Schedule Lookup Table'!$A$8:$G$198,2,FALSE)</f>
        <v>Metal Hallide (Reactor Control Gear) 250</v>
      </c>
      <c r="D471" s="295">
        <f t="shared" si="38"/>
        <v>1070</v>
      </c>
      <c r="E471" s="294">
        <f t="shared" si="39"/>
        <v>1</v>
      </c>
      <c r="F471" s="294" t="str">
        <f>VLOOKUP(D471,'Tariff Schedule Lookup Table'!I$7:L$298,2,FALSE)</f>
        <v>METAL HALIDE/HPS 250W FLOOD (210/220)</v>
      </c>
      <c r="G471" s="294" t="str">
        <f>IF(F471 = "BULKHEADS ETC", "SHARED OR NO POLE", VLOOKUP(D471,'Tariff Schedule Lookup Table'!I$7:L$298,3,FALSE))</f>
        <v>WOOD POLE</v>
      </c>
      <c r="H471" s="294">
        <f>IF(F471 = "NO CAPITAL", 1, VLOOKUP(D471,'Tariff Schedule Lookup Table'!I$7:L$298,4,FALSE))</f>
        <v>1</v>
      </c>
      <c r="I471" s="296">
        <f>VLOOKUP(G471,'Input data'!$A$68:$B$72,2,FALSE)</f>
        <v>10.809914000000001</v>
      </c>
      <c r="J471" s="296">
        <f>VLOOKUP($B471,'Maintenance Costs'!$A:$AB,22,FALSE)</f>
        <v>22.332001109197293</v>
      </c>
      <c r="K471" s="296">
        <f>VLOOKUP($B471,'Maintenance Costs'!$A:$AB,28,FALSE)</f>
        <v>25.862282041395371</v>
      </c>
      <c r="L471" s="297">
        <f t="shared" si="40"/>
        <v>59.004197150592667</v>
      </c>
      <c r="M471">
        <v>76.895698264198543</v>
      </c>
      <c r="N471" s="30">
        <f t="shared" si="41"/>
        <v>-17.891501113605877</v>
      </c>
    </row>
    <row r="472" spans="1:14" ht="22.5" x14ac:dyDescent="0.2">
      <c r="A472" s="299" t="s">
        <v>1340</v>
      </c>
      <c r="B472" s="298" t="str">
        <f t="shared" si="37"/>
        <v>MHR0060-ST</v>
      </c>
      <c r="C472" s="294" t="str">
        <f>VLOOKUP(LEFT(A472,7),'Tariff Schedule Lookup Table'!$A$8:$G$198,2,FALSE)</f>
        <v>Metal Hallide (Reactor Control Gear) 250</v>
      </c>
      <c r="D472" s="295">
        <f t="shared" si="38"/>
        <v>1070</v>
      </c>
      <c r="E472" s="294">
        <f t="shared" si="39"/>
        <v>2</v>
      </c>
      <c r="F472" s="294" t="str">
        <f>VLOOKUP(D472,'Tariff Schedule Lookup Table'!I$7:L$298,2,FALSE)</f>
        <v>METAL HALIDE/HPS 250W FLOOD (210/220)</v>
      </c>
      <c r="G472" s="294" t="str">
        <f>IF(F472 = "BULKHEADS ETC", "SHARED OR NO POLE", VLOOKUP(D472,'Tariff Schedule Lookup Table'!I$7:L$298,3,FALSE))</f>
        <v>WOOD POLE</v>
      </c>
      <c r="H472" s="294">
        <f>IF(F472 = "NO CAPITAL", 1, VLOOKUP(D472,'Tariff Schedule Lookup Table'!I$7:L$298,4,FALSE))</f>
        <v>1</v>
      </c>
      <c r="I472" s="296">
        <f>VLOOKUP(G472,'Input data'!$A$68:$B$72,2,FALSE)</f>
        <v>10.809914000000001</v>
      </c>
      <c r="J472" s="296">
        <f>VLOOKUP($B472,'Maintenance Costs'!$A:$AB,22,FALSE)</f>
        <v>22.332001109197293</v>
      </c>
      <c r="K472" s="296">
        <f>VLOOKUP($B472,'Maintenance Costs'!$A:$AB,28,FALSE)</f>
        <v>25.862282041395371</v>
      </c>
      <c r="L472" s="297">
        <f t="shared" si="40"/>
        <v>59.004197150592667</v>
      </c>
      <c r="M472">
        <v>76.895698264198543</v>
      </c>
      <c r="N472" s="30">
        <f t="shared" si="41"/>
        <v>-17.891501113605877</v>
      </c>
    </row>
    <row r="473" spans="1:14" ht="22.5" x14ac:dyDescent="0.2">
      <c r="A473" s="299" t="s">
        <v>1341</v>
      </c>
      <c r="B473" s="298" t="str">
        <f t="shared" si="37"/>
        <v>MHR0060-ST</v>
      </c>
      <c r="C473" s="294" t="str">
        <f>VLOOKUP(LEFT(A473,7),'Tariff Schedule Lookup Table'!$A$8:$G$198,2,FALSE)</f>
        <v>Metal Hallide (Reactor Control Gear) 250</v>
      </c>
      <c r="D473" s="295">
        <f t="shared" si="38"/>
        <v>1120</v>
      </c>
      <c r="E473" s="294">
        <f t="shared" si="39"/>
        <v>1</v>
      </c>
      <c r="F473" s="294" t="str">
        <f>VLOOKUP(D473,'Tariff Schedule Lookup Table'!I$7:L$298,2,FALSE)</f>
        <v>METAL HALIDE/HPS 250W FLOOD (210/220)</v>
      </c>
      <c r="G473" s="294" t="str">
        <f>IF(F473 = "BULKHEADS ETC", "SHARED OR NO POLE", VLOOKUP(D473,'Tariff Schedule Lookup Table'!I$7:L$298,3,FALSE))</f>
        <v>STEEL POLE</v>
      </c>
      <c r="H473" s="294">
        <f>IF(F473 = "NO CAPITAL", 1, VLOOKUP(D473,'Tariff Schedule Lookup Table'!I$7:L$298,4,FALSE))</f>
        <v>1</v>
      </c>
      <c r="I473" s="296">
        <f>VLOOKUP(G473,'Input data'!$A$68:$B$72,2,FALSE)</f>
        <v>9.8748837500000004</v>
      </c>
      <c r="J473" s="296">
        <f>VLOOKUP($B473,'Maintenance Costs'!$A:$AB,22,FALSE)</f>
        <v>22.332001109197293</v>
      </c>
      <c r="K473" s="296">
        <f>VLOOKUP($B473,'Maintenance Costs'!$A:$AB,28,FALSE)</f>
        <v>25.862282041395371</v>
      </c>
      <c r="L473" s="297">
        <f t="shared" si="40"/>
        <v>58.06916690059267</v>
      </c>
      <c r="M473">
        <v>75.960668014198532</v>
      </c>
      <c r="N473" s="30">
        <f t="shared" si="41"/>
        <v>-17.891501113605862</v>
      </c>
    </row>
    <row r="474" spans="1:14" ht="22.5" x14ac:dyDescent="0.2">
      <c r="A474" s="299" t="s">
        <v>1342</v>
      </c>
      <c r="B474" s="298" t="str">
        <f t="shared" si="37"/>
        <v>MHR0060-ST</v>
      </c>
      <c r="C474" s="294" t="str">
        <f>VLOOKUP(LEFT(A474,7),'Tariff Schedule Lookup Table'!$A$8:$G$198,2,FALSE)</f>
        <v>Metal Hallide (Reactor Control Gear) 250</v>
      </c>
      <c r="D474" s="295">
        <f t="shared" si="38"/>
        <v>1120</v>
      </c>
      <c r="E474" s="294">
        <f t="shared" si="39"/>
        <v>2</v>
      </c>
      <c r="F474" s="294" t="str">
        <f>VLOOKUP(D474,'Tariff Schedule Lookup Table'!I$7:L$298,2,FALSE)</f>
        <v>METAL HALIDE/HPS 250W FLOOD (210/220)</v>
      </c>
      <c r="G474" s="294" t="str">
        <f>IF(F474 = "BULKHEADS ETC", "SHARED OR NO POLE", VLOOKUP(D474,'Tariff Schedule Lookup Table'!I$7:L$298,3,FALSE))</f>
        <v>STEEL POLE</v>
      </c>
      <c r="H474" s="294">
        <f>IF(F474 = "NO CAPITAL", 1, VLOOKUP(D474,'Tariff Schedule Lookup Table'!I$7:L$298,4,FALSE))</f>
        <v>1</v>
      </c>
      <c r="I474" s="296">
        <f>VLOOKUP(G474,'Input data'!$A$68:$B$72,2,FALSE)</f>
        <v>9.8748837500000004</v>
      </c>
      <c r="J474" s="296">
        <f>VLOOKUP($B474,'Maintenance Costs'!$A:$AB,22,FALSE)</f>
        <v>22.332001109197293</v>
      </c>
      <c r="K474" s="296">
        <f>VLOOKUP($B474,'Maintenance Costs'!$A:$AB,28,FALSE)</f>
        <v>25.862282041395371</v>
      </c>
      <c r="L474" s="297">
        <f t="shared" si="40"/>
        <v>58.06916690059267</v>
      </c>
      <c r="M474">
        <v>75.960668014198532</v>
      </c>
      <c r="N474" s="30">
        <f t="shared" si="41"/>
        <v>-17.891501113605862</v>
      </c>
    </row>
    <row r="475" spans="1:14" ht="22.5" x14ac:dyDescent="0.2">
      <c r="A475" s="299" t="s">
        <v>1343</v>
      </c>
      <c r="B475" s="298" t="str">
        <f t="shared" si="37"/>
        <v>MHR0060-ST</v>
      </c>
      <c r="C475" s="294" t="str">
        <f>VLOOKUP(LEFT(A475,7),'Tariff Schedule Lookup Table'!$A$8:$G$198,2,FALSE)</f>
        <v>Metal Hallide (Reactor Control Gear) 250</v>
      </c>
      <c r="D475" s="295">
        <f t="shared" si="38"/>
        <v>1120</v>
      </c>
      <c r="E475" s="294">
        <f t="shared" si="39"/>
        <v>3</v>
      </c>
      <c r="F475" s="294" t="str">
        <f>VLOOKUP(D475,'Tariff Schedule Lookup Table'!I$7:L$298,2,FALSE)</f>
        <v>METAL HALIDE/HPS 250W FLOOD (210/220)</v>
      </c>
      <c r="G475" s="294" t="str">
        <f>IF(F475 = "BULKHEADS ETC", "SHARED OR NO POLE", VLOOKUP(D475,'Tariff Schedule Lookup Table'!I$7:L$298,3,FALSE))</f>
        <v>STEEL POLE</v>
      </c>
      <c r="H475" s="294">
        <f>IF(F475 = "NO CAPITAL", 1, VLOOKUP(D475,'Tariff Schedule Lookup Table'!I$7:L$298,4,FALSE))</f>
        <v>1</v>
      </c>
      <c r="I475" s="296">
        <f>VLOOKUP(G475,'Input data'!$A$68:$B$72,2,FALSE)</f>
        <v>9.8748837500000004</v>
      </c>
      <c r="J475" s="296">
        <f>VLOOKUP($B475,'Maintenance Costs'!$A:$AB,22,FALSE)</f>
        <v>22.332001109197293</v>
      </c>
      <c r="K475" s="296">
        <f>VLOOKUP($B475,'Maintenance Costs'!$A:$AB,28,FALSE)</f>
        <v>25.862282041395371</v>
      </c>
      <c r="L475" s="297">
        <f t="shared" si="40"/>
        <v>58.06916690059267</v>
      </c>
      <c r="M475">
        <v>75.960668014198532</v>
      </c>
      <c r="N475" s="30">
        <f t="shared" si="41"/>
        <v>-17.891501113605862</v>
      </c>
    </row>
    <row r="476" spans="1:14" ht="22.5" x14ac:dyDescent="0.2">
      <c r="A476" s="299" t="s">
        <v>1344</v>
      </c>
      <c r="B476" s="298" t="str">
        <f t="shared" si="37"/>
        <v>MHR0060-ST</v>
      </c>
      <c r="C476" s="294" t="str">
        <f>VLOOKUP(LEFT(A476,7),'Tariff Schedule Lookup Table'!$A$8:$G$198,2,FALSE)</f>
        <v>Metal Hallide (Reactor Control Gear) 250</v>
      </c>
      <c r="D476" s="295">
        <f t="shared" si="38"/>
        <v>1160</v>
      </c>
      <c r="E476" s="294">
        <f t="shared" si="39"/>
        <v>2</v>
      </c>
      <c r="F476" s="294" t="str">
        <f>VLOOKUP(D476,'Tariff Schedule Lookup Table'!I$7:L$298,2,FALSE)</f>
        <v>METAL HALIDE/HPS 250W FLOOD (210/220)</v>
      </c>
      <c r="G476" s="294" t="str">
        <f>IF(F476 = "BULKHEADS ETC", "SHARED OR NO POLE", VLOOKUP(D476,'Tariff Schedule Lookup Table'!I$7:L$298,3,FALSE))</f>
        <v>WOOD POLE</v>
      </c>
      <c r="H476" s="294">
        <f>IF(F476 = "NO CAPITAL", 1, VLOOKUP(D476,'Tariff Schedule Lookup Table'!I$7:L$298,4,FALSE))</f>
        <v>2</v>
      </c>
      <c r="I476" s="296">
        <f>VLOOKUP(G476,'Input data'!$A$68:$B$72,2,FALSE)</f>
        <v>10.809914000000001</v>
      </c>
      <c r="J476" s="296">
        <f>VLOOKUP($B476,'Maintenance Costs'!$A:$AB,22,FALSE)</f>
        <v>22.332001109197293</v>
      </c>
      <c r="K476" s="296">
        <f>VLOOKUP($B476,'Maintenance Costs'!$A:$AB,28,FALSE)</f>
        <v>25.862282041395371</v>
      </c>
      <c r="L476" s="297">
        <f t="shared" si="40"/>
        <v>53.599240150592671</v>
      </c>
      <c r="M476">
        <v>71.490741264198533</v>
      </c>
      <c r="N476" s="30">
        <f t="shared" si="41"/>
        <v>-17.891501113605862</v>
      </c>
    </row>
    <row r="477" spans="1:14" ht="22.5" x14ac:dyDescent="0.2">
      <c r="A477" s="299" t="s">
        <v>1345</v>
      </c>
      <c r="B477" s="298" t="str">
        <f t="shared" si="37"/>
        <v>MHR0070-ST</v>
      </c>
      <c r="C477" s="294" t="str">
        <f>VLOOKUP(LEFT(A477,7),'Tariff Schedule Lookup Table'!$A$8:$G$198,2,FALSE)</f>
        <v>Metal Hallide (Reactor Control Gear) 400</v>
      </c>
      <c r="D477" s="295">
        <f t="shared" si="38"/>
        <v>1</v>
      </c>
      <c r="E477" s="294">
        <f t="shared" si="39"/>
        <v>6</v>
      </c>
      <c r="F477" s="294" t="str">
        <f>VLOOKUP(D477,'Tariff Schedule Lookup Table'!I$7:L$298,2,FALSE)</f>
        <v>NO CAPITAL</v>
      </c>
      <c r="G477" s="294" t="str">
        <f>IF(F477 = "BULKHEADS ETC", "SHARED OR NO POLE", VLOOKUP(D477,'Tariff Schedule Lookup Table'!I$7:L$298,3,FALSE))</f>
        <v>NO CAPITAL</v>
      </c>
      <c r="H477" s="294">
        <f>IF(F477 = "NO CAPITAL", 1, VLOOKUP(D477,'Tariff Schedule Lookup Table'!I$7:L$298,4,FALSE))</f>
        <v>1</v>
      </c>
      <c r="I477" s="296">
        <f>VLOOKUP(G477,'Input data'!$A$68:$B$72,2,FALSE)</f>
        <v>0</v>
      </c>
      <c r="J477" s="296">
        <v>0</v>
      </c>
      <c r="K477" s="296">
        <v>0</v>
      </c>
      <c r="L477" s="297">
        <f t="shared" si="40"/>
        <v>0</v>
      </c>
      <c r="M477">
        <v>0</v>
      </c>
      <c r="N477" s="30">
        <f t="shared" si="41"/>
        <v>0</v>
      </c>
    </row>
    <row r="478" spans="1:14" ht="22.5" x14ac:dyDescent="0.2">
      <c r="A478" s="299" t="s">
        <v>1346</v>
      </c>
      <c r="B478" s="298" t="str">
        <f t="shared" si="37"/>
        <v>MHR0070-ST</v>
      </c>
      <c r="C478" s="294" t="str">
        <f>VLOOKUP(LEFT(A478,7),'Tariff Schedule Lookup Table'!$A$8:$G$198,2,FALSE)</f>
        <v>Metal Hallide (Reactor Control Gear) 400</v>
      </c>
      <c r="D478" s="295">
        <f t="shared" si="38"/>
        <v>60</v>
      </c>
      <c r="E478" s="294">
        <f t="shared" si="39"/>
        <v>1</v>
      </c>
      <c r="F478" s="294" t="str">
        <f>VLOOKUP(D478,'Tariff Schedule Lookup Table'!I$7:L$298,2,FALSE)</f>
        <v>HIGH PRESSURE SODIUM 250W (210/220)</v>
      </c>
      <c r="G478" s="294" t="str">
        <f>IF(F478 = "BULKHEADS ETC", "SHARED OR NO POLE", VLOOKUP(D478,'Tariff Schedule Lookup Table'!I$7:L$298,3,FALSE))</f>
        <v>SHARED OR NO POLE</v>
      </c>
      <c r="H478" s="294">
        <f>IF(F478 = "NO CAPITAL", 1, VLOOKUP(D478,'Tariff Schedule Lookup Table'!I$7:L$298,4,FALSE))</f>
        <v>1</v>
      </c>
      <c r="I478" s="296">
        <f>VLOOKUP(G478,'Input data'!$A$68:$B$72,2,FALSE)</f>
        <v>0</v>
      </c>
      <c r="J478" s="296">
        <f>VLOOKUP($B478,'Maintenance Costs'!$A:$AB,22,FALSE)</f>
        <v>22.430183333197292</v>
      </c>
      <c r="K478" s="296">
        <f>VLOOKUP($B478,'Maintenance Costs'!$A:$AB,28,FALSE)</f>
        <v>25.940538541395373</v>
      </c>
      <c r="L478" s="297">
        <f t="shared" si="40"/>
        <v>48.370721874592661</v>
      </c>
      <c r="M478">
        <v>66.328808655598522</v>
      </c>
      <c r="N478" s="30">
        <f t="shared" si="41"/>
        <v>-17.958086781005861</v>
      </c>
    </row>
    <row r="479" spans="1:14" ht="22.5" x14ac:dyDescent="0.2">
      <c r="A479" s="299" t="s">
        <v>1347</v>
      </c>
      <c r="B479" s="298" t="str">
        <f t="shared" si="37"/>
        <v>MHR0070-ST</v>
      </c>
      <c r="C479" s="294" t="str">
        <f>VLOOKUP(LEFT(A479,7),'Tariff Schedule Lookup Table'!$A$8:$G$198,2,FALSE)</f>
        <v>Metal Hallide (Reactor Control Gear) 400</v>
      </c>
      <c r="D479" s="295">
        <f t="shared" si="38"/>
        <v>60</v>
      </c>
      <c r="E479" s="294">
        <f t="shared" si="39"/>
        <v>2</v>
      </c>
      <c r="F479" s="294" t="str">
        <f>VLOOKUP(D479,'Tariff Schedule Lookup Table'!I$7:L$298,2,FALSE)</f>
        <v>HIGH PRESSURE SODIUM 250W (210/220)</v>
      </c>
      <c r="G479" s="294" t="str">
        <f>IF(F479 = "BULKHEADS ETC", "SHARED OR NO POLE", VLOOKUP(D479,'Tariff Schedule Lookup Table'!I$7:L$298,3,FALSE))</f>
        <v>SHARED OR NO POLE</v>
      </c>
      <c r="H479" s="294">
        <f>IF(F479 = "NO CAPITAL", 1, VLOOKUP(D479,'Tariff Schedule Lookup Table'!I$7:L$298,4,FALSE))</f>
        <v>1</v>
      </c>
      <c r="I479" s="296">
        <f>VLOOKUP(G479,'Input data'!$A$68:$B$72,2,FALSE)</f>
        <v>0</v>
      </c>
      <c r="J479" s="296">
        <f>VLOOKUP($B479,'Maintenance Costs'!$A:$AB,22,FALSE)</f>
        <v>22.430183333197292</v>
      </c>
      <c r="K479" s="296">
        <f>VLOOKUP($B479,'Maintenance Costs'!$A:$AB,28,FALSE)</f>
        <v>25.940538541395373</v>
      </c>
      <c r="L479" s="297">
        <f t="shared" si="40"/>
        <v>48.370721874592661</v>
      </c>
      <c r="M479">
        <v>66.328808655598522</v>
      </c>
      <c r="N479" s="30">
        <f t="shared" si="41"/>
        <v>-17.958086781005861</v>
      </c>
    </row>
    <row r="480" spans="1:14" ht="22.5" x14ac:dyDescent="0.2">
      <c r="A480" s="299" t="s">
        <v>828</v>
      </c>
      <c r="B480" s="298" t="str">
        <f t="shared" si="37"/>
        <v>MHR0070-ST</v>
      </c>
      <c r="C480" s="294" t="str">
        <f>VLOOKUP(LEFT(A480,7),'Tariff Schedule Lookup Table'!$A$8:$G$198,2,FALSE)</f>
        <v>Metal Hallide (Reactor Control Gear) 400</v>
      </c>
      <c r="D480" s="295">
        <f t="shared" si="38"/>
        <v>60</v>
      </c>
      <c r="E480" s="294">
        <f t="shared" si="39"/>
        <v>4</v>
      </c>
      <c r="F480" s="294" t="str">
        <f>VLOOKUP(D480,'Tariff Schedule Lookup Table'!I$7:L$298,2,FALSE)</f>
        <v>HIGH PRESSURE SODIUM 250W (210/220)</v>
      </c>
      <c r="G480" s="294" t="str">
        <f>IF(F480 = "BULKHEADS ETC", "SHARED OR NO POLE", VLOOKUP(D480,'Tariff Schedule Lookup Table'!I$7:L$298,3,FALSE))</f>
        <v>SHARED OR NO POLE</v>
      </c>
      <c r="H480" s="294">
        <f>IF(F480 = "NO CAPITAL", 1, VLOOKUP(D480,'Tariff Schedule Lookup Table'!I$7:L$298,4,FALSE))</f>
        <v>1</v>
      </c>
      <c r="I480" s="296">
        <f>VLOOKUP(G480,'Input data'!$A$68:$B$72,2,FALSE)</f>
        <v>0</v>
      </c>
      <c r="J480" s="296">
        <f>VLOOKUP($B480,'Maintenance Costs'!$A:$AB,22,FALSE)</f>
        <v>22.430183333197292</v>
      </c>
      <c r="K480" s="296">
        <f>VLOOKUP($B480,'Maintenance Costs'!$A:$AB,28,FALSE)</f>
        <v>25.940538541395373</v>
      </c>
      <c r="L480" s="297">
        <f t="shared" si="40"/>
        <v>48.370721874592661</v>
      </c>
      <c r="M480">
        <v>66.328808655598522</v>
      </c>
      <c r="N480" s="30">
        <f t="shared" si="41"/>
        <v>-17.958086781005861</v>
      </c>
    </row>
    <row r="481" spans="1:14" ht="22.5" x14ac:dyDescent="0.2">
      <c r="A481" s="299" t="s">
        <v>1348</v>
      </c>
      <c r="B481" s="298" t="str">
        <f t="shared" si="37"/>
        <v>MHR0070-ST</v>
      </c>
      <c r="C481" s="294" t="str">
        <f>VLOOKUP(LEFT(A481,7),'Tariff Schedule Lookup Table'!$A$8:$G$198,2,FALSE)</f>
        <v>Metal Hallide (Reactor Control Gear) 400</v>
      </c>
      <c r="D481" s="295">
        <f t="shared" si="38"/>
        <v>320</v>
      </c>
      <c r="E481" s="294">
        <f t="shared" si="39"/>
        <v>1</v>
      </c>
      <c r="F481" s="294" t="str">
        <f>VLOOKUP(D481,'Tariff Schedule Lookup Table'!I$7:L$298,2,FALSE)</f>
        <v>HIGH PRESSURE SODIUM 250W (210/220)</v>
      </c>
      <c r="G481" s="294" t="str">
        <f>IF(F481 = "BULKHEADS ETC", "SHARED OR NO POLE", VLOOKUP(D481,'Tariff Schedule Lookup Table'!I$7:L$298,3,FALSE))</f>
        <v>STEEL POLE</v>
      </c>
      <c r="H481" s="294">
        <f>IF(F481 = "NO CAPITAL", 1, VLOOKUP(D481,'Tariff Schedule Lookup Table'!I$7:L$298,4,FALSE))</f>
        <v>1</v>
      </c>
      <c r="I481" s="296">
        <f>VLOOKUP(G481,'Input data'!$A$68:$B$72,2,FALSE)</f>
        <v>9.8748837500000004</v>
      </c>
      <c r="J481" s="296">
        <f>VLOOKUP($B481,'Maintenance Costs'!$A:$AB,22,FALSE)</f>
        <v>22.430183333197292</v>
      </c>
      <c r="K481" s="296">
        <f>VLOOKUP($B481,'Maintenance Costs'!$A:$AB,28,FALSE)</f>
        <v>25.940538541395373</v>
      </c>
      <c r="L481" s="297">
        <f t="shared" si="40"/>
        <v>58.245605624592663</v>
      </c>
      <c r="M481">
        <v>76.203692405598517</v>
      </c>
      <c r="N481" s="30">
        <f t="shared" si="41"/>
        <v>-17.958086781005854</v>
      </c>
    </row>
    <row r="482" spans="1:14" ht="22.5" x14ac:dyDescent="0.2">
      <c r="A482" s="299" t="s">
        <v>1349</v>
      </c>
      <c r="B482" s="298" t="str">
        <f t="shared" si="37"/>
        <v>MHR0070-ST</v>
      </c>
      <c r="C482" s="294" t="str">
        <f>VLOOKUP(LEFT(A482,7),'Tariff Schedule Lookup Table'!$A$8:$G$198,2,FALSE)</f>
        <v>Metal Hallide (Reactor Control Gear) 400</v>
      </c>
      <c r="D482" s="295">
        <f t="shared" si="38"/>
        <v>320</v>
      </c>
      <c r="E482" s="294">
        <f t="shared" si="39"/>
        <v>2</v>
      </c>
      <c r="F482" s="294" t="str">
        <f>VLOOKUP(D482,'Tariff Schedule Lookup Table'!I$7:L$298,2,FALSE)</f>
        <v>HIGH PRESSURE SODIUM 250W (210/220)</v>
      </c>
      <c r="G482" s="294" t="str">
        <f>IF(F482 = "BULKHEADS ETC", "SHARED OR NO POLE", VLOOKUP(D482,'Tariff Schedule Lookup Table'!I$7:L$298,3,FALSE))</f>
        <v>STEEL POLE</v>
      </c>
      <c r="H482" s="294">
        <f>IF(F482 = "NO CAPITAL", 1, VLOOKUP(D482,'Tariff Schedule Lookup Table'!I$7:L$298,4,FALSE))</f>
        <v>1</v>
      </c>
      <c r="I482" s="296">
        <f>VLOOKUP(G482,'Input data'!$A$68:$B$72,2,FALSE)</f>
        <v>9.8748837500000004</v>
      </c>
      <c r="J482" s="296">
        <f>VLOOKUP($B482,'Maintenance Costs'!$A:$AB,22,FALSE)</f>
        <v>22.430183333197292</v>
      </c>
      <c r="K482" s="296">
        <f>VLOOKUP($B482,'Maintenance Costs'!$A:$AB,28,FALSE)</f>
        <v>25.940538541395373</v>
      </c>
      <c r="L482" s="297">
        <f t="shared" si="40"/>
        <v>58.245605624592663</v>
      </c>
      <c r="M482">
        <v>76.203692405598517</v>
      </c>
      <c r="N482" s="30">
        <f t="shared" si="41"/>
        <v>-17.958086781005854</v>
      </c>
    </row>
    <row r="483" spans="1:14" ht="22.5" x14ac:dyDescent="0.2">
      <c r="A483" s="299" t="s">
        <v>829</v>
      </c>
      <c r="B483" s="298" t="str">
        <f t="shared" si="37"/>
        <v>MHR0070-ST</v>
      </c>
      <c r="C483" s="294" t="str">
        <f>VLOOKUP(LEFT(A483,7),'Tariff Schedule Lookup Table'!$A$8:$G$198,2,FALSE)</f>
        <v>Metal Hallide (Reactor Control Gear) 400</v>
      </c>
      <c r="D483" s="295">
        <f t="shared" si="38"/>
        <v>320</v>
      </c>
      <c r="E483" s="294">
        <f t="shared" si="39"/>
        <v>4</v>
      </c>
      <c r="F483" s="294" t="str">
        <f>VLOOKUP(D483,'Tariff Schedule Lookup Table'!I$7:L$298,2,FALSE)</f>
        <v>HIGH PRESSURE SODIUM 250W (210/220)</v>
      </c>
      <c r="G483" s="294" t="str">
        <f>IF(F483 = "BULKHEADS ETC", "SHARED OR NO POLE", VLOOKUP(D483,'Tariff Schedule Lookup Table'!I$7:L$298,3,FALSE))</f>
        <v>STEEL POLE</v>
      </c>
      <c r="H483" s="294">
        <f>IF(F483 = "NO CAPITAL", 1, VLOOKUP(D483,'Tariff Schedule Lookup Table'!I$7:L$298,4,FALSE))</f>
        <v>1</v>
      </c>
      <c r="I483" s="296">
        <f>VLOOKUP(G483,'Input data'!$A$68:$B$72,2,FALSE)</f>
        <v>9.8748837500000004</v>
      </c>
      <c r="J483" s="296">
        <f>VLOOKUP($B483,'Maintenance Costs'!$A:$AB,22,FALSE)</f>
        <v>22.430183333197292</v>
      </c>
      <c r="K483" s="296">
        <f>VLOOKUP($B483,'Maintenance Costs'!$A:$AB,28,FALSE)</f>
        <v>25.940538541395373</v>
      </c>
      <c r="L483" s="297">
        <f t="shared" si="40"/>
        <v>58.245605624592663</v>
      </c>
      <c r="M483">
        <v>76.203692405598517</v>
      </c>
      <c r="N483" s="30">
        <f t="shared" si="41"/>
        <v>-17.958086781005854</v>
      </c>
    </row>
    <row r="484" spans="1:14" ht="22.5" x14ac:dyDescent="0.2">
      <c r="A484" s="299" t="s">
        <v>1350</v>
      </c>
      <c r="B484" s="298" t="str">
        <f t="shared" si="37"/>
        <v>MHR0070-ST</v>
      </c>
      <c r="C484" s="294" t="str">
        <f>VLOOKUP(LEFT(A484,7),'Tariff Schedule Lookup Table'!$A$8:$G$198,2,FALSE)</f>
        <v>Metal Hallide (Reactor Control Gear) 400</v>
      </c>
      <c r="D484" s="295">
        <f t="shared" si="38"/>
        <v>390</v>
      </c>
      <c r="E484" s="294">
        <f t="shared" si="39"/>
        <v>2</v>
      </c>
      <c r="F484" s="294" t="str">
        <f>VLOOKUP(D484,'Tariff Schedule Lookup Table'!I$7:L$298,2,FALSE)</f>
        <v>HIGH PRESSURE SODIUM 250W (210/220)</v>
      </c>
      <c r="G484" s="294" t="str">
        <f>IF(F484 = "BULKHEADS ETC", "SHARED OR NO POLE", VLOOKUP(D484,'Tariff Schedule Lookup Table'!I$7:L$298,3,FALSE))</f>
        <v>STEEL POLE</v>
      </c>
      <c r="H484" s="294">
        <f>IF(F484 = "NO CAPITAL", 1, VLOOKUP(D484,'Tariff Schedule Lookup Table'!I$7:L$298,4,FALSE))</f>
        <v>2</v>
      </c>
      <c r="I484" s="296">
        <f>VLOOKUP(G484,'Input data'!$A$68:$B$72,2,FALSE)</f>
        <v>9.8748837500000004</v>
      </c>
      <c r="J484" s="296">
        <f>VLOOKUP($B484,'Maintenance Costs'!$A:$AB,22,FALSE)</f>
        <v>22.430183333197292</v>
      </c>
      <c r="K484" s="296">
        <f>VLOOKUP($B484,'Maintenance Costs'!$A:$AB,28,FALSE)</f>
        <v>25.940538541395373</v>
      </c>
      <c r="L484" s="297">
        <f t="shared" si="40"/>
        <v>53.308163749592659</v>
      </c>
      <c r="M484">
        <v>71.266250530598526</v>
      </c>
      <c r="N484" s="30">
        <f t="shared" si="41"/>
        <v>-17.958086781005868</v>
      </c>
    </row>
    <row r="485" spans="1:14" ht="22.5" x14ac:dyDescent="0.2">
      <c r="A485" s="299" t="s">
        <v>1351</v>
      </c>
      <c r="B485" s="298" t="str">
        <f t="shared" si="37"/>
        <v>MHR0070-ST</v>
      </c>
      <c r="C485" s="294" t="str">
        <f>VLOOKUP(LEFT(A485,7),'Tariff Schedule Lookup Table'!$A$8:$G$198,2,FALSE)</f>
        <v>Metal Hallide (Reactor Control Gear) 400</v>
      </c>
      <c r="D485" s="295">
        <f t="shared" si="38"/>
        <v>470</v>
      </c>
      <c r="E485" s="294">
        <f t="shared" si="39"/>
        <v>2</v>
      </c>
      <c r="F485" s="294" t="str">
        <f>VLOOKUP(D485,'Tariff Schedule Lookup Table'!I$7:L$298,2,FALSE)</f>
        <v>HIGH PRESSURE SODIUM 250W (210/220)</v>
      </c>
      <c r="G485" s="294" t="str">
        <f>IF(F485 = "BULKHEADS ETC", "SHARED OR NO POLE", VLOOKUP(D485,'Tariff Schedule Lookup Table'!I$7:L$298,3,FALSE))</f>
        <v>STEEL POLE</v>
      </c>
      <c r="H485" s="294">
        <f>IF(F485 = "NO CAPITAL", 1, VLOOKUP(D485,'Tariff Schedule Lookup Table'!I$7:L$298,4,FALSE))</f>
        <v>4</v>
      </c>
      <c r="I485" s="296">
        <f>VLOOKUP(G485,'Input data'!$A$68:$B$72,2,FALSE)</f>
        <v>9.8748837500000004</v>
      </c>
      <c r="J485" s="296">
        <f>VLOOKUP($B485,'Maintenance Costs'!$A:$AB,22,FALSE)</f>
        <v>22.430183333197292</v>
      </c>
      <c r="K485" s="296">
        <f>VLOOKUP($B485,'Maintenance Costs'!$A:$AB,28,FALSE)</f>
        <v>25.940538541395373</v>
      </c>
      <c r="L485" s="297">
        <f t="shared" si="40"/>
        <v>50.839442812092663</v>
      </c>
      <c r="M485">
        <v>68.797529593098517</v>
      </c>
      <c r="N485" s="30">
        <f t="shared" si="41"/>
        <v>-17.958086781005854</v>
      </c>
    </row>
    <row r="486" spans="1:14" ht="22.5" x14ac:dyDescent="0.2">
      <c r="A486" s="299" t="s">
        <v>1352</v>
      </c>
      <c r="B486" s="298" t="str">
        <f t="shared" si="37"/>
        <v>MHR0070-ST</v>
      </c>
      <c r="C486" s="294" t="str">
        <f>VLOOKUP(LEFT(A486,7),'Tariff Schedule Lookup Table'!$A$8:$G$198,2,FALSE)</f>
        <v>Metal Hallide (Reactor Control Gear) 400</v>
      </c>
      <c r="D486" s="295">
        <f t="shared" si="38"/>
        <v>620</v>
      </c>
      <c r="E486" s="294">
        <f t="shared" si="39"/>
        <v>1</v>
      </c>
      <c r="F486" s="294" t="str">
        <f>VLOOKUP(D486,'Tariff Schedule Lookup Table'!I$7:L$298,2,FALSE)</f>
        <v>METAL HALIDE/HPS 400W FLOOD (310/360)</v>
      </c>
      <c r="G486" s="294" t="str">
        <f>IF(F486 = "BULKHEADS ETC", "SHARED OR NO POLE", VLOOKUP(D486,'Tariff Schedule Lookup Table'!I$7:L$298,3,FALSE))</f>
        <v>SHARED OR NO POLE</v>
      </c>
      <c r="H486" s="294">
        <f>IF(F486 = "NO CAPITAL", 1, VLOOKUP(D486,'Tariff Schedule Lookup Table'!I$7:L$298,4,FALSE))</f>
        <v>1</v>
      </c>
      <c r="I486" s="296">
        <f>VLOOKUP(G486,'Input data'!$A$68:$B$72,2,FALSE)</f>
        <v>0</v>
      </c>
      <c r="J486" s="296">
        <f>VLOOKUP($B486,'Maintenance Costs'!$A:$AB,22,FALSE)</f>
        <v>22.430183333197292</v>
      </c>
      <c r="K486" s="296">
        <f>VLOOKUP($B486,'Maintenance Costs'!$A:$AB,28,FALSE)</f>
        <v>25.940538541395373</v>
      </c>
      <c r="L486" s="297">
        <f t="shared" si="40"/>
        <v>48.370721874592661</v>
      </c>
      <c r="M486">
        <v>66.328808655598522</v>
      </c>
      <c r="N486" s="30">
        <f t="shared" si="41"/>
        <v>-17.958086781005861</v>
      </c>
    </row>
    <row r="487" spans="1:14" ht="22.5" x14ac:dyDescent="0.2">
      <c r="A487" s="299" t="s">
        <v>1353</v>
      </c>
      <c r="B487" s="298" t="str">
        <f t="shared" si="37"/>
        <v>MHR0070-ST</v>
      </c>
      <c r="C487" s="294" t="str">
        <f>VLOOKUP(LEFT(A487,7),'Tariff Schedule Lookup Table'!$A$8:$G$198,2,FALSE)</f>
        <v>Metal Hallide (Reactor Control Gear) 400</v>
      </c>
      <c r="D487" s="295">
        <f t="shared" si="38"/>
        <v>620</v>
      </c>
      <c r="E487" s="294">
        <f t="shared" si="39"/>
        <v>2</v>
      </c>
      <c r="F487" s="294" t="str">
        <f>VLOOKUP(D487,'Tariff Schedule Lookup Table'!I$7:L$298,2,FALSE)</f>
        <v>METAL HALIDE/HPS 400W FLOOD (310/360)</v>
      </c>
      <c r="G487" s="294" t="str">
        <f>IF(F487 = "BULKHEADS ETC", "SHARED OR NO POLE", VLOOKUP(D487,'Tariff Schedule Lookup Table'!I$7:L$298,3,FALSE))</f>
        <v>SHARED OR NO POLE</v>
      </c>
      <c r="H487" s="294">
        <f>IF(F487 = "NO CAPITAL", 1, VLOOKUP(D487,'Tariff Schedule Lookup Table'!I$7:L$298,4,FALSE))</f>
        <v>1</v>
      </c>
      <c r="I487" s="296">
        <f>VLOOKUP(G487,'Input data'!$A$68:$B$72,2,FALSE)</f>
        <v>0</v>
      </c>
      <c r="J487" s="296">
        <f>VLOOKUP($B487,'Maintenance Costs'!$A:$AB,22,FALSE)</f>
        <v>22.430183333197292</v>
      </c>
      <c r="K487" s="296">
        <f>VLOOKUP($B487,'Maintenance Costs'!$A:$AB,28,FALSE)</f>
        <v>25.940538541395373</v>
      </c>
      <c r="L487" s="297">
        <f t="shared" si="40"/>
        <v>48.370721874592661</v>
      </c>
      <c r="M487">
        <v>66.328808655598522</v>
      </c>
      <c r="N487" s="30">
        <f t="shared" si="41"/>
        <v>-17.958086781005861</v>
      </c>
    </row>
    <row r="488" spans="1:14" ht="22.5" x14ac:dyDescent="0.2">
      <c r="A488" s="299" t="s">
        <v>1354</v>
      </c>
      <c r="B488" s="298" t="str">
        <f t="shared" si="37"/>
        <v>MHR0070-ST</v>
      </c>
      <c r="C488" s="294" t="str">
        <f>VLOOKUP(LEFT(A488,7),'Tariff Schedule Lookup Table'!$A$8:$G$198,2,FALSE)</f>
        <v>Metal Hallide (Reactor Control Gear) 400</v>
      </c>
      <c r="D488" s="295">
        <f t="shared" si="38"/>
        <v>620</v>
      </c>
      <c r="E488" s="294">
        <f t="shared" si="39"/>
        <v>3</v>
      </c>
      <c r="F488" s="294" t="str">
        <f>VLOOKUP(D488,'Tariff Schedule Lookup Table'!I$7:L$298,2,FALSE)</f>
        <v>METAL HALIDE/HPS 400W FLOOD (310/360)</v>
      </c>
      <c r="G488" s="294" t="str">
        <f>IF(F488 = "BULKHEADS ETC", "SHARED OR NO POLE", VLOOKUP(D488,'Tariff Schedule Lookup Table'!I$7:L$298,3,FALSE))</f>
        <v>SHARED OR NO POLE</v>
      </c>
      <c r="H488" s="294">
        <f>IF(F488 = "NO CAPITAL", 1, VLOOKUP(D488,'Tariff Schedule Lookup Table'!I$7:L$298,4,FALSE))</f>
        <v>1</v>
      </c>
      <c r="I488" s="296">
        <f>VLOOKUP(G488,'Input data'!$A$68:$B$72,2,FALSE)</f>
        <v>0</v>
      </c>
      <c r="J488" s="296">
        <f>VLOOKUP($B488,'Maintenance Costs'!$A:$AB,22,FALSE)</f>
        <v>22.430183333197292</v>
      </c>
      <c r="K488" s="296">
        <f>VLOOKUP($B488,'Maintenance Costs'!$A:$AB,28,FALSE)</f>
        <v>25.940538541395373</v>
      </c>
      <c r="L488" s="297">
        <f t="shared" si="40"/>
        <v>48.370721874592661</v>
      </c>
      <c r="M488">
        <v>66.328808655598522</v>
      </c>
      <c r="N488" s="30">
        <f t="shared" si="41"/>
        <v>-17.958086781005861</v>
      </c>
    </row>
    <row r="489" spans="1:14" ht="22.5" x14ac:dyDescent="0.2">
      <c r="A489" s="299" t="s">
        <v>542</v>
      </c>
      <c r="B489" s="298" t="str">
        <f t="shared" si="37"/>
        <v>MHR0070-ST</v>
      </c>
      <c r="C489" s="294" t="str">
        <f>VLOOKUP(LEFT(A489,7),'Tariff Schedule Lookup Table'!$A$8:$G$198,2,FALSE)</f>
        <v>Metal Hallide (Reactor Control Gear) 400</v>
      </c>
      <c r="D489" s="295">
        <f t="shared" si="38"/>
        <v>620</v>
      </c>
      <c r="E489" s="294">
        <f t="shared" si="39"/>
        <v>4</v>
      </c>
      <c r="F489" s="294" t="str">
        <f>VLOOKUP(D489,'Tariff Schedule Lookup Table'!I$7:L$298,2,FALSE)</f>
        <v>METAL HALIDE/HPS 400W FLOOD (310/360)</v>
      </c>
      <c r="G489" s="294" t="str">
        <f>IF(F489 = "BULKHEADS ETC", "SHARED OR NO POLE", VLOOKUP(D489,'Tariff Schedule Lookup Table'!I$7:L$298,3,FALSE))</f>
        <v>SHARED OR NO POLE</v>
      </c>
      <c r="H489" s="294">
        <f>IF(F489 = "NO CAPITAL", 1, VLOOKUP(D489,'Tariff Schedule Lookup Table'!I$7:L$298,4,FALSE))</f>
        <v>1</v>
      </c>
      <c r="I489" s="296">
        <f>VLOOKUP(G489,'Input data'!$A$68:$B$72,2,FALSE)</f>
        <v>0</v>
      </c>
      <c r="J489" s="296">
        <f>VLOOKUP($B489,'Maintenance Costs'!$A:$AB,22,FALSE)</f>
        <v>22.430183333197292</v>
      </c>
      <c r="K489" s="296">
        <f>VLOOKUP($B489,'Maintenance Costs'!$A:$AB,28,FALSE)</f>
        <v>25.940538541395373</v>
      </c>
      <c r="L489" s="297">
        <f t="shared" si="40"/>
        <v>48.370721874592661</v>
      </c>
      <c r="M489">
        <v>66.328808655598522</v>
      </c>
      <c r="N489" s="30">
        <f t="shared" si="41"/>
        <v>-17.958086781005861</v>
      </c>
    </row>
    <row r="490" spans="1:14" ht="22.5" x14ac:dyDescent="0.2">
      <c r="A490" s="299" t="s">
        <v>1355</v>
      </c>
      <c r="B490" s="298" t="str">
        <f t="shared" si="37"/>
        <v>MHR0070-ST</v>
      </c>
      <c r="C490" s="294" t="str">
        <f>VLOOKUP(LEFT(A490,7),'Tariff Schedule Lookup Table'!$A$8:$G$198,2,FALSE)</f>
        <v>Metal Hallide (Reactor Control Gear) 400</v>
      </c>
      <c r="D490" s="295">
        <f t="shared" si="38"/>
        <v>660</v>
      </c>
      <c r="E490" s="294">
        <f t="shared" si="39"/>
        <v>2</v>
      </c>
      <c r="F490" s="294" t="str">
        <f>VLOOKUP(D490,'Tariff Schedule Lookup Table'!I$7:L$298,2,FALSE)</f>
        <v>METAL HALIDE/HPS 400W FLOOD (310/360)</v>
      </c>
      <c r="G490" s="294" t="str">
        <f>IF(F490 = "BULKHEADS ETC", "SHARED OR NO POLE", VLOOKUP(D490,'Tariff Schedule Lookup Table'!I$7:L$298,3,FALSE))</f>
        <v>SHARED OR NO POLE</v>
      </c>
      <c r="H490" s="294">
        <f>IF(F490 = "NO CAPITAL", 1, VLOOKUP(D490,'Tariff Schedule Lookup Table'!I$7:L$298,4,FALSE))</f>
        <v>2</v>
      </c>
      <c r="I490" s="296">
        <f>VLOOKUP(G490,'Input data'!$A$68:$B$72,2,FALSE)</f>
        <v>0</v>
      </c>
      <c r="J490" s="296">
        <f>VLOOKUP($B490,'Maintenance Costs'!$A:$AB,22,FALSE)</f>
        <v>22.430183333197292</v>
      </c>
      <c r="K490" s="296">
        <f>VLOOKUP($B490,'Maintenance Costs'!$A:$AB,28,FALSE)</f>
        <v>25.940538541395373</v>
      </c>
      <c r="L490" s="297">
        <f t="shared" si="40"/>
        <v>48.370721874592661</v>
      </c>
      <c r="M490">
        <v>66.328808655598522</v>
      </c>
      <c r="N490" s="30">
        <f t="shared" si="41"/>
        <v>-17.958086781005861</v>
      </c>
    </row>
    <row r="491" spans="1:14" ht="22.5" x14ac:dyDescent="0.2">
      <c r="A491" s="299" t="s">
        <v>1356</v>
      </c>
      <c r="B491" s="298" t="str">
        <f t="shared" si="37"/>
        <v>MHR0070-ST</v>
      </c>
      <c r="C491" s="294" t="str">
        <f>VLOOKUP(LEFT(A491,7),'Tariff Schedule Lookup Table'!$A$8:$G$198,2,FALSE)</f>
        <v>Metal Hallide (Reactor Control Gear) 400</v>
      </c>
      <c r="D491" s="295">
        <f t="shared" si="38"/>
        <v>1080</v>
      </c>
      <c r="E491" s="294">
        <f t="shared" si="39"/>
        <v>1</v>
      </c>
      <c r="F491" s="294" t="str">
        <f>VLOOKUP(D491,'Tariff Schedule Lookup Table'!I$7:L$298,2,FALSE)</f>
        <v>METAL HALIDE/HPS 400W FLOOD (310/360)</v>
      </c>
      <c r="G491" s="294" t="str">
        <f>IF(F491 = "BULKHEADS ETC", "SHARED OR NO POLE", VLOOKUP(D491,'Tariff Schedule Lookup Table'!I$7:L$298,3,FALSE))</f>
        <v>SHARED OR NO POLE</v>
      </c>
      <c r="H491" s="294">
        <f>IF(F491 = "NO CAPITAL", 1, VLOOKUP(D491,'Tariff Schedule Lookup Table'!I$7:L$298,4,FALSE))</f>
        <v>2</v>
      </c>
      <c r="I491" s="296">
        <f>VLOOKUP(G491,'Input data'!$A$68:$B$72,2,FALSE)</f>
        <v>0</v>
      </c>
      <c r="J491" s="296">
        <f>VLOOKUP($B491,'Maintenance Costs'!$A:$AB,22,FALSE)</f>
        <v>22.430183333197292</v>
      </c>
      <c r="K491" s="296">
        <f>VLOOKUP($B491,'Maintenance Costs'!$A:$AB,28,FALSE)</f>
        <v>25.940538541395373</v>
      </c>
      <c r="L491" s="297">
        <f t="shared" si="40"/>
        <v>48.370721874592661</v>
      </c>
      <c r="M491">
        <v>66.328808655598522</v>
      </c>
      <c r="N491" s="30">
        <f t="shared" si="41"/>
        <v>-17.958086781005861</v>
      </c>
    </row>
    <row r="492" spans="1:14" ht="22.5" x14ac:dyDescent="0.2">
      <c r="A492" s="299" t="s">
        <v>1357</v>
      </c>
      <c r="B492" s="298" t="str">
        <f t="shared" si="37"/>
        <v>MHR0070-ST</v>
      </c>
      <c r="C492" s="294" t="str">
        <f>VLOOKUP(LEFT(A492,7),'Tariff Schedule Lookup Table'!$A$8:$G$198,2,FALSE)</f>
        <v>Metal Hallide (Reactor Control Gear) 400</v>
      </c>
      <c r="D492" s="295">
        <f t="shared" si="38"/>
        <v>1080</v>
      </c>
      <c r="E492" s="294">
        <f t="shared" si="39"/>
        <v>2</v>
      </c>
      <c r="F492" s="294" t="str">
        <f>VLOOKUP(D492,'Tariff Schedule Lookup Table'!I$7:L$298,2,FALSE)</f>
        <v>METAL HALIDE/HPS 400W FLOOD (310/360)</v>
      </c>
      <c r="G492" s="294" t="str">
        <f>IF(F492 = "BULKHEADS ETC", "SHARED OR NO POLE", VLOOKUP(D492,'Tariff Schedule Lookup Table'!I$7:L$298,3,FALSE))</f>
        <v>SHARED OR NO POLE</v>
      </c>
      <c r="H492" s="294">
        <f>IF(F492 = "NO CAPITAL", 1, VLOOKUP(D492,'Tariff Schedule Lookup Table'!I$7:L$298,4,FALSE))</f>
        <v>2</v>
      </c>
      <c r="I492" s="296">
        <f>VLOOKUP(G492,'Input data'!$A$68:$B$72,2,FALSE)</f>
        <v>0</v>
      </c>
      <c r="J492" s="296">
        <f>VLOOKUP($B492,'Maintenance Costs'!$A:$AB,22,FALSE)</f>
        <v>22.430183333197292</v>
      </c>
      <c r="K492" s="296">
        <f>VLOOKUP($B492,'Maintenance Costs'!$A:$AB,28,FALSE)</f>
        <v>25.940538541395373</v>
      </c>
      <c r="L492" s="297">
        <f t="shared" si="40"/>
        <v>48.370721874592661</v>
      </c>
      <c r="M492">
        <v>66.328808655598522</v>
      </c>
      <c r="N492" s="30">
        <f t="shared" si="41"/>
        <v>-17.958086781005861</v>
      </c>
    </row>
    <row r="493" spans="1:14" ht="22.5" x14ac:dyDescent="0.2">
      <c r="A493" s="299" t="s">
        <v>1358</v>
      </c>
      <c r="B493" s="298" t="str">
        <f t="shared" si="37"/>
        <v>MHR0070-ST</v>
      </c>
      <c r="C493" s="294" t="str">
        <f>VLOOKUP(LEFT(A493,7),'Tariff Schedule Lookup Table'!$A$8:$G$198,2,FALSE)</f>
        <v>Metal Hallide (Reactor Control Gear) 400</v>
      </c>
      <c r="D493" s="295">
        <f t="shared" si="38"/>
        <v>1130</v>
      </c>
      <c r="E493" s="294">
        <f t="shared" si="39"/>
        <v>1</v>
      </c>
      <c r="F493" s="294" t="str">
        <f>VLOOKUP(D493,'Tariff Schedule Lookup Table'!I$7:L$298,2,FALSE)</f>
        <v>METAL HALIDE/HPS 400W FLOOD (310/360)</v>
      </c>
      <c r="G493" s="294" t="str">
        <f>IF(F493 = "BULKHEADS ETC", "SHARED OR NO POLE", VLOOKUP(D493,'Tariff Schedule Lookup Table'!I$7:L$298,3,FALSE))</f>
        <v>STEEL POLE</v>
      </c>
      <c r="H493" s="294">
        <f>IF(F493 = "NO CAPITAL", 1, VLOOKUP(D493,'Tariff Schedule Lookup Table'!I$7:L$298,4,FALSE))</f>
        <v>2</v>
      </c>
      <c r="I493" s="296">
        <f>VLOOKUP(G493,'Input data'!$A$68:$B$72,2,FALSE)</f>
        <v>9.8748837500000004</v>
      </c>
      <c r="J493" s="296">
        <f>VLOOKUP($B493,'Maintenance Costs'!$A:$AB,22,FALSE)</f>
        <v>22.430183333197292</v>
      </c>
      <c r="K493" s="296">
        <f>VLOOKUP($B493,'Maintenance Costs'!$A:$AB,28,FALSE)</f>
        <v>25.940538541395373</v>
      </c>
      <c r="L493" s="297">
        <f t="shared" si="40"/>
        <v>53.308163749592659</v>
      </c>
      <c r="M493">
        <v>71.266250530598526</v>
      </c>
      <c r="N493" s="30">
        <f t="shared" si="41"/>
        <v>-17.958086781005868</v>
      </c>
    </row>
    <row r="494" spans="1:14" ht="22.5" x14ac:dyDescent="0.2">
      <c r="A494" s="299" t="s">
        <v>1359</v>
      </c>
      <c r="B494" s="298" t="str">
        <f t="shared" si="37"/>
        <v>MHR0070-ST</v>
      </c>
      <c r="C494" s="294" t="str">
        <f>VLOOKUP(LEFT(A494,7),'Tariff Schedule Lookup Table'!$A$8:$G$198,2,FALSE)</f>
        <v>Metal Hallide (Reactor Control Gear) 400</v>
      </c>
      <c r="D494" s="295">
        <f t="shared" si="38"/>
        <v>1170</v>
      </c>
      <c r="E494" s="294">
        <f t="shared" si="39"/>
        <v>1</v>
      </c>
      <c r="F494" s="294" t="str">
        <f>VLOOKUP(D494,'Tariff Schedule Lookup Table'!I$7:L$298,2,FALSE)</f>
        <v>METAL HALIDE/HPS 400W FLOOD (310/360)</v>
      </c>
      <c r="G494" s="294" t="str">
        <f>IF(F494 = "BULKHEADS ETC", "SHARED OR NO POLE", VLOOKUP(D494,'Tariff Schedule Lookup Table'!I$7:L$298,3,FALSE))</f>
        <v>STEEL POLE</v>
      </c>
      <c r="H494" s="294">
        <f>IF(F494 = "NO CAPITAL", 1, VLOOKUP(D494,'Tariff Schedule Lookup Table'!I$7:L$298,4,FALSE))</f>
        <v>1</v>
      </c>
      <c r="I494" s="296">
        <f>VLOOKUP(G494,'Input data'!$A$68:$B$72,2,FALSE)</f>
        <v>9.8748837500000004</v>
      </c>
      <c r="J494" s="296">
        <f>VLOOKUP($B494,'Maintenance Costs'!$A:$AB,22,FALSE)</f>
        <v>22.430183333197292</v>
      </c>
      <c r="K494" s="296">
        <f>VLOOKUP($B494,'Maintenance Costs'!$A:$AB,28,FALSE)</f>
        <v>25.940538541395373</v>
      </c>
      <c r="L494" s="297">
        <f t="shared" si="40"/>
        <v>58.245605624592663</v>
      </c>
      <c r="M494">
        <v>76.203692405598517</v>
      </c>
      <c r="N494" s="30">
        <f t="shared" si="41"/>
        <v>-17.958086781005854</v>
      </c>
    </row>
    <row r="495" spans="1:14" ht="22.5" x14ac:dyDescent="0.2">
      <c r="A495" s="299" t="s">
        <v>1360</v>
      </c>
      <c r="B495" s="298" t="str">
        <f t="shared" si="37"/>
        <v>MHR0070-ST</v>
      </c>
      <c r="C495" s="294" t="str">
        <f>VLOOKUP(LEFT(A495,7),'Tariff Schedule Lookup Table'!$A$8:$G$198,2,FALSE)</f>
        <v>Metal Hallide (Reactor Control Gear) 400</v>
      </c>
      <c r="D495" s="295">
        <f t="shared" si="38"/>
        <v>1170</v>
      </c>
      <c r="E495" s="294">
        <f t="shared" si="39"/>
        <v>2</v>
      </c>
      <c r="F495" s="294" t="str">
        <f>VLOOKUP(D495,'Tariff Schedule Lookup Table'!I$7:L$298,2,FALSE)</f>
        <v>METAL HALIDE/HPS 400W FLOOD (310/360)</v>
      </c>
      <c r="G495" s="294" t="str">
        <f>IF(F495 = "BULKHEADS ETC", "SHARED OR NO POLE", VLOOKUP(D495,'Tariff Schedule Lookup Table'!I$7:L$298,3,FALSE))</f>
        <v>STEEL POLE</v>
      </c>
      <c r="H495" s="294">
        <f>IF(F495 = "NO CAPITAL", 1, VLOOKUP(D495,'Tariff Schedule Lookup Table'!I$7:L$298,4,FALSE))</f>
        <v>1</v>
      </c>
      <c r="I495" s="296">
        <f>VLOOKUP(G495,'Input data'!$A$68:$B$72,2,FALSE)</f>
        <v>9.8748837500000004</v>
      </c>
      <c r="J495" s="296">
        <f>VLOOKUP($B495,'Maintenance Costs'!$A:$AB,22,FALSE)</f>
        <v>22.430183333197292</v>
      </c>
      <c r="K495" s="296">
        <f>VLOOKUP($B495,'Maintenance Costs'!$A:$AB,28,FALSE)</f>
        <v>25.940538541395373</v>
      </c>
      <c r="L495" s="297">
        <f t="shared" si="40"/>
        <v>58.245605624592663</v>
      </c>
      <c r="M495">
        <v>76.203692405598517</v>
      </c>
      <c r="N495" s="30">
        <f t="shared" si="41"/>
        <v>-17.958086781005854</v>
      </c>
    </row>
    <row r="496" spans="1:14" ht="22.5" x14ac:dyDescent="0.2">
      <c r="A496" s="299" t="s">
        <v>830</v>
      </c>
      <c r="B496" s="298" t="str">
        <f t="shared" si="37"/>
        <v>MHR0070-ST</v>
      </c>
      <c r="C496" s="294" t="str">
        <f>VLOOKUP(LEFT(A496,7),'Tariff Schedule Lookup Table'!$A$8:$G$198,2,FALSE)</f>
        <v>Metal Hallide (Reactor Control Gear) 400</v>
      </c>
      <c r="D496" s="295">
        <f t="shared" si="38"/>
        <v>1170</v>
      </c>
      <c r="E496" s="294">
        <f t="shared" si="39"/>
        <v>4</v>
      </c>
      <c r="F496" s="294" t="str">
        <f>VLOOKUP(D496,'Tariff Schedule Lookup Table'!I$7:L$298,2,FALSE)</f>
        <v>METAL HALIDE/HPS 400W FLOOD (310/360)</v>
      </c>
      <c r="G496" s="294" t="str">
        <f>IF(F496 = "BULKHEADS ETC", "SHARED OR NO POLE", VLOOKUP(D496,'Tariff Schedule Lookup Table'!I$7:L$298,3,FALSE))</f>
        <v>STEEL POLE</v>
      </c>
      <c r="H496" s="294">
        <f>IF(F496 = "NO CAPITAL", 1, VLOOKUP(D496,'Tariff Schedule Lookup Table'!I$7:L$298,4,FALSE))</f>
        <v>1</v>
      </c>
      <c r="I496" s="296">
        <f>VLOOKUP(G496,'Input data'!$A$68:$B$72,2,FALSE)</f>
        <v>9.8748837500000004</v>
      </c>
      <c r="J496" s="296">
        <f>VLOOKUP($B496,'Maintenance Costs'!$A:$AB,22,FALSE)</f>
        <v>22.430183333197292</v>
      </c>
      <c r="K496" s="296">
        <f>VLOOKUP($B496,'Maintenance Costs'!$A:$AB,28,FALSE)</f>
        <v>25.940538541395373</v>
      </c>
      <c r="L496" s="297">
        <f t="shared" si="40"/>
        <v>58.245605624592663</v>
      </c>
      <c r="M496">
        <v>76.203692405598517</v>
      </c>
      <c r="N496" s="30">
        <f t="shared" si="41"/>
        <v>-17.958086781005854</v>
      </c>
    </row>
    <row r="497" spans="1:14" ht="22.5" x14ac:dyDescent="0.2">
      <c r="A497" s="299" t="s">
        <v>1361</v>
      </c>
      <c r="B497" s="298" t="str">
        <f t="shared" si="37"/>
        <v>MHR0100-ST</v>
      </c>
      <c r="C497" s="294" t="str">
        <f>VLOOKUP(LEFT(A497,7),'Tariff Schedule Lookup Table'!$A$8:$G$198,2,FALSE)</f>
        <v>Metal Hallide (Reactor Control Gear) 1000</v>
      </c>
      <c r="D497" s="295">
        <f t="shared" si="38"/>
        <v>1</v>
      </c>
      <c r="E497" s="294">
        <f t="shared" si="39"/>
        <v>6</v>
      </c>
      <c r="F497" s="294" t="str">
        <f>VLOOKUP(D497,'Tariff Schedule Lookup Table'!I$7:L$298,2,FALSE)</f>
        <v>NO CAPITAL</v>
      </c>
      <c r="G497" s="294" t="str">
        <f>IF(F497 = "BULKHEADS ETC", "SHARED OR NO POLE", VLOOKUP(D497,'Tariff Schedule Lookup Table'!I$7:L$298,3,FALSE))</f>
        <v>NO CAPITAL</v>
      </c>
      <c r="H497" s="294">
        <f>IF(F497 = "NO CAPITAL", 1, VLOOKUP(D497,'Tariff Schedule Lookup Table'!I$7:L$298,4,FALSE))</f>
        <v>1</v>
      </c>
      <c r="I497" s="296">
        <f>VLOOKUP(G497,'Input data'!$A$68:$B$72,2,FALSE)</f>
        <v>0</v>
      </c>
      <c r="J497" s="296">
        <v>0</v>
      </c>
      <c r="K497" s="296">
        <v>0</v>
      </c>
      <c r="L497" s="297">
        <f t="shared" si="40"/>
        <v>0</v>
      </c>
      <c r="M497">
        <v>0</v>
      </c>
      <c r="N497" s="30">
        <f t="shared" si="41"/>
        <v>0</v>
      </c>
    </row>
    <row r="498" spans="1:14" ht="22.5" x14ac:dyDescent="0.2">
      <c r="A498" s="299" t="s">
        <v>1362</v>
      </c>
      <c r="B498" s="298" t="str">
        <f t="shared" si="37"/>
        <v>MHR0100-ST</v>
      </c>
      <c r="C498" s="294" t="str">
        <f>VLOOKUP(LEFT(A498,7),'Tariff Schedule Lookup Table'!$A$8:$G$198,2,FALSE)</f>
        <v>Metal Hallide (Reactor Control Gear) 1000</v>
      </c>
      <c r="D498" s="295">
        <f t="shared" si="38"/>
        <v>120</v>
      </c>
      <c r="E498" s="294">
        <f t="shared" si="39"/>
        <v>2</v>
      </c>
      <c r="F498" s="294" t="str">
        <f>VLOOKUP(D498,'Tariff Schedule Lookup Table'!I$7:L$298,2,FALSE)</f>
        <v xml:space="preserve">METAL HALIDE 1000W FLOODLIGHT </v>
      </c>
      <c r="G498" s="294" t="str">
        <f>IF(F498 = "BULKHEADS ETC", "SHARED OR NO POLE", VLOOKUP(D498,'Tariff Schedule Lookup Table'!I$7:L$298,3,FALSE))</f>
        <v>SHARED OR NO POLE</v>
      </c>
      <c r="H498" s="294">
        <f>IF(F498 = "NO CAPITAL", 1, VLOOKUP(D498,'Tariff Schedule Lookup Table'!I$7:L$298,4,FALSE))</f>
        <v>1</v>
      </c>
      <c r="I498" s="296">
        <f>VLOOKUP(G498,'Input data'!$A$68:$B$72,2,FALSE)</f>
        <v>0</v>
      </c>
      <c r="J498" s="296">
        <f>VLOOKUP($B498,'Maintenance Costs'!$A:$AB,22,FALSE)</f>
        <v>23.390244869197293</v>
      </c>
      <c r="K498" s="296">
        <f>VLOOKUP($B498,'Maintenance Costs'!$A:$AB,28,FALSE)</f>
        <v>28.201881541395373</v>
      </c>
      <c r="L498" s="297">
        <f t="shared" si="40"/>
        <v>51.59212641059267</v>
      </c>
      <c r="M498">
        <v>70.700019575198525</v>
      </c>
      <c r="N498" s="30">
        <f t="shared" si="41"/>
        <v>-19.107893164605855</v>
      </c>
    </row>
    <row r="499" spans="1:14" ht="22.5" x14ac:dyDescent="0.2">
      <c r="A499" s="299" t="s">
        <v>421</v>
      </c>
      <c r="B499" s="298" t="str">
        <f t="shared" si="37"/>
        <v>MHR0100-ST</v>
      </c>
      <c r="C499" s="294" t="str">
        <f>VLOOKUP(LEFT(A499,7),'Tariff Schedule Lookup Table'!$A$8:$G$198,2,FALSE)</f>
        <v>Metal Hallide (Reactor Control Gear) 1000</v>
      </c>
      <c r="D499" s="295">
        <f t="shared" si="38"/>
        <v>120</v>
      </c>
      <c r="E499" s="294">
        <f t="shared" si="39"/>
        <v>4</v>
      </c>
      <c r="F499" s="294" t="str">
        <f>VLOOKUP(D499,'Tariff Schedule Lookup Table'!I$7:L$298,2,FALSE)</f>
        <v xml:space="preserve">METAL HALIDE 1000W FLOODLIGHT </v>
      </c>
      <c r="G499" s="294" t="str">
        <f>IF(F499 = "BULKHEADS ETC", "SHARED OR NO POLE", VLOOKUP(D499,'Tariff Schedule Lookup Table'!I$7:L$298,3,FALSE))</f>
        <v>SHARED OR NO POLE</v>
      </c>
      <c r="H499" s="294">
        <f>IF(F499 = "NO CAPITAL", 1, VLOOKUP(D499,'Tariff Schedule Lookup Table'!I$7:L$298,4,FALSE))</f>
        <v>1</v>
      </c>
      <c r="I499" s="296">
        <f>VLOOKUP(G499,'Input data'!$A$68:$B$72,2,FALSE)</f>
        <v>0</v>
      </c>
      <c r="J499" s="296">
        <f>VLOOKUP($B499,'Maintenance Costs'!$A:$AB,22,FALSE)</f>
        <v>23.390244869197293</v>
      </c>
      <c r="K499" s="296">
        <f>VLOOKUP($B499,'Maintenance Costs'!$A:$AB,28,FALSE)</f>
        <v>28.201881541395373</v>
      </c>
      <c r="L499" s="297">
        <f t="shared" si="40"/>
        <v>51.59212641059267</v>
      </c>
      <c r="M499">
        <v>70.700019575198525</v>
      </c>
      <c r="N499" s="30">
        <f t="shared" si="41"/>
        <v>-19.107893164605855</v>
      </c>
    </row>
    <row r="500" spans="1:14" x14ac:dyDescent="0.2">
      <c r="A500" s="299" t="s">
        <v>1363</v>
      </c>
      <c r="B500" s="298" t="str">
        <f t="shared" si="37"/>
        <v>MVA0010-ST</v>
      </c>
      <c r="C500" s="294" t="str">
        <f>VLOOKUP(LEFT(A500,7),'Tariff Schedule Lookup Table'!$A$8:$G$198,2,FALSE)</f>
        <v>Mercury Vapour 50</v>
      </c>
      <c r="D500" s="295">
        <f t="shared" si="38"/>
        <v>1</v>
      </c>
      <c r="E500" s="294">
        <f t="shared" si="39"/>
        <v>6</v>
      </c>
      <c r="F500" s="294" t="str">
        <f>VLOOKUP(D500,'Tariff Schedule Lookup Table'!I$7:L$298,2,FALSE)</f>
        <v>NO CAPITAL</v>
      </c>
      <c r="G500" s="294" t="str">
        <f>IF(F500 = "BULKHEADS ETC", "SHARED OR NO POLE", VLOOKUP(D500,'Tariff Schedule Lookup Table'!I$7:L$298,3,FALSE))</f>
        <v>NO CAPITAL</v>
      </c>
      <c r="H500" s="294">
        <f>IF(F500 = "NO CAPITAL", 1, VLOOKUP(D500,'Tariff Schedule Lookup Table'!I$7:L$298,4,FALSE))</f>
        <v>1</v>
      </c>
      <c r="I500" s="296">
        <f>VLOOKUP(G500,'Input data'!$A$68:$B$72,2,FALSE)</f>
        <v>0</v>
      </c>
      <c r="J500" s="296">
        <v>0</v>
      </c>
      <c r="K500" s="296">
        <v>0</v>
      </c>
      <c r="L500" s="297">
        <f t="shared" si="40"/>
        <v>0</v>
      </c>
      <c r="M500">
        <v>0</v>
      </c>
      <c r="N500" s="30">
        <f t="shared" si="41"/>
        <v>0</v>
      </c>
    </row>
    <row r="501" spans="1:14" x14ac:dyDescent="0.2">
      <c r="A501" s="299" t="s">
        <v>1364</v>
      </c>
      <c r="B501" s="298" t="str">
        <f t="shared" si="37"/>
        <v>MVA0010-ST</v>
      </c>
      <c r="C501" s="294" t="str">
        <f>VLOOKUP(LEFT(A501,7),'Tariff Schedule Lookup Table'!$A$8:$G$198,2,FALSE)</f>
        <v>Mercury Vapour 50</v>
      </c>
      <c r="D501" s="295">
        <f t="shared" si="38"/>
        <v>10</v>
      </c>
      <c r="E501" s="294">
        <f t="shared" si="39"/>
        <v>1</v>
      </c>
      <c r="F501" s="294" t="str">
        <f>VLOOKUP(D501,'Tariff Schedule Lookup Table'!I$7:L$298,2,FALSE)</f>
        <v>MERCURY VAPOUR 80W</v>
      </c>
      <c r="G501" s="294" t="str">
        <f>IF(F501 = "BULKHEADS ETC", "SHARED OR NO POLE", VLOOKUP(D501,'Tariff Schedule Lookup Table'!I$7:L$298,3,FALSE))</f>
        <v>SHARED OR NO POLE</v>
      </c>
      <c r="H501" s="294">
        <f>IF(F501 = "NO CAPITAL", 1, VLOOKUP(D501,'Tariff Schedule Lookup Table'!I$7:L$298,4,FALSE))</f>
        <v>1</v>
      </c>
      <c r="I501" s="296">
        <f>VLOOKUP(G501,'Input data'!$A$68:$B$72,2,FALSE)</f>
        <v>0</v>
      </c>
      <c r="J501" s="296">
        <f>VLOOKUP($B501,'Maintenance Costs'!$A:$AB,22,FALSE)</f>
        <v>12.125930978827146</v>
      </c>
      <c r="K501" s="296">
        <f>VLOOKUP($B501,'Maintenance Costs'!$A:$AB,28,FALSE)</f>
        <v>18.886659541395375</v>
      </c>
      <c r="L501" s="297">
        <f t="shared" si="40"/>
        <v>31.01259052022252</v>
      </c>
      <c r="M501">
        <v>39.461862447856724</v>
      </c>
      <c r="N501" s="30">
        <f t="shared" si="41"/>
        <v>-8.4492719276342036</v>
      </c>
    </row>
    <row r="502" spans="1:14" x14ac:dyDescent="0.2">
      <c r="A502" s="299" t="s">
        <v>1365</v>
      </c>
      <c r="B502" s="298" t="str">
        <f t="shared" si="37"/>
        <v>MVA0010-ST</v>
      </c>
      <c r="C502" s="294" t="str">
        <f>VLOOKUP(LEFT(A502,7),'Tariff Schedule Lookup Table'!$A$8:$G$198,2,FALSE)</f>
        <v>Mercury Vapour 50</v>
      </c>
      <c r="D502" s="295">
        <f t="shared" si="38"/>
        <v>10</v>
      </c>
      <c r="E502" s="294">
        <f t="shared" si="39"/>
        <v>2</v>
      </c>
      <c r="F502" s="294" t="str">
        <f>VLOOKUP(D502,'Tariff Schedule Lookup Table'!I$7:L$298,2,FALSE)</f>
        <v>MERCURY VAPOUR 80W</v>
      </c>
      <c r="G502" s="294" t="str">
        <f>IF(F502 = "BULKHEADS ETC", "SHARED OR NO POLE", VLOOKUP(D502,'Tariff Schedule Lookup Table'!I$7:L$298,3,FALSE))</f>
        <v>SHARED OR NO POLE</v>
      </c>
      <c r="H502" s="294">
        <f>IF(F502 = "NO CAPITAL", 1, VLOOKUP(D502,'Tariff Schedule Lookup Table'!I$7:L$298,4,FALSE))</f>
        <v>1</v>
      </c>
      <c r="I502" s="296">
        <f>VLOOKUP(G502,'Input data'!$A$68:$B$72,2,FALSE)</f>
        <v>0</v>
      </c>
      <c r="J502" s="296">
        <f>VLOOKUP($B502,'Maintenance Costs'!$A:$AB,22,FALSE)</f>
        <v>12.125930978827146</v>
      </c>
      <c r="K502" s="296">
        <f>VLOOKUP($B502,'Maintenance Costs'!$A:$AB,28,FALSE)</f>
        <v>18.886659541395375</v>
      </c>
      <c r="L502" s="297">
        <f t="shared" si="40"/>
        <v>31.01259052022252</v>
      </c>
      <c r="M502">
        <v>39.461862447856724</v>
      </c>
      <c r="N502" s="30">
        <f t="shared" si="41"/>
        <v>-8.4492719276342036</v>
      </c>
    </row>
    <row r="503" spans="1:14" x14ac:dyDescent="0.2">
      <c r="A503" s="299" t="s">
        <v>419</v>
      </c>
      <c r="B503" s="298" t="str">
        <f t="shared" si="37"/>
        <v>MVA0010-ST</v>
      </c>
      <c r="C503" s="294" t="str">
        <f>VLOOKUP(LEFT(A503,7),'Tariff Schedule Lookup Table'!$A$8:$G$198,2,FALSE)</f>
        <v>Mercury Vapour 50</v>
      </c>
      <c r="D503" s="295">
        <f t="shared" si="38"/>
        <v>10</v>
      </c>
      <c r="E503" s="294">
        <f t="shared" si="39"/>
        <v>4</v>
      </c>
      <c r="F503" s="294" t="str">
        <f>VLOOKUP(D503,'Tariff Schedule Lookup Table'!I$7:L$298,2,FALSE)</f>
        <v>MERCURY VAPOUR 80W</v>
      </c>
      <c r="G503" s="294" t="str">
        <f>IF(F503 = "BULKHEADS ETC", "SHARED OR NO POLE", VLOOKUP(D503,'Tariff Schedule Lookup Table'!I$7:L$298,3,FALSE))</f>
        <v>SHARED OR NO POLE</v>
      </c>
      <c r="H503" s="294">
        <f>IF(F503 = "NO CAPITAL", 1, VLOOKUP(D503,'Tariff Schedule Lookup Table'!I$7:L$298,4,FALSE))</f>
        <v>1</v>
      </c>
      <c r="I503" s="296">
        <f>VLOOKUP(G503,'Input data'!$A$68:$B$72,2,FALSE)</f>
        <v>0</v>
      </c>
      <c r="J503" s="296">
        <f>VLOOKUP($B503,'Maintenance Costs'!$A:$AB,22,FALSE)</f>
        <v>12.125930978827146</v>
      </c>
      <c r="K503" s="296">
        <f>VLOOKUP($B503,'Maintenance Costs'!$A:$AB,28,FALSE)</f>
        <v>18.886659541395375</v>
      </c>
      <c r="L503" s="297">
        <f t="shared" si="40"/>
        <v>31.01259052022252</v>
      </c>
      <c r="M503">
        <v>39.461862447856724</v>
      </c>
      <c r="N503" s="30">
        <f t="shared" si="41"/>
        <v>-8.4492719276342036</v>
      </c>
    </row>
    <row r="504" spans="1:14" x14ac:dyDescent="0.2">
      <c r="A504" s="299" t="s">
        <v>1366</v>
      </c>
      <c r="B504" s="298" t="str">
        <f t="shared" si="37"/>
        <v>MVA0010-ST</v>
      </c>
      <c r="C504" s="294" t="str">
        <f>VLOOKUP(LEFT(A504,7),'Tariff Schedule Lookup Table'!$A$8:$G$198,2,FALSE)</f>
        <v>Mercury Vapour 50</v>
      </c>
      <c r="D504" s="295">
        <f t="shared" si="38"/>
        <v>740</v>
      </c>
      <c r="E504" s="294">
        <f t="shared" si="39"/>
        <v>1</v>
      </c>
      <c r="F504" s="294" t="str">
        <f>VLOOKUP(D504,'Tariff Schedule Lookup Table'!I$7:L$298,2,FALSE)</f>
        <v>MERCURY VAPOUR 80W</v>
      </c>
      <c r="G504" s="294" t="str">
        <f>IF(F504 = "BULKHEADS ETC", "SHARED OR NO POLE", VLOOKUP(D504,'Tariff Schedule Lookup Table'!I$7:L$298,3,FALSE))</f>
        <v>SHARED OR NO POLE</v>
      </c>
      <c r="H504" s="294">
        <f>IF(F504 = "NO CAPITAL", 1, VLOOKUP(D504,'Tariff Schedule Lookup Table'!I$7:L$298,4,FALSE))</f>
        <v>2</v>
      </c>
      <c r="I504" s="296">
        <f>VLOOKUP(G504,'Input data'!$A$68:$B$72,2,FALSE)</f>
        <v>0</v>
      </c>
      <c r="J504" s="296">
        <f>VLOOKUP($B504,'Maintenance Costs'!$A:$AB,22,FALSE)</f>
        <v>12.125930978827146</v>
      </c>
      <c r="K504" s="296">
        <f>VLOOKUP($B504,'Maintenance Costs'!$A:$AB,28,FALSE)</f>
        <v>18.886659541395375</v>
      </c>
      <c r="L504" s="297">
        <f t="shared" si="40"/>
        <v>31.01259052022252</v>
      </c>
      <c r="M504">
        <v>39.461862447856724</v>
      </c>
      <c r="N504" s="30">
        <f t="shared" si="41"/>
        <v>-8.4492719276342036</v>
      </c>
    </row>
    <row r="505" spans="1:14" x14ac:dyDescent="0.2">
      <c r="A505" s="299" t="s">
        <v>1367</v>
      </c>
      <c r="B505" s="298" t="str">
        <f t="shared" si="37"/>
        <v>MVA0010-ST</v>
      </c>
      <c r="C505" s="294" t="str">
        <f>VLOOKUP(LEFT(A505,7),'Tariff Schedule Lookup Table'!$A$8:$G$198,2,FALSE)</f>
        <v>Mercury Vapour 50</v>
      </c>
      <c r="D505" s="295">
        <f t="shared" si="38"/>
        <v>810</v>
      </c>
      <c r="E505" s="294">
        <f t="shared" si="39"/>
        <v>1</v>
      </c>
      <c r="F505" s="294" t="str">
        <f>VLOOKUP(D505,'Tariff Schedule Lookup Table'!I$7:L$298,2,FALSE)</f>
        <v>MERCURY VAPOUR 80W</v>
      </c>
      <c r="G505" s="294" t="str">
        <f>IF(F505 = "BULKHEADS ETC", "SHARED OR NO POLE", VLOOKUP(D505,'Tariff Schedule Lookup Table'!I$7:L$298,3,FALSE))</f>
        <v>WOOD POLE</v>
      </c>
      <c r="H505" s="294">
        <f>IF(F505 = "NO CAPITAL", 1, VLOOKUP(D505,'Tariff Schedule Lookup Table'!I$7:L$298,4,FALSE))</f>
        <v>1</v>
      </c>
      <c r="I505" s="296">
        <f>VLOOKUP(G505,'Input data'!$A$68:$B$72,2,FALSE)</f>
        <v>10.809914000000001</v>
      </c>
      <c r="J505" s="296">
        <f>VLOOKUP($B505,'Maintenance Costs'!$A:$AB,22,FALSE)</f>
        <v>12.125930978827146</v>
      </c>
      <c r="K505" s="296">
        <f>VLOOKUP($B505,'Maintenance Costs'!$A:$AB,28,FALSE)</f>
        <v>18.886659541395375</v>
      </c>
      <c r="L505" s="297">
        <f t="shared" si="40"/>
        <v>41.822504520222523</v>
      </c>
      <c r="M505">
        <v>50.271776447856723</v>
      </c>
      <c r="N505" s="30">
        <f t="shared" si="41"/>
        <v>-8.4492719276342001</v>
      </c>
    </row>
    <row r="506" spans="1:14" x14ac:dyDescent="0.2">
      <c r="A506" s="299" t="s">
        <v>1368</v>
      </c>
      <c r="B506" s="298" t="str">
        <f t="shared" si="37"/>
        <v>MVA0010-ST</v>
      </c>
      <c r="C506" s="294" t="str">
        <f>VLOOKUP(LEFT(A506,7),'Tariff Schedule Lookup Table'!$A$8:$G$198,2,FALSE)</f>
        <v>Mercury Vapour 50</v>
      </c>
      <c r="D506" s="295">
        <f t="shared" si="38"/>
        <v>810</v>
      </c>
      <c r="E506" s="294">
        <f t="shared" si="39"/>
        <v>2</v>
      </c>
      <c r="F506" s="294" t="str">
        <f>VLOOKUP(D506,'Tariff Schedule Lookup Table'!I$7:L$298,2,FALSE)</f>
        <v>MERCURY VAPOUR 80W</v>
      </c>
      <c r="G506" s="294" t="str">
        <f>IF(F506 = "BULKHEADS ETC", "SHARED OR NO POLE", VLOOKUP(D506,'Tariff Schedule Lookup Table'!I$7:L$298,3,FALSE))</f>
        <v>WOOD POLE</v>
      </c>
      <c r="H506" s="294">
        <f>IF(F506 = "NO CAPITAL", 1, VLOOKUP(D506,'Tariff Schedule Lookup Table'!I$7:L$298,4,FALSE))</f>
        <v>1</v>
      </c>
      <c r="I506" s="296">
        <f>VLOOKUP(G506,'Input data'!$A$68:$B$72,2,FALSE)</f>
        <v>10.809914000000001</v>
      </c>
      <c r="J506" s="296">
        <f>VLOOKUP($B506,'Maintenance Costs'!$A:$AB,22,FALSE)</f>
        <v>12.125930978827146</v>
      </c>
      <c r="K506" s="296">
        <f>VLOOKUP($B506,'Maintenance Costs'!$A:$AB,28,FALSE)</f>
        <v>18.886659541395375</v>
      </c>
      <c r="L506" s="297">
        <f t="shared" si="40"/>
        <v>41.822504520222523</v>
      </c>
      <c r="M506">
        <v>50.271776447856723</v>
      </c>
      <c r="N506" s="30">
        <f t="shared" si="41"/>
        <v>-8.4492719276342001</v>
      </c>
    </row>
    <row r="507" spans="1:14" x14ac:dyDescent="0.2">
      <c r="A507" s="299" t="s">
        <v>1369</v>
      </c>
      <c r="B507" s="298" t="str">
        <f t="shared" si="37"/>
        <v>MVA0010-ST</v>
      </c>
      <c r="C507" s="294" t="str">
        <f>VLOOKUP(LEFT(A507,7),'Tariff Schedule Lookup Table'!$A$8:$G$198,2,FALSE)</f>
        <v>Mercury Vapour 50</v>
      </c>
      <c r="D507" s="295">
        <f t="shared" si="38"/>
        <v>990</v>
      </c>
      <c r="E507" s="294">
        <f t="shared" si="39"/>
        <v>1</v>
      </c>
      <c r="F507" s="294" t="str">
        <f>VLOOKUP(D507,'Tariff Schedule Lookup Table'!I$7:L$298,2,FALSE)</f>
        <v>MERCURY VAPOUR 80W</v>
      </c>
      <c r="G507" s="294" t="str">
        <f>IF(F507 = "BULKHEADS ETC", "SHARED OR NO POLE", VLOOKUP(D507,'Tariff Schedule Lookup Table'!I$7:L$298,3,FALSE))</f>
        <v>STEEL POLE</v>
      </c>
      <c r="H507" s="294">
        <f>IF(F507 = "NO CAPITAL", 1, VLOOKUP(D507,'Tariff Schedule Lookup Table'!I$7:L$298,4,FALSE))</f>
        <v>1</v>
      </c>
      <c r="I507" s="296">
        <f>VLOOKUP(G507,'Input data'!$A$68:$B$72,2,FALSE)</f>
        <v>9.8748837500000004</v>
      </c>
      <c r="J507" s="296">
        <f>VLOOKUP($B507,'Maintenance Costs'!$A:$AB,22,FALSE)</f>
        <v>12.125930978827146</v>
      </c>
      <c r="K507" s="296">
        <f>VLOOKUP($B507,'Maintenance Costs'!$A:$AB,28,FALSE)</f>
        <v>18.886659541395375</v>
      </c>
      <c r="L507" s="297">
        <f t="shared" si="40"/>
        <v>40.887474270222519</v>
      </c>
      <c r="M507">
        <v>49.336746197856726</v>
      </c>
      <c r="N507" s="30">
        <f t="shared" si="41"/>
        <v>-8.4492719276342072</v>
      </c>
    </row>
    <row r="508" spans="1:14" x14ac:dyDescent="0.2">
      <c r="A508" s="299" t="s">
        <v>1370</v>
      </c>
      <c r="B508" s="298" t="str">
        <f t="shared" si="37"/>
        <v>MVA0010-ST</v>
      </c>
      <c r="C508" s="294" t="str">
        <f>VLOOKUP(LEFT(A508,7),'Tariff Schedule Lookup Table'!$A$8:$G$198,2,FALSE)</f>
        <v>Mercury Vapour 50</v>
      </c>
      <c r="D508" s="295">
        <f t="shared" si="38"/>
        <v>990</v>
      </c>
      <c r="E508" s="294">
        <f t="shared" si="39"/>
        <v>2</v>
      </c>
      <c r="F508" s="294" t="str">
        <f>VLOOKUP(D508,'Tariff Schedule Lookup Table'!I$7:L$298,2,FALSE)</f>
        <v>MERCURY VAPOUR 80W</v>
      </c>
      <c r="G508" s="294" t="str">
        <f>IF(F508 = "BULKHEADS ETC", "SHARED OR NO POLE", VLOOKUP(D508,'Tariff Schedule Lookup Table'!I$7:L$298,3,FALSE))</f>
        <v>STEEL POLE</v>
      </c>
      <c r="H508" s="294">
        <f>IF(F508 = "NO CAPITAL", 1, VLOOKUP(D508,'Tariff Schedule Lookup Table'!I$7:L$298,4,FALSE))</f>
        <v>1</v>
      </c>
      <c r="I508" s="296">
        <f>VLOOKUP(G508,'Input data'!$A$68:$B$72,2,FALSE)</f>
        <v>9.8748837500000004</v>
      </c>
      <c r="J508" s="296">
        <f>VLOOKUP($B508,'Maintenance Costs'!$A:$AB,22,FALSE)</f>
        <v>12.125930978827146</v>
      </c>
      <c r="K508" s="296">
        <f>VLOOKUP($B508,'Maintenance Costs'!$A:$AB,28,FALSE)</f>
        <v>18.886659541395375</v>
      </c>
      <c r="L508" s="297">
        <f t="shared" si="40"/>
        <v>40.887474270222519</v>
      </c>
      <c r="M508">
        <v>49.336746197856726</v>
      </c>
      <c r="N508" s="30">
        <f t="shared" si="41"/>
        <v>-8.4492719276342072</v>
      </c>
    </row>
    <row r="509" spans="1:14" x14ac:dyDescent="0.2">
      <c r="A509" s="299" t="s">
        <v>420</v>
      </c>
      <c r="B509" s="298" t="str">
        <f t="shared" si="37"/>
        <v>MVA0010-ST</v>
      </c>
      <c r="C509" s="294" t="str">
        <f>VLOOKUP(LEFT(A509,7),'Tariff Schedule Lookup Table'!$A$8:$G$198,2,FALSE)</f>
        <v>Mercury Vapour 50</v>
      </c>
      <c r="D509" s="295">
        <f t="shared" si="38"/>
        <v>990</v>
      </c>
      <c r="E509" s="294">
        <f t="shared" si="39"/>
        <v>4</v>
      </c>
      <c r="F509" s="294" t="str">
        <f>VLOOKUP(D509,'Tariff Schedule Lookup Table'!I$7:L$298,2,FALSE)</f>
        <v>MERCURY VAPOUR 80W</v>
      </c>
      <c r="G509" s="294" t="str">
        <f>IF(F509 = "BULKHEADS ETC", "SHARED OR NO POLE", VLOOKUP(D509,'Tariff Schedule Lookup Table'!I$7:L$298,3,FALSE))</f>
        <v>STEEL POLE</v>
      </c>
      <c r="H509" s="294">
        <f>IF(F509 = "NO CAPITAL", 1, VLOOKUP(D509,'Tariff Schedule Lookup Table'!I$7:L$298,4,FALSE))</f>
        <v>1</v>
      </c>
      <c r="I509" s="296">
        <f>VLOOKUP(G509,'Input data'!$A$68:$B$72,2,FALSE)</f>
        <v>9.8748837500000004</v>
      </c>
      <c r="J509" s="296">
        <f>VLOOKUP($B509,'Maintenance Costs'!$A:$AB,22,FALSE)</f>
        <v>12.125930978827146</v>
      </c>
      <c r="K509" s="296">
        <f>VLOOKUP($B509,'Maintenance Costs'!$A:$AB,28,FALSE)</f>
        <v>18.886659541395375</v>
      </c>
      <c r="L509" s="297">
        <f t="shared" si="40"/>
        <v>40.887474270222519</v>
      </c>
      <c r="M509">
        <v>49.336746197856726</v>
      </c>
      <c r="N509" s="30">
        <f t="shared" si="41"/>
        <v>-8.4492719276342072</v>
      </c>
    </row>
    <row r="510" spans="1:14" x14ac:dyDescent="0.2">
      <c r="A510" s="299" t="s">
        <v>1371</v>
      </c>
      <c r="B510" s="298" t="str">
        <f t="shared" si="37"/>
        <v>MVA0010-ST</v>
      </c>
      <c r="C510" s="294" t="str">
        <f>VLOOKUP(LEFT(A510,7),'Tariff Schedule Lookup Table'!$A$8:$G$198,2,FALSE)</f>
        <v>Mercury Vapour 50</v>
      </c>
      <c r="D510" s="295">
        <f t="shared" si="38"/>
        <v>1000</v>
      </c>
      <c r="E510" s="294">
        <f t="shared" si="39"/>
        <v>2</v>
      </c>
      <c r="F510" s="294" t="str">
        <f>VLOOKUP(D510,'Tariff Schedule Lookup Table'!I$7:L$298,2,FALSE)</f>
        <v>MERCURY VAPOUR 80W</v>
      </c>
      <c r="G510" s="294" t="str">
        <f>IF(F510 = "BULKHEADS ETC", "SHARED OR NO POLE", VLOOKUP(D510,'Tariff Schedule Lookup Table'!I$7:L$298,3,FALSE))</f>
        <v>STEEL POLE</v>
      </c>
      <c r="H510" s="294">
        <f>IF(F510 = "NO CAPITAL", 1, VLOOKUP(D510,'Tariff Schedule Lookup Table'!I$7:L$298,4,FALSE))</f>
        <v>2</v>
      </c>
      <c r="I510" s="296">
        <f>VLOOKUP(G510,'Input data'!$A$68:$B$72,2,FALSE)</f>
        <v>9.8748837500000004</v>
      </c>
      <c r="J510" s="296">
        <f>VLOOKUP($B510,'Maintenance Costs'!$A:$AB,22,FALSE)</f>
        <v>12.125930978827146</v>
      </c>
      <c r="K510" s="296">
        <f>VLOOKUP($B510,'Maintenance Costs'!$A:$AB,28,FALSE)</f>
        <v>18.886659541395375</v>
      </c>
      <c r="L510" s="297">
        <f t="shared" si="40"/>
        <v>35.950032395222522</v>
      </c>
      <c r="M510">
        <v>44.399304322856722</v>
      </c>
      <c r="N510" s="30">
        <f t="shared" si="41"/>
        <v>-8.4492719276342001</v>
      </c>
    </row>
    <row r="511" spans="1:14" x14ac:dyDescent="0.2">
      <c r="A511" s="299" t="s">
        <v>1372</v>
      </c>
      <c r="B511" s="298" t="str">
        <f t="shared" si="37"/>
        <v>MVA0020-ST</v>
      </c>
      <c r="C511" s="294" t="str">
        <f>VLOOKUP(LEFT(A511,7),'Tariff Schedule Lookup Table'!$A$8:$G$198,2,FALSE)</f>
        <v>Mercury Vapour 80</v>
      </c>
      <c r="D511" s="295">
        <f t="shared" si="38"/>
        <v>1</v>
      </c>
      <c r="E511" s="294">
        <f t="shared" si="39"/>
        <v>6</v>
      </c>
      <c r="F511" s="294" t="str">
        <f>VLOOKUP(D511,'Tariff Schedule Lookup Table'!I$7:L$298,2,FALSE)</f>
        <v>NO CAPITAL</v>
      </c>
      <c r="G511" s="294" t="str">
        <f>IF(F511 = "BULKHEADS ETC", "SHARED OR NO POLE", VLOOKUP(D511,'Tariff Schedule Lookup Table'!I$7:L$298,3,FALSE))</f>
        <v>NO CAPITAL</v>
      </c>
      <c r="H511" s="294">
        <f>IF(F511 = "NO CAPITAL", 1, VLOOKUP(D511,'Tariff Schedule Lookup Table'!I$7:L$298,4,FALSE))</f>
        <v>1</v>
      </c>
      <c r="I511" s="296">
        <f>VLOOKUP(G511,'Input data'!$A$68:$B$72,2,FALSE)</f>
        <v>0</v>
      </c>
      <c r="J511" s="296">
        <v>0</v>
      </c>
      <c r="K511" s="296">
        <v>0</v>
      </c>
      <c r="L511" s="297">
        <f t="shared" si="40"/>
        <v>0</v>
      </c>
      <c r="M511">
        <v>0</v>
      </c>
      <c r="N511" s="30">
        <f t="shared" si="41"/>
        <v>0</v>
      </c>
    </row>
    <row r="512" spans="1:14" x14ac:dyDescent="0.2">
      <c r="A512" s="299" t="s">
        <v>1373</v>
      </c>
      <c r="B512" s="298" t="str">
        <f t="shared" si="37"/>
        <v>MVA0020-ST</v>
      </c>
      <c r="C512" s="294" t="str">
        <f>VLOOKUP(LEFT(A512,7),'Tariff Schedule Lookup Table'!$A$8:$G$198,2,FALSE)</f>
        <v>Mercury Vapour 80</v>
      </c>
      <c r="D512" s="295">
        <f t="shared" si="38"/>
        <v>10</v>
      </c>
      <c r="E512" s="294">
        <f t="shared" si="39"/>
        <v>1</v>
      </c>
      <c r="F512" s="294" t="str">
        <f>VLOOKUP(D512,'Tariff Schedule Lookup Table'!I$7:L$298,2,FALSE)</f>
        <v>MERCURY VAPOUR 80W</v>
      </c>
      <c r="G512" s="294" t="str">
        <f>IF(F512 = "BULKHEADS ETC", "SHARED OR NO POLE", VLOOKUP(D512,'Tariff Schedule Lookup Table'!I$7:L$298,3,FALSE))</f>
        <v>SHARED OR NO POLE</v>
      </c>
      <c r="H512" s="294">
        <f>IF(F512 = "NO CAPITAL", 1, VLOOKUP(D512,'Tariff Schedule Lookup Table'!I$7:L$298,4,FALSE))</f>
        <v>1</v>
      </c>
      <c r="I512" s="296">
        <f>VLOOKUP(G512,'Input data'!$A$68:$B$72,2,FALSE)</f>
        <v>0</v>
      </c>
      <c r="J512" s="296">
        <f>VLOOKUP($B512,'Maintenance Costs'!$A:$AB,22,FALSE)</f>
        <v>11.926803266827147</v>
      </c>
      <c r="K512" s="296">
        <f>VLOOKUP($B512,'Maintenance Costs'!$A:$AB,28,FALSE)</f>
        <v>17.445660541395373</v>
      </c>
      <c r="L512" s="297">
        <f t="shared" si="40"/>
        <v>29.37246380822252</v>
      </c>
      <c r="M512">
        <v>37.318005229696723</v>
      </c>
      <c r="N512" s="30">
        <f t="shared" si="41"/>
        <v>-7.9455414214742035</v>
      </c>
    </row>
    <row r="513" spans="1:14" x14ac:dyDescent="0.2">
      <c r="A513" s="299" t="s">
        <v>1374</v>
      </c>
      <c r="B513" s="298" t="str">
        <f t="shared" si="37"/>
        <v>MVA0020-ST</v>
      </c>
      <c r="C513" s="294" t="str">
        <f>VLOOKUP(LEFT(A513,7),'Tariff Schedule Lookup Table'!$A$8:$G$198,2,FALSE)</f>
        <v>Mercury Vapour 80</v>
      </c>
      <c r="D513" s="295">
        <f t="shared" si="38"/>
        <v>10</v>
      </c>
      <c r="E513" s="294">
        <f t="shared" si="39"/>
        <v>2</v>
      </c>
      <c r="F513" s="294" t="str">
        <f>VLOOKUP(D513,'Tariff Schedule Lookup Table'!I$7:L$298,2,FALSE)</f>
        <v>MERCURY VAPOUR 80W</v>
      </c>
      <c r="G513" s="294" t="str">
        <f>IF(F513 = "BULKHEADS ETC", "SHARED OR NO POLE", VLOOKUP(D513,'Tariff Schedule Lookup Table'!I$7:L$298,3,FALSE))</f>
        <v>SHARED OR NO POLE</v>
      </c>
      <c r="H513" s="294">
        <f>IF(F513 = "NO CAPITAL", 1, VLOOKUP(D513,'Tariff Schedule Lookup Table'!I$7:L$298,4,FALSE))</f>
        <v>1</v>
      </c>
      <c r="I513" s="296">
        <f>VLOOKUP(G513,'Input data'!$A$68:$B$72,2,FALSE)</f>
        <v>0</v>
      </c>
      <c r="J513" s="296">
        <f>VLOOKUP($B513,'Maintenance Costs'!$A:$AB,22,FALSE)</f>
        <v>11.926803266827147</v>
      </c>
      <c r="K513" s="296">
        <f>VLOOKUP($B513,'Maintenance Costs'!$A:$AB,28,FALSE)</f>
        <v>17.445660541395373</v>
      </c>
      <c r="L513" s="297">
        <f t="shared" si="40"/>
        <v>29.37246380822252</v>
      </c>
      <c r="M513">
        <v>37.318005229696723</v>
      </c>
      <c r="N513" s="30">
        <f t="shared" si="41"/>
        <v>-7.9455414214742035</v>
      </c>
    </row>
    <row r="514" spans="1:14" x14ac:dyDescent="0.2">
      <c r="A514" s="299" t="s">
        <v>1375</v>
      </c>
      <c r="B514" s="298" t="str">
        <f t="shared" si="37"/>
        <v>MVA0020-ST</v>
      </c>
      <c r="C514" s="294" t="str">
        <f>VLOOKUP(LEFT(A514,7),'Tariff Schedule Lookup Table'!$A$8:$G$198,2,FALSE)</f>
        <v>Mercury Vapour 80</v>
      </c>
      <c r="D514" s="295">
        <f t="shared" si="38"/>
        <v>10</v>
      </c>
      <c r="E514" s="294">
        <f t="shared" si="39"/>
        <v>3</v>
      </c>
      <c r="F514" s="294" t="str">
        <f>VLOOKUP(D514,'Tariff Schedule Lookup Table'!I$7:L$298,2,FALSE)</f>
        <v>MERCURY VAPOUR 80W</v>
      </c>
      <c r="G514" s="294" t="str">
        <f>IF(F514 = "BULKHEADS ETC", "SHARED OR NO POLE", VLOOKUP(D514,'Tariff Schedule Lookup Table'!I$7:L$298,3,FALSE))</f>
        <v>SHARED OR NO POLE</v>
      </c>
      <c r="H514" s="294">
        <f>IF(F514 = "NO CAPITAL", 1, VLOOKUP(D514,'Tariff Schedule Lookup Table'!I$7:L$298,4,FALSE))</f>
        <v>1</v>
      </c>
      <c r="I514" s="296">
        <f>VLOOKUP(G514,'Input data'!$A$68:$B$72,2,FALSE)</f>
        <v>0</v>
      </c>
      <c r="J514" s="296">
        <f>VLOOKUP($B514,'Maintenance Costs'!$A:$AB,22,FALSE)</f>
        <v>11.926803266827147</v>
      </c>
      <c r="K514" s="296">
        <f>VLOOKUP($B514,'Maintenance Costs'!$A:$AB,28,FALSE)</f>
        <v>17.445660541395373</v>
      </c>
      <c r="L514" s="297">
        <f t="shared" si="40"/>
        <v>29.37246380822252</v>
      </c>
      <c r="M514">
        <v>37.318005229696723</v>
      </c>
      <c r="N514" s="30">
        <f t="shared" si="41"/>
        <v>-7.9455414214742035</v>
      </c>
    </row>
    <row r="515" spans="1:14" x14ac:dyDescent="0.2">
      <c r="A515" s="299" t="s">
        <v>364</v>
      </c>
      <c r="B515" s="298" t="str">
        <f t="shared" si="37"/>
        <v>MVA0020-ST</v>
      </c>
      <c r="C515" s="294" t="str">
        <f>VLOOKUP(LEFT(A515,7),'Tariff Schedule Lookup Table'!$A$8:$G$198,2,FALSE)</f>
        <v>Mercury Vapour 80</v>
      </c>
      <c r="D515" s="295">
        <f t="shared" si="38"/>
        <v>10</v>
      </c>
      <c r="E515" s="294">
        <f t="shared" si="39"/>
        <v>4</v>
      </c>
      <c r="F515" s="294" t="str">
        <f>VLOOKUP(D515,'Tariff Schedule Lookup Table'!I$7:L$298,2,FALSE)</f>
        <v>MERCURY VAPOUR 80W</v>
      </c>
      <c r="G515" s="294" t="str">
        <f>IF(F515 = "BULKHEADS ETC", "SHARED OR NO POLE", VLOOKUP(D515,'Tariff Schedule Lookup Table'!I$7:L$298,3,FALSE))</f>
        <v>SHARED OR NO POLE</v>
      </c>
      <c r="H515" s="294">
        <f>IF(F515 = "NO CAPITAL", 1, VLOOKUP(D515,'Tariff Schedule Lookup Table'!I$7:L$298,4,FALSE))</f>
        <v>1</v>
      </c>
      <c r="I515" s="296">
        <f>VLOOKUP(G515,'Input data'!$A$68:$B$72,2,FALSE)</f>
        <v>0</v>
      </c>
      <c r="J515" s="296">
        <f>VLOOKUP($B515,'Maintenance Costs'!$A:$AB,22,FALSE)</f>
        <v>11.926803266827147</v>
      </c>
      <c r="K515" s="296">
        <f>VLOOKUP($B515,'Maintenance Costs'!$A:$AB,28,FALSE)</f>
        <v>17.445660541395373</v>
      </c>
      <c r="L515" s="297">
        <f t="shared" si="40"/>
        <v>29.37246380822252</v>
      </c>
      <c r="M515">
        <v>37.318005229696723</v>
      </c>
      <c r="N515" s="30">
        <f t="shared" si="41"/>
        <v>-7.9455414214742035</v>
      </c>
    </row>
    <row r="516" spans="1:14" x14ac:dyDescent="0.2">
      <c r="A516" s="299" t="s">
        <v>1376</v>
      </c>
      <c r="B516" s="298" t="str">
        <f t="shared" si="37"/>
        <v>MVA0020-ST</v>
      </c>
      <c r="C516" s="294" t="str">
        <f>VLOOKUP(LEFT(A516,7),'Tariff Schedule Lookup Table'!$A$8:$G$198,2,FALSE)</f>
        <v>Mercury Vapour 80</v>
      </c>
      <c r="D516" s="295">
        <f t="shared" si="38"/>
        <v>740</v>
      </c>
      <c r="E516" s="294">
        <f t="shared" si="39"/>
        <v>1</v>
      </c>
      <c r="F516" s="294" t="str">
        <f>VLOOKUP(D516,'Tariff Schedule Lookup Table'!I$7:L$298,2,FALSE)</f>
        <v>MERCURY VAPOUR 80W</v>
      </c>
      <c r="G516" s="294" t="str">
        <f>IF(F516 = "BULKHEADS ETC", "SHARED OR NO POLE", VLOOKUP(D516,'Tariff Schedule Lookup Table'!I$7:L$298,3,FALSE))</f>
        <v>SHARED OR NO POLE</v>
      </c>
      <c r="H516" s="294">
        <f>IF(F516 = "NO CAPITAL", 1, VLOOKUP(D516,'Tariff Schedule Lookup Table'!I$7:L$298,4,FALSE))</f>
        <v>2</v>
      </c>
      <c r="I516" s="296">
        <f>VLOOKUP(G516,'Input data'!$A$68:$B$72,2,FALSE)</f>
        <v>0</v>
      </c>
      <c r="J516" s="296">
        <f>VLOOKUP($B516,'Maintenance Costs'!$A:$AB,22,FALSE)</f>
        <v>11.926803266827147</v>
      </c>
      <c r="K516" s="296">
        <f>VLOOKUP($B516,'Maintenance Costs'!$A:$AB,28,FALSE)</f>
        <v>17.445660541395373</v>
      </c>
      <c r="L516" s="297">
        <f t="shared" si="40"/>
        <v>29.37246380822252</v>
      </c>
      <c r="M516">
        <v>37.318005229696723</v>
      </c>
      <c r="N516" s="30">
        <f t="shared" si="41"/>
        <v>-7.9455414214742035</v>
      </c>
    </row>
    <row r="517" spans="1:14" x14ac:dyDescent="0.2">
      <c r="A517" s="299" t="s">
        <v>1377</v>
      </c>
      <c r="B517" s="298" t="str">
        <f t="shared" si="37"/>
        <v>MVA0020-ST</v>
      </c>
      <c r="C517" s="294" t="str">
        <f>VLOOKUP(LEFT(A517,7),'Tariff Schedule Lookup Table'!$A$8:$G$198,2,FALSE)</f>
        <v>Mercury Vapour 80</v>
      </c>
      <c r="D517" s="295">
        <f t="shared" si="38"/>
        <v>740</v>
      </c>
      <c r="E517" s="294">
        <f t="shared" si="39"/>
        <v>2</v>
      </c>
      <c r="F517" s="294" t="str">
        <f>VLOOKUP(D517,'Tariff Schedule Lookup Table'!I$7:L$298,2,FALSE)</f>
        <v>MERCURY VAPOUR 80W</v>
      </c>
      <c r="G517" s="294" t="str">
        <f>IF(F517 = "BULKHEADS ETC", "SHARED OR NO POLE", VLOOKUP(D517,'Tariff Schedule Lookup Table'!I$7:L$298,3,FALSE))</f>
        <v>SHARED OR NO POLE</v>
      </c>
      <c r="H517" s="294">
        <f>IF(F517 = "NO CAPITAL", 1, VLOOKUP(D517,'Tariff Schedule Lookup Table'!I$7:L$298,4,FALSE))</f>
        <v>2</v>
      </c>
      <c r="I517" s="296">
        <f>VLOOKUP(G517,'Input data'!$A$68:$B$72,2,FALSE)</f>
        <v>0</v>
      </c>
      <c r="J517" s="296">
        <f>VLOOKUP($B517,'Maintenance Costs'!$A:$AB,22,FALSE)</f>
        <v>11.926803266827147</v>
      </c>
      <c r="K517" s="296">
        <f>VLOOKUP($B517,'Maintenance Costs'!$A:$AB,28,FALSE)</f>
        <v>17.445660541395373</v>
      </c>
      <c r="L517" s="297">
        <f t="shared" si="40"/>
        <v>29.37246380822252</v>
      </c>
      <c r="M517">
        <v>37.318005229696723</v>
      </c>
      <c r="N517" s="30">
        <f t="shared" si="41"/>
        <v>-7.9455414214742035</v>
      </c>
    </row>
    <row r="518" spans="1:14" x14ac:dyDescent="0.2">
      <c r="A518" s="299" t="s">
        <v>605</v>
      </c>
      <c r="B518" s="298" t="str">
        <f t="shared" si="37"/>
        <v>MVA0020-ST</v>
      </c>
      <c r="C518" s="294" t="str">
        <f>VLOOKUP(LEFT(A518,7),'Tariff Schedule Lookup Table'!$A$8:$G$198,2,FALSE)</f>
        <v>Mercury Vapour 80</v>
      </c>
      <c r="D518" s="295">
        <f t="shared" si="38"/>
        <v>740</v>
      </c>
      <c r="E518" s="294">
        <f t="shared" si="39"/>
        <v>4</v>
      </c>
      <c r="F518" s="294" t="str">
        <f>VLOOKUP(D518,'Tariff Schedule Lookup Table'!I$7:L$298,2,FALSE)</f>
        <v>MERCURY VAPOUR 80W</v>
      </c>
      <c r="G518" s="294" t="str">
        <f>IF(F518 = "BULKHEADS ETC", "SHARED OR NO POLE", VLOOKUP(D518,'Tariff Schedule Lookup Table'!I$7:L$298,3,FALSE))</f>
        <v>SHARED OR NO POLE</v>
      </c>
      <c r="H518" s="294">
        <f>IF(F518 = "NO CAPITAL", 1, VLOOKUP(D518,'Tariff Schedule Lookup Table'!I$7:L$298,4,FALSE))</f>
        <v>2</v>
      </c>
      <c r="I518" s="296">
        <f>VLOOKUP(G518,'Input data'!$A$68:$B$72,2,FALSE)</f>
        <v>0</v>
      </c>
      <c r="J518" s="296">
        <f>VLOOKUP($B518,'Maintenance Costs'!$A:$AB,22,FALSE)</f>
        <v>11.926803266827147</v>
      </c>
      <c r="K518" s="296">
        <f>VLOOKUP($B518,'Maintenance Costs'!$A:$AB,28,FALSE)</f>
        <v>17.445660541395373</v>
      </c>
      <c r="L518" s="297">
        <f t="shared" si="40"/>
        <v>29.37246380822252</v>
      </c>
      <c r="M518">
        <v>37.318005229696723</v>
      </c>
      <c r="N518" s="30">
        <f t="shared" si="41"/>
        <v>-7.9455414214742035</v>
      </c>
    </row>
    <row r="519" spans="1:14" x14ac:dyDescent="0.2">
      <c r="A519" s="299" t="s">
        <v>1378</v>
      </c>
      <c r="B519" s="298" t="str">
        <f t="shared" si="37"/>
        <v>MVA0020-ST</v>
      </c>
      <c r="C519" s="294" t="str">
        <f>VLOOKUP(LEFT(A519,7),'Tariff Schedule Lookup Table'!$A$8:$G$198,2,FALSE)</f>
        <v>Mercury Vapour 80</v>
      </c>
      <c r="D519" s="295">
        <f t="shared" si="38"/>
        <v>810</v>
      </c>
      <c r="E519" s="294">
        <f t="shared" si="39"/>
        <v>1</v>
      </c>
      <c r="F519" s="294" t="str">
        <f>VLOOKUP(D519,'Tariff Schedule Lookup Table'!I$7:L$298,2,FALSE)</f>
        <v>MERCURY VAPOUR 80W</v>
      </c>
      <c r="G519" s="294" t="str">
        <f>IF(F519 = "BULKHEADS ETC", "SHARED OR NO POLE", VLOOKUP(D519,'Tariff Schedule Lookup Table'!I$7:L$298,3,FALSE))</f>
        <v>WOOD POLE</v>
      </c>
      <c r="H519" s="294">
        <f>IF(F519 = "NO CAPITAL", 1, VLOOKUP(D519,'Tariff Schedule Lookup Table'!I$7:L$298,4,FALSE))</f>
        <v>1</v>
      </c>
      <c r="I519" s="296">
        <f>VLOOKUP(G519,'Input data'!$A$68:$B$72,2,FALSE)</f>
        <v>10.809914000000001</v>
      </c>
      <c r="J519" s="296">
        <f>VLOOKUP($B519,'Maintenance Costs'!$A:$AB,22,FALSE)</f>
        <v>11.926803266827147</v>
      </c>
      <c r="K519" s="296">
        <f>VLOOKUP($B519,'Maintenance Costs'!$A:$AB,28,FALSE)</f>
        <v>17.445660541395373</v>
      </c>
      <c r="L519" s="297">
        <f t="shared" si="40"/>
        <v>40.182377808222519</v>
      </c>
      <c r="M519">
        <v>48.127919229696722</v>
      </c>
      <c r="N519" s="30">
        <f t="shared" si="41"/>
        <v>-7.9455414214742035</v>
      </c>
    </row>
    <row r="520" spans="1:14" x14ac:dyDescent="0.2">
      <c r="A520" s="299" t="s">
        <v>1379</v>
      </c>
      <c r="B520" s="298" t="str">
        <f t="shared" si="37"/>
        <v>MVA0020-ST</v>
      </c>
      <c r="C520" s="294" t="str">
        <f>VLOOKUP(LEFT(A520,7),'Tariff Schedule Lookup Table'!$A$8:$G$198,2,FALSE)</f>
        <v>Mercury Vapour 80</v>
      </c>
      <c r="D520" s="295">
        <f t="shared" si="38"/>
        <v>810</v>
      </c>
      <c r="E520" s="294">
        <f t="shared" si="39"/>
        <v>2</v>
      </c>
      <c r="F520" s="294" t="str">
        <f>VLOOKUP(D520,'Tariff Schedule Lookup Table'!I$7:L$298,2,FALSE)</f>
        <v>MERCURY VAPOUR 80W</v>
      </c>
      <c r="G520" s="294" t="str">
        <f>IF(F520 = "BULKHEADS ETC", "SHARED OR NO POLE", VLOOKUP(D520,'Tariff Schedule Lookup Table'!I$7:L$298,3,FALSE))</f>
        <v>WOOD POLE</v>
      </c>
      <c r="H520" s="294">
        <f>IF(F520 = "NO CAPITAL", 1, VLOOKUP(D520,'Tariff Schedule Lookup Table'!I$7:L$298,4,FALSE))</f>
        <v>1</v>
      </c>
      <c r="I520" s="296">
        <f>VLOOKUP(G520,'Input data'!$A$68:$B$72,2,FALSE)</f>
        <v>10.809914000000001</v>
      </c>
      <c r="J520" s="296">
        <f>VLOOKUP($B520,'Maintenance Costs'!$A:$AB,22,FALSE)</f>
        <v>11.926803266827147</v>
      </c>
      <c r="K520" s="296">
        <f>VLOOKUP($B520,'Maintenance Costs'!$A:$AB,28,FALSE)</f>
        <v>17.445660541395373</v>
      </c>
      <c r="L520" s="297">
        <f t="shared" si="40"/>
        <v>40.182377808222519</v>
      </c>
      <c r="M520">
        <v>48.127919229696722</v>
      </c>
      <c r="N520" s="30">
        <f t="shared" si="41"/>
        <v>-7.9455414214742035</v>
      </c>
    </row>
    <row r="521" spans="1:14" x14ac:dyDescent="0.2">
      <c r="A521" s="299" t="s">
        <v>1380</v>
      </c>
      <c r="B521" s="298" t="str">
        <f t="shared" si="37"/>
        <v>MVA0020-ST</v>
      </c>
      <c r="C521" s="294" t="str">
        <f>VLOOKUP(LEFT(A521,7),'Tariff Schedule Lookup Table'!$A$8:$G$198,2,FALSE)</f>
        <v>Mercury Vapour 80</v>
      </c>
      <c r="D521" s="295">
        <f t="shared" si="38"/>
        <v>810</v>
      </c>
      <c r="E521" s="294">
        <f t="shared" si="39"/>
        <v>3</v>
      </c>
      <c r="F521" s="294" t="str">
        <f>VLOOKUP(D521,'Tariff Schedule Lookup Table'!I$7:L$298,2,FALSE)</f>
        <v>MERCURY VAPOUR 80W</v>
      </c>
      <c r="G521" s="294" t="str">
        <f>IF(F521 = "BULKHEADS ETC", "SHARED OR NO POLE", VLOOKUP(D521,'Tariff Schedule Lookup Table'!I$7:L$298,3,FALSE))</f>
        <v>WOOD POLE</v>
      </c>
      <c r="H521" s="294">
        <f>IF(F521 = "NO CAPITAL", 1, VLOOKUP(D521,'Tariff Schedule Lookup Table'!I$7:L$298,4,FALSE))</f>
        <v>1</v>
      </c>
      <c r="I521" s="296">
        <f>VLOOKUP(G521,'Input data'!$A$68:$B$72,2,FALSE)</f>
        <v>10.809914000000001</v>
      </c>
      <c r="J521" s="296">
        <f>VLOOKUP($B521,'Maintenance Costs'!$A:$AB,22,FALSE)</f>
        <v>11.926803266827147</v>
      </c>
      <c r="K521" s="296">
        <f>VLOOKUP($B521,'Maintenance Costs'!$A:$AB,28,FALSE)</f>
        <v>17.445660541395373</v>
      </c>
      <c r="L521" s="297">
        <f t="shared" si="40"/>
        <v>40.182377808222519</v>
      </c>
      <c r="M521">
        <v>48.127919229696722</v>
      </c>
      <c r="N521" s="30">
        <f t="shared" si="41"/>
        <v>-7.9455414214742035</v>
      </c>
    </row>
    <row r="522" spans="1:14" x14ac:dyDescent="0.2">
      <c r="A522" s="299" t="s">
        <v>606</v>
      </c>
      <c r="B522" s="298" t="str">
        <f t="shared" ref="B522:B585" si="42">LEFT(A522,10)</f>
        <v>MVA0020-ST</v>
      </c>
      <c r="C522" s="294" t="str">
        <f>VLOOKUP(LEFT(A522,7),'Tariff Schedule Lookup Table'!$A$8:$G$198,2,FALSE)</f>
        <v>Mercury Vapour 80</v>
      </c>
      <c r="D522" s="295">
        <f t="shared" ref="D522:D583" si="43">1*MID(A522,12,4)</f>
        <v>810</v>
      </c>
      <c r="E522" s="294">
        <f t="shared" ref="E522:E583" si="44">1*(MID(A522,17,3))</f>
        <v>4</v>
      </c>
      <c r="F522" s="294" t="str">
        <f>VLOOKUP(D522,'Tariff Schedule Lookup Table'!I$7:L$298,2,FALSE)</f>
        <v>MERCURY VAPOUR 80W</v>
      </c>
      <c r="G522" s="294" t="str">
        <f>IF(F522 = "BULKHEADS ETC", "SHARED OR NO POLE", VLOOKUP(D522,'Tariff Schedule Lookup Table'!I$7:L$298,3,FALSE))</f>
        <v>WOOD POLE</v>
      </c>
      <c r="H522" s="294">
        <f>IF(F522 = "NO CAPITAL", 1, VLOOKUP(D522,'Tariff Schedule Lookup Table'!I$7:L$298,4,FALSE))</f>
        <v>1</v>
      </c>
      <c r="I522" s="296">
        <f>VLOOKUP(G522,'Input data'!$A$68:$B$72,2,FALSE)</f>
        <v>10.809914000000001</v>
      </c>
      <c r="J522" s="296">
        <f>VLOOKUP($B522,'Maintenance Costs'!$A:$AB,22,FALSE)</f>
        <v>11.926803266827147</v>
      </c>
      <c r="K522" s="296">
        <f>VLOOKUP($B522,'Maintenance Costs'!$A:$AB,28,FALSE)</f>
        <v>17.445660541395373</v>
      </c>
      <c r="L522" s="297">
        <f t="shared" ref="L522:L585" si="45">K522+J522+I522/H522</f>
        <v>40.182377808222519</v>
      </c>
      <c r="M522">
        <v>48.127919229696722</v>
      </c>
      <c r="N522" s="30">
        <f t="shared" si="41"/>
        <v>-7.9455414214742035</v>
      </c>
    </row>
    <row r="523" spans="1:14" x14ac:dyDescent="0.2">
      <c r="A523" s="299" t="s">
        <v>1381</v>
      </c>
      <c r="B523" s="298" t="str">
        <f t="shared" si="42"/>
        <v>MVA0020-ST</v>
      </c>
      <c r="C523" s="294" t="str">
        <f>VLOOKUP(LEFT(A523,7),'Tariff Schedule Lookup Table'!$A$8:$G$198,2,FALSE)</f>
        <v>Mercury Vapour 80</v>
      </c>
      <c r="D523" s="295">
        <f t="shared" si="43"/>
        <v>820</v>
      </c>
      <c r="E523" s="294">
        <f t="shared" si="44"/>
        <v>2</v>
      </c>
      <c r="F523" s="294" t="str">
        <f>VLOOKUP(D523,'Tariff Schedule Lookup Table'!I$7:L$298,2,FALSE)</f>
        <v>MERCURY VAPOUR 80W</v>
      </c>
      <c r="G523" s="294" t="str">
        <f>IF(F523 = "BULKHEADS ETC", "SHARED OR NO POLE", VLOOKUP(D523,'Tariff Schedule Lookup Table'!I$7:L$298,3,FALSE))</f>
        <v>SHARED OR NO POLE</v>
      </c>
      <c r="H523" s="294">
        <f>IF(F523 = "NO CAPITAL", 1, VLOOKUP(D523,'Tariff Schedule Lookup Table'!I$7:L$298,4,FALSE))</f>
        <v>3</v>
      </c>
      <c r="I523" s="296">
        <f>VLOOKUP(G523,'Input data'!$A$68:$B$72,2,FALSE)</f>
        <v>0</v>
      </c>
      <c r="J523" s="296">
        <f>VLOOKUP($B523,'Maintenance Costs'!$A:$AB,22,FALSE)</f>
        <v>11.926803266827147</v>
      </c>
      <c r="K523" s="296">
        <f>VLOOKUP($B523,'Maintenance Costs'!$A:$AB,28,FALSE)</f>
        <v>17.445660541395373</v>
      </c>
      <c r="L523" s="297">
        <f t="shared" si="45"/>
        <v>29.37246380822252</v>
      </c>
      <c r="M523">
        <v>37.318005229696723</v>
      </c>
      <c r="N523" s="30">
        <f t="shared" ref="N523:N586" si="46">L523-M523</f>
        <v>-7.9455414214742035</v>
      </c>
    </row>
    <row r="524" spans="1:14" x14ac:dyDescent="0.2">
      <c r="A524" s="299" t="s">
        <v>1382</v>
      </c>
      <c r="B524" s="298" t="str">
        <f t="shared" si="42"/>
        <v>MVA0020-ST</v>
      </c>
      <c r="C524" s="294" t="str">
        <f>VLOOKUP(LEFT(A524,7),'Tariff Schedule Lookup Table'!$A$8:$G$198,2,FALSE)</f>
        <v>Mercury Vapour 80</v>
      </c>
      <c r="D524" s="295">
        <f t="shared" si="43"/>
        <v>990</v>
      </c>
      <c r="E524" s="294">
        <f t="shared" si="44"/>
        <v>1</v>
      </c>
      <c r="F524" s="294" t="str">
        <f>VLOOKUP(D524,'Tariff Schedule Lookup Table'!I$7:L$298,2,FALSE)</f>
        <v>MERCURY VAPOUR 80W</v>
      </c>
      <c r="G524" s="294" t="str">
        <f>IF(F524 = "BULKHEADS ETC", "SHARED OR NO POLE", VLOOKUP(D524,'Tariff Schedule Lookup Table'!I$7:L$298,3,FALSE))</f>
        <v>STEEL POLE</v>
      </c>
      <c r="H524" s="294">
        <f>IF(F524 = "NO CAPITAL", 1, VLOOKUP(D524,'Tariff Schedule Lookup Table'!I$7:L$298,4,FALSE))</f>
        <v>1</v>
      </c>
      <c r="I524" s="296">
        <f>VLOOKUP(G524,'Input data'!$A$68:$B$72,2,FALSE)</f>
        <v>9.8748837500000004</v>
      </c>
      <c r="J524" s="296">
        <f>VLOOKUP($B524,'Maintenance Costs'!$A:$AB,22,FALSE)</f>
        <v>11.926803266827147</v>
      </c>
      <c r="K524" s="296">
        <f>VLOOKUP($B524,'Maintenance Costs'!$A:$AB,28,FALSE)</f>
        <v>17.445660541395373</v>
      </c>
      <c r="L524" s="297">
        <f t="shared" si="45"/>
        <v>39.247347558222522</v>
      </c>
      <c r="M524">
        <v>47.192888979696725</v>
      </c>
      <c r="N524" s="30">
        <f t="shared" si="46"/>
        <v>-7.9455414214742035</v>
      </c>
    </row>
    <row r="525" spans="1:14" x14ac:dyDescent="0.2">
      <c r="A525" s="299" t="s">
        <v>1383</v>
      </c>
      <c r="B525" s="298" t="str">
        <f t="shared" si="42"/>
        <v>MVA0020-ST</v>
      </c>
      <c r="C525" s="294" t="str">
        <f>VLOOKUP(LEFT(A525,7),'Tariff Schedule Lookup Table'!$A$8:$G$198,2,FALSE)</f>
        <v>Mercury Vapour 80</v>
      </c>
      <c r="D525" s="295">
        <f t="shared" si="43"/>
        <v>990</v>
      </c>
      <c r="E525" s="294">
        <f t="shared" si="44"/>
        <v>2</v>
      </c>
      <c r="F525" s="294" t="str">
        <f>VLOOKUP(D525,'Tariff Schedule Lookup Table'!I$7:L$298,2,FALSE)</f>
        <v>MERCURY VAPOUR 80W</v>
      </c>
      <c r="G525" s="294" t="str">
        <f>IF(F525 = "BULKHEADS ETC", "SHARED OR NO POLE", VLOOKUP(D525,'Tariff Schedule Lookup Table'!I$7:L$298,3,FALSE))</f>
        <v>STEEL POLE</v>
      </c>
      <c r="H525" s="294">
        <f>IF(F525 = "NO CAPITAL", 1, VLOOKUP(D525,'Tariff Schedule Lookup Table'!I$7:L$298,4,FALSE))</f>
        <v>1</v>
      </c>
      <c r="I525" s="296">
        <f>VLOOKUP(G525,'Input data'!$A$68:$B$72,2,FALSE)</f>
        <v>9.8748837500000004</v>
      </c>
      <c r="J525" s="296">
        <f>VLOOKUP($B525,'Maintenance Costs'!$A:$AB,22,FALSE)</f>
        <v>11.926803266827147</v>
      </c>
      <c r="K525" s="296">
        <f>VLOOKUP($B525,'Maintenance Costs'!$A:$AB,28,FALSE)</f>
        <v>17.445660541395373</v>
      </c>
      <c r="L525" s="297">
        <f t="shared" si="45"/>
        <v>39.247347558222522</v>
      </c>
      <c r="M525">
        <v>47.192888979696725</v>
      </c>
      <c r="N525" s="30">
        <f t="shared" si="46"/>
        <v>-7.9455414214742035</v>
      </c>
    </row>
    <row r="526" spans="1:14" x14ac:dyDescent="0.2">
      <c r="A526" s="299" t="s">
        <v>1384</v>
      </c>
      <c r="B526" s="298" t="str">
        <f t="shared" si="42"/>
        <v>MVA0020-ST</v>
      </c>
      <c r="C526" s="294" t="str">
        <f>VLOOKUP(LEFT(A526,7),'Tariff Schedule Lookup Table'!$A$8:$G$198,2,FALSE)</f>
        <v>Mercury Vapour 80</v>
      </c>
      <c r="D526" s="295">
        <f t="shared" si="43"/>
        <v>990</v>
      </c>
      <c r="E526" s="294">
        <f t="shared" si="44"/>
        <v>3</v>
      </c>
      <c r="F526" s="294" t="str">
        <f>VLOOKUP(D526,'Tariff Schedule Lookup Table'!I$7:L$298,2,FALSE)</f>
        <v>MERCURY VAPOUR 80W</v>
      </c>
      <c r="G526" s="294" t="str">
        <f>IF(F526 = "BULKHEADS ETC", "SHARED OR NO POLE", VLOOKUP(D526,'Tariff Schedule Lookup Table'!I$7:L$298,3,FALSE))</f>
        <v>STEEL POLE</v>
      </c>
      <c r="H526" s="294">
        <f>IF(F526 = "NO CAPITAL", 1, VLOOKUP(D526,'Tariff Schedule Lookup Table'!I$7:L$298,4,FALSE))</f>
        <v>1</v>
      </c>
      <c r="I526" s="296">
        <f>VLOOKUP(G526,'Input data'!$A$68:$B$72,2,FALSE)</f>
        <v>9.8748837500000004</v>
      </c>
      <c r="J526" s="296">
        <f>VLOOKUP($B526,'Maintenance Costs'!$A:$AB,22,FALSE)</f>
        <v>11.926803266827147</v>
      </c>
      <c r="K526" s="296">
        <f>VLOOKUP($B526,'Maintenance Costs'!$A:$AB,28,FALSE)</f>
        <v>17.445660541395373</v>
      </c>
      <c r="L526" s="297">
        <f t="shared" si="45"/>
        <v>39.247347558222522</v>
      </c>
      <c r="M526">
        <v>47.192888979696725</v>
      </c>
      <c r="N526" s="30">
        <f t="shared" si="46"/>
        <v>-7.9455414214742035</v>
      </c>
    </row>
    <row r="527" spans="1:14" x14ac:dyDescent="0.2">
      <c r="A527" s="299" t="s">
        <v>607</v>
      </c>
      <c r="B527" s="298" t="str">
        <f t="shared" si="42"/>
        <v>MVA0020-ST</v>
      </c>
      <c r="C527" s="294" t="str">
        <f>VLOOKUP(LEFT(A527,7),'Tariff Schedule Lookup Table'!$A$8:$G$198,2,FALSE)</f>
        <v>Mercury Vapour 80</v>
      </c>
      <c r="D527" s="295">
        <f t="shared" si="43"/>
        <v>990</v>
      </c>
      <c r="E527" s="294">
        <f t="shared" si="44"/>
        <v>4</v>
      </c>
      <c r="F527" s="294" t="str">
        <f>VLOOKUP(D527,'Tariff Schedule Lookup Table'!I$7:L$298,2,FALSE)</f>
        <v>MERCURY VAPOUR 80W</v>
      </c>
      <c r="G527" s="294" t="str">
        <f>IF(F527 = "BULKHEADS ETC", "SHARED OR NO POLE", VLOOKUP(D527,'Tariff Schedule Lookup Table'!I$7:L$298,3,FALSE))</f>
        <v>STEEL POLE</v>
      </c>
      <c r="H527" s="294">
        <f>IF(F527 = "NO CAPITAL", 1, VLOOKUP(D527,'Tariff Schedule Lookup Table'!I$7:L$298,4,FALSE))</f>
        <v>1</v>
      </c>
      <c r="I527" s="296">
        <f>VLOOKUP(G527,'Input data'!$A$68:$B$72,2,FALSE)</f>
        <v>9.8748837500000004</v>
      </c>
      <c r="J527" s="296">
        <f>VLOOKUP($B527,'Maintenance Costs'!$A:$AB,22,FALSE)</f>
        <v>11.926803266827147</v>
      </c>
      <c r="K527" s="296">
        <f>VLOOKUP($B527,'Maintenance Costs'!$A:$AB,28,FALSE)</f>
        <v>17.445660541395373</v>
      </c>
      <c r="L527" s="297">
        <f t="shared" si="45"/>
        <v>39.247347558222522</v>
      </c>
      <c r="M527">
        <v>47.192888979696725</v>
      </c>
      <c r="N527" s="30">
        <f t="shared" si="46"/>
        <v>-7.9455414214742035</v>
      </c>
    </row>
    <row r="528" spans="1:14" x14ac:dyDescent="0.2">
      <c r="A528" s="299" t="s">
        <v>1385</v>
      </c>
      <c r="B528" s="298" t="str">
        <f t="shared" si="42"/>
        <v>MVA0020-ST</v>
      </c>
      <c r="C528" s="294" t="str">
        <f>VLOOKUP(LEFT(A528,7),'Tariff Schedule Lookup Table'!$A$8:$G$198,2,FALSE)</f>
        <v>Mercury Vapour 80</v>
      </c>
      <c r="D528" s="295">
        <f t="shared" si="43"/>
        <v>1000</v>
      </c>
      <c r="E528" s="294">
        <f t="shared" si="44"/>
        <v>1</v>
      </c>
      <c r="F528" s="294" t="str">
        <f>VLOOKUP(D528,'Tariff Schedule Lookup Table'!I$7:L$298,2,FALSE)</f>
        <v>MERCURY VAPOUR 80W</v>
      </c>
      <c r="G528" s="294" t="str">
        <f>IF(F528 = "BULKHEADS ETC", "SHARED OR NO POLE", VLOOKUP(D528,'Tariff Schedule Lookup Table'!I$7:L$298,3,FALSE))</f>
        <v>STEEL POLE</v>
      </c>
      <c r="H528" s="294">
        <f>IF(F528 = "NO CAPITAL", 1, VLOOKUP(D528,'Tariff Schedule Lookup Table'!I$7:L$298,4,FALSE))</f>
        <v>2</v>
      </c>
      <c r="I528" s="296">
        <f>VLOOKUP(G528,'Input data'!$A$68:$B$72,2,FALSE)</f>
        <v>9.8748837500000004</v>
      </c>
      <c r="J528" s="296">
        <f>VLOOKUP($B528,'Maintenance Costs'!$A:$AB,22,FALSE)</f>
        <v>11.926803266827147</v>
      </c>
      <c r="K528" s="296">
        <f>VLOOKUP($B528,'Maintenance Costs'!$A:$AB,28,FALSE)</f>
        <v>17.445660541395373</v>
      </c>
      <c r="L528" s="297">
        <f t="shared" si="45"/>
        <v>34.309905683222517</v>
      </c>
      <c r="M528">
        <v>42.255447104696721</v>
      </c>
      <c r="N528" s="30">
        <f t="shared" si="46"/>
        <v>-7.9455414214742035</v>
      </c>
    </row>
    <row r="529" spans="1:14" x14ac:dyDescent="0.2">
      <c r="A529" s="299" t="s">
        <v>1386</v>
      </c>
      <c r="B529" s="298" t="str">
        <f t="shared" si="42"/>
        <v>MVA0020-ST</v>
      </c>
      <c r="C529" s="294" t="str">
        <f>VLOOKUP(LEFT(A529,7),'Tariff Schedule Lookup Table'!$A$8:$G$198,2,FALSE)</f>
        <v>Mercury Vapour 80</v>
      </c>
      <c r="D529" s="295">
        <f t="shared" si="43"/>
        <v>1000</v>
      </c>
      <c r="E529" s="294">
        <f t="shared" si="44"/>
        <v>2</v>
      </c>
      <c r="F529" s="294" t="str">
        <f>VLOOKUP(D529,'Tariff Schedule Lookup Table'!I$7:L$298,2,FALSE)</f>
        <v>MERCURY VAPOUR 80W</v>
      </c>
      <c r="G529" s="294" t="str">
        <f>IF(F529 = "BULKHEADS ETC", "SHARED OR NO POLE", VLOOKUP(D529,'Tariff Schedule Lookup Table'!I$7:L$298,3,FALSE))</f>
        <v>STEEL POLE</v>
      </c>
      <c r="H529" s="294">
        <f>IF(F529 = "NO CAPITAL", 1, VLOOKUP(D529,'Tariff Schedule Lookup Table'!I$7:L$298,4,FALSE))</f>
        <v>2</v>
      </c>
      <c r="I529" s="296">
        <f>VLOOKUP(G529,'Input data'!$A$68:$B$72,2,FALSE)</f>
        <v>9.8748837500000004</v>
      </c>
      <c r="J529" s="296">
        <f>VLOOKUP($B529,'Maintenance Costs'!$A:$AB,22,FALSE)</f>
        <v>11.926803266827147</v>
      </c>
      <c r="K529" s="296">
        <f>VLOOKUP($B529,'Maintenance Costs'!$A:$AB,28,FALSE)</f>
        <v>17.445660541395373</v>
      </c>
      <c r="L529" s="297">
        <f t="shared" si="45"/>
        <v>34.309905683222517</v>
      </c>
      <c r="M529">
        <v>42.255447104696721</v>
      </c>
      <c r="N529" s="30">
        <f t="shared" si="46"/>
        <v>-7.9455414214742035</v>
      </c>
    </row>
    <row r="530" spans="1:14" x14ac:dyDescent="0.2">
      <c r="A530" s="299" t="s">
        <v>608</v>
      </c>
      <c r="B530" s="298" t="str">
        <f t="shared" si="42"/>
        <v>MVA0020-ST</v>
      </c>
      <c r="C530" s="294" t="str">
        <f>VLOOKUP(LEFT(A530,7),'Tariff Schedule Lookup Table'!$A$8:$G$198,2,FALSE)</f>
        <v>Mercury Vapour 80</v>
      </c>
      <c r="D530" s="295">
        <f t="shared" si="43"/>
        <v>1000</v>
      </c>
      <c r="E530" s="294">
        <f t="shared" si="44"/>
        <v>4</v>
      </c>
      <c r="F530" s="294" t="str">
        <f>VLOOKUP(D530,'Tariff Schedule Lookup Table'!I$7:L$298,2,FALSE)</f>
        <v>MERCURY VAPOUR 80W</v>
      </c>
      <c r="G530" s="294" t="str">
        <f>IF(F530 = "BULKHEADS ETC", "SHARED OR NO POLE", VLOOKUP(D530,'Tariff Schedule Lookup Table'!I$7:L$298,3,FALSE))</f>
        <v>STEEL POLE</v>
      </c>
      <c r="H530" s="294">
        <f>IF(F530 = "NO CAPITAL", 1, VLOOKUP(D530,'Tariff Schedule Lookup Table'!I$7:L$298,4,FALSE))</f>
        <v>2</v>
      </c>
      <c r="I530" s="296">
        <f>VLOOKUP(G530,'Input data'!$A$68:$B$72,2,FALSE)</f>
        <v>9.8748837500000004</v>
      </c>
      <c r="J530" s="296">
        <f>VLOOKUP($B530,'Maintenance Costs'!$A:$AB,22,FALSE)</f>
        <v>11.926803266827147</v>
      </c>
      <c r="K530" s="296">
        <f>VLOOKUP($B530,'Maintenance Costs'!$A:$AB,28,FALSE)</f>
        <v>17.445660541395373</v>
      </c>
      <c r="L530" s="297">
        <f t="shared" si="45"/>
        <v>34.309905683222517</v>
      </c>
      <c r="M530">
        <v>42.255447104696721</v>
      </c>
      <c r="N530" s="30">
        <f t="shared" si="46"/>
        <v>-7.9455414214742035</v>
      </c>
    </row>
    <row r="531" spans="1:14" x14ac:dyDescent="0.2">
      <c r="A531" s="299" t="s">
        <v>1387</v>
      </c>
      <c r="B531" s="298" t="str">
        <f t="shared" si="42"/>
        <v>MVA0020-ST</v>
      </c>
      <c r="C531" s="294" t="str">
        <f>VLOOKUP(LEFT(A531,7),'Tariff Schedule Lookup Table'!$A$8:$G$198,2,FALSE)</f>
        <v>Mercury Vapour 80</v>
      </c>
      <c r="D531" s="295">
        <f t="shared" si="43"/>
        <v>1260</v>
      </c>
      <c r="E531" s="294">
        <f t="shared" si="44"/>
        <v>1</v>
      </c>
      <c r="F531" s="294" t="str">
        <f>VLOOKUP(D531,'Tariff Schedule Lookup Table'!I$7:L$298,2,FALSE)</f>
        <v>MERCURY VAPOUR 80W</v>
      </c>
      <c r="G531" s="294" t="str">
        <f>IF(F531 = "BULKHEADS ETC", "SHARED OR NO POLE", VLOOKUP(D531,'Tariff Schedule Lookup Table'!I$7:L$298,3,FALSE))</f>
        <v>WOOD POLE</v>
      </c>
      <c r="H531" s="294">
        <f>IF(F531 = "NO CAPITAL", 1, VLOOKUP(D531,'Tariff Schedule Lookup Table'!I$7:L$298,4,FALSE))</f>
        <v>2</v>
      </c>
      <c r="I531" s="296">
        <f>VLOOKUP(G531,'Input data'!$A$68:$B$72,2,FALSE)</f>
        <v>10.809914000000001</v>
      </c>
      <c r="J531" s="296">
        <f>VLOOKUP($B531,'Maintenance Costs'!$A:$AB,22,FALSE)</f>
        <v>11.926803266827147</v>
      </c>
      <c r="K531" s="296">
        <f>VLOOKUP($B531,'Maintenance Costs'!$A:$AB,28,FALSE)</f>
        <v>17.445660541395373</v>
      </c>
      <c r="L531" s="297">
        <f t="shared" si="45"/>
        <v>34.777420808222523</v>
      </c>
      <c r="M531">
        <v>42.722962229696726</v>
      </c>
      <c r="N531" s="30">
        <f t="shared" si="46"/>
        <v>-7.9455414214742035</v>
      </c>
    </row>
    <row r="532" spans="1:14" x14ac:dyDescent="0.2">
      <c r="A532" s="299" t="s">
        <v>1388</v>
      </c>
      <c r="B532" s="298" t="str">
        <f t="shared" si="42"/>
        <v>MVA0020-ST</v>
      </c>
      <c r="C532" s="294" t="str">
        <f>VLOOKUP(LEFT(A532,7),'Tariff Schedule Lookup Table'!$A$8:$G$198,2,FALSE)</f>
        <v>Mercury Vapour 80</v>
      </c>
      <c r="D532" s="295">
        <f t="shared" si="43"/>
        <v>1260</v>
      </c>
      <c r="E532" s="294">
        <f t="shared" si="44"/>
        <v>2</v>
      </c>
      <c r="F532" s="294" t="str">
        <f>VLOOKUP(D532,'Tariff Schedule Lookup Table'!I$7:L$298,2,FALSE)</f>
        <v>MERCURY VAPOUR 80W</v>
      </c>
      <c r="G532" s="294" t="str">
        <f>IF(F532 = "BULKHEADS ETC", "SHARED OR NO POLE", VLOOKUP(D532,'Tariff Schedule Lookup Table'!I$7:L$298,3,FALSE))</f>
        <v>WOOD POLE</v>
      </c>
      <c r="H532" s="294">
        <f>IF(F532 = "NO CAPITAL", 1, VLOOKUP(D532,'Tariff Schedule Lookup Table'!I$7:L$298,4,FALSE))</f>
        <v>2</v>
      </c>
      <c r="I532" s="296">
        <f>VLOOKUP(G532,'Input data'!$A$68:$B$72,2,FALSE)</f>
        <v>10.809914000000001</v>
      </c>
      <c r="J532" s="296">
        <f>VLOOKUP($B532,'Maintenance Costs'!$A:$AB,22,FALSE)</f>
        <v>11.926803266827147</v>
      </c>
      <c r="K532" s="296">
        <f>VLOOKUP($B532,'Maintenance Costs'!$A:$AB,28,FALSE)</f>
        <v>17.445660541395373</v>
      </c>
      <c r="L532" s="297">
        <f t="shared" si="45"/>
        <v>34.777420808222523</v>
      </c>
      <c r="M532">
        <v>42.722962229696726</v>
      </c>
      <c r="N532" s="30">
        <f t="shared" si="46"/>
        <v>-7.9455414214742035</v>
      </c>
    </row>
    <row r="533" spans="1:14" x14ac:dyDescent="0.2">
      <c r="A533" s="299" t="s">
        <v>1389</v>
      </c>
      <c r="B533" s="298" t="str">
        <f t="shared" si="42"/>
        <v>MVA0020-ST</v>
      </c>
      <c r="C533" s="294" t="str">
        <f>VLOOKUP(LEFT(A533,7),'Tariff Schedule Lookup Table'!$A$8:$G$198,2,FALSE)</f>
        <v>Mercury Vapour 80</v>
      </c>
      <c r="D533" s="295">
        <f t="shared" si="43"/>
        <v>1460</v>
      </c>
      <c r="E533" s="294">
        <f t="shared" si="44"/>
        <v>2</v>
      </c>
      <c r="F533" s="294" t="str">
        <f>VLOOKUP(D533,'Tariff Schedule Lookup Table'!I$7:L$298,2,FALSE)</f>
        <v>MERCURY VAPOUR 80W</v>
      </c>
      <c r="G533" s="294" t="str">
        <f>IF(F533 = "BULKHEADS ETC", "SHARED OR NO POLE", VLOOKUP(D533,'Tariff Schedule Lookup Table'!I$7:L$298,3,FALSE))</f>
        <v>STEEL POLE</v>
      </c>
      <c r="H533" s="294">
        <f>IF(F533 = "NO CAPITAL", 1, VLOOKUP(D533,'Tariff Schedule Lookup Table'!I$7:L$298,4,FALSE))</f>
        <v>3</v>
      </c>
      <c r="I533" s="296">
        <f>VLOOKUP(G533,'Input data'!$A$68:$B$72,2,FALSE)</f>
        <v>9.8748837500000004</v>
      </c>
      <c r="J533" s="296">
        <f>VLOOKUP($B533,'Maintenance Costs'!$A:$AB,22,FALSE)</f>
        <v>11.926803266827147</v>
      </c>
      <c r="K533" s="296">
        <f>VLOOKUP($B533,'Maintenance Costs'!$A:$AB,28,FALSE)</f>
        <v>17.445660541395373</v>
      </c>
      <c r="L533" s="297">
        <f t="shared" si="45"/>
        <v>32.66409172488919</v>
      </c>
      <c r="M533">
        <v>40.609633146363393</v>
      </c>
      <c r="N533" s="30">
        <f t="shared" si="46"/>
        <v>-7.9455414214742035</v>
      </c>
    </row>
    <row r="534" spans="1:14" x14ac:dyDescent="0.2">
      <c r="A534" s="299" t="s">
        <v>1390</v>
      </c>
      <c r="B534" s="298" t="str">
        <f t="shared" si="42"/>
        <v>MVA0080-ST</v>
      </c>
      <c r="C534" s="294" t="str">
        <f>VLOOKUP(LEFT(A534,7),'Tariff Schedule Lookup Table'!$A$8:$G$198,2,FALSE)</f>
        <v>Mercury Vapour 125</v>
      </c>
      <c r="D534" s="295">
        <f t="shared" si="43"/>
        <v>1</v>
      </c>
      <c r="E534" s="294">
        <f t="shared" si="44"/>
        <v>6</v>
      </c>
      <c r="F534" s="294" t="str">
        <f>VLOOKUP(D534,'Tariff Schedule Lookup Table'!I$7:L$298,2,FALSE)</f>
        <v>NO CAPITAL</v>
      </c>
      <c r="G534" s="294" t="str">
        <f>IF(F534 = "BULKHEADS ETC", "SHARED OR NO POLE", VLOOKUP(D534,'Tariff Schedule Lookup Table'!I$7:L$298,3,FALSE))</f>
        <v>NO CAPITAL</v>
      </c>
      <c r="H534" s="294">
        <f>IF(F534 = "NO CAPITAL", 1, VLOOKUP(D534,'Tariff Schedule Lookup Table'!I$7:L$298,4,FALSE))</f>
        <v>1</v>
      </c>
      <c r="I534" s="296">
        <f>VLOOKUP(G534,'Input data'!$A$68:$B$72,2,FALSE)</f>
        <v>0</v>
      </c>
      <c r="J534" s="296">
        <v>0</v>
      </c>
      <c r="K534" s="296">
        <v>0</v>
      </c>
      <c r="L534" s="297">
        <f t="shared" si="45"/>
        <v>0</v>
      </c>
      <c r="M534">
        <v>0</v>
      </c>
      <c r="N534" s="30">
        <f t="shared" si="46"/>
        <v>0</v>
      </c>
    </row>
    <row r="535" spans="1:14" x14ac:dyDescent="0.2">
      <c r="A535" s="299" t="s">
        <v>1391</v>
      </c>
      <c r="B535" s="298" t="str">
        <f t="shared" si="42"/>
        <v>MVA0080-ST</v>
      </c>
      <c r="C535" s="294" t="str">
        <f>VLOOKUP(LEFT(A535,7),'Tariff Schedule Lookup Table'!$A$8:$G$198,2,FALSE)</f>
        <v>Mercury Vapour 125</v>
      </c>
      <c r="D535" s="295">
        <f t="shared" si="43"/>
        <v>10</v>
      </c>
      <c r="E535" s="294">
        <f t="shared" si="44"/>
        <v>1</v>
      </c>
      <c r="F535" s="294" t="str">
        <f>VLOOKUP(D535,'Tariff Schedule Lookup Table'!I$7:L$298,2,FALSE)</f>
        <v>MERCURY VAPOUR 80W</v>
      </c>
      <c r="G535" s="294" t="str">
        <f>IF(F535 = "BULKHEADS ETC", "SHARED OR NO POLE", VLOOKUP(D535,'Tariff Schedule Lookup Table'!I$7:L$298,3,FALSE))</f>
        <v>SHARED OR NO POLE</v>
      </c>
      <c r="H535" s="294">
        <f>IF(F535 = "NO CAPITAL", 1, VLOOKUP(D535,'Tariff Schedule Lookup Table'!I$7:L$298,4,FALSE))</f>
        <v>1</v>
      </c>
      <c r="I535" s="296">
        <f>VLOOKUP(G535,'Input data'!$A$68:$B$72,2,FALSE)</f>
        <v>0</v>
      </c>
      <c r="J535" s="296">
        <f>VLOOKUP($B535,'Maintenance Costs'!$A:$AB,22,FALSE)</f>
        <v>11.942012179071074</v>
      </c>
      <c r="K535" s="296">
        <f>VLOOKUP($B535,'Maintenance Costs'!$A:$AB,28,FALSE)</f>
        <v>17.631857041395374</v>
      </c>
      <c r="L535" s="297">
        <f t="shared" si="45"/>
        <v>29.573869220466449</v>
      </c>
      <c r="M535">
        <v>37.497752685479952</v>
      </c>
      <c r="N535" s="30">
        <f t="shared" si="46"/>
        <v>-7.9238834650135033</v>
      </c>
    </row>
    <row r="536" spans="1:14" x14ac:dyDescent="0.2">
      <c r="A536" s="299" t="s">
        <v>1392</v>
      </c>
      <c r="B536" s="298" t="str">
        <f t="shared" si="42"/>
        <v>MVA0080-ST</v>
      </c>
      <c r="C536" s="294" t="str">
        <f>VLOOKUP(LEFT(A536,7),'Tariff Schedule Lookup Table'!$A$8:$G$198,2,FALSE)</f>
        <v>Mercury Vapour 125</v>
      </c>
      <c r="D536" s="295">
        <f t="shared" si="43"/>
        <v>10</v>
      </c>
      <c r="E536" s="294">
        <f t="shared" si="44"/>
        <v>2</v>
      </c>
      <c r="F536" s="294" t="str">
        <f>VLOOKUP(D536,'Tariff Schedule Lookup Table'!I$7:L$298,2,FALSE)</f>
        <v>MERCURY VAPOUR 80W</v>
      </c>
      <c r="G536" s="294" t="str">
        <f>IF(F536 = "BULKHEADS ETC", "SHARED OR NO POLE", VLOOKUP(D536,'Tariff Schedule Lookup Table'!I$7:L$298,3,FALSE))</f>
        <v>SHARED OR NO POLE</v>
      </c>
      <c r="H536" s="294">
        <f>IF(F536 = "NO CAPITAL", 1, VLOOKUP(D536,'Tariff Schedule Lookup Table'!I$7:L$298,4,FALSE))</f>
        <v>1</v>
      </c>
      <c r="I536" s="296">
        <f>VLOOKUP(G536,'Input data'!$A$68:$B$72,2,FALSE)</f>
        <v>0</v>
      </c>
      <c r="J536" s="296">
        <f>VLOOKUP($B536,'Maintenance Costs'!$A:$AB,22,FALSE)</f>
        <v>11.942012179071074</v>
      </c>
      <c r="K536" s="296">
        <f>VLOOKUP($B536,'Maintenance Costs'!$A:$AB,28,FALSE)</f>
        <v>17.631857041395374</v>
      </c>
      <c r="L536" s="297">
        <f t="shared" si="45"/>
        <v>29.573869220466449</v>
      </c>
      <c r="M536">
        <v>37.497752685479952</v>
      </c>
      <c r="N536" s="30">
        <f t="shared" si="46"/>
        <v>-7.9238834650135033</v>
      </c>
    </row>
    <row r="537" spans="1:14" x14ac:dyDescent="0.2">
      <c r="A537" s="299" t="s">
        <v>1393</v>
      </c>
      <c r="B537" s="298" t="str">
        <f t="shared" si="42"/>
        <v>MVA0080-ST</v>
      </c>
      <c r="C537" s="294" t="str">
        <f>VLOOKUP(LEFT(A537,7),'Tariff Schedule Lookup Table'!$A$8:$G$198,2,FALSE)</f>
        <v>Mercury Vapour 125</v>
      </c>
      <c r="D537" s="295">
        <f t="shared" si="43"/>
        <v>740</v>
      </c>
      <c r="E537" s="294">
        <f t="shared" si="44"/>
        <v>2</v>
      </c>
      <c r="F537" s="294" t="str">
        <f>VLOOKUP(D537,'Tariff Schedule Lookup Table'!I$7:L$298,2,FALSE)</f>
        <v>MERCURY VAPOUR 80W</v>
      </c>
      <c r="G537" s="294" t="str">
        <f>IF(F537 = "BULKHEADS ETC", "SHARED OR NO POLE", VLOOKUP(D537,'Tariff Schedule Lookup Table'!I$7:L$298,3,FALSE))</f>
        <v>SHARED OR NO POLE</v>
      </c>
      <c r="H537" s="294">
        <f>IF(F537 = "NO CAPITAL", 1, VLOOKUP(D537,'Tariff Schedule Lookup Table'!I$7:L$298,4,FALSE))</f>
        <v>2</v>
      </c>
      <c r="I537" s="296">
        <f>VLOOKUP(G537,'Input data'!$A$68:$B$72,2,FALSE)</f>
        <v>0</v>
      </c>
      <c r="J537" s="296">
        <f>VLOOKUP($B537,'Maintenance Costs'!$A:$AB,22,FALSE)</f>
        <v>11.942012179071074</v>
      </c>
      <c r="K537" s="296">
        <f>VLOOKUP($B537,'Maintenance Costs'!$A:$AB,28,FALSE)</f>
        <v>17.631857041395374</v>
      </c>
      <c r="L537" s="297">
        <f t="shared" si="45"/>
        <v>29.573869220466449</v>
      </c>
      <c r="M537">
        <v>37.497752685479952</v>
      </c>
      <c r="N537" s="30">
        <f t="shared" si="46"/>
        <v>-7.9238834650135033</v>
      </c>
    </row>
    <row r="538" spans="1:14" x14ac:dyDescent="0.2">
      <c r="A538" s="299" t="s">
        <v>1394</v>
      </c>
      <c r="B538" s="298" t="str">
        <f t="shared" si="42"/>
        <v>MVA0080-ST</v>
      </c>
      <c r="C538" s="294" t="str">
        <f>VLOOKUP(LEFT(A538,7),'Tariff Schedule Lookup Table'!$A$8:$G$198,2,FALSE)</f>
        <v>Mercury Vapour 125</v>
      </c>
      <c r="D538" s="295">
        <f t="shared" si="43"/>
        <v>810</v>
      </c>
      <c r="E538" s="294">
        <f t="shared" si="44"/>
        <v>1</v>
      </c>
      <c r="F538" s="294" t="str">
        <f>VLOOKUP(D538,'Tariff Schedule Lookup Table'!I$7:L$298,2,FALSE)</f>
        <v>MERCURY VAPOUR 80W</v>
      </c>
      <c r="G538" s="294" t="str">
        <f>IF(F538 = "BULKHEADS ETC", "SHARED OR NO POLE", VLOOKUP(D538,'Tariff Schedule Lookup Table'!I$7:L$298,3,FALSE))</f>
        <v>WOOD POLE</v>
      </c>
      <c r="H538" s="294">
        <f>IF(F538 = "NO CAPITAL", 1, VLOOKUP(D538,'Tariff Schedule Lookup Table'!I$7:L$298,4,FALSE))</f>
        <v>1</v>
      </c>
      <c r="I538" s="296">
        <f>VLOOKUP(G538,'Input data'!$A$68:$B$72,2,FALSE)</f>
        <v>10.809914000000001</v>
      </c>
      <c r="J538" s="296">
        <f>VLOOKUP($B538,'Maintenance Costs'!$A:$AB,22,FALSE)</f>
        <v>11.942012179071074</v>
      </c>
      <c r="K538" s="296">
        <f>VLOOKUP($B538,'Maintenance Costs'!$A:$AB,28,FALSE)</f>
        <v>17.631857041395374</v>
      </c>
      <c r="L538" s="297">
        <f t="shared" si="45"/>
        <v>40.383783220466448</v>
      </c>
      <c r="M538">
        <v>48.307666685479951</v>
      </c>
      <c r="N538" s="30">
        <f t="shared" si="46"/>
        <v>-7.9238834650135033</v>
      </c>
    </row>
    <row r="539" spans="1:14" x14ac:dyDescent="0.2">
      <c r="A539" s="299" t="s">
        <v>1395</v>
      </c>
      <c r="B539" s="298" t="str">
        <f t="shared" si="42"/>
        <v>MVA0080-ST</v>
      </c>
      <c r="C539" s="294" t="str">
        <f>VLOOKUP(LEFT(A539,7),'Tariff Schedule Lookup Table'!$A$8:$G$198,2,FALSE)</f>
        <v>Mercury Vapour 125</v>
      </c>
      <c r="D539" s="295">
        <f t="shared" si="43"/>
        <v>810</v>
      </c>
      <c r="E539" s="294">
        <f t="shared" si="44"/>
        <v>2</v>
      </c>
      <c r="F539" s="294" t="str">
        <f>VLOOKUP(D539,'Tariff Schedule Lookup Table'!I$7:L$298,2,FALSE)</f>
        <v>MERCURY VAPOUR 80W</v>
      </c>
      <c r="G539" s="294" t="str">
        <f>IF(F539 = "BULKHEADS ETC", "SHARED OR NO POLE", VLOOKUP(D539,'Tariff Schedule Lookup Table'!I$7:L$298,3,FALSE))</f>
        <v>WOOD POLE</v>
      </c>
      <c r="H539" s="294">
        <f>IF(F539 = "NO CAPITAL", 1, VLOOKUP(D539,'Tariff Schedule Lookup Table'!I$7:L$298,4,FALSE))</f>
        <v>1</v>
      </c>
      <c r="I539" s="296">
        <f>VLOOKUP(G539,'Input data'!$A$68:$B$72,2,FALSE)</f>
        <v>10.809914000000001</v>
      </c>
      <c r="J539" s="296">
        <f>VLOOKUP($B539,'Maintenance Costs'!$A:$AB,22,FALSE)</f>
        <v>11.942012179071074</v>
      </c>
      <c r="K539" s="296">
        <f>VLOOKUP($B539,'Maintenance Costs'!$A:$AB,28,FALSE)</f>
        <v>17.631857041395374</v>
      </c>
      <c r="L539" s="297">
        <f t="shared" si="45"/>
        <v>40.383783220466448</v>
      </c>
      <c r="M539">
        <v>48.307666685479951</v>
      </c>
      <c r="N539" s="30">
        <f t="shared" si="46"/>
        <v>-7.9238834650135033</v>
      </c>
    </row>
    <row r="540" spans="1:14" x14ac:dyDescent="0.2">
      <c r="A540" s="299" t="s">
        <v>1396</v>
      </c>
      <c r="B540" s="298" t="str">
        <f t="shared" si="42"/>
        <v>MVA0080-ST</v>
      </c>
      <c r="C540" s="294" t="str">
        <f>VLOOKUP(LEFT(A540,7),'Tariff Schedule Lookup Table'!$A$8:$G$198,2,FALSE)</f>
        <v>Mercury Vapour 125</v>
      </c>
      <c r="D540" s="295">
        <f t="shared" si="43"/>
        <v>820</v>
      </c>
      <c r="E540" s="294">
        <f t="shared" si="44"/>
        <v>1</v>
      </c>
      <c r="F540" s="294" t="str">
        <f>VLOOKUP(D540,'Tariff Schedule Lookup Table'!I$7:L$298,2,FALSE)</f>
        <v>MERCURY VAPOUR 80W</v>
      </c>
      <c r="G540" s="294" t="str">
        <f>IF(F540 = "BULKHEADS ETC", "SHARED OR NO POLE", VLOOKUP(D540,'Tariff Schedule Lookup Table'!I$7:L$298,3,FALSE))</f>
        <v>SHARED OR NO POLE</v>
      </c>
      <c r="H540" s="294">
        <f>IF(F540 = "NO CAPITAL", 1, VLOOKUP(D540,'Tariff Schedule Lookup Table'!I$7:L$298,4,FALSE))</f>
        <v>3</v>
      </c>
      <c r="I540" s="296">
        <f>VLOOKUP(G540,'Input data'!$A$68:$B$72,2,FALSE)</f>
        <v>0</v>
      </c>
      <c r="J540" s="296">
        <f>VLOOKUP($B540,'Maintenance Costs'!$A:$AB,22,FALSE)</f>
        <v>11.942012179071074</v>
      </c>
      <c r="K540" s="296">
        <f>VLOOKUP($B540,'Maintenance Costs'!$A:$AB,28,FALSE)</f>
        <v>17.631857041395374</v>
      </c>
      <c r="L540" s="297">
        <f t="shared" si="45"/>
        <v>29.573869220466449</v>
      </c>
      <c r="M540">
        <v>37.497752685479952</v>
      </c>
      <c r="N540" s="30">
        <f t="shared" si="46"/>
        <v>-7.9238834650135033</v>
      </c>
    </row>
    <row r="541" spans="1:14" x14ac:dyDescent="0.2">
      <c r="A541" s="299" t="s">
        <v>1397</v>
      </c>
      <c r="B541" s="298" t="str">
        <f t="shared" si="42"/>
        <v>MVA0080-ST</v>
      </c>
      <c r="C541" s="294" t="str">
        <f>VLOOKUP(LEFT(A541,7),'Tariff Schedule Lookup Table'!$A$8:$G$198,2,FALSE)</f>
        <v>Mercury Vapour 125</v>
      </c>
      <c r="D541" s="295">
        <f t="shared" si="43"/>
        <v>990</v>
      </c>
      <c r="E541" s="294">
        <f t="shared" si="44"/>
        <v>1</v>
      </c>
      <c r="F541" s="294" t="str">
        <f>VLOOKUP(D541,'Tariff Schedule Lookup Table'!I$7:L$298,2,FALSE)</f>
        <v>MERCURY VAPOUR 80W</v>
      </c>
      <c r="G541" s="294" t="str">
        <f>IF(F541 = "BULKHEADS ETC", "SHARED OR NO POLE", VLOOKUP(D541,'Tariff Schedule Lookup Table'!I$7:L$298,3,FALSE))</f>
        <v>STEEL POLE</v>
      </c>
      <c r="H541" s="294">
        <f>IF(F541 = "NO CAPITAL", 1, VLOOKUP(D541,'Tariff Schedule Lookup Table'!I$7:L$298,4,FALSE))</f>
        <v>1</v>
      </c>
      <c r="I541" s="296">
        <f>VLOOKUP(G541,'Input data'!$A$68:$B$72,2,FALSE)</f>
        <v>9.8748837500000004</v>
      </c>
      <c r="J541" s="296">
        <f>VLOOKUP($B541,'Maintenance Costs'!$A:$AB,22,FALSE)</f>
        <v>11.942012179071074</v>
      </c>
      <c r="K541" s="296">
        <f>VLOOKUP($B541,'Maintenance Costs'!$A:$AB,28,FALSE)</f>
        <v>17.631857041395374</v>
      </c>
      <c r="L541" s="297">
        <f t="shared" si="45"/>
        <v>39.448752970466451</v>
      </c>
      <c r="M541">
        <v>47.372636435479954</v>
      </c>
      <c r="N541" s="30">
        <f t="shared" si="46"/>
        <v>-7.9238834650135033</v>
      </c>
    </row>
    <row r="542" spans="1:14" x14ac:dyDescent="0.2">
      <c r="A542" s="299" t="s">
        <v>1398</v>
      </c>
      <c r="B542" s="298" t="str">
        <f t="shared" si="42"/>
        <v>MVA0080-ST</v>
      </c>
      <c r="C542" s="294" t="str">
        <f>VLOOKUP(LEFT(A542,7),'Tariff Schedule Lookup Table'!$A$8:$G$198,2,FALSE)</f>
        <v>Mercury Vapour 125</v>
      </c>
      <c r="D542" s="295">
        <f t="shared" si="43"/>
        <v>990</v>
      </c>
      <c r="E542" s="294">
        <f t="shared" si="44"/>
        <v>2</v>
      </c>
      <c r="F542" s="294" t="str">
        <f>VLOOKUP(D542,'Tariff Schedule Lookup Table'!I$7:L$298,2,FALSE)</f>
        <v>MERCURY VAPOUR 80W</v>
      </c>
      <c r="G542" s="294" t="str">
        <f>IF(F542 = "BULKHEADS ETC", "SHARED OR NO POLE", VLOOKUP(D542,'Tariff Schedule Lookup Table'!I$7:L$298,3,FALSE))</f>
        <v>STEEL POLE</v>
      </c>
      <c r="H542" s="294">
        <f>IF(F542 = "NO CAPITAL", 1, VLOOKUP(D542,'Tariff Schedule Lookup Table'!I$7:L$298,4,FALSE))</f>
        <v>1</v>
      </c>
      <c r="I542" s="296">
        <f>VLOOKUP(G542,'Input data'!$A$68:$B$72,2,FALSE)</f>
        <v>9.8748837500000004</v>
      </c>
      <c r="J542" s="296">
        <f>VLOOKUP($B542,'Maintenance Costs'!$A:$AB,22,FALSE)</f>
        <v>11.942012179071074</v>
      </c>
      <c r="K542" s="296">
        <f>VLOOKUP($B542,'Maintenance Costs'!$A:$AB,28,FALSE)</f>
        <v>17.631857041395374</v>
      </c>
      <c r="L542" s="297">
        <f t="shared" si="45"/>
        <v>39.448752970466451</v>
      </c>
      <c r="M542">
        <v>47.372636435479954</v>
      </c>
      <c r="N542" s="30">
        <f t="shared" si="46"/>
        <v>-7.9238834650135033</v>
      </c>
    </row>
    <row r="543" spans="1:14" x14ac:dyDescent="0.2">
      <c r="A543" s="299" t="s">
        <v>1399</v>
      </c>
      <c r="B543" s="298" t="str">
        <f t="shared" si="42"/>
        <v>MVA0080-ST</v>
      </c>
      <c r="C543" s="294" t="str">
        <f>VLOOKUP(LEFT(A543,7),'Tariff Schedule Lookup Table'!$A$8:$G$198,2,FALSE)</f>
        <v>Mercury Vapour 125</v>
      </c>
      <c r="D543" s="295">
        <f t="shared" si="43"/>
        <v>1000</v>
      </c>
      <c r="E543" s="294">
        <f t="shared" si="44"/>
        <v>1</v>
      </c>
      <c r="F543" s="294" t="str">
        <f>VLOOKUP(D543,'Tariff Schedule Lookup Table'!I$7:L$298,2,FALSE)</f>
        <v>MERCURY VAPOUR 80W</v>
      </c>
      <c r="G543" s="294" t="str">
        <f>IF(F543 = "BULKHEADS ETC", "SHARED OR NO POLE", VLOOKUP(D543,'Tariff Schedule Lookup Table'!I$7:L$298,3,FALSE))</f>
        <v>STEEL POLE</v>
      </c>
      <c r="H543" s="294">
        <f>IF(F543 = "NO CAPITAL", 1, VLOOKUP(D543,'Tariff Schedule Lookup Table'!I$7:L$298,4,FALSE))</f>
        <v>2</v>
      </c>
      <c r="I543" s="296">
        <f>VLOOKUP(G543,'Input data'!$A$68:$B$72,2,FALSE)</f>
        <v>9.8748837500000004</v>
      </c>
      <c r="J543" s="296">
        <f>VLOOKUP($B543,'Maintenance Costs'!$A:$AB,22,FALSE)</f>
        <v>11.942012179071074</v>
      </c>
      <c r="K543" s="296">
        <f>VLOOKUP($B543,'Maintenance Costs'!$A:$AB,28,FALSE)</f>
        <v>17.631857041395374</v>
      </c>
      <c r="L543" s="297">
        <f t="shared" si="45"/>
        <v>34.511311095466446</v>
      </c>
      <c r="M543">
        <v>42.43519456047995</v>
      </c>
      <c r="N543" s="30">
        <f t="shared" si="46"/>
        <v>-7.9238834650135033</v>
      </c>
    </row>
    <row r="544" spans="1:14" x14ac:dyDescent="0.2">
      <c r="A544" s="299" t="s">
        <v>1400</v>
      </c>
      <c r="B544" s="298" t="str">
        <f t="shared" si="42"/>
        <v>MVA0120-ST</v>
      </c>
      <c r="C544" s="294" t="str">
        <f>VLOOKUP(LEFT(A544,7),'Tariff Schedule Lookup Table'!$A$8:$G$198,2,FALSE)</f>
        <v>Mercury Vapour 160</v>
      </c>
      <c r="D544" s="295">
        <f t="shared" si="43"/>
        <v>1</v>
      </c>
      <c r="E544" s="294">
        <f t="shared" si="44"/>
        <v>6</v>
      </c>
      <c r="F544" s="294" t="str">
        <f>VLOOKUP(D544,'Tariff Schedule Lookup Table'!I$7:L$298,2,FALSE)</f>
        <v>NO CAPITAL</v>
      </c>
      <c r="G544" s="294" t="str">
        <f>IF(F544 = "BULKHEADS ETC", "SHARED OR NO POLE", VLOOKUP(D544,'Tariff Schedule Lookup Table'!I$7:L$298,3,FALSE))</f>
        <v>NO CAPITAL</v>
      </c>
      <c r="H544" s="294">
        <f>IF(F544 = "NO CAPITAL", 1, VLOOKUP(D544,'Tariff Schedule Lookup Table'!I$7:L$298,4,FALSE))</f>
        <v>1</v>
      </c>
      <c r="I544" s="296">
        <f>VLOOKUP(G544,'Input data'!$A$68:$B$72,2,FALSE)</f>
        <v>0</v>
      </c>
      <c r="J544" s="296">
        <v>0</v>
      </c>
      <c r="K544" s="296">
        <v>0</v>
      </c>
      <c r="L544" s="297">
        <f t="shared" si="45"/>
        <v>0</v>
      </c>
      <c r="M544">
        <v>0</v>
      </c>
      <c r="N544" s="30">
        <f t="shared" si="46"/>
        <v>0</v>
      </c>
    </row>
    <row r="545" spans="1:14" x14ac:dyDescent="0.2">
      <c r="A545" s="299" t="s">
        <v>1401</v>
      </c>
      <c r="B545" s="298" t="str">
        <f t="shared" si="42"/>
        <v>MVA0170-ST</v>
      </c>
      <c r="C545" s="294" t="str">
        <f>VLOOKUP(LEFT(A545,7),'Tariff Schedule Lookup Table'!$A$8:$G$198,2,FALSE)</f>
        <v>Mercury Vapour 175</v>
      </c>
      <c r="D545" s="295">
        <f t="shared" si="43"/>
        <v>20</v>
      </c>
      <c r="E545" s="294">
        <f t="shared" si="44"/>
        <v>1</v>
      </c>
      <c r="F545" s="294" t="str">
        <f>VLOOKUP(D545,'Tariff Schedule Lookup Table'!I$7:L$298,2,FALSE)</f>
        <v xml:space="preserve">MERCURY VAPOUR 250W </v>
      </c>
      <c r="G545" s="294" t="str">
        <f>IF(F545 = "BULKHEADS ETC", "SHARED OR NO POLE", VLOOKUP(D545,'Tariff Schedule Lookup Table'!I$7:L$298,3,FALSE))</f>
        <v>SHARED OR NO POLE</v>
      </c>
      <c r="H545" s="294">
        <f>IF(F545 = "NO CAPITAL", 1, VLOOKUP(D545,'Tariff Schedule Lookup Table'!I$7:L$298,4,FALSE))</f>
        <v>1</v>
      </c>
      <c r="I545" s="296">
        <f>VLOOKUP(G545,'Input data'!$A$68:$B$72,2,FALSE)</f>
        <v>0</v>
      </c>
      <c r="J545" s="296">
        <f>VLOOKUP($B545,'Maintenance Costs'!$A:$AB,22,FALSE)</f>
        <v>20.90933996573774</v>
      </c>
      <c r="K545" s="296">
        <f>VLOOKUP($B545,'Maintenance Costs'!$A:$AB,28,FALSE)</f>
        <v>17.631857041395374</v>
      </c>
      <c r="L545" s="297">
        <f t="shared" si="45"/>
        <v>38.541197007133114</v>
      </c>
      <c r="M545">
        <v>47.48364500210387</v>
      </c>
      <c r="N545" s="30">
        <f t="shared" si="46"/>
        <v>-8.942447994970756</v>
      </c>
    </row>
    <row r="546" spans="1:14" x14ac:dyDescent="0.2">
      <c r="A546" s="299" t="s">
        <v>1402</v>
      </c>
      <c r="B546" s="298" t="str">
        <f t="shared" si="42"/>
        <v>MVA0190-ST</v>
      </c>
      <c r="C546" s="294" t="str">
        <f>VLOOKUP(LEFT(A546,7),'Tariff Schedule Lookup Table'!$A$8:$G$198,2,FALSE)</f>
        <v>Mercury Vapour 250</v>
      </c>
      <c r="D546" s="295">
        <f t="shared" si="43"/>
        <v>20</v>
      </c>
      <c r="E546" s="294">
        <f t="shared" si="44"/>
        <v>1</v>
      </c>
      <c r="F546" s="294" t="str">
        <f>VLOOKUP(D546,'Tariff Schedule Lookup Table'!I$7:L$298,2,FALSE)</f>
        <v xml:space="preserve">MERCURY VAPOUR 250W </v>
      </c>
      <c r="G546" s="294" t="str">
        <f>IF(F546 = "BULKHEADS ETC", "SHARED OR NO POLE", VLOOKUP(D546,'Tariff Schedule Lookup Table'!I$7:L$298,3,FALSE))</f>
        <v>SHARED OR NO POLE</v>
      </c>
      <c r="H546" s="294">
        <f>IF(F546 = "NO CAPITAL", 1, VLOOKUP(D546,'Tariff Schedule Lookup Table'!I$7:L$298,4,FALSE))</f>
        <v>1</v>
      </c>
      <c r="I546" s="296">
        <f>VLOOKUP(G546,'Input data'!$A$68:$B$72,2,FALSE)</f>
        <v>0</v>
      </c>
      <c r="J546" s="296">
        <f>VLOOKUP($B546,'Maintenance Costs'!$A:$AB,22,FALSE)</f>
        <v>21.284971165737741</v>
      </c>
      <c r="K546" s="296">
        <f>VLOOKUP($B546,'Maintenance Costs'!$A:$AB,28,FALSE)</f>
        <v>19.307625541395375</v>
      </c>
      <c r="L546" s="297">
        <f t="shared" si="45"/>
        <v>40.592596707133112</v>
      </c>
      <c r="M546">
        <v>50.137770868103871</v>
      </c>
      <c r="N546" s="30">
        <f t="shared" si="46"/>
        <v>-9.5451741609707597</v>
      </c>
    </row>
    <row r="547" spans="1:14" x14ac:dyDescent="0.2">
      <c r="A547" s="299" t="s">
        <v>1403</v>
      </c>
      <c r="B547" s="298" t="str">
        <f t="shared" si="42"/>
        <v>MVA0190-ST</v>
      </c>
      <c r="C547" s="294" t="str">
        <f>VLOOKUP(LEFT(A547,7),'Tariff Schedule Lookup Table'!$A$8:$G$198,2,FALSE)</f>
        <v>Mercury Vapour 250</v>
      </c>
      <c r="D547" s="295">
        <f t="shared" si="43"/>
        <v>20</v>
      </c>
      <c r="E547" s="294">
        <f t="shared" si="44"/>
        <v>2</v>
      </c>
      <c r="F547" s="294" t="str">
        <f>VLOOKUP(D547,'Tariff Schedule Lookup Table'!I$7:L$298,2,FALSE)</f>
        <v xml:space="preserve">MERCURY VAPOUR 250W </v>
      </c>
      <c r="G547" s="294" t="str">
        <f>IF(F547 = "BULKHEADS ETC", "SHARED OR NO POLE", VLOOKUP(D547,'Tariff Schedule Lookup Table'!I$7:L$298,3,FALSE))</f>
        <v>SHARED OR NO POLE</v>
      </c>
      <c r="H547" s="294">
        <f>IF(F547 = "NO CAPITAL", 1, VLOOKUP(D547,'Tariff Schedule Lookup Table'!I$7:L$298,4,FALSE))</f>
        <v>1</v>
      </c>
      <c r="I547" s="296">
        <f>VLOOKUP(G547,'Input data'!$A$68:$B$72,2,FALSE)</f>
        <v>0</v>
      </c>
      <c r="J547" s="296">
        <f>VLOOKUP($B547,'Maintenance Costs'!$A:$AB,22,FALSE)</f>
        <v>21.284971165737741</v>
      </c>
      <c r="K547" s="296">
        <f>VLOOKUP($B547,'Maintenance Costs'!$A:$AB,28,FALSE)</f>
        <v>19.307625541395375</v>
      </c>
      <c r="L547" s="297">
        <f t="shared" si="45"/>
        <v>40.592596707133112</v>
      </c>
      <c r="M547">
        <v>50.137770868103871</v>
      </c>
      <c r="N547" s="30">
        <f t="shared" si="46"/>
        <v>-9.5451741609707597</v>
      </c>
    </row>
    <row r="548" spans="1:14" x14ac:dyDescent="0.2">
      <c r="A548" s="299" t="s">
        <v>1404</v>
      </c>
      <c r="B548" s="298" t="str">
        <f t="shared" si="42"/>
        <v>MVA0190-ST</v>
      </c>
      <c r="C548" s="294" t="str">
        <f>VLOOKUP(LEFT(A548,7),'Tariff Schedule Lookup Table'!$A$8:$G$198,2,FALSE)</f>
        <v>Mercury Vapour 250</v>
      </c>
      <c r="D548" s="295">
        <f t="shared" si="43"/>
        <v>20</v>
      </c>
      <c r="E548" s="294">
        <f t="shared" si="44"/>
        <v>3</v>
      </c>
      <c r="F548" s="294" t="str">
        <f>VLOOKUP(D548,'Tariff Schedule Lookup Table'!I$7:L$298,2,FALSE)</f>
        <v xml:space="preserve">MERCURY VAPOUR 250W </v>
      </c>
      <c r="G548" s="294" t="str">
        <f>IF(F548 = "BULKHEADS ETC", "SHARED OR NO POLE", VLOOKUP(D548,'Tariff Schedule Lookup Table'!I$7:L$298,3,FALSE))</f>
        <v>SHARED OR NO POLE</v>
      </c>
      <c r="H548" s="294">
        <f>IF(F548 = "NO CAPITAL", 1, VLOOKUP(D548,'Tariff Schedule Lookup Table'!I$7:L$298,4,FALSE))</f>
        <v>1</v>
      </c>
      <c r="I548" s="296">
        <f>VLOOKUP(G548,'Input data'!$A$68:$B$72,2,FALSE)</f>
        <v>0</v>
      </c>
      <c r="J548" s="296">
        <f>VLOOKUP($B548,'Maintenance Costs'!$A:$AB,22,FALSE)</f>
        <v>21.284971165737741</v>
      </c>
      <c r="K548" s="296">
        <f>VLOOKUP($B548,'Maintenance Costs'!$A:$AB,28,FALSE)</f>
        <v>19.307625541395375</v>
      </c>
      <c r="L548" s="297">
        <f t="shared" si="45"/>
        <v>40.592596707133112</v>
      </c>
      <c r="M548">
        <v>50.137770868103871</v>
      </c>
      <c r="N548" s="30">
        <f t="shared" si="46"/>
        <v>-9.5451741609707597</v>
      </c>
    </row>
    <row r="549" spans="1:14" x14ac:dyDescent="0.2">
      <c r="A549" s="299" t="s">
        <v>609</v>
      </c>
      <c r="B549" s="298" t="str">
        <f t="shared" si="42"/>
        <v>MVA0190-ST</v>
      </c>
      <c r="C549" s="294" t="str">
        <f>VLOOKUP(LEFT(A549,7),'Tariff Schedule Lookup Table'!$A$8:$G$198,2,FALSE)</f>
        <v>Mercury Vapour 250</v>
      </c>
      <c r="D549" s="295">
        <f t="shared" si="43"/>
        <v>20</v>
      </c>
      <c r="E549" s="294">
        <f t="shared" si="44"/>
        <v>4</v>
      </c>
      <c r="F549" s="294" t="str">
        <f>VLOOKUP(D549,'Tariff Schedule Lookup Table'!I$7:L$298,2,FALSE)</f>
        <v xml:space="preserve">MERCURY VAPOUR 250W </v>
      </c>
      <c r="G549" s="294" t="str">
        <f>IF(F549 = "BULKHEADS ETC", "SHARED OR NO POLE", VLOOKUP(D549,'Tariff Schedule Lookup Table'!I$7:L$298,3,FALSE))</f>
        <v>SHARED OR NO POLE</v>
      </c>
      <c r="H549" s="294">
        <f>IF(F549 = "NO CAPITAL", 1, VLOOKUP(D549,'Tariff Schedule Lookup Table'!I$7:L$298,4,FALSE))</f>
        <v>1</v>
      </c>
      <c r="I549" s="296">
        <f>VLOOKUP(G549,'Input data'!$A$68:$B$72,2,FALSE)</f>
        <v>0</v>
      </c>
      <c r="J549" s="296">
        <f>VLOOKUP($B549,'Maintenance Costs'!$A:$AB,22,FALSE)</f>
        <v>21.284971165737741</v>
      </c>
      <c r="K549" s="296">
        <f>VLOOKUP($B549,'Maintenance Costs'!$A:$AB,28,FALSE)</f>
        <v>19.307625541395375</v>
      </c>
      <c r="L549" s="297">
        <f t="shared" si="45"/>
        <v>40.592596707133112</v>
      </c>
      <c r="M549">
        <v>50.137770868103871</v>
      </c>
      <c r="N549" s="30">
        <f t="shared" si="46"/>
        <v>-9.5451741609707597</v>
      </c>
    </row>
    <row r="550" spans="1:14" x14ac:dyDescent="0.2">
      <c r="A550" s="299" t="s">
        <v>1405</v>
      </c>
      <c r="B550" s="298" t="str">
        <f t="shared" si="42"/>
        <v>MVA0190-ST</v>
      </c>
      <c r="C550" s="294" t="str">
        <f>VLOOKUP(LEFT(A550,7),'Tariff Schedule Lookup Table'!$A$8:$G$198,2,FALSE)</f>
        <v>Mercury Vapour 250</v>
      </c>
      <c r="D550" s="295">
        <f t="shared" si="43"/>
        <v>200</v>
      </c>
      <c r="E550" s="294">
        <f t="shared" si="44"/>
        <v>1</v>
      </c>
      <c r="F550" s="294" t="str">
        <f>VLOOKUP(D550,'Tariff Schedule Lookup Table'!I$7:L$298,2,FALSE)</f>
        <v xml:space="preserve">MERCURY VAPOUR 250W </v>
      </c>
      <c r="G550" s="294" t="str">
        <f>IF(F550 = "BULKHEADS ETC", "SHARED OR NO POLE", VLOOKUP(D550,'Tariff Schedule Lookup Table'!I$7:L$298,3,FALSE))</f>
        <v>WOOD POLE</v>
      </c>
      <c r="H550" s="294">
        <f>IF(F550 = "NO CAPITAL", 1, VLOOKUP(D550,'Tariff Schedule Lookup Table'!I$7:L$298,4,FALSE))</f>
        <v>1</v>
      </c>
      <c r="I550" s="296">
        <f>VLOOKUP(G550,'Input data'!$A$68:$B$72,2,FALSE)</f>
        <v>10.809914000000001</v>
      </c>
      <c r="J550" s="296">
        <f>VLOOKUP($B550,'Maintenance Costs'!$A:$AB,22,FALSE)</f>
        <v>21.284971165737741</v>
      </c>
      <c r="K550" s="296">
        <f>VLOOKUP($B550,'Maintenance Costs'!$A:$AB,28,FALSE)</f>
        <v>19.307625541395375</v>
      </c>
      <c r="L550" s="297">
        <f t="shared" si="45"/>
        <v>51.402510707133111</v>
      </c>
      <c r="M550">
        <v>60.94768486810387</v>
      </c>
      <c r="N550" s="30">
        <f t="shared" si="46"/>
        <v>-9.5451741609707597</v>
      </c>
    </row>
    <row r="551" spans="1:14" x14ac:dyDescent="0.2">
      <c r="A551" s="299" t="s">
        <v>1406</v>
      </c>
      <c r="B551" s="298" t="str">
        <f t="shared" si="42"/>
        <v>MVA0190-ST</v>
      </c>
      <c r="C551" s="294" t="str">
        <f>VLOOKUP(LEFT(A551,7),'Tariff Schedule Lookup Table'!$A$8:$G$198,2,FALSE)</f>
        <v>Mercury Vapour 250</v>
      </c>
      <c r="D551" s="295">
        <f t="shared" si="43"/>
        <v>200</v>
      </c>
      <c r="E551" s="294">
        <f t="shared" si="44"/>
        <v>2</v>
      </c>
      <c r="F551" s="294" t="str">
        <f>VLOOKUP(D551,'Tariff Schedule Lookup Table'!I$7:L$298,2,FALSE)</f>
        <v xml:space="preserve">MERCURY VAPOUR 250W </v>
      </c>
      <c r="G551" s="294" t="str">
        <f>IF(F551 = "BULKHEADS ETC", "SHARED OR NO POLE", VLOOKUP(D551,'Tariff Schedule Lookup Table'!I$7:L$298,3,FALSE))</f>
        <v>WOOD POLE</v>
      </c>
      <c r="H551" s="294">
        <f>IF(F551 = "NO CAPITAL", 1, VLOOKUP(D551,'Tariff Schedule Lookup Table'!I$7:L$298,4,FALSE))</f>
        <v>1</v>
      </c>
      <c r="I551" s="296">
        <f>VLOOKUP(G551,'Input data'!$A$68:$B$72,2,FALSE)</f>
        <v>10.809914000000001</v>
      </c>
      <c r="J551" s="296">
        <f>VLOOKUP($B551,'Maintenance Costs'!$A:$AB,22,FALSE)</f>
        <v>21.284971165737741</v>
      </c>
      <c r="K551" s="296">
        <f>VLOOKUP($B551,'Maintenance Costs'!$A:$AB,28,FALSE)</f>
        <v>19.307625541395375</v>
      </c>
      <c r="L551" s="297">
        <f t="shared" si="45"/>
        <v>51.402510707133111</v>
      </c>
      <c r="M551">
        <v>60.94768486810387</v>
      </c>
      <c r="N551" s="30">
        <f t="shared" si="46"/>
        <v>-9.5451741609707597</v>
      </c>
    </row>
    <row r="552" spans="1:14" x14ac:dyDescent="0.2">
      <c r="A552" s="299" t="s">
        <v>1407</v>
      </c>
      <c r="B552" s="298" t="str">
        <f t="shared" si="42"/>
        <v>MVA0190-ST</v>
      </c>
      <c r="C552" s="294" t="str">
        <f>VLOOKUP(LEFT(A552,7),'Tariff Schedule Lookup Table'!$A$8:$G$198,2,FALSE)</f>
        <v>Mercury Vapour 250</v>
      </c>
      <c r="D552" s="295">
        <f t="shared" si="43"/>
        <v>200</v>
      </c>
      <c r="E552" s="294">
        <f t="shared" si="44"/>
        <v>3</v>
      </c>
      <c r="F552" s="294" t="str">
        <f>VLOOKUP(D552,'Tariff Schedule Lookup Table'!I$7:L$298,2,FALSE)</f>
        <v xml:space="preserve">MERCURY VAPOUR 250W </v>
      </c>
      <c r="G552" s="294" t="str">
        <f>IF(F552 = "BULKHEADS ETC", "SHARED OR NO POLE", VLOOKUP(D552,'Tariff Schedule Lookup Table'!I$7:L$298,3,FALSE))</f>
        <v>WOOD POLE</v>
      </c>
      <c r="H552" s="294">
        <f>IF(F552 = "NO CAPITAL", 1, VLOOKUP(D552,'Tariff Schedule Lookup Table'!I$7:L$298,4,FALSE))</f>
        <v>1</v>
      </c>
      <c r="I552" s="296">
        <f>VLOOKUP(G552,'Input data'!$A$68:$B$72,2,FALSE)</f>
        <v>10.809914000000001</v>
      </c>
      <c r="J552" s="296">
        <f>VLOOKUP($B552,'Maintenance Costs'!$A:$AB,22,FALSE)</f>
        <v>21.284971165737741</v>
      </c>
      <c r="K552" s="296">
        <f>VLOOKUP($B552,'Maintenance Costs'!$A:$AB,28,FALSE)</f>
        <v>19.307625541395375</v>
      </c>
      <c r="L552" s="297">
        <f t="shared" si="45"/>
        <v>51.402510707133111</v>
      </c>
      <c r="M552">
        <v>60.94768486810387</v>
      </c>
      <c r="N552" s="30">
        <f t="shared" si="46"/>
        <v>-9.5451741609707597</v>
      </c>
    </row>
    <row r="553" spans="1:14" x14ac:dyDescent="0.2">
      <c r="A553" s="299" t="s">
        <v>610</v>
      </c>
      <c r="B553" s="298" t="str">
        <f t="shared" si="42"/>
        <v>MVA0190-ST</v>
      </c>
      <c r="C553" s="294" t="str">
        <f>VLOOKUP(LEFT(A553,7),'Tariff Schedule Lookup Table'!$A$8:$G$198,2,FALSE)</f>
        <v>Mercury Vapour 250</v>
      </c>
      <c r="D553" s="295">
        <f t="shared" si="43"/>
        <v>200</v>
      </c>
      <c r="E553" s="294">
        <f t="shared" si="44"/>
        <v>4</v>
      </c>
      <c r="F553" s="294" t="str">
        <f>VLOOKUP(D553,'Tariff Schedule Lookup Table'!I$7:L$298,2,FALSE)</f>
        <v xml:space="preserve">MERCURY VAPOUR 250W </v>
      </c>
      <c r="G553" s="294" t="str">
        <f>IF(F553 = "BULKHEADS ETC", "SHARED OR NO POLE", VLOOKUP(D553,'Tariff Schedule Lookup Table'!I$7:L$298,3,FALSE))</f>
        <v>WOOD POLE</v>
      </c>
      <c r="H553" s="294">
        <f>IF(F553 = "NO CAPITAL", 1, VLOOKUP(D553,'Tariff Schedule Lookup Table'!I$7:L$298,4,FALSE))</f>
        <v>1</v>
      </c>
      <c r="I553" s="296">
        <f>VLOOKUP(G553,'Input data'!$A$68:$B$72,2,FALSE)</f>
        <v>10.809914000000001</v>
      </c>
      <c r="J553" s="296">
        <f>VLOOKUP($B553,'Maintenance Costs'!$A:$AB,22,FALSE)</f>
        <v>21.284971165737741</v>
      </c>
      <c r="K553" s="296">
        <f>VLOOKUP($B553,'Maintenance Costs'!$A:$AB,28,FALSE)</f>
        <v>19.307625541395375</v>
      </c>
      <c r="L553" s="297">
        <f t="shared" si="45"/>
        <v>51.402510707133111</v>
      </c>
      <c r="M553">
        <v>60.94768486810387</v>
      </c>
      <c r="N553" s="30">
        <f t="shared" si="46"/>
        <v>-9.5451741609707597</v>
      </c>
    </row>
    <row r="554" spans="1:14" x14ac:dyDescent="0.2">
      <c r="A554" s="299" t="s">
        <v>1408</v>
      </c>
      <c r="B554" s="298" t="str">
        <f t="shared" si="42"/>
        <v>MVA0190-ST</v>
      </c>
      <c r="C554" s="294" t="str">
        <f>VLOOKUP(LEFT(A554,7),'Tariff Schedule Lookup Table'!$A$8:$G$198,2,FALSE)</f>
        <v>Mercury Vapour 250</v>
      </c>
      <c r="D554" s="295">
        <f t="shared" si="43"/>
        <v>290</v>
      </c>
      <c r="E554" s="294">
        <f t="shared" si="44"/>
        <v>1</v>
      </c>
      <c r="F554" s="294" t="str">
        <f>VLOOKUP(D554,'Tariff Schedule Lookup Table'!I$7:L$298,2,FALSE)</f>
        <v xml:space="preserve">MERCURY VAPOUR 250W </v>
      </c>
      <c r="G554" s="294" t="str">
        <f>IF(F554 = "BULKHEADS ETC", "SHARED OR NO POLE", VLOOKUP(D554,'Tariff Schedule Lookup Table'!I$7:L$298,3,FALSE))</f>
        <v>STEEL POLE</v>
      </c>
      <c r="H554" s="294">
        <f>IF(F554 = "NO CAPITAL", 1, VLOOKUP(D554,'Tariff Schedule Lookup Table'!I$7:L$298,4,FALSE))</f>
        <v>1</v>
      </c>
      <c r="I554" s="296">
        <f>VLOOKUP(G554,'Input data'!$A$68:$B$72,2,FALSE)</f>
        <v>9.8748837500000004</v>
      </c>
      <c r="J554" s="296">
        <f>VLOOKUP($B554,'Maintenance Costs'!$A:$AB,22,FALSE)</f>
        <v>21.284971165737741</v>
      </c>
      <c r="K554" s="296">
        <f>VLOOKUP($B554,'Maintenance Costs'!$A:$AB,28,FALSE)</f>
        <v>19.307625541395375</v>
      </c>
      <c r="L554" s="297">
        <f t="shared" si="45"/>
        <v>50.467480457133114</v>
      </c>
      <c r="M554">
        <v>60.012654618103873</v>
      </c>
      <c r="N554" s="30">
        <f t="shared" si="46"/>
        <v>-9.5451741609707597</v>
      </c>
    </row>
    <row r="555" spans="1:14" x14ac:dyDescent="0.2">
      <c r="A555" s="299" t="s">
        <v>1409</v>
      </c>
      <c r="B555" s="298" t="str">
        <f t="shared" si="42"/>
        <v>MVA0190-ST</v>
      </c>
      <c r="C555" s="294" t="str">
        <f>VLOOKUP(LEFT(A555,7),'Tariff Schedule Lookup Table'!$A$8:$G$198,2,FALSE)</f>
        <v>Mercury Vapour 250</v>
      </c>
      <c r="D555" s="295">
        <f t="shared" si="43"/>
        <v>290</v>
      </c>
      <c r="E555" s="294">
        <f t="shared" si="44"/>
        <v>2</v>
      </c>
      <c r="F555" s="294" t="str">
        <f>VLOOKUP(D555,'Tariff Schedule Lookup Table'!I$7:L$298,2,FALSE)</f>
        <v xml:space="preserve">MERCURY VAPOUR 250W </v>
      </c>
      <c r="G555" s="294" t="str">
        <f>IF(F555 = "BULKHEADS ETC", "SHARED OR NO POLE", VLOOKUP(D555,'Tariff Schedule Lookup Table'!I$7:L$298,3,FALSE))</f>
        <v>STEEL POLE</v>
      </c>
      <c r="H555" s="294">
        <f>IF(F555 = "NO CAPITAL", 1, VLOOKUP(D555,'Tariff Schedule Lookup Table'!I$7:L$298,4,FALSE))</f>
        <v>1</v>
      </c>
      <c r="I555" s="296">
        <f>VLOOKUP(G555,'Input data'!$A$68:$B$72,2,FALSE)</f>
        <v>9.8748837500000004</v>
      </c>
      <c r="J555" s="296">
        <f>VLOOKUP($B555,'Maintenance Costs'!$A:$AB,22,FALSE)</f>
        <v>21.284971165737741</v>
      </c>
      <c r="K555" s="296">
        <f>VLOOKUP($B555,'Maintenance Costs'!$A:$AB,28,FALSE)</f>
        <v>19.307625541395375</v>
      </c>
      <c r="L555" s="297">
        <f t="shared" si="45"/>
        <v>50.467480457133114</v>
      </c>
      <c r="M555">
        <v>60.012654618103873</v>
      </c>
      <c r="N555" s="30">
        <f t="shared" si="46"/>
        <v>-9.5451741609707597</v>
      </c>
    </row>
    <row r="556" spans="1:14" x14ac:dyDescent="0.2">
      <c r="A556" s="299" t="s">
        <v>1410</v>
      </c>
      <c r="B556" s="298" t="str">
        <f t="shared" si="42"/>
        <v>MVA0190-ST</v>
      </c>
      <c r="C556" s="294" t="str">
        <f>VLOOKUP(LEFT(A556,7),'Tariff Schedule Lookup Table'!$A$8:$G$198,2,FALSE)</f>
        <v>Mercury Vapour 250</v>
      </c>
      <c r="D556" s="295">
        <f t="shared" si="43"/>
        <v>290</v>
      </c>
      <c r="E556" s="294">
        <f t="shared" si="44"/>
        <v>3</v>
      </c>
      <c r="F556" s="294" t="str">
        <f>VLOOKUP(D556,'Tariff Schedule Lookup Table'!I$7:L$298,2,FALSE)</f>
        <v xml:space="preserve">MERCURY VAPOUR 250W </v>
      </c>
      <c r="G556" s="294" t="str">
        <f>IF(F556 = "BULKHEADS ETC", "SHARED OR NO POLE", VLOOKUP(D556,'Tariff Schedule Lookup Table'!I$7:L$298,3,FALSE))</f>
        <v>STEEL POLE</v>
      </c>
      <c r="H556" s="294">
        <f>IF(F556 = "NO CAPITAL", 1, VLOOKUP(D556,'Tariff Schedule Lookup Table'!I$7:L$298,4,FALSE))</f>
        <v>1</v>
      </c>
      <c r="I556" s="296">
        <f>VLOOKUP(G556,'Input data'!$A$68:$B$72,2,FALSE)</f>
        <v>9.8748837500000004</v>
      </c>
      <c r="J556" s="296">
        <f>VLOOKUP($B556,'Maintenance Costs'!$A:$AB,22,FALSE)</f>
        <v>21.284971165737741</v>
      </c>
      <c r="K556" s="296">
        <f>VLOOKUP($B556,'Maintenance Costs'!$A:$AB,28,FALSE)</f>
        <v>19.307625541395375</v>
      </c>
      <c r="L556" s="297">
        <f t="shared" si="45"/>
        <v>50.467480457133114</v>
      </c>
      <c r="M556">
        <v>60.012654618103873</v>
      </c>
      <c r="N556" s="30">
        <f t="shared" si="46"/>
        <v>-9.5451741609707597</v>
      </c>
    </row>
    <row r="557" spans="1:14" x14ac:dyDescent="0.2">
      <c r="A557" s="299" t="s">
        <v>611</v>
      </c>
      <c r="B557" s="298" t="str">
        <f t="shared" si="42"/>
        <v>MVA0190-ST</v>
      </c>
      <c r="C557" s="294" t="str">
        <f>VLOOKUP(LEFT(A557,7),'Tariff Schedule Lookup Table'!$A$8:$G$198,2,FALSE)</f>
        <v>Mercury Vapour 250</v>
      </c>
      <c r="D557" s="295">
        <f t="shared" si="43"/>
        <v>290</v>
      </c>
      <c r="E557" s="294">
        <f t="shared" si="44"/>
        <v>4</v>
      </c>
      <c r="F557" s="294" t="str">
        <f>VLOOKUP(D557,'Tariff Schedule Lookup Table'!I$7:L$298,2,FALSE)</f>
        <v xml:space="preserve">MERCURY VAPOUR 250W </v>
      </c>
      <c r="G557" s="294" t="str">
        <f>IF(F557 = "BULKHEADS ETC", "SHARED OR NO POLE", VLOOKUP(D557,'Tariff Schedule Lookup Table'!I$7:L$298,3,FALSE))</f>
        <v>STEEL POLE</v>
      </c>
      <c r="H557" s="294">
        <f>IF(F557 = "NO CAPITAL", 1, VLOOKUP(D557,'Tariff Schedule Lookup Table'!I$7:L$298,4,FALSE))</f>
        <v>1</v>
      </c>
      <c r="I557" s="296">
        <f>VLOOKUP(G557,'Input data'!$A$68:$B$72,2,FALSE)</f>
        <v>9.8748837500000004</v>
      </c>
      <c r="J557" s="296">
        <f>VLOOKUP($B557,'Maintenance Costs'!$A:$AB,22,FALSE)</f>
        <v>21.284971165737741</v>
      </c>
      <c r="K557" s="296">
        <f>VLOOKUP($B557,'Maintenance Costs'!$A:$AB,28,FALSE)</f>
        <v>19.307625541395375</v>
      </c>
      <c r="L557" s="297">
        <f t="shared" si="45"/>
        <v>50.467480457133114</v>
      </c>
      <c r="M557">
        <v>60.012654618103873</v>
      </c>
      <c r="N557" s="30">
        <f t="shared" si="46"/>
        <v>-9.5451741609707597</v>
      </c>
    </row>
    <row r="558" spans="1:14" x14ac:dyDescent="0.2">
      <c r="A558" s="299" t="s">
        <v>1412</v>
      </c>
      <c r="B558" s="298" t="str">
        <f t="shared" si="42"/>
        <v>MVA0190-ST</v>
      </c>
      <c r="C558" s="294" t="str">
        <f>VLOOKUP(LEFT(A558,7),'Tariff Schedule Lookup Table'!$A$8:$G$198,2,FALSE)</f>
        <v>Mercury Vapour 250</v>
      </c>
      <c r="D558" s="295">
        <f t="shared" si="43"/>
        <v>370</v>
      </c>
      <c r="E558" s="294">
        <f t="shared" si="44"/>
        <v>1</v>
      </c>
      <c r="F558" s="294" t="str">
        <f>VLOOKUP(D558,'Tariff Schedule Lookup Table'!I$7:L$298,2,FALSE)</f>
        <v xml:space="preserve">MERCURY VAPOUR 250W </v>
      </c>
      <c r="G558" s="294" t="str">
        <f>IF(F558 = "BULKHEADS ETC", "SHARED OR NO POLE", VLOOKUP(D558,'Tariff Schedule Lookup Table'!I$7:L$298,3,FALSE))</f>
        <v>STEEL POLE</v>
      </c>
      <c r="H558" s="294">
        <f>IF(F558 = "NO CAPITAL", 1, VLOOKUP(D558,'Tariff Schedule Lookup Table'!I$7:L$298,4,FALSE))</f>
        <v>2</v>
      </c>
      <c r="I558" s="296">
        <f>VLOOKUP(G558,'Input data'!$A$68:$B$72,2,FALSE)</f>
        <v>9.8748837500000004</v>
      </c>
      <c r="J558" s="296">
        <f>VLOOKUP($B558,'Maintenance Costs'!$A:$AB,22,FALSE)</f>
        <v>21.284971165737741</v>
      </c>
      <c r="K558" s="296">
        <f>VLOOKUP($B558,'Maintenance Costs'!$A:$AB,28,FALSE)</f>
        <v>19.307625541395375</v>
      </c>
      <c r="L558" s="297">
        <f t="shared" si="45"/>
        <v>45.530038582133109</v>
      </c>
      <c r="M558">
        <v>55.075212743103869</v>
      </c>
      <c r="N558" s="30">
        <f t="shared" si="46"/>
        <v>-9.5451741609707597</v>
      </c>
    </row>
    <row r="559" spans="1:14" x14ac:dyDescent="0.2">
      <c r="A559" s="299" t="s">
        <v>1413</v>
      </c>
      <c r="B559" s="298" t="str">
        <f t="shared" si="42"/>
        <v>MVA0190-ST</v>
      </c>
      <c r="C559" s="294" t="str">
        <f>VLOOKUP(LEFT(A559,7),'Tariff Schedule Lookup Table'!$A$8:$G$198,2,FALSE)</f>
        <v>Mercury Vapour 250</v>
      </c>
      <c r="D559" s="295">
        <f t="shared" si="43"/>
        <v>370</v>
      </c>
      <c r="E559" s="294">
        <f t="shared" si="44"/>
        <v>2</v>
      </c>
      <c r="F559" s="294" t="str">
        <f>VLOOKUP(D559,'Tariff Schedule Lookup Table'!I$7:L$298,2,FALSE)</f>
        <v xml:space="preserve">MERCURY VAPOUR 250W </v>
      </c>
      <c r="G559" s="294" t="str">
        <f>IF(F559 = "BULKHEADS ETC", "SHARED OR NO POLE", VLOOKUP(D559,'Tariff Schedule Lookup Table'!I$7:L$298,3,FALSE))</f>
        <v>STEEL POLE</v>
      </c>
      <c r="H559" s="294">
        <f>IF(F559 = "NO CAPITAL", 1, VLOOKUP(D559,'Tariff Schedule Lookup Table'!I$7:L$298,4,FALSE))</f>
        <v>2</v>
      </c>
      <c r="I559" s="296">
        <f>VLOOKUP(G559,'Input data'!$A$68:$B$72,2,FALSE)</f>
        <v>9.8748837500000004</v>
      </c>
      <c r="J559" s="296">
        <f>VLOOKUP($B559,'Maintenance Costs'!$A:$AB,22,FALSE)</f>
        <v>21.284971165737741</v>
      </c>
      <c r="K559" s="296">
        <f>VLOOKUP($B559,'Maintenance Costs'!$A:$AB,28,FALSE)</f>
        <v>19.307625541395375</v>
      </c>
      <c r="L559" s="297">
        <f t="shared" si="45"/>
        <v>45.530038582133109</v>
      </c>
      <c r="M559">
        <v>55.075212743103869</v>
      </c>
      <c r="N559" s="30">
        <f t="shared" si="46"/>
        <v>-9.5451741609707597</v>
      </c>
    </row>
    <row r="560" spans="1:14" x14ac:dyDescent="0.2">
      <c r="A560" s="299" t="s">
        <v>1414</v>
      </c>
      <c r="B560" s="298" t="str">
        <f t="shared" si="42"/>
        <v>MVA0190-ST</v>
      </c>
      <c r="C560" s="294" t="str">
        <f>VLOOKUP(LEFT(A560,7),'Tariff Schedule Lookup Table'!$A$8:$G$198,2,FALSE)</f>
        <v>Mercury Vapour 250</v>
      </c>
      <c r="D560" s="295">
        <f t="shared" si="43"/>
        <v>450</v>
      </c>
      <c r="E560" s="294">
        <f t="shared" si="44"/>
        <v>2</v>
      </c>
      <c r="F560" s="294" t="str">
        <f>VLOOKUP(D560,'Tariff Schedule Lookup Table'!I$7:L$298,2,FALSE)</f>
        <v xml:space="preserve">MERCURY VAPOUR 250W </v>
      </c>
      <c r="G560" s="294" t="str">
        <f>IF(F560 = "BULKHEADS ETC", "SHARED OR NO POLE", VLOOKUP(D560,'Tariff Schedule Lookup Table'!I$7:L$298,3,FALSE))</f>
        <v>STEEL POLE</v>
      </c>
      <c r="H560" s="294">
        <f>IF(F560 = "NO CAPITAL", 1, VLOOKUP(D560,'Tariff Schedule Lookup Table'!I$7:L$298,4,FALSE))</f>
        <v>4</v>
      </c>
      <c r="I560" s="296">
        <f>VLOOKUP(G560,'Input data'!$A$68:$B$72,2,FALSE)</f>
        <v>9.8748837500000004</v>
      </c>
      <c r="J560" s="296">
        <f>VLOOKUP($B560,'Maintenance Costs'!$A:$AB,22,FALSE)</f>
        <v>21.284971165737741</v>
      </c>
      <c r="K560" s="296">
        <f>VLOOKUP($B560,'Maintenance Costs'!$A:$AB,28,FALSE)</f>
        <v>19.307625541395375</v>
      </c>
      <c r="L560" s="297">
        <f t="shared" si="45"/>
        <v>43.061317644633114</v>
      </c>
      <c r="M560">
        <v>52.606491805603874</v>
      </c>
      <c r="N560" s="30">
        <f t="shared" si="46"/>
        <v>-9.5451741609707597</v>
      </c>
    </row>
    <row r="561" spans="1:14" x14ac:dyDescent="0.2">
      <c r="A561" s="299" t="s">
        <v>825</v>
      </c>
      <c r="B561" s="298" t="str">
        <f t="shared" si="42"/>
        <v>MVA0190-ST</v>
      </c>
      <c r="C561" s="294" t="str">
        <f>VLOOKUP(LEFT(A561,7),'Tariff Schedule Lookup Table'!$A$8:$G$198,2,FALSE)</f>
        <v>Mercury Vapour 250</v>
      </c>
      <c r="D561" s="295">
        <f t="shared" si="43"/>
        <v>570</v>
      </c>
      <c r="E561" s="294">
        <f t="shared" si="44"/>
        <v>4</v>
      </c>
      <c r="F561" s="294" t="str">
        <f>VLOOKUP(D561,'Tariff Schedule Lookup Table'!I$7:L$298,2,FALSE)</f>
        <v xml:space="preserve">MERCURY VAPOUR 250W </v>
      </c>
      <c r="G561" s="294" t="str">
        <f>IF(F561 = "BULKHEADS ETC", "SHARED OR NO POLE", VLOOKUP(D561,'Tariff Schedule Lookup Table'!I$7:L$298,3,FALSE))</f>
        <v>R/BOUT COLUMN</v>
      </c>
      <c r="H561" s="294">
        <f>IF(F561 = "NO CAPITAL", 1, VLOOKUP(D561,'Tariff Schedule Lookup Table'!I$7:L$298,4,FALSE))</f>
        <v>4</v>
      </c>
      <c r="I561" s="296">
        <f>VLOOKUP(G561,'Input data'!$A$68:$B$72,2,FALSE)</f>
        <v>9.8748837500000004</v>
      </c>
      <c r="J561" s="296">
        <f>VLOOKUP($B561,'Maintenance Costs'!$A:$AB,22,FALSE)</f>
        <v>21.284971165737741</v>
      </c>
      <c r="K561" s="296">
        <f>VLOOKUP($B561,'Maintenance Costs'!$A:$AB,28,FALSE)</f>
        <v>19.307625541395375</v>
      </c>
      <c r="L561" s="297">
        <f t="shared" si="45"/>
        <v>43.061317644633114</v>
      </c>
      <c r="M561">
        <v>52.606491805603874</v>
      </c>
      <c r="N561" s="30">
        <f t="shared" si="46"/>
        <v>-9.5451741609707597</v>
      </c>
    </row>
    <row r="562" spans="1:14" x14ac:dyDescent="0.2">
      <c r="A562" s="299" t="s">
        <v>1415</v>
      </c>
      <c r="B562" s="298" t="str">
        <f t="shared" si="42"/>
        <v>MVA0190-ST</v>
      </c>
      <c r="C562" s="294" t="str">
        <f>VLOOKUP(LEFT(A562,7),'Tariff Schedule Lookup Table'!$A$8:$G$198,2,FALSE)</f>
        <v>Mercury Vapour 250</v>
      </c>
      <c r="D562" s="295">
        <f t="shared" si="43"/>
        <v>780</v>
      </c>
      <c r="E562" s="294">
        <f t="shared" si="44"/>
        <v>2</v>
      </c>
      <c r="F562" s="294" t="str">
        <f>VLOOKUP(D562,'Tariff Schedule Lookup Table'!I$7:L$298,2,FALSE)</f>
        <v xml:space="preserve">MERCURY VAPOUR 250W </v>
      </c>
      <c r="G562" s="294" t="str">
        <f>IF(F562 = "BULKHEADS ETC", "SHARED OR NO POLE", VLOOKUP(D562,'Tariff Schedule Lookup Table'!I$7:L$298,3,FALSE))</f>
        <v>WOOD POLE</v>
      </c>
      <c r="H562" s="294">
        <f>IF(F562 = "NO CAPITAL", 1, VLOOKUP(D562,'Tariff Schedule Lookup Table'!I$7:L$298,4,FALSE))</f>
        <v>2</v>
      </c>
      <c r="I562" s="296">
        <f>VLOOKUP(G562,'Input data'!$A$68:$B$72,2,FALSE)</f>
        <v>10.809914000000001</v>
      </c>
      <c r="J562" s="296">
        <f>VLOOKUP($B562,'Maintenance Costs'!$A:$AB,22,FALSE)</f>
        <v>21.284971165737741</v>
      </c>
      <c r="K562" s="296">
        <f>VLOOKUP($B562,'Maintenance Costs'!$A:$AB,28,FALSE)</f>
        <v>19.307625541395375</v>
      </c>
      <c r="L562" s="297">
        <f t="shared" si="45"/>
        <v>45.997553707133115</v>
      </c>
      <c r="M562">
        <v>55.542727868103874</v>
      </c>
      <c r="N562" s="30">
        <f t="shared" si="46"/>
        <v>-9.5451741609707597</v>
      </c>
    </row>
    <row r="563" spans="1:14" x14ac:dyDescent="0.2">
      <c r="A563" s="299" t="s">
        <v>1416</v>
      </c>
      <c r="B563" s="298" t="str">
        <f t="shared" si="42"/>
        <v>MVA0190-ST</v>
      </c>
      <c r="C563" s="294" t="str">
        <f>VLOOKUP(LEFT(A563,7),'Tariff Schedule Lookup Table'!$A$8:$G$198,2,FALSE)</f>
        <v>Mercury Vapour 250</v>
      </c>
      <c r="D563" s="295">
        <f t="shared" si="43"/>
        <v>940</v>
      </c>
      <c r="E563" s="294">
        <f t="shared" si="44"/>
        <v>1</v>
      </c>
      <c r="F563" s="294" t="str">
        <f>VLOOKUP(D563,'Tariff Schedule Lookup Table'!I$7:L$298,2,FALSE)</f>
        <v xml:space="preserve">MERCURY VAPOUR 250W </v>
      </c>
      <c r="G563" s="294" t="str">
        <f>IF(F563 = "BULKHEADS ETC", "SHARED OR NO POLE", VLOOKUP(D563,'Tariff Schedule Lookup Table'!I$7:L$298,3,FALSE))</f>
        <v>SHARED OR NO POLE</v>
      </c>
      <c r="H563" s="294">
        <f>IF(F563 = "NO CAPITAL", 1, VLOOKUP(D563,'Tariff Schedule Lookup Table'!I$7:L$298,4,FALSE))</f>
        <v>2</v>
      </c>
      <c r="I563" s="296">
        <f>VLOOKUP(G563,'Input data'!$A$68:$B$72,2,FALSE)</f>
        <v>0</v>
      </c>
      <c r="J563" s="296">
        <f>VLOOKUP($B563,'Maintenance Costs'!$A:$AB,22,FALSE)</f>
        <v>21.284971165737741</v>
      </c>
      <c r="K563" s="296">
        <f>VLOOKUP($B563,'Maintenance Costs'!$A:$AB,28,FALSE)</f>
        <v>19.307625541395375</v>
      </c>
      <c r="L563" s="297">
        <f t="shared" si="45"/>
        <v>40.592596707133112</v>
      </c>
      <c r="M563">
        <v>50.137770868103871</v>
      </c>
      <c r="N563" s="30">
        <f t="shared" si="46"/>
        <v>-9.5451741609707597</v>
      </c>
    </row>
    <row r="564" spans="1:14" x14ac:dyDescent="0.2">
      <c r="A564" s="299" t="s">
        <v>1417</v>
      </c>
      <c r="B564" s="298" t="str">
        <f t="shared" si="42"/>
        <v>MVA0190-ST</v>
      </c>
      <c r="C564" s="294" t="str">
        <f>VLOOKUP(LEFT(A564,7),'Tariff Schedule Lookup Table'!$A$8:$G$198,2,FALSE)</f>
        <v>Mercury Vapour 250</v>
      </c>
      <c r="D564" s="295">
        <f t="shared" si="43"/>
        <v>940</v>
      </c>
      <c r="E564" s="294">
        <f t="shared" si="44"/>
        <v>2</v>
      </c>
      <c r="F564" s="294" t="str">
        <f>VLOOKUP(D564,'Tariff Schedule Lookup Table'!I$7:L$298,2,FALSE)</f>
        <v xml:space="preserve">MERCURY VAPOUR 250W </v>
      </c>
      <c r="G564" s="294" t="str">
        <f>IF(F564 = "BULKHEADS ETC", "SHARED OR NO POLE", VLOOKUP(D564,'Tariff Schedule Lookup Table'!I$7:L$298,3,FALSE))</f>
        <v>SHARED OR NO POLE</v>
      </c>
      <c r="H564" s="294">
        <f>IF(F564 = "NO CAPITAL", 1, VLOOKUP(D564,'Tariff Schedule Lookup Table'!I$7:L$298,4,FALSE))</f>
        <v>2</v>
      </c>
      <c r="I564" s="296">
        <f>VLOOKUP(G564,'Input data'!$A$68:$B$72,2,FALSE)</f>
        <v>0</v>
      </c>
      <c r="J564" s="296">
        <f>VLOOKUP($B564,'Maintenance Costs'!$A:$AB,22,FALSE)</f>
        <v>21.284971165737741</v>
      </c>
      <c r="K564" s="296">
        <f>VLOOKUP($B564,'Maintenance Costs'!$A:$AB,28,FALSE)</f>
        <v>19.307625541395375</v>
      </c>
      <c r="L564" s="297">
        <f t="shared" si="45"/>
        <v>40.592596707133112</v>
      </c>
      <c r="M564">
        <v>50.137770868103871</v>
      </c>
      <c r="N564" s="30">
        <f t="shared" si="46"/>
        <v>-9.5451741609707597</v>
      </c>
    </row>
    <row r="565" spans="1:14" x14ac:dyDescent="0.2">
      <c r="A565" s="299" t="s">
        <v>1418</v>
      </c>
      <c r="B565" s="298" t="str">
        <f t="shared" si="42"/>
        <v>MVA0220-ST</v>
      </c>
      <c r="C565" s="294" t="str">
        <f>VLOOKUP(LEFT(A565,7),'Tariff Schedule Lookup Table'!$A$8:$G$198,2,FALSE)</f>
        <v>Mercury Vapour 400</v>
      </c>
      <c r="D565" s="295">
        <f t="shared" si="43"/>
        <v>1</v>
      </c>
      <c r="E565" s="294">
        <f t="shared" si="44"/>
        <v>6</v>
      </c>
      <c r="F565" s="294" t="str">
        <f>VLOOKUP(D565,'Tariff Schedule Lookup Table'!I$7:L$298,2,FALSE)</f>
        <v>NO CAPITAL</v>
      </c>
      <c r="G565" s="294" t="str">
        <f>IF(F565 = "BULKHEADS ETC", "SHARED OR NO POLE", VLOOKUP(D565,'Tariff Schedule Lookup Table'!I$7:L$298,3,FALSE))</f>
        <v>NO CAPITAL</v>
      </c>
      <c r="H565" s="294">
        <f>IF(F565 = "NO CAPITAL", 1, VLOOKUP(D565,'Tariff Schedule Lookup Table'!I$7:L$298,4,FALSE))</f>
        <v>1</v>
      </c>
      <c r="I565" s="296">
        <f>VLOOKUP(G565,'Input data'!$A$68:$B$72,2,FALSE)</f>
        <v>0</v>
      </c>
      <c r="J565" s="296">
        <v>0</v>
      </c>
      <c r="K565" s="296">
        <v>0</v>
      </c>
      <c r="L565" s="297">
        <f t="shared" si="45"/>
        <v>0</v>
      </c>
      <c r="M565">
        <v>0</v>
      </c>
      <c r="N565" s="30">
        <f t="shared" si="46"/>
        <v>0</v>
      </c>
    </row>
    <row r="566" spans="1:14" x14ac:dyDescent="0.2">
      <c r="A566" s="299" t="s">
        <v>1419</v>
      </c>
      <c r="B566" s="298" t="str">
        <f t="shared" si="42"/>
        <v>MVA0220-ST</v>
      </c>
      <c r="C566" s="294" t="str">
        <f>VLOOKUP(LEFT(A566,7),'Tariff Schedule Lookup Table'!$A$8:$G$198,2,FALSE)</f>
        <v>Mercury Vapour 400</v>
      </c>
      <c r="D566" s="295">
        <f t="shared" si="43"/>
        <v>30</v>
      </c>
      <c r="E566" s="294">
        <f t="shared" si="44"/>
        <v>1</v>
      </c>
      <c r="F566" s="294" t="str">
        <f>VLOOKUP(D566,'Tariff Schedule Lookup Table'!I$7:L$298,2,FALSE)</f>
        <v>MERCURY VAPOUR 400W</v>
      </c>
      <c r="G566" s="294" t="str">
        <f>IF(F566 = "BULKHEADS ETC", "SHARED OR NO POLE", VLOOKUP(D566,'Tariff Schedule Lookup Table'!I$7:L$298,3,FALSE))</f>
        <v>SHARED OR NO POLE</v>
      </c>
      <c r="H566" s="294">
        <f>IF(F566 = "NO CAPITAL", 1, VLOOKUP(D566,'Tariff Schedule Lookup Table'!I$7:L$298,4,FALSE))</f>
        <v>1</v>
      </c>
      <c r="I566" s="296">
        <f>VLOOKUP(G566,'Input data'!$A$68:$B$72,2,FALSE)</f>
        <v>0</v>
      </c>
      <c r="J566" s="296">
        <f>VLOOKUP($B566,'Maintenance Costs'!$A:$AB,22,FALSE)</f>
        <v>21.782358685737737</v>
      </c>
      <c r="K566" s="296">
        <f>VLOOKUP($B566,'Maintenance Costs'!$A:$AB,28,FALSE)</f>
        <v>27.195341041395373</v>
      </c>
      <c r="L566" s="297">
        <f t="shared" si="45"/>
        <v>48.977699727133114</v>
      </c>
      <c r="M566">
        <v>61.210555421703873</v>
      </c>
      <c r="N566" s="30">
        <f t="shared" si="46"/>
        <v>-12.232855694570759</v>
      </c>
    </row>
    <row r="567" spans="1:14" x14ac:dyDescent="0.2">
      <c r="A567" s="299" t="s">
        <v>1420</v>
      </c>
      <c r="B567" s="298" t="str">
        <f t="shared" si="42"/>
        <v>MVA0220-ST</v>
      </c>
      <c r="C567" s="294" t="str">
        <f>VLOOKUP(LEFT(A567,7),'Tariff Schedule Lookup Table'!$A$8:$G$198,2,FALSE)</f>
        <v>Mercury Vapour 400</v>
      </c>
      <c r="D567" s="295">
        <f t="shared" si="43"/>
        <v>30</v>
      </c>
      <c r="E567" s="294">
        <f t="shared" si="44"/>
        <v>2</v>
      </c>
      <c r="F567" s="294" t="str">
        <f>VLOOKUP(D567,'Tariff Schedule Lookup Table'!I$7:L$298,2,FALSE)</f>
        <v>MERCURY VAPOUR 400W</v>
      </c>
      <c r="G567" s="294" t="str">
        <f>IF(F567 = "BULKHEADS ETC", "SHARED OR NO POLE", VLOOKUP(D567,'Tariff Schedule Lookup Table'!I$7:L$298,3,FALSE))</f>
        <v>SHARED OR NO POLE</v>
      </c>
      <c r="H567" s="294">
        <f>IF(F567 = "NO CAPITAL", 1, VLOOKUP(D567,'Tariff Schedule Lookup Table'!I$7:L$298,4,FALSE))</f>
        <v>1</v>
      </c>
      <c r="I567" s="296">
        <f>VLOOKUP(G567,'Input data'!$A$68:$B$72,2,FALSE)</f>
        <v>0</v>
      </c>
      <c r="J567" s="296">
        <f>VLOOKUP($B567,'Maintenance Costs'!$A:$AB,22,FALSE)</f>
        <v>21.782358685737737</v>
      </c>
      <c r="K567" s="296">
        <f>VLOOKUP($B567,'Maintenance Costs'!$A:$AB,28,FALSE)</f>
        <v>27.195341041395373</v>
      </c>
      <c r="L567" s="297">
        <f t="shared" si="45"/>
        <v>48.977699727133114</v>
      </c>
      <c r="M567">
        <v>61.210555421703873</v>
      </c>
      <c r="N567" s="30">
        <f t="shared" si="46"/>
        <v>-12.232855694570759</v>
      </c>
    </row>
    <row r="568" spans="1:14" x14ac:dyDescent="0.2">
      <c r="A568" s="299" t="s">
        <v>536</v>
      </c>
      <c r="B568" s="298" t="str">
        <f t="shared" si="42"/>
        <v>MVA0220-ST</v>
      </c>
      <c r="C568" s="294" t="str">
        <f>VLOOKUP(LEFT(A568,7),'Tariff Schedule Lookup Table'!$A$8:$G$198,2,FALSE)</f>
        <v>Mercury Vapour 400</v>
      </c>
      <c r="D568" s="295">
        <f t="shared" si="43"/>
        <v>30</v>
      </c>
      <c r="E568" s="294">
        <f t="shared" si="44"/>
        <v>4</v>
      </c>
      <c r="F568" s="294" t="str">
        <f>VLOOKUP(D568,'Tariff Schedule Lookup Table'!I$7:L$298,2,FALSE)</f>
        <v>MERCURY VAPOUR 400W</v>
      </c>
      <c r="G568" s="294" t="str">
        <f>IF(F568 = "BULKHEADS ETC", "SHARED OR NO POLE", VLOOKUP(D568,'Tariff Schedule Lookup Table'!I$7:L$298,3,FALSE))</f>
        <v>SHARED OR NO POLE</v>
      </c>
      <c r="H568" s="294">
        <f>IF(F568 = "NO CAPITAL", 1, VLOOKUP(D568,'Tariff Schedule Lookup Table'!I$7:L$298,4,FALSE))</f>
        <v>1</v>
      </c>
      <c r="I568" s="296">
        <f>VLOOKUP(G568,'Input data'!$A$68:$B$72,2,FALSE)</f>
        <v>0</v>
      </c>
      <c r="J568" s="296">
        <f>VLOOKUP($B568,'Maintenance Costs'!$A:$AB,22,FALSE)</f>
        <v>21.782358685737737</v>
      </c>
      <c r="K568" s="296">
        <f>VLOOKUP($B568,'Maintenance Costs'!$A:$AB,28,FALSE)</f>
        <v>27.195341041395373</v>
      </c>
      <c r="L568" s="297">
        <f t="shared" si="45"/>
        <v>48.977699727133114</v>
      </c>
      <c r="M568">
        <v>61.210555421703873</v>
      </c>
      <c r="N568" s="30">
        <f t="shared" si="46"/>
        <v>-12.232855694570759</v>
      </c>
    </row>
    <row r="569" spans="1:14" x14ac:dyDescent="0.2">
      <c r="A569" s="299" t="s">
        <v>1421</v>
      </c>
      <c r="B569" s="298" t="str">
        <f t="shared" si="42"/>
        <v>MVA0220-ST</v>
      </c>
      <c r="C569" s="294" t="str">
        <f>VLOOKUP(LEFT(A569,7),'Tariff Schedule Lookup Table'!$A$8:$G$198,2,FALSE)</f>
        <v>Mercury Vapour 400</v>
      </c>
      <c r="D569" s="295">
        <f t="shared" si="43"/>
        <v>210</v>
      </c>
      <c r="E569" s="294">
        <f t="shared" si="44"/>
        <v>1</v>
      </c>
      <c r="F569" s="294" t="str">
        <f>VLOOKUP(D569,'Tariff Schedule Lookup Table'!I$7:L$298,2,FALSE)</f>
        <v>MERCURY VAPOUR 400W</v>
      </c>
      <c r="G569" s="294" t="str">
        <f>IF(F569 = "BULKHEADS ETC", "SHARED OR NO POLE", VLOOKUP(D569,'Tariff Schedule Lookup Table'!I$7:L$298,3,FALSE))</f>
        <v>WOOD POLE</v>
      </c>
      <c r="H569" s="294">
        <f>IF(F569 = "NO CAPITAL", 1, VLOOKUP(D569,'Tariff Schedule Lookup Table'!I$7:L$298,4,FALSE))</f>
        <v>1</v>
      </c>
      <c r="I569" s="296">
        <f>VLOOKUP(G569,'Input data'!$A$68:$B$72,2,FALSE)</f>
        <v>10.809914000000001</v>
      </c>
      <c r="J569" s="296">
        <f>VLOOKUP($B569,'Maintenance Costs'!$A:$AB,22,FALSE)</f>
        <v>21.782358685737737</v>
      </c>
      <c r="K569" s="296">
        <f>VLOOKUP($B569,'Maintenance Costs'!$A:$AB,28,FALSE)</f>
        <v>27.195341041395373</v>
      </c>
      <c r="L569" s="297">
        <f t="shared" si="45"/>
        <v>59.787613727133113</v>
      </c>
      <c r="M569">
        <v>72.020469421703879</v>
      </c>
      <c r="N569" s="30">
        <f t="shared" si="46"/>
        <v>-12.232855694570766</v>
      </c>
    </row>
    <row r="570" spans="1:14" x14ac:dyDescent="0.2">
      <c r="A570" s="299" t="s">
        <v>1422</v>
      </c>
      <c r="B570" s="298" t="str">
        <f t="shared" si="42"/>
        <v>MVA0220-ST</v>
      </c>
      <c r="C570" s="294" t="str">
        <f>VLOOKUP(LEFT(A570,7),'Tariff Schedule Lookup Table'!$A$8:$G$198,2,FALSE)</f>
        <v>Mercury Vapour 400</v>
      </c>
      <c r="D570" s="295">
        <f t="shared" si="43"/>
        <v>210</v>
      </c>
      <c r="E570" s="294">
        <f t="shared" si="44"/>
        <v>2</v>
      </c>
      <c r="F570" s="294" t="str">
        <f>VLOOKUP(D570,'Tariff Schedule Lookup Table'!I$7:L$298,2,FALSE)</f>
        <v>MERCURY VAPOUR 400W</v>
      </c>
      <c r="G570" s="294" t="str">
        <f>IF(F570 = "BULKHEADS ETC", "SHARED OR NO POLE", VLOOKUP(D570,'Tariff Schedule Lookup Table'!I$7:L$298,3,FALSE))</f>
        <v>WOOD POLE</v>
      </c>
      <c r="H570" s="294">
        <f>IF(F570 = "NO CAPITAL", 1, VLOOKUP(D570,'Tariff Schedule Lookup Table'!I$7:L$298,4,FALSE))</f>
        <v>1</v>
      </c>
      <c r="I570" s="296">
        <f>VLOOKUP(G570,'Input data'!$A$68:$B$72,2,FALSE)</f>
        <v>10.809914000000001</v>
      </c>
      <c r="J570" s="296">
        <f>VLOOKUP($B570,'Maintenance Costs'!$A:$AB,22,FALSE)</f>
        <v>21.782358685737737</v>
      </c>
      <c r="K570" s="296">
        <f>VLOOKUP($B570,'Maintenance Costs'!$A:$AB,28,FALSE)</f>
        <v>27.195341041395373</v>
      </c>
      <c r="L570" s="297">
        <f t="shared" si="45"/>
        <v>59.787613727133113</v>
      </c>
      <c r="M570">
        <v>72.020469421703879</v>
      </c>
      <c r="N570" s="30">
        <f t="shared" si="46"/>
        <v>-12.232855694570766</v>
      </c>
    </row>
    <row r="571" spans="1:14" x14ac:dyDescent="0.2">
      <c r="A571" s="299" t="s">
        <v>537</v>
      </c>
      <c r="B571" s="298" t="str">
        <f t="shared" si="42"/>
        <v>MVA0220-ST</v>
      </c>
      <c r="C571" s="294" t="str">
        <f>VLOOKUP(LEFT(A571,7),'Tariff Schedule Lookup Table'!$A$8:$G$198,2,FALSE)</f>
        <v>Mercury Vapour 400</v>
      </c>
      <c r="D571" s="295">
        <f t="shared" si="43"/>
        <v>210</v>
      </c>
      <c r="E571" s="294">
        <f t="shared" si="44"/>
        <v>4</v>
      </c>
      <c r="F571" s="294" t="str">
        <f>VLOOKUP(D571,'Tariff Schedule Lookup Table'!I$7:L$298,2,FALSE)</f>
        <v>MERCURY VAPOUR 400W</v>
      </c>
      <c r="G571" s="294" t="str">
        <f>IF(F571 = "BULKHEADS ETC", "SHARED OR NO POLE", VLOOKUP(D571,'Tariff Schedule Lookup Table'!I$7:L$298,3,FALSE))</f>
        <v>WOOD POLE</v>
      </c>
      <c r="H571" s="294">
        <f>IF(F571 = "NO CAPITAL", 1, VLOOKUP(D571,'Tariff Schedule Lookup Table'!I$7:L$298,4,FALSE))</f>
        <v>1</v>
      </c>
      <c r="I571" s="296">
        <f>VLOOKUP(G571,'Input data'!$A$68:$B$72,2,FALSE)</f>
        <v>10.809914000000001</v>
      </c>
      <c r="J571" s="296">
        <f>VLOOKUP($B571,'Maintenance Costs'!$A:$AB,22,FALSE)</f>
        <v>21.782358685737737</v>
      </c>
      <c r="K571" s="296">
        <f>VLOOKUP($B571,'Maintenance Costs'!$A:$AB,28,FALSE)</f>
        <v>27.195341041395373</v>
      </c>
      <c r="L571" s="297">
        <f t="shared" si="45"/>
        <v>59.787613727133113</v>
      </c>
      <c r="M571">
        <v>72.020469421703879</v>
      </c>
      <c r="N571" s="30">
        <f t="shared" si="46"/>
        <v>-12.232855694570766</v>
      </c>
    </row>
    <row r="572" spans="1:14" x14ac:dyDescent="0.2">
      <c r="A572" s="299" t="s">
        <v>1423</v>
      </c>
      <c r="B572" s="298" t="str">
        <f t="shared" si="42"/>
        <v>MVA0220-ST</v>
      </c>
      <c r="C572" s="294" t="str">
        <f>VLOOKUP(LEFT(A572,7),'Tariff Schedule Lookup Table'!$A$8:$G$198,2,FALSE)</f>
        <v>Mercury Vapour 400</v>
      </c>
      <c r="D572" s="295">
        <f t="shared" si="43"/>
        <v>300</v>
      </c>
      <c r="E572" s="294">
        <f t="shared" si="44"/>
        <v>1</v>
      </c>
      <c r="F572" s="294" t="str">
        <f>VLOOKUP(D572,'Tariff Schedule Lookup Table'!I$7:L$298,2,FALSE)</f>
        <v>MERCURY VAPOUR 400W</v>
      </c>
      <c r="G572" s="294" t="str">
        <f>IF(F572 = "BULKHEADS ETC", "SHARED OR NO POLE", VLOOKUP(D572,'Tariff Schedule Lookup Table'!I$7:L$298,3,FALSE))</f>
        <v>STEEL POLE</v>
      </c>
      <c r="H572" s="294">
        <f>IF(F572 = "NO CAPITAL", 1, VLOOKUP(D572,'Tariff Schedule Lookup Table'!I$7:L$298,4,FALSE))</f>
        <v>1</v>
      </c>
      <c r="I572" s="296">
        <f>VLOOKUP(G572,'Input data'!$A$68:$B$72,2,FALSE)</f>
        <v>9.8748837500000004</v>
      </c>
      <c r="J572" s="296">
        <f>VLOOKUP($B572,'Maintenance Costs'!$A:$AB,22,FALSE)</f>
        <v>21.782358685737737</v>
      </c>
      <c r="K572" s="296">
        <f>VLOOKUP($B572,'Maintenance Costs'!$A:$AB,28,FALSE)</f>
        <v>27.195341041395373</v>
      </c>
      <c r="L572" s="297">
        <f t="shared" si="45"/>
        <v>58.852583477133116</v>
      </c>
      <c r="M572">
        <v>71.085439171703868</v>
      </c>
      <c r="N572" s="30">
        <f t="shared" si="46"/>
        <v>-12.232855694570752</v>
      </c>
    </row>
    <row r="573" spans="1:14" x14ac:dyDescent="0.2">
      <c r="A573" s="299" t="s">
        <v>1424</v>
      </c>
      <c r="B573" s="298" t="str">
        <f t="shared" si="42"/>
        <v>MVA0220-ST</v>
      </c>
      <c r="C573" s="294" t="str">
        <f>VLOOKUP(LEFT(A573,7),'Tariff Schedule Lookup Table'!$A$8:$G$198,2,FALSE)</f>
        <v>Mercury Vapour 400</v>
      </c>
      <c r="D573" s="295">
        <f t="shared" si="43"/>
        <v>300</v>
      </c>
      <c r="E573" s="294">
        <f t="shared" si="44"/>
        <v>2</v>
      </c>
      <c r="F573" s="294" t="str">
        <f>VLOOKUP(D573,'Tariff Schedule Lookup Table'!I$7:L$298,2,FALSE)</f>
        <v>MERCURY VAPOUR 400W</v>
      </c>
      <c r="G573" s="294" t="str">
        <f>IF(F573 = "BULKHEADS ETC", "SHARED OR NO POLE", VLOOKUP(D573,'Tariff Schedule Lookup Table'!I$7:L$298,3,FALSE))</f>
        <v>STEEL POLE</v>
      </c>
      <c r="H573" s="294">
        <f>IF(F573 = "NO CAPITAL", 1, VLOOKUP(D573,'Tariff Schedule Lookup Table'!I$7:L$298,4,FALSE))</f>
        <v>1</v>
      </c>
      <c r="I573" s="296">
        <f>VLOOKUP(G573,'Input data'!$A$68:$B$72,2,FALSE)</f>
        <v>9.8748837500000004</v>
      </c>
      <c r="J573" s="296">
        <f>VLOOKUP($B573,'Maintenance Costs'!$A:$AB,22,FALSE)</f>
        <v>21.782358685737737</v>
      </c>
      <c r="K573" s="296">
        <f>VLOOKUP($B573,'Maintenance Costs'!$A:$AB,28,FALSE)</f>
        <v>27.195341041395373</v>
      </c>
      <c r="L573" s="297">
        <f t="shared" si="45"/>
        <v>58.852583477133116</v>
      </c>
      <c r="M573">
        <v>71.085439171703868</v>
      </c>
      <c r="N573" s="30">
        <f t="shared" si="46"/>
        <v>-12.232855694570752</v>
      </c>
    </row>
    <row r="574" spans="1:14" x14ac:dyDescent="0.2">
      <c r="A574" s="299" t="s">
        <v>1425</v>
      </c>
      <c r="B574" s="298" t="str">
        <f t="shared" si="42"/>
        <v>MVA0220-ST</v>
      </c>
      <c r="C574" s="294" t="str">
        <f>VLOOKUP(LEFT(A574,7),'Tariff Schedule Lookup Table'!$A$8:$G$198,2,FALSE)</f>
        <v>Mercury Vapour 400</v>
      </c>
      <c r="D574" s="295">
        <f t="shared" si="43"/>
        <v>380</v>
      </c>
      <c r="E574" s="294">
        <f t="shared" si="44"/>
        <v>1</v>
      </c>
      <c r="F574" s="294" t="str">
        <f>VLOOKUP(D574,'Tariff Schedule Lookup Table'!I$7:L$298,2,FALSE)</f>
        <v>MERCURY VAPOUR 400W</v>
      </c>
      <c r="G574" s="294" t="str">
        <f>IF(F574 = "BULKHEADS ETC", "SHARED OR NO POLE", VLOOKUP(D574,'Tariff Schedule Lookup Table'!I$7:L$298,3,FALSE))</f>
        <v>STEEL POLE</v>
      </c>
      <c r="H574" s="294">
        <f>IF(F574 = "NO CAPITAL", 1, VLOOKUP(D574,'Tariff Schedule Lookup Table'!I$7:L$298,4,FALSE))</f>
        <v>2</v>
      </c>
      <c r="I574" s="296">
        <f>VLOOKUP(G574,'Input data'!$A$68:$B$72,2,FALSE)</f>
        <v>9.8748837500000004</v>
      </c>
      <c r="J574" s="296">
        <f>VLOOKUP($B574,'Maintenance Costs'!$A:$AB,22,FALSE)</f>
        <v>21.782358685737737</v>
      </c>
      <c r="K574" s="296">
        <f>VLOOKUP($B574,'Maintenance Costs'!$A:$AB,28,FALSE)</f>
        <v>27.195341041395373</v>
      </c>
      <c r="L574" s="297">
        <f t="shared" si="45"/>
        <v>53.915141602133112</v>
      </c>
      <c r="M574">
        <v>66.147997296703878</v>
      </c>
      <c r="N574" s="30">
        <f t="shared" si="46"/>
        <v>-12.232855694570766</v>
      </c>
    </row>
    <row r="575" spans="1:14" x14ac:dyDescent="0.2">
      <c r="A575" s="299" t="s">
        <v>1426</v>
      </c>
      <c r="B575" s="298" t="str">
        <f t="shared" si="42"/>
        <v>MVA0220-ST</v>
      </c>
      <c r="C575" s="294" t="str">
        <f>VLOOKUP(LEFT(A575,7),'Tariff Schedule Lookup Table'!$A$8:$G$198,2,FALSE)</f>
        <v>Mercury Vapour 400</v>
      </c>
      <c r="D575" s="295">
        <f t="shared" si="43"/>
        <v>380</v>
      </c>
      <c r="E575" s="294">
        <f t="shared" si="44"/>
        <v>2</v>
      </c>
      <c r="F575" s="294" t="str">
        <f>VLOOKUP(D575,'Tariff Schedule Lookup Table'!I$7:L$298,2,FALSE)</f>
        <v>MERCURY VAPOUR 400W</v>
      </c>
      <c r="G575" s="294" t="str">
        <f>IF(F575 = "BULKHEADS ETC", "SHARED OR NO POLE", VLOOKUP(D575,'Tariff Schedule Lookup Table'!I$7:L$298,3,FALSE))</f>
        <v>STEEL POLE</v>
      </c>
      <c r="H575" s="294">
        <f>IF(F575 = "NO CAPITAL", 1, VLOOKUP(D575,'Tariff Schedule Lookup Table'!I$7:L$298,4,FALSE))</f>
        <v>2</v>
      </c>
      <c r="I575" s="296">
        <f>VLOOKUP(G575,'Input data'!$A$68:$B$72,2,FALSE)</f>
        <v>9.8748837500000004</v>
      </c>
      <c r="J575" s="296">
        <f>VLOOKUP($B575,'Maintenance Costs'!$A:$AB,22,FALSE)</f>
        <v>21.782358685737737</v>
      </c>
      <c r="K575" s="296">
        <f>VLOOKUP($B575,'Maintenance Costs'!$A:$AB,28,FALSE)</f>
        <v>27.195341041395373</v>
      </c>
      <c r="L575" s="297">
        <f t="shared" si="45"/>
        <v>53.915141602133112</v>
      </c>
      <c r="M575">
        <v>66.147997296703878</v>
      </c>
      <c r="N575" s="30">
        <f t="shared" si="46"/>
        <v>-12.232855694570766</v>
      </c>
    </row>
    <row r="576" spans="1:14" x14ac:dyDescent="0.2">
      <c r="A576" s="299" t="s">
        <v>1427</v>
      </c>
      <c r="B576" s="298" t="str">
        <f t="shared" si="42"/>
        <v>MVA0220-ST</v>
      </c>
      <c r="C576" s="294" t="str">
        <f>VLOOKUP(LEFT(A576,7),'Tariff Schedule Lookup Table'!$A$8:$G$198,2,FALSE)</f>
        <v>Mercury Vapour 400</v>
      </c>
      <c r="D576" s="295">
        <f t="shared" si="43"/>
        <v>460</v>
      </c>
      <c r="E576" s="294">
        <f t="shared" si="44"/>
        <v>2</v>
      </c>
      <c r="F576" s="294" t="str">
        <f>VLOOKUP(D576,'Tariff Schedule Lookup Table'!I$7:L$298,2,FALSE)</f>
        <v xml:space="preserve">MERCURY VAPOUR 400W </v>
      </c>
      <c r="G576" s="294" t="str">
        <f>IF(F576 = "BULKHEADS ETC", "SHARED OR NO POLE", VLOOKUP(D576,'Tariff Schedule Lookup Table'!I$7:L$298,3,FALSE))</f>
        <v>STEEL POLE</v>
      </c>
      <c r="H576" s="294">
        <f>IF(F576 = "NO CAPITAL", 1, VLOOKUP(D576,'Tariff Schedule Lookup Table'!I$7:L$298,4,FALSE))</f>
        <v>4</v>
      </c>
      <c r="I576" s="296">
        <f>VLOOKUP(G576,'Input data'!$A$68:$B$72,2,FALSE)</f>
        <v>9.8748837500000004</v>
      </c>
      <c r="J576" s="296">
        <f>VLOOKUP($B576,'Maintenance Costs'!$A:$AB,22,FALSE)</f>
        <v>21.782358685737737</v>
      </c>
      <c r="K576" s="296">
        <f>VLOOKUP($B576,'Maintenance Costs'!$A:$AB,28,FALSE)</f>
        <v>27.195341041395373</v>
      </c>
      <c r="L576" s="297">
        <f t="shared" si="45"/>
        <v>51.446420664633116</v>
      </c>
      <c r="M576">
        <v>63.679276359203875</v>
      </c>
      <c r="N576" s="30">
        <f t="shared" si="46"/>
        <v>-12.232855694570759</v>
      </c>
    </row>
    <row r="577" spans="1:14" x14ac:dyDescent="0.2">
      <c r="A577" s="299" t="s">
        <v>1428</v>
      </c>
      <c r="B577" s="298" t="str">
        <f t="shared" si="42"/>
        <v>MVA0220-ST</v>
      </c>
      <c r="C577" s="294" t="str">
        <f>VLOOKUP(LEFT(A577,7),'Tariff Schedule Lookup Table'!$A$8:$G$198,2,FALSE)</f>
        <v>Mercury Vapour 400</v>
      </c>
      <c r="D577" s="295">
        <f t="shared" si="43"/>
        <v>790</v>
      </c>
      <c r="E577" s="294">
        <f t="shared" si="44"/>
        <v>2</v>
      </c>
      <c r="F577" s="294" t="str">
        <f>VLOOKUP(D577,'Tariff Schedule Lookup Table'!I$7:L$298,2,FALSE)</f>
        <v>MERCURY VAPOUR 400W</v>
      </c>
      <c r="G577" s="294" t="str">
        <f>IF(F577 = "BULKHEADS ETC", "SHARED OR NO POLE", VLOOKUP(D577,'Tariff Schedule Lookup Table'!I$7:L$298,3,FALSE))</f>
        <v>WOOD POLE</v>
      </c>
      <c r="H577" s="294">
        <f>IF(F577 = "NO CAPITAL", 1, VLOOKUP(D577,'Tariff Schedule Lookup Table'!I$7:L$298,4,FALSE))</f>
        <v>2</v>
      </c>
      <c r="I577" s="296">
        <f>VLOOKUP(G577,'Input data'!$A$68:$B$72,2,FALSE)</f>
        <v>10.809914000000001</v>
      </c>
      <c r="J577" s="296">
        <f>VLOOKUP($B577,'Maintenance Costs'!$A:$AB,22,FALSE)</f>
        <v>21.782358685737737</v>
      </c>
      <c r="K577" s="296">
        <f>VLOOKUP($B577,'Maintenance Costs'!$A:$AB,28,FALSE)</f>
        <v>27.195341041395373</v>
      </c>
      <c r="L577" s="297">
        <f t="shared" si="45"/>
        <v>54.382656727133117</v>
      </c>
      <c r="M577">
        <v>66.615512421703869</v>
      </c>
      <c r="N577" s="30">
        <f t="shared" si="46"/>
        <v>-12.232855694570752</v>
      </c>
    </row>
    <row r="578" spans="1:14" x14ac:dyDescent="0.2">
      <c r="A578" s="299" t="s">
        <v>1429</v>
      </c>
      <c r="B578" s="298" t="str">
        <f t="shared" si="42"/>
        <v>MVA0220-ST</v>
      </c>
      <c r="C578" s="294" t="str">
        <f>VLOOKUP(LEFT(A578,7),'Tariff Schedule Lookup Table'!$A$8:$G$198,2,FALSE)</f>
        <v>Mercury Vapour 400</v>
      </c>
      <c r="D578" s="295">
        <f t="shared" si="43"/>
        <v>950</v>
      </c>
      <c r="E578" s="294">
        <f t="shared" si="44"/>
        <v>1</v>
      </c>
      <c r="F578" s="294" t="str">
        <f>VLOOKUP(D578,'Tariff Schedule Lookup Table'!I$7:L$298,2,FALSE)</f>
        <v>MERCURY VAPOUR 400W</v>
      </c>
      <c r="G578" s="294" t="str">
        <f>IF(F578 = "BULKHEADS ETC", "SHARED OR NO POLE", VLOOKUP(D578,'Tariff Schedule Lookup Table'!I$7:L$298,3,FALSE))</f>
        <v>SHARED OR NO POLE</v>
      </c>
      <c r="H578" s="294">
        <f>IF(F578 = "NO CAPITAL", 1, VLOOKUP(D578,'Tariff Schedule Lookup Table'!I$7:L$298,4,FALSE))</f>
        <v>2</v>
      </c>
      <c r="I578" s="296">
        <f>VLOOKUP(G578,'Input data'!$A$68:$B$72,2,FALSE)</f>
        <v>0</v>
      </c>
      <c r="J578" s="296">
        <f>VLOOKUP($B578,'Maintenance Costs'!$A:$AB,22,FALSE)</f>
        <v>21.782358685737737</v>
      </c>
      <c r="K578" s="296">
        <f>VLOOKUP($B578,'Maintenance Costs'!$A:$AB,28,FALSE)</f>
        <v>27.195341041395373</v>
      </c>
      <c r="L578" s="297">
        <f t="shared" si="45"/>
        <v>48.977699727133114</v>
      </c>
      <c r="M578">
        <v>61.210555421703873</v>
      </c>
      <c r="N578" s="30">
        <f t="shared" si="46"/>
        <v>-12.232855694570759</v>
      </c>
    </row>
    <row r="579" spans="1:14" x14ac:dyDescent="0.2">
      <c r="A579" s="299" t="s">
        <v>1430</v>
      </c>
      <c r="B579" s="298" t="str">
        <f t="shared" si="42"/>
        <v>MVA0220-ST</v>
      </c>
      <c r="C579" s="294" t="str">
        <f>VLOOKUP(LEFT(A579,7),'Tariff Schedule Lookup Table'!$A$8:$G$198,2,FALSE)</f>
        <v>Mercury Vapour 400</v>
      </c>
      <c r="D579" s="295">
        <f t="shared" si="43"/>
        <v>950</v>
      </c>
      <c r="E579" s="294">
        <f t="shared" si="44"/>
        <v>2</v>
      </c>
      <c r="F579" s="294" t="str">
        <f>VLOOKUP(D579,'Tariff Schedule Lookup Table'!I$7:L$298,2,FALSE)</f>
        <v>MERCURY VAPOUR 400W</v>
      </c>
      <c r="G579" s="294" t="str">
        <f>IF(F579 = "BULKHEADS ETC", "SHARED OR NO POLE", VLOOKUP(D579,'Tariff Schedule Lookup Table'!I$7:L$298,3,FALSE))</f>
        <v>SHARED OR NO POLE</v>
      </c>
      <c r="H579" s="294">
        <f>IF(F579 = "NO CAPITAL", 1, VLOOKUP(D579,'Tariff Schedule Lookup Table'!I$7:L$298,4,FALSE))</f>
        <v>2</v>
      </c>
      <c r="I579" s="296">
        <f>VLOOKUP(G579,'Input data'!$A$68:$B$72,2,FALSE)</f>
        <v>0</v>
      </c>
      <c r="J579" s="296">
        <f>VLOOKUP($B579,'Maintenance Costs'!$A:$AB,22,FALSE)</f>
        <v>21.782358685737737</v>
      </c>
      <c r="K579" s="296">
        <f>VLOOKUP($B579,'Maintenance Costs'!$A:$AB,28,FALSE)</f>
        <v>27.195341041395373</v>
      </c>
      <c r="L579" s="297">
        <f t="shared" si="45"/>
        <v>48.977699727133114</v>
      </c>
      <c r="M579">
        <v>61.210555421703873</v>
      </c>
      <c r="N579" s="30">
        <f t="shared" si="46"/>
        <v>-12.232855694570759</v>
      </c>
    </row>
    <row r="580" spans="1:14" x14ac:dyDescent="0.2">
      <c r="A580" s="299" t="s">
        <v>1431</v>
      </c>
      <c r="B580" s="298" t="str">
        <f t="shared" si="42"/>
        <v>MVA0250-ST</v>
      </c>
      <c r="C580" s="294" t="str">
        <f>VLOOKUP(LEFT(A580,7),'Tariff Schedule Lookup Table'!$A$8:$G$198,2,FALSE)</f>
        <v>Mercury Vapour 500</v>
      </c>
      <c r="D580" s="295">
        <f t="shared" si="43"/>
        <v>300</v>
      </c>
      <c r="E580" s="294">
        <f t="shared" si="44"/>
        <v>1</v>
      </c>
      <c r="F580" s="294" t="str">
        <f>VLOOKUP(D580,'Tariff Schedule Lookup Table'!I$7:L$298,2,FALSE)</f>
        <v>MERCURY VAPOUR 400W</v>
      </c>
      <c r="G580" s="294" t="str">
        <f>IF(F580 = "BULKHEADS ETC", "SHARED OR NO POLE", VLOOKUP(D580,'Tariff Schedule Lookup Table'!I$7:L$298,3,FALSE))</f>
        <v>STEEL POLE</v>
      </c>
      <c r="H580" s="294">
        <f>IF(F580 = "NO CAPITAL", 1, VLOOKUP(D580,'Tariff Schedule Lookup Table'!I$7:L$298,4,FALSE))</f>
        <v>1</v>
      </c>
      <c r="I580" s="296">
        <f>VLOOKUP(G580,'Input data'!$A$68:$B$72,2,FALSE)</f>
        <v>9.8748837500000004</v>
      </c>
      <c r="J580" s="296">
        <f>VLOOKUP($B580,'Maintenance Costs'!$A:$AB,22,FALSE)</f>
        <v>21.356643325737739</v>
      </c>
      <c r="K580" s="296">
        <f>VLOOKUP($B580,'Maintenance Costs'!$A:$AB,28,FALSE)</f>
        <v>19.283339041395376</v>
      </c>
      <c r="L580" s="297">
        <f t="shared" si="45"/>
        <v>50.514866117133117</v>
      </c>
      <c r="M580">
        <v>60.060366256903869</v>
      </c>
      <c r="N580" s="30">
        <f t="shared" si="46"/>
        <v>-9.545500139770752</v>
      </c>
    </row>
    <row r="581" spans="1:14" x14ac:dyDescent="0.2">
      <c r="A581" s="299" t="s">
        <v>1432</v>
      </c>
      <c r="B581" s="298" t="str">
        <f t="shared" si="42"/>
        <v>MVA0260-ST</v>
      </c>
      <c r="C581" s="294" t="str">
        <f>VLOOKUP(LEFT(A581,7),'Tariff Schedule Lookup Table'!$A$8:$G$198,2,FALSE)</f>
        <v>Mercury Vapour 700</v>
      </c>
      <c r="D581" s="295">
        <f t="shared" si="43"/>
        <v>250</v>
      </c>
      <c r="E581" s="294">
        <f t="shared" si="44"/>
        <v>2</v>
      </c>
      <c r="F581" s="294" t="str">
        <f>VLOOKUP(D581,'Tariff Schedule Lookup Table'!I$7:L$298,2,FALSE)</f>
        <v>HIGH PRESSURE SODIUM 600W HIGH MAST</v>
      </c>
      <c r="G581" s="294" t="str">
        <f>IF(F581 = "BULKHEADS ETC", "SHARED OR NO POLE", VLOOKUP(D581,'Tariff Schedule Lookup Table'!I$7:L$298,3,FALSE))</f>
        <v>WOOD POLE</v>
      </c>
      <c r="H581" s="294">
        <f>IF(F581 = "NO CAPITAL", 1, VLOOKUP(D581,'Tariff Schedule Lookup Table'!I$7:L$298,4,FALSE))</f>
        <v>1</v>
      </c>
      <c r="I581" s="296">
        <f>VLOOKUP(G581,'Input data'!$A$68:$B$72,2,FALSE)</f>
        <v>10.809914000000001</v>
      </c>
      <c r="J581" s="296">
        <f>VLOOKUP($B581,'Maintenance Costs'!$A:$AB,22,FALSE)</f>
        <v>22.029929869737739</v>
      </c>
      <c r="K581" s="296">
        <f>VLOOKUP($B581,'Maintenance Costs'!$A:$AB,28,FALSE)</f>
        <v>22.799484541395373</v>
      </c>
      <c r="L581" s="297">
        <f t="shared" si="45"/>
        <v>55.639328411133114</v>
      </c>
      <c r="M581">
        <v>66.435988219823869</v>
      </c>
      <c r="N581" s="30">
        <f t="shared" si="46"/>
        <v>-10.796659808690755</v>
      </c>
    </row>
    <row r="582" spans="1:14" x14ac:dyDescent="0.2">
      <c r="A582" s="299" t="s">
        <v>1433</v>
      </c>
      <c r="B582" s="298" t="str">
        <f t="shared" si="42"/>
        <v>MVA0290-ST</v>
      </c>
      <c r="C582" s="294" t="str">
        <f>VLOOKUP(LEFT(A582,7),'Tariff Schedule Lookup Table'!$A$8:$G$198,2,FALSE)</f>
        <v>Mercury Vapour 1000</v>
      </c>
      <c r="D582" s="295">
        <f t="shared" si="43"/>
        <v>1</v>
      </c>
      <c r="E582" s="294">
        <f t="shared" si="44"/>
        <v>6</v>
      </c>
      <c r="F582" s="294" t="str">
        <f>VLOOKUP(D582,'Tariff Schedule Lookup Table'!I$7:L$298,2,FALSE)</f>
        <v>NO CAPITAL</v>
      </c>
      <c r="G582" s="294" t="str">
        <f>IF(F582 = "BULKHEADS ETC", "SHARED OR NO POLE", VLOOKUP(D582,'Tariff Schedule Lookup Table'!I$7:L$298,3,FALSE))</f>
        <v>NO CAPITAL</v>
      </c>
      <c r="H582" s="294">
        <f>IF(F582 = "NO CAPITAL", 1, VLOOKUP(D582,'Tariff Schedule Lookup Table'!I$7:L$298,4,FALSE))</f>
        <v>1</v>
      </c>
      <c r="I582" s="296">
        <f>VLOOKUP(G582,'Input data'!$A$68:$B$72,2,FALSE)</f>
        <v>0</v>
      </c>
      <c r="J582" s="296">
        <v>0</v>
      </c>
      <c r="K582" s="296">
        <v>0</v>
      </c>
      <c r="L582" s="297">
        <f t="shared" si="45"/>
        <v>0</v>
      </c>
      <c r="M582">
        <v>0</v>
      </c>
      <c r="N582" s="30">
        <f t="shared" si="46"/>
        <v>0</v>
      </c>
    </row>
    <row r="583" spans="1:14" x14ac:dyDescent="0.2">
      <c r="A583" s="299" t="s">
        <v>1434</v>
      </c>
      <c r="B583" s="298" t="str">
        <f t="shared" si="42"/>
        <v>MVA0290-ST</v>
      </c>
      <c r="C583" s="294" t="str">
        <f>VLOOKUP(LEFT(A583,7),'Tariff Schedule Lookup Table'!$A$8:$G$198,2,FALSE)</f>
        <v>Mercury Vapour 1000</v>
      </c>
      <c r="D583" s="295">
        <f t="shared" si="43"/>
        <v>1040</v>
      </c>
      <c r="E583" s="294">
        <f t="shared" si="44"/>
        <v>2</v>
      </c>
      <c r="F583" s="294" t="str">
        <f>VLOOKUP(D583,'Tariff Schedule Lookup Table'!I$7:L$298,2,FALSE)</f>
        <v xml:space="preserve">METAL HALIDE 1000W FLOODLIGHT </v>
      </c>
      <c r="G583" s="294" t="str">
        <f>IF(F583 = "BULKHEADS ETC", "SHARED OR NO POLE", VLOOKUP(D583,'Tariff Schedule Lookup Table'!I$7:L$298,3,FALSE))</f>
        <v>SHARED OR NO POLE</v>
      </c>
      <c r="H583" s="294">
        <f>IF(F583 = "NO CAPITAL", 1, VLOOKUP(D583,'Tariff Schedule Lookup Table'!I$7:L$298,4,FALSE))</f>
        <v>2</v>
      </c>
      <c r="I583" s="296">
        <f>VLOOKUP(G583,'Input data'!$A$68:$B$72,2,FALSE)</f>
        <v>0</v>
      </c>
      <c r="J583" s="296">
        <f>VLOOKUP($B583,'Maintenance Costs'!$A:$AB,22,FALSE)</f>
        <v>25.20509290973774</v>
      </c>
      <c r="K583" s="296">
        <f>VLOOKUP($B583,'Maintenance Costs'!$A:$AB,28,FALSE)</f>
        <v>41.964231541395371</v>
      </c>
      <c r="L583" s="297">
        <f t="shared" si="45"/>
        <v>67.169324451133107</v>
      </c>
      <c r="M583">
        <v>84.727314917023875</v>
      </c>
      <c r="N583" s="30">
        <f t="shared" si="46"/>
        <v>-17.557990465890768</v>
      </c>
    </row>
    <row r="584" spans="1:14" x14ac:dyDescent="0.2">
      <c r="A584" s="299" t="s">
        <v>987</v>
      </c>
      <c r="B584" s="298" t="str">
        <f t="shared" si="42"/>
        <v>FLU0350-ST</v>
      </c>
      <c r="C584" s="294" t="str">
        <f>VLOOKUP(LEFT(A584,7),'Tariff Schedule Lookup Table'!$A$8:$G$198,2,FALSE)</f>
        <v>Compact Fluorescent 1x42</v>
      </c>
      <c r="D584" s="295">
        <f t="shared" ref="D584:D647" si="47">1*MID(A584,12,4)</f>
        <v>1620</v>
      </c>
      <c r="E584" s="294">
        <f t="shared" ref="E584:E647" si="48">1*(MID(A584,17,3))</f>
        <v>5</v>
      </c>
      <c r="F584" s="294" t="str">
        <f>VLOOKUP(D584,'Tariff Schedule Lookup Table'!I$7:L$298,2,FALSE)</f>
        <v>COMPACT FLUORESCENT 42W</v>
      </c>
      <c r="G584" s="294" t="str">
        <f>IF(F584 = "BULKHEADS ETC", "SHARED OR NO POLE", VLOOKUP(D584,'Tariff Schedule Lookup Table'!I$7:L$298,3,FALSE))</f>
        <v>SHARED OR NO POLE</v>
      </c>
      <c r="H584" s="294">
        <f>IF(F584 = "NO CAPITAL", 1, VLOOKUP(D584,'Tariff Schedule Lookup Table'!I$7:L$298,4,FALSE))</f>
        <v>1</v>
      </c>
      <c r="I584" s="296">
        <f>VLOOKUP(G584,'Input data'!$A$68:$B$72,2,FALSE)</f>
        <v>0</v>
      </c>
      <c r="J584" s="296">
        <f>VLOOKUP($B584,'Maintenance Costs'!$A:$AB,22,FALSE)</f>
        <v>17.273484663393553</v>
      </c>
      <c r="K584" s="296">
        <f>VLOOKUP($B584,'Maintenance Costs'!$A:$AB,28,FALSE)</f>
        <v>20.208924541395373</v>
      </c>
      <c r="L584" s="297">
        <f t="shared" si="45"/>
        <v>37.482409204788922</v>
      </c>
      <c r="M584">
        <v>50.215643679333752</v>
      </c>
      <c r="N584" s="30">
        <f t="shared" si="46"/>
        <v>-12.73323447454483</v>
      </c>
    </row>
    <row r="585" spans="1:14" x14ac:dyDescent="0.2">
      <c r="A585" s="299" t="s">
        <v>1435</v>
      </c>
      <c r="B585" s="298" t="str">
        <f t="shared" si="42"/>
        <v>HPS0010-ST</v>
      </c>
      <c r="C585" s="294" t="str">
        <f>VLOOKUP(LEFT(A585,7),'Tariff Schedule Lookup Table'!$A$8:$G$198,2,FALSE)</f>
        <v>High Pressure Sodium 50</v>
      </c>
      <c r="D585" s="295">
        <f t="shared" si="47"/>
        <v>40</v>
      </c>
      <c r="E585" s="294">
        <f t="shared" si="48"/>
        <v>5</v>
      </c>
      <c r="F585" s="294" t="str">
        <f>VLOOKUP(D585,'Tariff Schedule Lookup Table'!I$7:L$298,2,FALSE)</f>
        <v>HIGH PRESSURE SODIUM 70W (100)</v>
      </c>
      <c r="G585" s="294" t="str">
        <f>IF(F585 = "BULKHEADS ETC", "SHARED OR NO POLE", VLOOKUP(D585,'Tariff Schedule Lookup Table'!I$7:L$298,3,FALSE))</f>
        <v>SHARED OR NO POLE</v>
      </c>
      <c r="H585" s="294">
        <f>IF(F585 = "NO CAPITAL", 1, VLOOKUP(D585,'Tariff Schedule Lookup Table'!I$7:L$298,4,FALSE))</f>
        <v>1</v>
      </c>
      <c r="I585" s="296">
        <f>VLOOKUP(G585,'Input data'!$A$68:$B$72,2,FALSE)</f>
        <v>0</v>
      </c>
      <c r="J585" s="296">
        <f>VLOOKUP($B585,'Maintenance Costs'!$A:$AB,22,FALSE)</f>
        <v>14.826410533171334</v>
      </c>
      <c r="K585" s="296">
        <f>VLOOKUP($B585,'Maintenance Costs'!$A:$AB,28,FALSE)</f>
        <v>21.299118541395373</v>
      </c>
      <c r="L585" s="297">
        <f t="shared" si="45"/>
        <v>36.125529074566707</v>
      </c>
      <c r="M585">
        <v>56.33275615280926</v>
      </c>
      <c r="N585" s="30">
        <f t="shared" si="46"/>
        <v>-20.207227078242553</v>
      </c>
    </row>
    <row r="586" spans="1:14" x14ac:dyDescent="0.2">
      <c r="A586" s="299" t="s">
        <v>1436</v>
      </c>
      <c r="B586" s="298" t="str">
        <f t="shared" ref="B586:B649" si="49">LEFT(A586,10)</f>
        <v>HPS0010-ST</v>
      </c>
      <c r="C586" s="294" t="str">
        <f>VLOOKUP(LEFT(A586,7),'Tariff Schedule Lookup Table'!$A$8:$G$198,2,FALSE)</f>
        <v>High Pressure Sodium 50</v>
      </c>
      <c r="D586" s="295">
        <f t="shared" si="47"/>
        <v>360</v>
      </c>
      <c r="E586" s="294">
        <f t="shared" si="48"/>
        <v>5</v>
      </c>
      <c r="F586" s="294" t="str">
        <f>VLOOKUP(D586,'Tariff Schedule Lookup Table'!I$7:L$298,2,FALSE)</f>
        <v>HIGH PRESSURE SODIUM 70W (100)</v>
      </c>
      <c r="G586" s="294" t="str">
        <f>IF(F586 = "BULKHEADS ETC", "SHARED OR NO POLE", VLOOKUP(D586,'Tariff Schedule Lookup Table'!I$7:L$298,3,FALSE))</f>
        <v>STEEL POLE</v>
      </c>
      <c r="H586" s="294">
        <f>IF(F586 = "NO CAPITAL", 1, VLOOKUP(D586,'Tariff Schedule Lookup Table'!I$7:L$298,4,FALSE))</f>
        <v>1</v>
      </c>
      <c r="I586" s="296">
        <f>VLOOKUP(G586,'Input data'!$A$68:$B$72,2,FALSE)</f>
        <v>9.8748837500000004</v>
      </c>
      <c r="J586" s="296">
        <f>VLOOKUP($B586,'Maintenance Costs'!$A:$AB,22,FALSE)</f>
        <v>14.826410533171334</v>
      </c>
      <c r="K586" s="296">
        <f>VLOOKUP($B586,'Maintenance Costs'!$A:$AB,28,FALSE)</f>
        <v>21.299118541395373</v>
      </c>
      <c r="L586" s="297">
        <f t="shared" ref="L586:L649" si="50">K586+J586+I586/H586</f>
        <v>46.000412824566709</v>
      </c>
      <c r="M586">
        <v>66.207639902809262</v>
      </c>
      <c r="N586" s="30">
        <f t="shared" si="46"/>
        <v>-20.207227078242553</v>
      </c>
    </row>
    <row r="587" spans="1:14" x14ac:dyDescent="0.2">
      <c r="A587" s="299" t="s">
        <v>1019</v>
      </c>
      <c r="B587" s="298" t="str">
        <f t="shared" si="49"/>
        <v>HPS0020-ST</v>
      </c>
      <c r="C587" s="294" t="str">
        <f>VLOOKUP(LEFT(A587,7),'Tariff Schedule Lookup Table'!$A$8:$G$198,2,FALSE)</f>
        <v>High Pressure Sodium 70</v>
      </c>
      <c r="D587" s="295">
        <f t="shared" si="47"/>
        <v>40</v>
      </c>
      <c r="E587" s="294">
        <f t="shared" si="48"/>
        <v>5</v>
      </c>
      <c r="F587" s="294" t="str">
        <f>VLOOKUP(D587,'Tariff Schedule Lookup Table'!I$7:L$298,2,FALSE)</f>
        <v>HIGH PRESSURE SODIUM 70W (100)</v>
      </c>
      <c r="G587" s="294" t="str">
        <f>IF(F587 = "BULKHEADS ETC", "SHARED OR NO POLE", VLOOKUP(D587,'Tariff Schedule Lookup Table'!I$7:L$298,3,FALSE))</f>
        <v>SHARED OR NO POLE</v>
      </c>
      <c r="H587" s="294">
        <f>IF(F587 = "NO CAPITAL", 1, VLOOKUP(D587,'Tariff Schedule Lookup Table'!I$7:L$298,4,FALSE))</f>
        <v>1</v>
      </c>
      <c r="I587" s="296">
        <f>VLOOKUP(G587,'Input data'!$A$68:$B$72,2,FALSE)</f>
        <v>0</v>
      </c>
      <c r="J587" s="296">
        <f>VLOOKUP($B587,'Maintenance Costs'!$A:$AB,22,FALSE)</f>
        <v>14.608972032752845</v>
      </c>
      <c r="K587" s="296">
        <f>VLOOKUP($B587,'Maintenance Costs'!$A:$AB,28,FALSE)</f>
        <v>20.476076041395373</v>
      </c>
      <c r="L587" s="297">
        <f t="shared" si="50"/>
        <v>35.085048074148219</v>
      </c>
      <c r="M587">
        <v>54.87331009726519</v>
      </c>
      <c r="N587" s="30">
        <f t="shared" ref="N587:N650" si="51">L587-M587</f>
        <v>-19.788262023116971</v>
      </c>
    </row>
    <row r="588" spans="1:14" x14ac:dyDescent="0.2">
      <c r="A588" s="299" t="s">
        <v>1023</v>
      </c>
      <c r="B588" s="298" t="str">
        <f t="shared" si="49"/>
        <v>HPS0020-ST</v>
      </c>
      <c r="C588" s="294" t="str">
        <f>VLOOKUP(LEFT(A588,7),'Tariff Schedule Lookup Table'!$A$8:$G$198,2,FALSE)</f>
        <v>High Pressure Sodium 70</v>
      </c>
      <c r="D588" s="295">
        <f t="shared" si="47"/>
        <v>350</v>
      </c>
      <c r="E588" s="294">
        <f t="shared" si="48"/>
        <v>5</v>
      </c>
      <c r="F588" s="294" t="str">
        <f>VLOOKUP(D588,'Tariff Schedule Lookup Table'!I$7:L$298,2,FALSE)</f>
        <v>HIGH PRESSURE SODIUM 70W (100)</v>
      </c>
      <c r="G588" s="294" t="str">
        <f>IF(F588 = "BULKHEADS ETC", "SHARED OR NO POLE", VLOOKUP(D588,'Tariff Schedule Lookup Table'!I$7:L$298,3,FALSE))</f>
        <v>WOOD POLE</v>
      </c>
      <c r="H588" s="294">
        <f>IF(F588 = "NO CAPITAL", 1, VLOOKUP(D588,'Tariff Schedule Lookup Table'!I$7:L$298,4,FALSE))</f>
        <v>1</v>
      </c>
      <c r="I588" s="296">
        <f>VLOOKUP(G588,'Input data'!$A$68:$B$72,2,FALSE)</f>
        <v>10.809914000000001</v>
      </c>
      <c r="J588" s="296">
        <f>VLOOKUP($B588,'Maintenance Costs'!$A:$AB,22,FALSE)</f>
        <v>14.608972032752845</v>
      </c>
      <c r="K588" s="296">
        <f>VLOOKUP($B588,'Maintenance Costs'!$A:$AB,28,FALSE)</f>
        <v>20.476076041395373</v>
      </c>
      <c r="L588" s="297">
        <f t="shared" si="50"/>
        <v>45.894962074148218</v>
      </c>
      <c r="M588">
        <v>65.683224097265196</v>
      </c>
      <c r="N588" s="30">
        <f t="shared" si="51"/>
        <v>-19.788262023116978</v>
      </c>
    </row>
    <row r="589" spans="1:14" x14ac:dyDescent="0.2">
      <c r="A589" s="299" t="s">
        <v>1027</v>
      </c>
      <c r="B589" s="298" t="str">
        <f t="shared" si="49"/>
        <v>HPS0020-ST</v>
      </c>
      <c r="C589" s="294" t="str">
        <f>VLOOKUP(LEFT(A589,7),'Tariff Schedule Lookup Table'!$A$8:$G$198,2,FALSE)</f>
        <v>High Pressure Sodium 70</v>
      </c>
      <c r="D589" s="295">
        <f t="shared" si="47"/>
        <v>360</v>
      </c>
      <c r="E589" s="294">
        <f t="shared" si="48"/>
        <v>5</v>
      </c>
      <c r="F589" s="294" t="str">
        <f>VLOOKUP(D589,'Tariff Schedule Lookup Table'!I$7:L$298,2,FALSE)</f>
        <v>HIGH PRESSURE SODIUM 70W (100)</v>
      </c>
      <c r="G589" s="294" t="str">
        <f>IF(F589 = "BULKHEADS ETC", "SHARED OR NO POLE", VLOOKUP(D589,'Tariff Schedule Lookup Table'!I$7:L$298,3,FALSE))</f>
        <v>STEEL POLE</v>
      </c>
      <c r="H589" s="294">
        <f>IF(F589 = "NO CAPITAL", 1, VLOOKUP(D589,'Tariff Schedule Lookup Table'!I$7:L$298,4,FALSE))</f>
        <v>1</v>
      </c>
      <c r="I589" s="296">
        <f>VLOOKUP(G589,'Input data'!$A$68:$B$72,2,FALSE)</f>
        <v>9.8748837500000004</v>
      </c>
      <c r="J589" s="296">
        <f>VLOOKUP($B589,'Maintenance Costs'!$A:$AB,22,FALSE)</f>
        <v>14.608972032752845</v>
      </c>
      <c r="K589" s="296">
        <f>VLOOKUP($B589,'Maintenance Costs'!$A:$AB,28,FALSE)</f>
        <v>20.476076041395373</v>
      </c>
      <c r="L589" s="297">
        <f t="shared" si="50"/>
        <v>44.959931824148221</v>
      </c>
      <c r="M589">
        <v>64.748193847265185</v>
      </c>
      <c r="N589" s="30">
        <f t="shared" si="51"/>
        <v>-19.788262023116964</v>
      </c>
    </row>
    <row r="590" spans="1:14" x14ac:dyDescent="0.2">
      <c r="A590" s="299" t="s">
        <v>1031</v>
      </c>
      <c r="B590" s="298" t="str">
        <f t="shared" si="49"/>
        <v>HPS0020-ST</v>
      </c>
      <c r="C590" s="294" t="str">
        <f>VLOOKUP(LEFT(A590,7),'Tariff Schedule Lookup Table'!$A$8:$G$198,2,FALSE)</f>
        <v>High Pressure Sodium 70</v>
      </c>
      <c r="D590" s="295">
        <f t="shared" si="47"/>
        <v>730</v>
      </c>
      <c r="E590" s="294">
        <f t="shared" si="48"/>
        <v>5</v>
      </c>
      <c r="F590" s="294" t="str">
        <f>VLOOKUP(D590,'Tariff Schedule Lookup Table'!I$7:L$298,2,FALSE)</f>
        <v>HIGH PRESSURE SODIUM 70W (100)</v>
      </c>
      <c r="G590" s="294" t="str">
        <f>IF(F590 = "BULKHEADS ETC", "SHARED OR NO POLE", VLOOKUP(D590,'Tariff Schedule Lookup Table'!I$7:L$298,3,FALSE))</f>
        <v>STEEL POLE</v>
      </c>
      <c r="H590" s="294">
        <f>IF(F590 = "NO CAPITAL", 1, VLOOKUP(D590,'Tariff Schedule Lookup Table'!I$7:L$298,4,FALSE))</f>
        <v>2</v>
      </c>
      <c r="I590" s="296">
        <f>VLOOKUP(G590,'Input data'!$A$68:$B$72,2,FALSE)</f>
        <v>9.8748837500000004</v>
      </c>
      <c r="J590" s="296">
        <f>VLOOKUP($B590,'Maintenance Costs'!$A:$AB,22,FALSE)</f>
        <v>14.608972032752845</v>
      </c>
      <c r="K590" s="296">
        <f>VLOOKUP($B590,'Maintenance Costs'!$A:$AB,28,FALSE)</f>
        <v>20.476076041395373</v>
      </c>
      <c r="L590" s="297">
        <f t="shared" si="50"/>
        <v>40.022489949148216</v>
      </c>
      <c r="M590">
        <v>59.810751972265187</v>
      </c>
      <c r="N590" s="30">
        <f t="shared" si="51"/>
        <v>-19.788262023116971</v>
      </c>
    </row>
    <row r="591" spans="1:14" x14ac:dyDescent="0.2">
      <c r="A591" s="299" t="s">
        <v>1437</v>
      </c>
      <c r="B591" s="298" t="str">
        <f t="shared" si="49"/>
        <v>HPS0020-ST</v>
      </c>
      <c r="C591" s="294" t="str">
        <f>VLOOKUP(LEFT(A591,7),'Tariff Schedule Lookup Table'!$A$8:$G$198,2,FALSE)</f>
        <v>High Pressure Sodium 70</v>
      </c>
      <c r="D591" s="295">
        <f t="shared" si="47"/>
        <v>750</v>
      </c>
      <c r="E591" s="294">
        <f t="shared" si="48"/>
        <v>5</v>
      </c>
      <c r="F591" s="294" t="str">
        <f>VLOOKUP(D591,'Tariff Schedule Lookup Table'!I$7:L$298,2,FALSE)</f>
        <v>HIGH PRESSURE SODIUM 70W (100)</v>
      </c>
      <c r="G591" s="294" t="str">
        <f>IF(F591 = "BULKHEADS ETC", "SHARED OR NO POLE", VLOOKUP(D591,'Tariff Schedule Lookup Table'!I$7:L$298,3,FALSE))</f>
        <v>SHARED OR NO POLE</v>
      </c>
      <c r="H591" s="294">
        <f>IF(F591 = "NO CAPITAL", 1, VLOOKUP(D591,'Tariff Schedule Lookup Table'!I$7:L$298,4,FALSE))</f>
        <v>3</v>
      </c>
      <c r="I591" s="296">
        <f>VLOOKUP(G591,'Input data'!$A$68:$B$72,2,FALSE)</f>
        <v>0</v>
      </c>
      <c r="J591" s="296">
        <f>VLOOKUP($B591,'Maintenance Costs'!$A:$AB,22,FALSE)</f>
        <v>14.608972032752845</v>
      </c>
      <c r="K591" s="296">
        <f>VLOOKUP($B591,'Maintenance Costs'!$A:$AB,28,FALSE)</f>
        <v>20.476076041395373</v>
      </c>
      <c r="L591" s="297">
        <f t="shared" si="50"/>
        <v>35.085048074148219</v>
      </c>
      <c r="M591">
        <v>54.87331009726519</v>
      </c>
      <c r="N591" s="30">
        <f t="shared" si="51"/>
        <v>-19.788262023116971</v>
      </c>
    </row>
    <row r="592" spans="1:14" x14ac:dyDescent="0.2">
      <c r="A592" s="299" t="s">
        <v>1038</v>
      </c>
      <c r="B592" s="298" t="str">
        <f t="shared" si="49"/>
        <v>HPS0020-ST</v>
      </c>
      <c r="C592" s="294" t="str">
        <f>VLOOKUP(LEFT(A592,7),'Tariff Schedule Lookup Table'!$A$8:$G$198,2,FALSE)</f>
        <v>High Pressure Sodium 70</v>
      </c>
      <c r="D592" s="295">
        <f t="shared" si="47"/>
        <v>890</v>
      </c>
      <c r="E592" s="294">
        <f t="shared" si="48"/>
        <v>5</v>
      </c>
      <c r="F592" s="294" t="str">
        <f>VLOOKUP(D592,'Tariff Schedule Lookup Table'!I$7:L$298,2,FALSE)</f>
        <v>HIGH PRESSURE SODIUM 70W (100)</v>
      </c>
      <c r="G592" s="294" t="str">
        <f>IF(F592 = "BULKHEADS ETC", "SHARED OR NO POLE", VLOOKUP(D592,'Tariff Schedule Lookup Table'!I$7:L$298,3,FALSE))</f>
        <v>SHARED OR NO POLE</v>
      </c>
      <c r="H592" s="294">
        <f>IF(F592 = "NO CAPITAL", 1, VLOOKUP(D592,'Tariff Schedule Lookup Table'!I$7:L$298,4,FALSE))</f>
        <v>2</v>
      </c>
      <c r="I592" s="296">
        <f>VLOOKUP(G592,'Input data'!$A$68:$B$72,2,FALSE)</f>
        <v>0</v>
      </c>
      <c r="J592" s="296">
        <f>VLOOKUP($B592,'Maintenance Costs'!$A:$AB,22,FALSE)</f>
        <v>14.608972032752845</v>
      </c>
      <c r="K592" s="296">
        <f>VLOOKUP($B592,'Maintenance Costs'!$A:$AB,28,FALSE)</f>
        <v>20.476076041395373</v>
      </c>
      <c r="L592" s="297">
        <f t="shared" si="50"/>
        <v>35.085048074148219</v>
      </c>
      <c r="M592">
        <v>54.87331009726519</v>
      </c>
      <c r="N592" s="30">
        <f t="shared" si="51"/>
        <v>-19.788262023116971</v>
      </c>
    </row>
    <row r="593" spans="1:14" x14ac:dyDescent="0.2">
      <c r="A593" s="299" t="s">
        <v>1041</v>
      </c>
      <c r="B593" s="298" t="str">
        <f t="shared" si="49"/>
        <v>HPS0020-ST</v>
      </c>
      <c r="C593" s="294" t="str">
        <f>VLOOKUP(LEFT(A593,7),'Tariff Schedule Lookup Table'!$A$8:$G$198,2,FALSE)</f>
        <v>High Pressure Sodium 70</v>
      </c>
      <c r="D593" s="295">
        <f t="shared" si="47"/>
        <v>910</v>
      </c>
      <c r="E593" s="294">
        <f t="shared" si="48"/>
        <v>5</v>
      </c>
      <c r="F593" s="294" t="str">
        <f>VLOOKUP(D593,'Tariff Schedule Lookup Table'!I$7:L$298,2,FALSE)</f>
        <v>HIGH PRESSURE SODIUM 70W (100)</v>
      </c>
      <c r="G593" s="294" t="str">
        <f>IF(F593 = "BULKHEADS ETC", "SHARED OR NO POLE", VLOOKUP(D593,'Tariff Schedule Lookup Table'!I$7:L$298,3,FALSE))</f>
        <v>WOOD POLE</v>
      </c>
      <c r="H593" s="294">
        <f>IF(F593 = "NO CAPITAL", 1, VLOOKUP(D593,'Tariff Schedule Lookup Table'!I$7:L$298,4,FALSE))</f>
        <v>2</v>
      </c>
      <c r="I593" s="296">
        <f>VLOOKUP(G593,'Input data'!$A$68:$B$72,2,FALSE)</f>
        <v>10.809914000000001</v>
      </c>
      <c r="J593" s="296">
        <f>VLOOKUP($B593,'Maintenance Costs'!$A:$AB,22,FALSE)</f>
        <v>14.608972032752845</v>
      </c>
      <c r="K593" s="296">
        <f>VLOOKUP($B593,'Maintenance Costs'!$A:$AB,28,FALSE)</f>
        <v>20.476076041395373</v>
      </c>
      <c r="L593" s="297">
        <f t="shared" si="50"/>
        <v>40.490005074148222</v>
      </c>
      <c r="M593">
        <v>60.278267097265193</v>
      </c>
      <c r="N593" s="30">
        <f t="shared" si="51"/>
        <v>-19.788262023116971</v>
      </c>
    </row>
    <row r="594" spans="1:14" x14ac:dyDescent="0.2">
      <c r="A594" s="299" t="s">
        <v>1438</v>
      </c>
      <c r="B594" s="298" t="str">
        <f t="shared" si="49"/>
        <v>HPS0070-ST</v>
      </c>
      <c r="C594" s="294" t="str">
        <f>VLOOKUP(LEFT(A594,7),'Tariff Schedule Lookup Table'!$A$8:$G$198,2,FALSE)</f>
        <v>High Pressure Sodium 100</v>
      </c>
      <c r="D594" s="295">
        <f t="shared" si="47"/>
        <v>40</v>
      </c>
      <c r="E594" s="294">
        <f t="shared" si="48"/>
        <v>5</v>
      </c>
      <c r="F594" s="294" t="str">
        <f>VLOOKUP(D594,'Tariff Schedule Lookup Table'!I$7:L$298,2,FALSE)</f>
        <v>HIGH PRESSURE SODIUM 70W (100)</v>
      </c>
      <c r="G594" s="294" t="str">
        <f>IF(F594 = "BULKHEADS ETC", "SHARED OR NO POLE", VLOOKUP(D594,'Tariff Schedule Lookup Table'!I$7:L$298,3,FALSE))</f>
        <v>SHARED OR NO POLE</v>
      </c>
      <c r="H594" s="294">
        <f>IF(F594 = "NO CAPITAL", 1, VLOOKUP(D594,'Tariff Schedule Lookup Table'!I$7:L$298,4,FALSE))</f>
        <v>1</v>
      </c>
      <c r="I594" s="296">
        <f>VLOOKUP(G594,'Input data'!$A$68:$B$72,2,FALSE)</f>
        <v>0</v>
      </c>
      <c r="J594" s="296">
        <f>VLOOKUP($B594,'Maintenance Costs'!$A:$AB,22,FALSE)</f>
        <v>14.608972032752845</v>
      </c>
      <c r="K594" s="296">
        <f>VLOOKUP($B594,'Maintenance Costs'!$A:$AB,28,FALSE)</f>
        <v>20.476076041395373</v>
      </c>
      <c r="L594" s="297">
        <f t="shared" si="50"/>
        <v>35.085048074148219</v>
      </c>
      <c r="M594">
        <v>54.87331009726519</v>
      </c>
      <c r="N594" s="30">
        <f t="shared" si="51"/>
        <v>-19.788262023116971</v>
      </c>
    </row>
    <row r="595" spans="1:14" x14ac:dyDescent="0.2">
      <c r="A595" s="299" t="s">
        <v>1062</v>
      </c>
      <c r="B595" s="298" t="str">
        <f t="shared" si="49"/>
        <v>HPS0090-ST</v>
      </c>
      <c r="C595" s="294" t="str">
        <f>VLOOKUP(LEFT(A595,7),'Tariff Schedule Lookup Table'!$A$8:$G$198,2,FALSE)</f>
        <v>High Pressure Sodium 150</v>
      </c>
      <c r="D595" s="295">
        <f t="shared" si="47"/>
        <v>50</v>
      </c>
      <c r="E595" s="294">
        <f t="shared" si="48"/>
        <v>5</v>
      </c>
      <c r="F595" s="294" t="str">
        <f>VLOOKUP(D595,'Tariff Schedule Lookup Table'!I$7:L$298,2,FALSE)</f>
        <v>HIGH PRESSURE SODIUM 150W</v>
      </c>
      <c r="G595" s="294" t="str">
        <f>IF(F595 = "BULKHEADS ETC", "SHARED OR NO POLE", VLOOKUP(D595,'Tariff Schedule Lookup Table'!I$7:L$298,3,FALSE))</f>
        <v>SHARED OR NO POLE</v>
      </c>
      <c r="H595" s="294">
        <f>IF(F595 = "NO CAPITAL", 1, VLOOKUP(D595,'Tariff Schedule Lookup Table'!I$7:L$298,4,FALSE))</f>
        <v>1</v>
      </c>
      <c r="I595" s="296">
        <f>VLOOKUP(G595,'Input data'!$A$68:$B$72,2,FALSE)</f>
        <v>0</v>
      </c>
      <c r="J595" s="296">
        <f>VLOOKUP($B595,'Maintenance Costs'!$A:$AB,22,FALSE)</f>
        <v>26.110000210382704</v>
      </c>
      <c r="K595" s="296">
        <f>VLOOKUP($B595,'Maintenance Costs'!$A:$AB,28,FALSE)</f>
        <v>20.103683041395374</v>
      </c>
      <c r="L595" s="297">
        <f t="shared" si="50"/>
        <v>46.213683251778079</v>
      </c>
      <c r="M595">
        <v>76.246956196478934</v>
      </c>
      <c r="N595" s="30">
        <f t="shared" si="51"/>
        <v>-30.033272944700855</v>
      </c>
    </row>
    <row r="596" spans="1:14" x14ac:dyDescent="0.2">
      <c r="A596" s="299" t="s">
        <v>1066</v>
      </c>
      <c r="B596" s="298" t="str">
        <f t="shared" si="49"/>
        <v>HPS0090-ST</v>
      </c>
      <c r="C596" s="294" t="str">
        <f>VLOOKUP(LEFT(A596,7),'Tariff Schedule Lookup Table'!$A$8:$G$198,2,FALSE)</f>
        <v>High Pressure Sodium 150</v>
      </c>
      <c r="D596" s="295">
        <f t="shared" si="47"/>
        <v>220</v>
      </c>
      <c r="E596" s="294">
        <f t="shared" si="48"/>
        <v>5</v>
      </c>
      <c r="F596" s="294" t="str">
        <f>VLOOKUP(D596,'Tariff Schedule Lookup Table'!I$7:L$298,2,FALSE)</f>
        <v>HIGH PRESSURE SODIUM 150W</v>
      </c>
      <c r="G596" s="294" t="str">
        <f>IF(F596 = "BULKHEADS ETC", "SHARED OR NO POLE", VLOOKUP(D596,'Tariff Schedule Lookup Table'!I$7:L$298,3,FALSE))</f>
        <v>WOOD POLE</v>
      </c>
      <c r="H596" s="294">
        <f>IF(F596 = "NO CAPITAL", 1, VLOOKUP(D596,'Tariff Schedule Lookup Table'!I$7:L$298,4,FALSE))</f>
        <v>1</v>
      </c>
      <c r="I596" s="296">
        <f>VLOOKUP(G596,'Input data'!$A$68:$B$72,2,FALSE)</f>
        <v>10.809914000000001</v>
      </c>
      <c r="J596" s="296">
        <f>VLOOKUP($B596,'Maintenance Costs'!$A:$AB,22,FALSE)</f>
        <v>26.110000210382704</v>
      </c>
      <c r="K596" s="296">
        <f>VLOOKUP($B596,'Maintenance Costs'!$A:$AB,28,FALSE)</f>
        <v>20.103683041395374</v>
      </c>
      <c r="L596" s="297">
        <f t="shared" si="50"/>
        <v>57.023597251778078</v>
      </c>
      <c r="M596">
        <v>87.05687019647894</v>
      </c>
      <c r="N596" s="30">
        <f t="shared" si="51"/>
        <v>-30.033272944700862</v>
      </c>
    </row>
    <row r="597" spans="1:14" x14ac:dyDescent="0.2">
      <c r="A597" s="299" t="s">
        <v>1070</v>
      </c>
      <c r="B597" s="298" t="str">
        <f t="shared" si="49"/>
        <v>HPS0090-ST</v>
      </c>
      <c r="C597" s="294" t="str">
        <f>VLOOKUP(LEFT(A597,7),'Tariff Schedule Lookup Table'!$A$8:$G$198,2,FALSE)</f>
        <v>High Pressure Sodium 150</v>
      </c>
      <c r="D597" s="295">
        <f t="shared" si="47"/>
        <v>310</v>
      </c>
      <c r="E597" s="294">
        <f t="shared" si="48"/>
        <v>5</v>
      </c>
      <c r="F597" s="294" t="str">
        <f>VLOOKUP(D597,'Tariff Schedule Lookup Table'!I$7:L$298,2,FALSE)</f>
        <v>HIGH PRESSURE SODIUM 150W</v>
      </c>
      <c r="G597" s="294" t="str">
        <f>IF(F597 = "BULKHEADS ETC", "SHARED OR NO POLE", VLOOKUP(D597,'Tariff Schedule Lookup Table'!I$7:L$298,3,FALSE))</f>
        <v>STEEL POLE</v>
      </c>
      <c r="H597" s="294">
        <f>IF(F597 = "NO CAPITAL", 1, VLOOKUP(D597,'Tariff Schedule Lookup Table'!I$7:L$298,4,FALSE))</f>
        <v>1</v>
      </c>
      <c r="I597" s="296">
        <f>VLOOKUP(G597,'Input data'!$A$68:$B$72,2,FALSE)</f>
        <v>9.8748837500000004</v>
      </c>
      <c r="J597" s="296">
        <f>VLOOKUP($B597,'Maintenance Costs'!$A:$AB,22,FALSE)</f>
        <v>26.110000210382704</v>
      </c>
      <c r="K597" s="296">
        <f>VLOOKUP($B597,'Maintenance Costs'!$A:$AB,28,FALSE)</f>
        <v>20.103683041395374</v>
      </c>
      <c r="L597" s="297">
        <f t="shared" si="50"/>
        <v>56.088567001778081</v>
      </c>
      <c r="M597">
        <v>86.121839946478929</v>
      </c>
      <c r="N597" s="30">
        <f t="shared" si="51"/>
        <v>-30.033272944700848</v>
      </c>
    </row>
    <row r="598" spans="1:14" x14ac:dyDescent="0.2">
      <c r="A598" s="299" t="s">
        <v>1074</v>
      </c>
      <c r="B598" s="298" t="str">
        <f t="shared" si="49"/>
        <v>HPS0090-ST</v>
      </c>
      <c r="C598" s="294" t="str">
        <f>VLOOKUP(LEFT(A598,7),'Tariff Schedule Lookup Table'!$A$8:$G$198,2,FALSE)</f>
        <v>High Pressure Sodium 150</v>
      </c>
      <c r="D598" s="295">
        <f t="shared" si="47"/>
        <v>690</v>
      </c>
      <c r="E598" s="294">
        <f t="shared" si="48"/>
        <v>5</v>
      </c>
      <c r="F598" s="294" t="str">
        <f>VLOOKUP(D598,'Tariff Schedule Lookup Table'!I$7:L$298,2,FALSE)</f>
        <v>HIGH PRESSURE SODIUM 150W</v>
      </c>
      <c r="G598" s="294" t="str">
        <f>IF(F598 = "BULKHEADS ETC", "SHARED OR NO POLE", VLOOKUP(D598,'Tariff Schedule Lookup Table'!I$7:L$298,3,FALSE))</f>
        <v>STEEL POLE</v>
      </c>
      <c r="H598" s="294">
        <f>IF(F598 = "NO CAPITAL", 1, VLOOKUP(D598,'Tariff Schedule Lookup Table'!I$7:L$298,4,FALSE))</f>
        <v>2</v>
      </c>
      <c r="I598" s="296">
        <f>VLOOKUP(G598,'Input data'!$A$68:$B$72,2,FALSE)</f>
        <v>9.8748837500000004</v>
      </c>
      <c r="J598" s="296">
        <f>VLOOKUP($B598,'Maintenance Costs'!$A:$AB,22,FALSE)</f>
        <v>26.110000210382704</v>
      </c>
      <c r="K598" s="296">
        <f>VLOOKUP($B598,'Maintenance Costs'!$A:$AB,28,FALSE)</f>
        <v>20.103683041395374</v>
      </c>
      <c r="L598" s="297">
        <f t="shared" si="50"/>
        <v>51.151125126778076</v>
      </c>
      <c r="M598">
        <v>81.184398071478938</v>
      </c>
      <c r="N598" s="30">
        <f t="shared" si="51"/>
        <v>-30.033272944700862</v>
      </c>
    </row>
    <row r="599" spans="1:14" x14ac:dyDescent="0.2">
      <c r="A599" s="299" t="s">
        <v>1439</v>
      </c>
      <c r="B599" s="298" t="str">
        <f t="shared" si="49"/>
        <v>HPS0090-ST</v>
      </c>
      <c r="C599" s="294" t="str">
        <f>VLOOKUP(LEFT(A599,7),'Tariff Schedule Lookup Table'!$A$8:$G$198,2,FALSE)</f>
        <v>High Pressure Sodium 150</v>
      </c>
      <c r="D599" s="295">
        <f t="shared" si="47"/>
        <v>710</v>
      </c>
      <c r="E599" s="294">
        <f t="shared" si="48"/>
        <v>5</v>
      </c>
      <c r="F599" s="294" t="str">
        <f>VLOOKUP(D599,'Tariff Schedule Lookup Table'!I$7:L$298,2,FALSE)</f>
        <v>HIGH PRESSURE SODIUM 150W</v>
      </c>
      <c r="G599" s="294" t="str">
        <f>IF(F599 = "BULKHEADS ETC", "SHARED OR NO POLE", VLOOKUP(D599,'Tariff Schedule Lookup Table'!I$7:L$298,3,FALSE))</f>
        <v>STEEL POLE</v>
      </c>
      <c r="H599" s="294">
        <f>IF(F599 = "NO CAPITAL", 1, VLOOKUP(D599,'Tariff Schedule Lookup Table'!I$7:L$298,4,FALSE))</f>
        <v>3</v>
      </c>
      <c r="I599" s="296">
        <f>VLOOKUP(G599,'Input data'!$A$68:$B$72,2,FALSE)</f>
        <v>9.8748837500000004</v>
      </c>
      <c r="J599" s="296">
        <f>VLOOKUP($B599,'Maintenance Costs'!$A:$AB,22,FALSE)</f>
        <v>26.110000210382704</v>
      </c>
      <c r="K599" s="296">
        <f>VLOOKUP($B599,'Maintenance Costs'!$A:$AB,28,FALSE)</f>
        <v>20.103683041395374</v>
      </c>
      <c r="L599" s="297">
        <f t="shared" si="50"/>
        <v>49.505311168444749</v>
      </c>
      <c r="M599">
        <v>79.538584113145603</v>
      </c>
      <c r="N599" s="30">
        <f t="shared" si="51"/>
        <v>-30.033272944700855</v>
      </c>
    </row>
    <row r="600" spans="1:14" x14ac:dyDescent="0.2">
      <c r="A600" s="299" t="s">
        <v>1440</v>
      </c>
      <c r="B600" s="298" t="str">
        <f t="shared" si="49"/>
        <v>HPS0090-ST</v>
      </c>
      <c r="C600" s="294" t="str">
        <f>VLOOKUP(LEFT(A600,7),'Tariff Schedule Lookup Table'!$A$8:$G$198,2,FALSE)</f>
        <v>High Pressure Sodium 150</v>
      </c>
      <c r="D600" s="295">
        <f t="shared" si="47"/>
        <v>980</v>
      </c>
      <c r="E600" s="294">
        <f t="shared" si="48"/>
        <v>5</v>
      </c>
      <c r="F600" s="294" t="str">
        <f>VLOOKUP(D600,'Tariff Schedule Lookup Table'!I$7:L$298,2,FALSE)</f>
        <v>HIGH PRESSURE SODIUM 150W</v>
      </c>
      <c r="G600" s="294" t="str">
        <f>IF(F600 = "BULKHEADS ETC", "SHARED OR NO POLE", VLOOKUP(D600,'Tariff Schedule Lookup Table'!I$7:L$298,3,FALSE))</f>
        <v>WOOD POLE</v>
      </c>
      <c r="H600" s="294">
        <f>IF(F600 = "NO CAPITAL", 1, VLOOKUP(D600,'Tariff Schedule Lookup Table'!I$7:L$298,4,FALSE))</f>
        <v>2</v>
      </c>
      <c r="I600" s="296">
        <f>VLOOKUP(G600,'Input data'!$A$68:$B$72,2,FALSE)</f>
        <v>10.809914000000001</v>
      </c>
      <c r="J600" s="296">
        <f>VLOOKUP($B600,'Maintenance Costs'!$A:$AB,22,FALSE)</f>
        <v>26.110000210382704</v>
      </c>
      <c r="K600" s="296">
        <f>VLOOKUP($B600,'Maintenance Costs'!$A:$AB,28,FALSE)</f>
        <v>20.103683041395374</v>
      </c>
      <c r="L600" s="297">
        <f t="shared" si="50"/>
        <v>51.618640251778082</v>
      </c>
      <c r="M600">
        <v>81.65191319647893</v>
      </c>
      <c r="N600" s="30">
        <f t="shared" si="51"/>
        <v>-30.033272944700848</v>
      </c>
    </row>
    <row r="601" spans="1:14" x14ac:dyDescent="0.2">
      <c r="A601" s="299" t="s">
        <v>1082</v>
      </c>
      <c r="B601" s="298" t="str">
        <f t="shared" si="49"/>
        <v>HPS0090-ST</v>
      </c>
      <c r="C601" s="294" t="str">
        <f>VLOOKUP(LEFT(A601,7),'Tariff Schedule Lookup Table'!$A$8:$G$198,2,FALSE)</f>
        <v>High Pressure Sodium 150</v>
      </c>
      <c r="D601" s="295">
        <f t="shared" si="47"/>
        <v>1010</v>
      </c>
      <c r="E601" s="294">
        <f t="shared" si="48"/>
        <v>5</v>
      </c>
      <c r="F601" s="294" t="str">
        <f>VLOOKUP(D601,'Tariff Schedule Lookup Table'!I$7:L$298,2,FALSE)</f>
        <v>HIGH PRESSURE SODIUM 150W</v>
      </c>
      <c r="G601" s="294" t="str">
        <f>IF(F601 = "BULKHEADS ETC", "SHARED OR NO POLE", VLOOKUP(D601,'Tariff Schedule Lookup Table'!I$7:L$298,3,FALSE))</f>
        <v>SHARED OR NO POLE</v>
      </c>
      <c r="H601" s="294">
        <f>IF(F601 = "NO CAPITAL", 1, VLOOKUP(D601,'Tariff Schedule Lookup Table'!I$7:L$298,4,FALSE))</f>
        <v>2</v>
      </c>
      <c r="I601" s="296">
        <f>VLOOKUP(G601,'Input data'!$A$68:$B$72,2,FALSE)</f>
        <v>0</v>
      </c>
      <c r="J601" s="296">
        <f>VLOOKUP($B601,'Maintenance Costs'!$A:$AB,22,FALSE)</f>
        <v>26.110000210382704</v>
      </c>
      <c r="K601" s="296">
        <f>VLOOKUP($B601,'Maintenance Costs'!$A:$AB,28,FALSE)</f>
        <v>20.103683041395374</v>
      </c>
      <c r="L601" s="297">
        <f t="shared" si="50"/>
        <v>46.213683251778079</v>
      </c>
      <c r="M601">
        <v>76.246956196478934</v>
      </c>
      <c r="N601" s="30">
        <f t="shared" si="51"/>
        <v>-30.033272944700855</v>
      </c>
    </row>
    <row r="602" spans="1:14" x14ac:dyDescent="0.2">
      <c r="A602" s="299" t="s">
        <v>1441</v>
      </c>
      <c r="B602" s="298" t="str">
        <f t="shared" si="49"/>
        <v>HPS0090-ST</v>
      </c>
      <c r="C602" s="294" t="str">
        <f>VLOOKUP(LEFT(A602,7),'Tariff Schedule Lookup Table'!$A$8:$G$198,2,FALSE)</f>
        <v>High Pressure Sodium 150</v>
      </c>
      <c r="D602" s="295">
        <f t="shared" si="47"/>
        <v>1360</v>
      </c>
      <c r="E602" s="294">
        <f t="shared" si="48"/>
        <v>5</v>
      </c>
      <c r="F602" s="294" t="str">
        <f>VLOOKUP(D602,'Tariff Schedule Lookup Table'!I$7:L$298,2,FALSE)</f>
        <v>HIGH PRESSURE SODIUM 150W</v>
      </c>
      <c r="G602" s="294" t="str">
        <f>IF(F602 = "BULKHEADS ETC", "SHARED OR NO POLE", VLOOKUP(D602,'Tariff Schedule Lookup Table'!I$7:L$298,3,FALSE))</f>
        <v>R/BOUT COLUMN</v>
      </c>
      <c r="H602" s="294">
        <f>IF(F602 = "NO CAPITAL", 1, VLOOKUP(D602,'Tariff Schedule Lookup Table'!I$7:L$298,4,FALSE))</f>
        <v>3</v>
      </c>
      <c r="I602" s="296">
        <f>VLOOKUP(G602,'Input data'!$A$68:$B$72,2,FALSE)</f>
        <v>9.8748837500000004</v>
      </c>
      <c r="J602" s="296">
        <f>VLOOKUP($B602,'Maintenance Costs'!$A:$AB,22,FALSE)</f>
        <v>26.110000210382704</v>
      </c>
      <c r="K602" s="296">
        <f>VLOOKUP($B602,'Maintenance Costs'!$A:$AB,28,FALSE)</f>
        <v>20.103683041395374</v>
      </c>
      <c r="L602" s="297">
        <f t="shared" si="50"/>
        <v>49.505311168444749</v>
      </c>
      <c r="M602">
        <v>79.538584113145603</v>
      </c>
      <c r="N602" s="30">
        <f t="shared" si="51"/>
        <v>-30.033272944700855</v>
      </c>
    </row>
    <row r="603" spans="1:14" x14ac:dyDescent="0.2">
      <c r="A603" s="299" t="s">
        <v>1088</v>
      </c>
      <c r="B603" s="298" t="str">
        <f t="shared" si="49"/>
        <v>HPS0090-TA</v>
      </c>
      <c r="C603" s="294" t="str">
        <f>VLOOKUP(LEFT(A603,7),'Tariff Schedule Lookup Table'!$A$8:$G$198,2,FALSE)</f>
        <v>High Pressure Sodium 150</v>
      </c>
      <c r="D603" s="295">
        <f t="shared" si="47"/>
        <v>50</v>
      </c>
      <c r="E603" s="294">
        <f t="shared" si="48"/>
        <v>5</v>
      </c>
      <c r="F603" s="294" t="str">
        <f>VLOOKUP(D603,'Tariff Schedule Lookup Table'!I$7:L$298,2,FALSE)</f>
        <v>HIGH PRESSURE SODIUM 150W</v>
      </c>
      <c r="G603" s="294" t="str">
        <f>IF(F603 = "BULKHEADS ETC", "SHARED OR NO POLE", VLOOKUP(D603,'Tariff Schedule Lookup Table'!I$7:L$298,3,FALSE))</f>
        <v>SHARED OR NO POLE</v>
      </c>
      <c r="H603" s="294">
        <f>IF(F603 = "NO CAPITAL", 1, VLOOKUP(D603,'Tariff Schedule Lookup Table'!I$7:L$298,4,FALSE))</f>
        <v>1</v>
      </c>
      <c r="I603" s="296">
        <f>VLOOKUP(G603,'Input data'!$A$68:$B$72,2,FALSE)</f>
        <v>0</v>
      </c>
      <c r="J603" s="296">
        <f>VLOOKUP($B603,'Maintenance Costs'!$A:$AB,22,FALSE)</f>
        <v>27.628057742626627</v>
      </c>
      <c r="K603" s="296">
        <f>VLOOKUP($B603,'Maintenance Costs'!$A:$AB,28,FALSE)</f>
        <v>26.941682041395374</v>
      </c>
      <c r="L603" s="297">
        <f t="shared" si="50"/>
        <v>54.569739784022005</v>
      </c>
      <c r="M603">
        <v>76.440928211790037</v>
      </c>
      <c r="N603" s="30">
        <f t="shared" si="51"/>
        <v>-21.871188427768033</v>
      </c>
    </row>
    <row r="604" spans="1:14" x14ac:dyDescent="0.2">
      <c r="A604" s="299" t="s">
        <v>1092</v>
      </c>
      <c r="B604" s="298" t="str">
        <f t="shared" si="49"/>
        <v>HPS0090-TA</v>
      </c>
      <c r="C604" s="294" t="str">
        <f>VLOOKUP(LEFT(A604,7),'Tariff Schedule Lookup Table'!$A$8:$G$198,2,FALSE)</f>
        <v>High Pressure Sodium 150</v>
      </c>
      <c r="D604" s="295">
        <f t="shared" si="47"/>
        <v>220</v>
      </c>
      <c r="E604" s="294">
        <f t="shared" si="48"/>
        <v>5</v>
      </c>
      <c r="F604" s="294" t="str">
        <f>VLOOKUP(D604,'Tariff Schedule Lookup Table'!I$7:L$298,2,FALSE)</f>
        <v>HIGH PRESSURE SODIUM 150W</v>
      </c>
      <c r="G604" s="294" t="str">
        <f>IF(F604 = "BULKHEADS ETC", "SHARED OR NO POLE", VLOOKUP(D604,'Tariff Schedule Lookup Table'!I$7:L$298,3,FALSE))</f>
        <v>WOOD POLE</v>
      </c>
      <c r="H604" s="294">
        <f>IF(F604 = "NO CAPITAL", 1, VLOOKUP(D604,'Tariff Schedule Lookup Table'!I$7:L$298,4,FALSE))</f>
        <v>1</v>
      </c>
      <c r="I604" s="296">
        <f>VLOOKUP(G604,'Input data'!$A$68:$B$72,2,FALSE)</f>
        <v>10.809914000000001</v>
      </c>
      <c r="J604" s="296">
        <f>VLOOKUP($B604,'Maintenance Costs'!$A:$AB,22,FALSE)</f>
        <v>27.628057742626627</v>
      </c>
      <c r="K604" s="296">
        <f>VLOOKUP($B604,'Maintenance Costs'!$A:$AB,28,FALSE)</f>
        <v>26.941682041395374</v>
      </c>
      <c r="L604" s="297">
        <f t="shared" si="50"/>
        <v>65.379653784022011</v>
      </c>
      <c r="M604">
        <v>87.250842211790044</v>
      </c>
      <c r="N604" s="30">
        <f t="shared" si="51"/>
        <v>-21.871188427768033</v>
      </c>
    </row>
    <row r="605" spans="1:14" x14ac:dyDescent="0.2">
      <c r="A605" s="299" t="s">
        <v>1096</v>
      </c>
      <c r="B605" s="298" t="str">
        <f t="shared" si="49"/>
        <v>HPS0090-TA</v>
      </c>
      <c r="C605" s="294" t="str">
        <f>VLOOKUP(LEFT(A605,7),'Tariff Schedule Lookup Table'!$A$8:$G$198,2,FALSE)</f>
        <v>High Pressure Sodium 150</v>
      </c>
      <c r="D605" s="295">
        <f t="shared" si="47"/>
        <v>310</v>
      </c>
      <c r="E605" s="294">
        <f t="shared" si="48"/>
        <v>5</v>
      </c>
      <c r="F605" s="294" t="str">
        <f>VLOOKUP(D605,'Tariff Schedule Lookup Table'!I$7:L$298,2,FALSE)</f>
        <v>HIGH PRESSURE SODIUM 150W</v>
      </c>
      <c r="G605" s="294" t="str">
        <f>IF(F605 = "BULKHEADS ETC", "SHARED OR NO POLE", VLOOKUP(D605,'Tariff Schedule Lookup Table'!I$7:L$298,3,FALSE))</f>
        <v>STEEL POLE</v>
      </c>
      <c r="H605" s="294">
        <f>IF(F605 = "NO CAPITAL", 1, VLOOKUP(D605,'Tariff Schedule Lookup Table'!I$7:L$298,4,FALSE))</f>
        <v>1</v>
      </c>
      <c r="I605" s="296">
        <f>VLOOKUP(G605,'Input data'!$A$68:$B$72,2,FALSE)</f>
        <v>9.8748837500000004</v>
      </c>
      <c r="J605" s="296">
        <f>VLOOKUP($B605,'Maintenance Costs'!$A:$AB,22,FALSE)</f>
        <v>27.628057742626627</v>
      </c>
      <c r="K605" s="296">
        <f>VLOOKUP($B605,'Maintenance Costs'!$A:$AB,28,FALSE)</f>
        <v>26.941682041395374</v>
      </c>
      <c r="L605" s="297">
        <f t="shared" si="50"/>
        <v>64.444623534022</v>
      </c>
      <c r="M605">
        <v>86.315811961790033</v>
      </c>
      <c r="N605" s="30">
        <f t="shared" si="51"/>
        <v>-21.871188427768033</v>
      </c>
    </row>
    <row r="606" spans="1:14" x14ac:dyDescent="0.2">
      <c r="A606" s="299" t="s">
        <v>1442</v>
      </c>
      <c r="B606" s="298" t="str">
        <f t="shared" si="49"/>
        <v>HPS0090-TA</v>
      </c>
      <c r="C606" s="294" t="str">
        <f>VLOOKUP(LEFT(A606,7),'Tariff Schedule Lookup Table'!$A$8:$G$198,2,FALSE)</f>
        <v>High Pressure Sodium 150</v>
      </c>
      <c r="D606" s="295">
        <f t="shared" si="47"/>
        <v>690</v>
      </c>
      <c r="E606" s="294">
        <f t="shared" si="48"/>
        <v>5</v>
      </c>
      <c r="F606" s="294" t="str">
        <f>VLOOKUP(D606,'Tariff Schedule Lookup Table'!I$7:L$298,2,FALSE)</f>
        <v>HIGH PRESSURE SODIUM 150W</v>
      </c>
      <c r="G606" s="294" t="str">
        <f>IF(F606 = "BULKHEADS ETC", "SHARED OR NO POLE", VLOOKUP(D606,'Tariff Schedule Lookup Table'!I$7:L$298,3,FALSE))</f>
        <v>STEEL POLE</v>
      </c>
      <c r="H606" s="294">
        <f>IF(F606 = "NO CAPITAL", 1, VLOOKUP(D606,'Tariff Schedule Lookup Table'!I$7:L$298,4,FALSE))</f>
        <v>2</v>
      </c>
      <c r="I606" s="296">
        <f>VLOOKUP(G606,'Input data'!$A$68:$B$72,2,FALSE)</f>
        <v>9.8748837500000004</v>
      </c>
      <c r="J606" s="296">
        <f>VLOOKUP($B606,'Maintenance Costs'!$A:$AB,22,FALSE)</f>
        <v>27.628057742626627</v>
      </c>
      <c r="K606" s="296">
        <f>VLOOKUP($B606,'Maintenance Costs'!$A:$AB,28,FALSE)</f>
        <v>26.941682041395374</v>
      </c>
      <c r="L606" s="297">
        <f t="shared" si="50"/>
        <v>59.507181659022002</v>
      </c>
      <c r="M606">
        <v>81.378370086790042</v>
      </c>
      <c r="N606" s="30">
        <f t="shared" si="51"/>
        <v>-21.87118842776804</v>
      </c>
    </row>
    <row r="607" spans="1:14" x14ac:dyDescent="0.2">
      <c r="A607" s="299" t="s">
        <v>1443</v>
      </c>
      <c r="B607" s="298" t="str">
        <f t="shared" si="49"/>
        <v>HPS0090-TA</v>
      </c>
      <c r="C607" s="294" t="str">
        <f>VLOOKUP(LEFT(A607,7),'Tariff Schedule Lookup Table'!$A$8:$G$198,2,FALSE)</f>
        <v>High Pressure Sodium 150</v>
      </c>
      <c r="D607" s="295">
        <f t="shared" si="47"/>
        <v>1010</v>
      </c>
      <c r="E607" s="294">
        <f t="shared" si="48"/>
        <v>5</v>
      </c>
      <c r="F607" s="294" t="str">
        <f>VLOOKUP(D607,'Tariff Schedule Lookup Table'!I$7:L$298,2,FALSE)</f>
        <v>HIGH PRESSURE SODIUM 150W</v>
      </c>
      <c r="G607" s="294" t="str">
        <f>IF(F607 = "BULKHEADS ETC", "SHARED OR NO POLE", VLOOKUP(D607,'Tariff Schedule Lookup Table'!I$7:L$298,3,FALSE))</f>
        <v>SHARED OR NO POLE</v>
      </c>
      <c r="H607" s="294">
        <f>IF(F607 = "NO CAPITAL", 1, VLOOKUP(D607,'Tariff Schedule Lookup Table'!I$7:L$298,4,FALSE))</f>
        <v>2</v>
      </c>
      <c r="I607" s="296">
        <f>VLOOKUP(G607,'Input data'!$A$68:$B$72,2,FALSE)</f>
        <v>0</v>
      </c>
      <c r="J607" s="296">
        <f>VLOOKUP($B607,'Maintenance Costs'!$A:$AB,22,FALSE)</f>
        <v>27.628057742626627</v>
      </c>
      <c r="K607" s="296">
        <f>VLOOKUP($B607,'Maintenance Costs'!$A:$AB,28,FALSE)</f>
        <v>26.941682041395374</v>
      </c>
      <c r="L607" s="297">
        <f t="shared" si="50"/>
        <v>54.569739784022005</v>
      </c>
      <c r="M607">
        <v>76.440928211790037</v>
      </c>
      <c r="N607" s="30">
        <f t="shared" si="51"/>
        <v>-21.871188427768033</v>
      </c>
    </row>
    <row r="608" spans="1:14" x14ac:dyDescent="0.2">
      <c r="A608" s="299" t="s">
        <v>1444</v>
      </c>
      <c r="B608" s="298" t="str">
        <f t="shared" si="49"/>
        <v>HPS0090-TA</v>
      </c>
      <c r="C608" s="294" t="str">
        <f>VLOOKUP(LEFT(A608,7),'Tariff Schedule Lookup Table'!$A$8:$G$198,2,FALSE)</f>
        <v>High Pressure Sodium 150</v>
      </c>
      <c r="D608" s="295">
        <f t="shared" si="47"/>
        <v>1370</v>
      </c>
      <c r="E608" s="294">
        <f t="shared" si="48"/>
        <v>5</v>
      </c>
      <c r="F608" s="294" t="str">
        <f>VLOOKUP(D608,'Tariff Schedule Lookup Table'!I$7:L$298,2,FALSE)</f>
        <v>HIGH PRESSURE SODIUM 150W</v>
      </c>
      <c r="G608" s="294" t="str">
        <f>IF(F608 = "BULKHEADS ETC", "SHARED OR NO POLE", VLOOKUP(D608,'Tariff Schedule Lookup Table'!I$7:L$298,3,FALSE))</f>
        <v>R/BOUT COLUMN</v>
      </c>
      <c r="H608" s="294">
        <f>IF(F608 = "NO CAPITAL", 1, VLOOKUP(D608,'Tariff Schedule Lookup Table'!I$7:L$298,4,FALSE))</f>
        <v>4</v>
      </c>
      <c r="I608" s="296">
        <f>VLOOKUP(G608,'Input data'!$A$68:$B$72,2,FALSE)</f>
        <v>9.8748837500000004</v>
      </c>
      <c r="J608" s="296">
        <f>VLOOKUP($B608,'Maintenance Costs'!$A:$AB,22,FALSE)</f>
        <v>27.628057742626627</v>
      </c>
      <c r="K608" s="296">
        <f>VLOOKUP($B608,'Maintenance Costs'!$A:$AB,28,FALSE)</f>
        <v>26.941682041395374</v>
      </c>
      <c r="L608" s="297">
        <f t="shared" si="50"/>
        <v>57.038460721522007</v>
      </c>
      <c r="M608">
        <v>78.909649149290033</v>
      </c>
      <c r="N608" s="30">
        <f t="shared" si="51"/>
        <v>-21.871188427768026</v>
      </c>
    </row>
    <row r="609" spans="1:14" x14ac:dyDescent="0.2">
      <c r="A609" s="299" t="s">
        <v>1445</v>
      </c>
      <c r="B609" s="298" t="str">
        <f t="shared" si="49"/>
        <v>HPS0100-ST</v>
      </c>
      <c r="C609" s="294" t="str">
        <f>VLOOKUP(LEFT(A609,7),'Tariff Schedule Lookup Table'!$A$8:$G$198,2,FALSE)</f>
        <v>High Pressure Sodium 220</v>
      </c>
      <c r="D609" s="295">
        <f t="shared" si="47"/>
        <v>230</v>
      </c>
      <c r="E609" s="294">
        <f t="shared" si="48"/>
        <v>5</v>
      </c>
      <c r="F609" s="294" t="str">
        <f>VLOOKUP(D609,'Tariff Schedule Lookup Table'!I$7:L$298,2,FALSE)</f>
        <v>HIGH PRESSURE SODIUM 250W (210/220)</v>
      </c>
      <c r="G609" s="294" t="str">
        <f>IF(F609 = "BULKHEADS ETC", "SHARED OR NO POLE", VLOOKUP(D609,'Tariff Schedule Lookup Table'!I$7:L$298,3,FALSE))</f>
        <v>WOOD POLE</v>
      </c>
      <c r="H609" s="294">
        <f>IF(F609 = "NO CAPITAL", 1, VLOOKUP(D609,'Tariff Schedule Lookup Table'!I$7:L$298,4,FALSE))</f>
        <v>1</v>
      </c>
      <c r="I609" s="296">
        <f>VLOOKUP(G609,'Input data'!$A$68:$B$72,2,FALSE)</f>
        <v>10.809914000000001</v>
      </c>
      <c r="J609" s="296">
        <f>VLOOKUP($B609,'Maintenance Costs'!$A:$AB,22,FALSE)</f>
        <v>26.293978626504668</v>
      </c>
      <c r="K609" s="296">
        <f>VLOOKUP($B609,'Maintenance Costs'!$A:$AB,28,FALSE)</f>
        <v>20.813388541395373</v>
      </c>
      <c r="L609" s="297">
        <f t="shared" si="50"/>
        <v>57.917281167900036</v>
      </c>
      <c r="M609">
        <v>88.466493613995411</v>
      </c>
      <c r="N609" s="30">
        <f t="shared" si="51"/>
        <v>-30.549212446095375</v>
      </c>
    </row>
    <row r="610" spans="1:14" x14ac:dyDescent="0.2">
      <c r="A610" s="299" t="s">
        <v>1446</v>
      </c>
      <c r="B610" s="298" t="str">
        <f t="shared" si="49"/>
        <v>HPS0100-ST</v>
      </c>
      <c r="C610" s="294" t="str">
        <f>VLOOKUP(LEFT(A610,7),'Tariff Schedule Lookup Table'!$A$8:$G$198,2,FALSE)</f>
        <v>High Pressure Sodium 220</v>
      </c>
      <c r="D610" s="295">
        <f t="shared" si="47"/>
        <v>430</v>
      </c>
      <c r="E610" s="294">
        <f t="shared" si="48"/>
        <v>5</v>
      </c>
      <c r="F610" s="294" t="str">
        <f>VLOOKUP(D610,'Tariff Schedule Lookup Table'!I$7:L$298,2,FALSE)</f>
        <v>HIGH PRESSURE SODIUM 250W (210/220)</v>
      </c>
      <c r="G610" s="294" t="str">
        <f>IF(F610 = "BULKHEADS ETC", "SHARED OR NO POLE", VLOOKUP(D610,'Tariff Schedule Lookup Table'!I$7:L$298,3,FALSE))</f>
        <v>STEEL POLE</v>
      </c>
      <c r="H610" s="294">
        <f>IF(F610 = "NO CAPITAL", 1, VLOOKUP(D610,'Tariff Schedule Lookup Table'!I$7:L$298,4,FALSE))</f>
        <v>3</v>
      </c>
      <c r="I610" s="296">
        <f>VLOOKUP(G610,'Input data'!$A$68:$B$72,2,FALSE)</f>
        <v>9.8748837500000004</v>
      </c>
      <c r="J610" s="296">
        <f>VLOOKUP($B610,'Maintenance Costs'!$A:$AB,22,FALSE)</f>
        <v>26.293978626504668</v>
      </c>
      <c r="K610" s="296">
        <f>VLOOKUP($B610,'Maintenance Costs'!$A:$AB,28,FALSE)</f>
        <v>20.813388541395373</v>
      </c>
      <c r="L610" s="297">
        <f t="shared" si="50"/>
        <v>50.398995084566707</v>
      </c>
      <c r="M610">
        <v>80.948207530662074</v>
      </c>
      <c r="N610" s="30">
        <f t="shared" si="51"/>
        <v>-30.549212446095368</v>
      </c>
    </row>
    <row r="611" spans="1:14" x14ac:dyDescent="0.2">
      <c r="A611" s="299" t="s">
        <v>1116</v>
      </c>
      <c r="B611" s="298" t="str">
        <f t="shared" si="49"/>
        <v>HPS0110-ST</v>
      </c>
      <c r="C611" s="294" t="str">
        <f>VLOOKUP(LEFT(A611,7),'Tariff Schedule Lookup Table'!$A$8:$G$198,2,FALSE)</f>
        <v>High Pressure Sodium 250</v>
      </c>
      <c r="D611" s="295">
        <f t="shared" si="47"/>
        <v>60</v>
      </c>
      <c r="E611" s="294">
        <f t="shared" si="48"/>
        <v>5</v>
      </c>
      <c r="F611" s="294" t="str">
        <f>VLOOKUP(D611,'Tariff Schedule Lookup Table'!I$7:L$298,2,FALSE)</f>
        <v>HIGH PRESSURE SODIUM 250W (210/220)</v>
      </c>
      <c r="G611" s="294" t="str">
        <f>IF(F611 = "BULKHEADS ETC", "SHARED OR NO POLE", VLOOKUP(D611,'Tariff Schedule Lookup Table'!I$7:L$298,3,FALSE))</f>
        <v>SHARED OR NO POLE</v>
      </c>
      <c r="H611" s="294">
        <f>IF(F611 = "NO CAPITAL", 1, VLOOKUP(D611,'Tariff Schedule Lookup Table'!I$7:L$298,4,FALSE))</f>
        <v>1</v>
      </c>
      <c r="I611" s="296">
        <f>VLOOKUP(G611,'Input data'!$A$68:$B$72,2,FALSE)</f>
        <v>0</v>
      </c>
      <c r="J611" s="296">
        <f>VLOOKUP($B611,'Maintenance Costs'!$A:$AB,22,FALSE)</f>
        <v>26.264235842626629</v>
      </c>
      <c r="K611" s="296">
        <f>VLOOKUP($B611,'Maintenance Costs'!$A:$AB,28,FALSE)</f>
        <v>20.813388541395373</v>
      </c>
      <c r="L611" s="297">
        <f t="shared" si="50"/>
        <v>47.077624384022002</v>
      </c>
      <c r="M611">
        <v>77.540582756871061</v>
      </c>
      <c r="N611" s="30">
        <f t="shared" si="51"/>
        <v>-30.462958372849059</v>
      </c>
    </row>
    <row r="612" spans="1:14" x14ac:dyDescent="0.2">
      <c r="A612" s="299" t="s">
        <v>1120</v>
      </c>
      <c r="B612" s="298" t="str">
        <f t="shared" si="49"/>
        <v>HPS0110-ST</v>
      </c>
      <c r="C612" s="294" t="str">
        <f>VLOOKUP(LEFT(A612,7),'Tariff Schedule Lookup Table'!$A$8:$G$198,2,FALSE)</f>
        <v>High Pressure Sodium 250</v>
      </c>
      <c r="D612" s="295">
        <f t="shared" si="47"/>
        <v>230</v>
      </c>
      <c r="E612" s="294">
        <f t="shared" si="48"/>
        <v>5</v>
      </c>
      <c r="F612" s="294" t="str">
        <f>VLOOKUP(D612,'Tariff Schedule Lookup Table'!I$7:L$298,2,FALSE)</f>
        <v>HIGH PRESSURE SODIUM 250W (210/220)</v>
      </c>
      <c r="G612" s="294" t="str">
        <f>IF(F612 = "BULKHEADS ETC", "SHARED OR NO POLE", VLOOKUP(D612,'Tariff Schedule Lookup Table'!I$7:L$298,3,FALSE))</f>
        <v>WOOD POLE</v>
      </c>
      <c r="H612" s="294">
        <f>IF(F612 = "NO CAPITAL", 1, VLOOKUP(D612,'Tariff Schedule Lookup Table'!I$7:L$298,4,FALSE))</f>
        <v>1</v>
      </c>
      <c r="I612" s="296">
        <f>VLOOKUP(G612,'Input data'!$A$68:$B$72,2,FALSE)</f>
        <v>10.809914000000001</v>
      </c>
      <c r="J612" s="296">
        <f>VLOOKUP($B612,'Maintenance Costs'!$A:$AB,22,FALSE)</f>
        <v>26.264235842626629</v>
      </c>
      <c r="K612" s="296">
        <f>VLOOKUP($B612,'Maintenance Costs'!$A:$AB,28,FALSE)</f>
        <v>20.813388541395373</v>
      </c>
      <c r="L612" s="297">
        <f t="shared" si="50"/>
        <v>57.887538384022001</v>
      </c>
      <c r="M612">
        <v>88.350496756871067</v>
      </c>
      <c r="N612" s="30">
        <f t="shared" si="51"/>
        <v>-30.462958372849066</v>
      </c>
    </row>
    <row r="613" spans="1:14" x14ac:dyDescent="0.2">
      <c r="A613" s="299" t="s">
        <v>1124</v>
      </c>
      <c r="B613" s="298" t="str">
        <f t="shared" si="49"/>
        <v>HPS0110-ST</v>
      </c>
      <c r="C613" s="294" t="str">
        <f>VLOOKUP(LEFT(A613,7),'Tariff Schedule Lookup Table'!$A$8:$G$198,2,FALSE)</f>
        <v>High Pressure Sodium 250</v>
      </c>
      <c r="D613" s="295">
        <f t="shared" si="47"/>
        <v>320</v>
      </c>
      <c r="E613" s="294">
        <f t="shared" si="48"/>
        <v>5</v>
      </c>
      <c r="F613" s="294" t="str">
        <f>VLOOKUP(D613,'Tariff Schedule Lookup Table'!I$7:L$298,2,FALSE)</f>
        <v>HIGH PRESSURE SODIUM 250W (210/220)</v>
      </c>
      <c r="G613" s="294" t="str">
        <f>IF(F613 = "BULKHEADS ETC", "SHARED OR NO POLE", VLOOKUP(D613,'Tariff Schedule Lookup Table'!I$7:L$298,3,FALSE))</f>
        <v>STEEL POLE</v>
      </c>
      <c r="H613" s="294">
        <f>IF(F613 = "NO CAPITAL", 1, VLOOKUP(D613,'Tariff Schedule Lookup Table'!I$7:L$298,4,FALSE))</f>
        <v>1</v>
      </c>
      <c r="I613" s="296">
        <f>VLOOKUP(G613,'Input data'!$A$68:$B$72,2,FALSE)</f>
        <v>9.8748837500000004</v>
      </c>
      <c r="J613" s="296">
        <f>VLOOKUP($B613,'Maintenance Costs'!$A:$AB,22,FALSE)</f>
        <v>26.264235842626629</v>
      </c>
      <c r="K613" s="296">
        <f>VLOOKUP($B613,'Maintenance Costs'!$A:$AB,28,FALSE)</f>
        <v>20.813388541395373</v>
      </c>
      <c r="L613" s="297">
        <f t="shared" si="50"/>
        <v>56.952508134022004</v>
      </c>
      <c r="M613">
        <v>87.415466506871056</v>
      </c>
      <c r="N613" s="30">
        <f t="shared" si="51"/>
        <v>-30.462958372849052</v>
      </c>
    </row>
    <row r="614" spans="1:14" x14ac:dyDescent="0.2">
      <c r="A614" s="299" t="s">
        <v>1128</v>
      </c>
      <c r="B614" s="298" t="str">
        <f t="shared" si="49"/>
        <v>HPS0110-ST</v>
      </c>
      <c r="C614" s="294" t="str">
        <f>VLOOKUP(LEFT(A614,7),'Tariff Schedule Lookup Table'!$A$8:$G$198,2,FALSE)</f>
        <v>High Pressure Sodium 250</v>
      </c>
      <c r="D614" s="295">
        <f t="shared" si="47"/>
        <v>390</v>
      </c>
      <c r="E614" s="294">
        <f t="shared" si="48"/>
        <v>5</v>
      </c>
      <c r="F614" s="294" t="str">
        <f>VLOOKUP(D614,'Tariff Schedule Lookup Table'!I$7:L$298,2,FALSE)</f>
        <v>HIGH PRESSURE SODIUM 250W (210/220)</v>
      </c>
      <c r="G614" s="294" t="str">
        <f>IF(F614 = "BULKHEADS ETC", "SHARED OR NO POLE", VLOOKUP(D614,'Tariff Schedule Lookup Table'!I$7:L$298,3,FALSE))</f>
        <v>STEEL POLE</v>
      </c>
      <c r="H614" s="294">
        <f>IF(F614 = "NO CAPITAL", 1, VLOOKUP(D614,'Tariff Schedule Lookup Table'!I$7:L$298,4,FALSE))</f>
        <v>2</v>
      </c>
      <c r="I614" s="296">
        <f>VLOOKUP(G614,'Input data'!$A$68:$B$72,2,FALSE)</f>
        <v>9.8748837500000004</v>
      </c>
      <c r="J614" s="296">
        <f>VLOOKUP($B614,'Maintenance Costs'!$A:$AB,22,FALSE)</f>
        <v>26.264235842626629</v>
      </c>
      <c r="K614" s="296">
        <f>VLOOKUP($B614,'Maintenance Costs'!$A:$AB,28,FALSE)</f>
        <v>20.813388541395373</v>
      </c>
      <c r="L614" s="297">
        <f t="shared" si="50"/>
        <v>52.015066259021999</v>
      </c>
      <c r="M614">
        <v>82.478024631871065</v>
      </c>
      <c r="N614" s="30">
        <f t="shared" si="51"/>
        <v>-30.462958372849066</v>
      </c>
    </row>
    <row r="615" spans="1:14" x14ac:dyDescent="0.2">
      <c r="A615" s="299" t="s">
        <v>1132</v>
      </c>
      <c r="B615" s="298" t="str">
        <f t="shared" si="49"/>
        <v>HPS0110-ST</v>
      </c>
      <c r="C615" s="294" t="str">
        <f>VLOOKUP(LEFT(A615,7),'Tariff Schedule Lookup Table'!$A$8:$G$198,2,FALSE)</f>
        <v>High Pressure Sodium 250</v>
      </c>
      <c r="D615" s="295">
        <f t="shared" si="47"/>
        <v>470</v>
      </c>
      <c r="E615" s="294">
        <f t="shared" si="48"/>
        <v>5</v>
      </c>
      <c r="F615" s="294" t="str">
        <f>VLOOKUP(D615,'Tariff Schedule Lookup Table'!I$7:L$298,2,FALSE)</f>
        <v>HIGH PRESSURE SODIUM 250W (210/220)</v>
      </c>
      <c r="G615" s="294" t="str">
        <f>IF(F615 = "BULKHEADS ETC", "SHARED OR NO POLE", VLOOKUP(D615,'Tariff Schedule Lookup Table'!I$7:L$298,3,FALSE))</f>
        <v>STEEL POLE</v>
      </c>
      <c r="H615" s="294">
        <f>IF(F615 = "NO CAPITAL", 1, VLOOKUP(D615,'Tariff Schedule Lookup Table'!I$7:L$298,4,FALSE))</f>
        <v>4</v>
      </c>
      <c r="I615" s="296">
        <f>VLOOKUP(G615,'Input data'!$A$68:$B$72,2,FALSE)</f>
        <v>9.8748837500000004</v>
      </c>
      <c r="J615" s="296">
        <f>VLOOKUP($B615,'Maintenance Costs'!$A:$AB,22,FALSE)</f>
        <v>26.264235842626629</v>
      </c>
      <c r="K615" s="296">
        <f>VLOOKUP($B615,'Maintenance Costs'!$A:$AB,28,FALSE)</f>
        <v>20.813388541395373</v>
      </c>
      <c r="L615" s="297">
        <f t="shared" si="50"/>
        <v>49.546345321522004</v>
      </c>
      <c r="M615">
        <v>80.009303694371056</v>
      </c>
      <c r="N615" s="30">
        <f t="shared" si="51"/>
        <v>-30.462958372849052</v>
      </c>
    </row>
    <row r="616" spans="1:14" x14ac:dyDescent="0.2">
      <c r="A616" s="299" t="s">
        <v>1136</v>
      </c>
      <c r="B616" s="298" t="str">
        <f t="shared" si="49"/>
        <v>HPS0110-ST</v>
      </c>
      <c r="C616" s="294" t="str">
        <f>VLOOKUP(LEFT(A616,7),'Tariff Schedule Lookup Table'!$A$8:$G$198,2,FALSE)</f>
        <v>High Pressure Sodium 250</v>
      </c>
      <c r="D616" s="295">
        <f t="shared" si="47"/>
        <v>550</v>
      </c>
      <c r="E616" s="294">
        <f t="shared" si="48"/>
        <v>5</v>
      </c>
      <c r="F616" s="294" t="str">
        <f>VLOOKUP(D616,'Tariff Schedule Lookup Table'!I$7:L$298,2,FALSE)</f>
        <v>HIGH PRESSURE SODIUM 250W (210/220)</v>
      </c>
      <c r="G616" s="294" t="str">
        <f>IF(F616 = "BULKHEADS ETC", "SHARED OR NO POLE", VLOOKUP(D616,'Tariff Schedule Lookup Table'!I$7:L$298,3,FALSE))</f>
        <v>R/BOUT COLUMN</v>
      </c>
      <c r="H616" s="294">
        <f>IF(F616 = "NO CAPITAL", 1, VLOOKUP(D616,'Tariff Schedule Lookup Table'!I$7:L$298,4,FALSE))</f>
        <v>3</v>
      </c>
      <c r="I616" s="296">
        <f>VLOOKUP(G616,'Input data'!$A$68:$B$72,2,FALSE)</f>
        <v>9.8748837500000004</v>
      </c>
      <c r="J616" s="296">
        <f>VLOOKUP($B616,'Maintenance Costs'!$A:$AB,22,FALSE)</f>
        <v>26.264235842626629</v>
      </c>
      <c r="K616" s="296">
        <f>VLOOKUP($B616,'Maintenance Costs'!$A:$AB,28,FALSE)</f>
        <v>20.813388541395373</v>
      </c>
      <c r="L616" s="297">
        <f t="shared" si="50"/>
        <v>50.369252300688672</v>
      </c>
      <c r="M616">
        <v>80.83221067353773</v>
      </c>
      <c r="N616" s="30">
        <f t="shared" si="51"/>
        <v>-30.462958372849059</v>
      </c>
    </row>
    <row r="617" spans="1:14" x14ac:dyDescent="0.2">
      <c r="A617" s="299" t="s">
        <v>1140</v>
      </c>
      <c r="B617" s="298" t="str">
        <f t="shared" si="49"/>
        <v>HPS0110-ST</v>
      </c>
      <c r="C617" s="294" t="str">
        <f>VLOOKUP(LEFT(A617,7),'Tariff Schedule Lookup Table'!$A$8:$G$198,2,FALSE)</f>
        <v>High Pressure Sodium 250</v>
      </c>
      <c r="D617" s="295">
        <f t="shared" si="47"/>
        <v>590</v>
      </c>
      <c r="E617" s="294">
        <f t="shared" si="48"/>
        <v>5</v>
      </c>
      <c r="F617" s="294" t="str">
        <f>VLOOKUP(D617,'Tariff Schedule Lookup Table'!I$7:L$298,2,FALSE)</f>
        <v>HIGH PRESSURE SODIUM 250W (210/220)</v>
      </c>
      <c r="G617" s="294" t="str">
        <f>IF(F617 = "BULKHEADS ETC", "SHARED OR NO POLE", VLOOKUP(D617,'Tariff Schedule Lookup Table'!I$7:L$298,3,FALSE))</f>
        <v>R/BOUT COLUMN</v>
      </c>
      <c r="H617" s="294">
        <f>IF(F617 = "NO CAPITAL", 1, VLOOKUP(D617,'Tariff Schedule Lookup Table'!I$7:L$298,4,FALSE))</f>
        <v>4</v>
      </c>
      <c r="I617" s="296">
        <f>VLOOKUP(G617,'Input data'!$A$68:$B$72,2,FALSE)</f>
        <v>9.8748837500000004</v>
      </c>
      <c r="J617" s="296">
        <f>VLOOKUP($B617,'Maintenance Costs'!$A:$AB,22,FALSE)</f>
        <v>26.264235842626629</v>
      </c>
      <c r="K617" s="296">
        <f>VLOOKUP($B617,'Maintenance Costs'!$A:$AB,28,FALSE)</f>
        <v>20.813388541395373</v>
      </c>
      <c r="L617" s="297">
        <f t="shared" si="50"/>
        <v>49.546345321522004</v>
      </c>
      <c r="M617">
        <v>80.009303694371056</v>
      </c>
      <c r="N617" s="30">
        <f t="shared" si="51"/>
        <v>-30.462958372849052</v>
      </c>
    </row>
    <row r="618" spans="1:14" x14ac:dyDescent="0.2">
      <c r="A618" s="299" t="s">
        <v>1148</v>
      </c>
      <c r="B618" s="298" t="str">
        <f t="shared" si="49"/>
        <v>HPS0110-ST</v>
      </c>
      <c r="C618" s="294" t="str">
        <f>VLOOKUP(LEFT(A618,7),'Tariff Schedule Lookup Table'!$A$8:$G$198,2,FALSE)</f>
        <v>High Pressure Sodium 250</v>
      </c>
      <c r="D618" s="295">
        <f t="shared" si="47"/>
        <v>760</v>
      </c>
      <c r="E618" s="294">
        <f t="shared" si="48"/>
        <v>5</v>
      </c>
      <c r="F618" s="294" t="str">
        <f>VLOOKUP(D618,'Tariff Schedule Lookup Table'!I$7:L$298,2,FALSE)</f>
        <v>HIGH PRESSURE SODIUM 250W (210/220)</v>
      </c>
      <c r="G618" s="294" t="str">
        <f>IF(F618 = "BULKHEADS ETC", "SHARED OR NO POLE", VLOOKUP(D618,'Tariff Schedule Lookup Table'!I$7:L$298,3,FALSE))</f>
        <v>WOOD POLE</v>
      </c>
      <c r="H618" s="294">
        <f>IF(F618 = "NO CAPITAL", 1, VLOOKUP(D618,'Tariff Schedule Lookup Table'!I$7:L$298,4,FALSE))</f>
        <v>2</v>
      </c>
      <c r="I618" s="296">
        <f>VLOOKUP(G618,'Input data'!$A$68:$B$72,2,FALSE)</f>
        <v>10.809914000000001</v>
      </c>
      <c r="J618" s="296">
        <f>VLOOKUP($B618,'Maintenance Costs'!$A:$AB,22,FALSE)</f>
        <v>26.264235842626629</v>
      </c>
      <c r="K618" s="296">
        <f>VLOOKUP($B618,'Maintenance Costs'!$A:$AB,28,FALSE)</f>
        <v>20.813388541395373</v>
      </c>
      <c r="L618" s="297">
        <f t="shared" si="50"/>
        <v>52.482581384022005</v>
      </c>
      <c r="M618">
        <v>82.945539756871057</v>
      </c>
      <c r="N618" s="30">
        <f t="shared" si="51"/>
        <v>-30.462958372849052</v>
      </c>
    </row>
    <row r="619" spans="1:14" x14ac:dyDescent="0.2">
      <c r="A619" s="299" t="s">
        <v>1447</v>
      </c>
      <c r="B619" s="298" t="str">
        <f t="shared" si="49"/>
        <v>HPS0110-ST</v>
      </c>
      <c r="C619" s="294" t="str">
        <f>VLOOKUP(LEFT(A619,7),'Tariff Schedule Lookup Table'!$A$8:$G$198,2,FALSE)</f>
        <v>High Pressure Sodium 250</v>
      </c>
      <c r="D619" s="295">
        <f t="shared" si="47"/>
        <v>930</v>
      </c>
      <c r="E619" s="294">
        <f t="shared" si="48"/>
        <v>5</v>
      </c>
      <c r="F619" s="294" t="str">
        <f>VLOOKUP(D619,'Tariff Schedule Lookup Table'!I$7:L$298,2,FALSE)</f>
        <v>HIGH PRESSURE SODIUM 250W (210/220)</v>
      </c>
      <c r="G619" s="294" t="str">
        <f>IF(F619 = "BULKHEADS ETC", "SHARED OR NO POLE", VLOOKUP(D619,'Tariff Schedule Lookup Table'!I$7:L$298,3,FALSE))</f>
        <v>WOOD POLE</v>
      </c>
      <c r="H619" s="294">
        <f>IF(F619 = "NO CAPITAL", 1, VLOOKUP(D619,'Tariff Schedule Lookup Table'!I$7:L$298,4,FALSE))</f>
        <v>3</v>
      </c>
      <c r="I619" s="296">
        <f>VLOOKUP(G619,'Input data'!$A$68:$B$72,2,FALSE)</f>
        <v>10.809914000000001</v>
      </c>
      <c r="J619" s="296">
        <f>VLOOKUP($B619,'Maintenance Costs'!$A:$AB,22,FALSE)</f>
        <v>26.264235842626629</v>
      </c>
      <c r="K619" s="296">
        <f>VLOOKUP($B619,'Maintenance Costs'!$A:$AB,28,FALSE)</f>
        <v>20.813388541395373</v>
      </c>
      <c r="L619" s="297">
        <f t="shared" si="50"/>
        <v>50.680929050688668</v>
      </c>
      <c r="M619">
        <v>81.143887423537734</v>
      </c>
      <c r="N619" s="30">
        <f t="shared" si="51"/>
        <v>-30.462958372849066</v>
      </c>
    </row>
    <row r="620" spans="1:14" x14ac:dyDescent="0.2">
      <c r="A620" s="299" t="s">
        <v>1153</v>
      </c>
      <c r="B620" s="298" t="str">
        <f t="shared" si="49"/>
        <v>HPS0110-ST</v>
      </c>
      <c r="C620" s="294" t="str">
        <f>VLOOKUP(LEFT(A620,7),'Tariff Schedule Lookup Table'!$A$8:$G$198,2,FALSE)</f>
        <v>High Pressure Sodium 250</v>
      </c>
      <c r="D620" s="295">
        <f t="shared" si="47"/>
        <v>960</v>
      </c>
      <c r="E620" s="294">
        <f t="shared" si="48"/>
        <v>5</v>
      </c>
      <c r="F620" s="294" t="str">
        <f>VLOOKUP(D620,'Tariff Schedule Lookup Table'!I$7:L$298,2,FALSE)</f>
        <v>HIGH PRESSURE SODIUM 250W (210/220)</v>
      </c>
      <c r="G620" s="294" t="str">
        <f>IF(F620 = "BULKHEADS ETC", "SHARED OR NO POLE", VLOOKUP(D620,'Tariff Schedule Lookup Table'!I$7:L$298,3,FALSE))</f>
        <v>SHARED OR NO POLE</v>
      </c>
      <c r="H620" s="294">
        <f>IF(F620 = "NO CAPITAL", 1, VLOOKUP(D620,'Tariff Schedule Lookup Table'!I$7:L$298,4,FALSE))</f>
        <v>2</v>
      </c>
      <c r="I620" s="296">
        <f>VLOOKUP(G620,'Input data'!$A$68:$B$72,2,FALSE)</f>
        <v>0</v>
      </c>
      <c r="J620" s="296">
        <f>VLOOKUP($B620,'Maintenance Costs'!$A:$AB,22,FALSE)</f>
        <v>26.264235842626629</v>
      </c>
      <c r="K620" s="296">
        <f>VLOOKUP($B620,'Maintenance Costs'!$A:$AB,28,FALSE)</f>
        <v>20.813388541395373</v>
      </c>
      <c r="L620" s="297">
        <f t="shared" si="50"/>
        <v>47.077624384022002</v>
      </c>
      <c r="M620">
        <v>77.540582756871061</v>
      </c>
      <c r="N620" s="30">
        <f t="shared" si="51"/>
        <v>-30.462958372849059</v>
      </c>
    </row>
    <row r="621" spans="1:14" x14ac:dyDescent="0.2">
      <c r="A621" s="299" t="s">
        <v>1170</v>
      </c>
      <c r="B621" s="298" t="str">
        <f t="shared" si="49"/>
        <v>HPS0110-TA</v>
      </c>
      <c r="C621" s="294" t="str">
        <f>VLOOKUP(LEFT(A621,7),'Tariff Schedule Lookup Table'!$A$8:$G$198,2,FALSE)</f>
        <v>High Pressure Sodium 250</v>
      </c>
      <c r="D621" s="295">
        <f t="shared" si="47"/>
        <v>60</v>
      </c>
      <c r="E621" s="294">
        <f t="shared" si="48"/>
        <v>5</v>
      </c>
      <c r="F621" s="294" t="str">
        <f>VLOOKUP(D621,'Tariff Schedule Lookup Table'!I$7:L$298,2,FALSE)</f>
        <v>HIGH PRESSURE SODIUM 250W (210/220)</v>
      </c>
      <c r="G621" s="294" t="str">
        <f>IF(F621 = "BULKHEADS ETC", "SHARED OR NO POLE", VLOOKUP(D621,'Tariff Schedule Lookup Table'!I$7:L$298,3,FALSE))</f>
        <v>SHARED OR NO POLE</v>
      </c>
      <c r="H621" s="294">
        <f>IF(F621 = "NO CAPITAL", 1, VLOOKUP(D621,'Tariff Schedule Lookup Table'!I$7:L$298,4,FALSE))</f>
        <v>1</v>
      </c>
      <c r="I621" s="296">
        <f>VLOOKUP(G621,'Input data'!$A$68:$B$72,2,FALSE)</f>
        <v>0</v>
      </c>
      <c r="J621" s="296">
        <f>VLOOKUP($B621,'Maintenance Costs'!$A:$AB,22,FALSE)</f>
        <v>27.479100542626629</v>
      </c>
      <c r="K621" s="296">
        <f>VLOOKUP($B621,'Maintenance Costs'!$A:$AB,28,FALSE)</f>
        <v>27.438206041395375</v>
      </c>
      <c r="L621" s="297">
        <f t="shared" si="50"/>
        <v>54.917306584022</v>
      </c>
      <c r="M621">
        <v>76.886972271790043</v>
      </c>
      <c r="N621" s="30">
        <f t="shared" si="51"/>
        <v>-21.969665687768043</v>
      </c>
    </row>
    <row r="622" spans="1:14" x14ac:dyDescent="0.2">
      <c r="A622" s="299" t="s">
        <v>1174</v>
      </c>
      <c r="B622" s="298" t="str">
        <f t="shared" si="49"/>
        <v>HPS0110-TA</v>
      </c>
      <c r="C622" s="294" t="str">
        <f>VLOOKUP(LEFT(A622,7),'Tariff Schedule Lookup Table'!$A$8:$G$198,2,FALSE)</f>
        <v>High Pressure Sodium 250</v>
      </c>
      <c r="D622" s="295">
        <f t="shared" si="47"/>
        <v>230</v>
      </c>
      <c r="E622" s="294">
        <f t="shared" si="48"/>
        <v>5</v>
      </c>
      <c r="F622" s="294" t="str">
        <f>VLOOKUP(D622,'Tariff Schedule Lookup Table'!I$7:L$298,2,FALSE)</f>
        <v>HIGH PRESSURE SODIUM 250W (210/220)</v>
      </c>
      <c r="G622" s="294" t="str">
        <f>IF(F622 = "BULKHEADS ETC", "SHARED OR NO POLE", VLOOKUP(D622,'Tariff Schedule Lookup Table'!I$7:L$298,3,FALSE))</f>
        <v>WOOD POLE</v>
      </c>
      <c r="H622" s="294">
        <f>IF(F622 = "NO CAPITAL", 1, VLOOKUP(D622,'Tariff Schedule Lookup Table'!I$7:L$298,4,FALSE))</f>
        <v>1</v>
      </c>
      <c r="I622" s="296">
        <f>VLOOKUP(G622,'Input data'!$A$68:$B$72,2,FALSE)</f>
        <v>10.809914000000001</v>
      </c>
      <c r="J622" s="296">
        <f>VLOOKUP($B622,'Maintenance Costs'!$A:$AB,22,FALSE)</f>
        <v>27.479100542626629</v>
      </c>
      <c r="K622" s="296">
        <f>VLOOKUP($B622,'Maintenance Costs'!$A:$AB,28,FALSE)</f>
        <v>27.438206041395375</v>
      </c>
      <c r="L622" s="297">
        <f t="shared" si="50"/>
        <v>65.727220584022007</v>
      </c>
      <c r="M622">
        <v>87.696886271790049</v>
      </c>
      <c r="N622" s="30">
        <f t="shared" si="51"/>
        <v>-21.969665687768043</v>
      </c>
    </row>
    <row r="623" spans="1:14" x14ac:dyDescent="0.2">
      <c r="A623" s="299" t="s">
        <v>1178</v>
      </c>
      <c r="B623" s="298" t="str">
        <f t="shared" si="49"/>
        <v>HPS0110-TA</v>
      </c>
      <c r="C623" s="294" t="str">
        <f>VLOOKUP(LEFT(A623,7),'Tariff Schedule Lookup Table'!$A$8:$G$198,2,FALSE)</f>
        <v>High Pressure Sodium 250</v>
      </c>
      <c r="D623" s="295">
        <f t="shared" si="47"/>
        <v>320</v>
      </c>
      <c r="E623" s="294">
        <f t="shared" si="48"/>
        <v>5</v>
      </c>
      <c r="F623" s="294" t="str">
        <f>VLOOKUP(D623,'Tariff Schedule Lookup Table'!I$7:L$298,2,FALSE)</f>
        <v>HIGH PRESSURE SODIUM 250W (210/220)</v>
      </c>
      <c r="G623" s="294" t="str">
        <f>IF(F623 = "BULKHEADS ETC", "SHARED OR NO POLE", VLOOKUP(D623,'Tariff Schedule Lookup Table'!I$7:L$298,3,FALSE))</f>
        <v>STEEL POLE</v>
      </c>
      <c r="H623" s="294">
        <f>IF(F623 = "NO CAPITAL", 1, VLOOKUP(D623,'Tariff Schedule Lookup Table'!I$7:L$298,4,FALSE))</f>
        <v>1</v>
      </c>
      <c r="I623" s="296">
        <f>VLOOKUP(G623,'Input data'!$A$68:$B$72,2,FALSE)</f>
        <v>9.8748837500000004</v>
      </c>
      <c r="J623" s="296">
        <f>VLOOKUP($B623,'Maintenance Costs'!$A:$AB,22,FALSE)</f>
        <v>27.479100542626629</v>
      </c>
      <c r="K623" s="296">
        <f>VLOOKUP($B623,'Maintenance Costs'!$A:$AB,28,FALSE)</f>
        <v>27.438206041395375</v>
      </c>
      <c r="L623" s="297">
        <f t="shared" si="50"/>
        <v>64.792190334021996</v>
      </c>
      <c r="M623">
        <v>86.761856021790038</v>
      </c>
      <c r="N623" s="30">
        <f t="shared" si="51"/>
        <v>-21.969665687768043</v>
      </c>
    </row>
    <row r="624" spans="1:14" x14ac:dyDescent="0.2">
      <c r="A624" s="299" t="s">
        <v>1448</v>
      </c>
      <c r="B624" s="298" t="str">
        <f t="shared" si="49"/>
        <v>HPS0110-TA</v>
      </c>
      <c r="C624" s="294" t="str">
        <f>VLOOKUP(LEFT(A624,7),'Tariff Schedule Lookup Table'!$A$8:$G$198,2,FALSE)</f>
        <v>High Pressure Sodium 250</v>
      </c>
      <c r="D624" s="295">
        <f t="shared" si="47"/>
        <v>390</v>
      </c>
      <c r="E624" s="294">
        <f t="shared" si="48"/>
        <v>5</v>
      </c>
      <c r="F624" s="294" t="str">
        <f>VLOOKUP(D624,'Tariff Schedule Lookup Table'!I$7:L$298,2,FALSE)</f>
        <v>HIGH PRESSURE SODIUM 250W (210/220)</v>
      </c>
      <c r="G624" s="294" t="str">
        <f>IF(F624 = "BULKHEADS ETC", "SHARED OR NO POLE", VLOOKUP(D624,'Tariff Schedule Lookup Table'!I$7:L$298,3,FALSE))</f>
        <v>STEEL POLE</v>
      </c>
      <c r="H624" s="294">
        <f>IF(F624 = "NO CAPITAL", 1, VLOOKUP(D624,'Tariff Schedule Lookup Table'!I$7:L$298,4,FALSE))</f>
        <v>2</v>
      </c>
      <c r="I624" s="296">
        <f>VLOOKUP(G624,'Input data'!$A$68:$B$72,2,FALSE)</f>
        <v>9.8748837500000004</v>
      </c>
      <c r="J624" s="296">
        <f>VLOOKUP($B624,'Maintenance Costs'!$A:$AB,22,FALSE)</f>
        <v>27.479100542626629</v>
      </c>
      <c r="K624" s="296">
        <f>VLOOKUP($B624,'Maintenance Costs'!$A:$AB,28,FALSE)</f>
        <v>27.438206041395375</v>
      </c>
      <c r="L624" s="297">
        <f t="shared" si="50"/>
        <v>59.854748459021998</v>
      </c>
      <c r="M624">
        <v>81.824414146790048</v>
      </c>
      <c r="N624" s="30">
        <f t="shared" si="51"/>
        <v>-21.96966568776805</v>
      </c>
    </row>
    <row r="625" spans="1:14" x14ac:dyDescent="0.2">
      <c r="A625" s="299" t="s">
        <v>1182</v>
      </c>
      <c r="B625" s="298" t="str">
        <f t="shared" si="49"/>
        <v>HPS0110-TA</v>
      </c>
      <c r="C625" s="294" t="str">
        <f>VLOOKUP(LEFT(A625,7),'Tariff Schedule Lookup Table'!$A$8:$G$198,2,FALSE)</f>
        <v>High Pressure Sodium 250</v>
      </c>
      <c r="D625" s="295">
        <f t="shared" si="47"/>
        <v>590</v>
      </c>
      <c r="E625" s="294">
        <f t="shared" si="48"/>
        <v>5</v>
      </c>
      <c r="F625" s="294" t="str">
        <f>VLOOKUP(D625,'Tariff Schedule Lookup Table'!I$7:L$298,2,FALSE)</f>
        <v>HIGH PRESSURE SODIUM 250W (210/220)</v>
      </c>
      <c r="G625" s="294" t="str">
        <f>IF(F625 = "BULKHEADS ETC", "SHARED OR NO POLE", VLOOKUP(D625,'Tariff Schedule Lookup Table'!I$7:L$298,3,FALSE))</f>
        <v>R/BOUT COLUMN</v>
      </c>
      <c r="H625" s="294">
        <f>IF(F625 = "NO CAPITAL", 1, VLOOKUP(D625,'Tariff Schedule Lookup Table'!I$7:L$298,4,FALSE))</f>
        <v>4</v>
      </c>
      <c r="I625" s="296">
        <f>VLOOKUP(G625,'Input data'!$A$68:$B$72,2,FALSE)</f>
        <v>9.8748837500000004</v>
      </c>
      <c r="J625" s="296">
        <f>VLOOKUP($B625,'Maintenance Costs'!$A:$AB,22,FALSE)</f>
        <v>27.479100542626629</v>
      </c>
      <c r="K625" s="296">
        <f>VLOOKUP($B625,'Maintenance Costs'!$A:$AB,28,FALSE)</f>
        <v>27.438206041395375</v>
      </c>
      <c r="L625" s="297">
        <f t="shared" si="50"/>
        <v>57.386027521522003</v>
      </c>
      <c r="M625">
        <v>79.355693209290038</v>
      </c>
      <c r="N625" s="30">
        <f t="shared" si="51"/>
        <v>-21.969665687768035</v>
      </c>
    </row>
    <row r="626" spans="1:14" x14ac:dyDescent="0.2">
      <c r="A626" s="299" t="s">
        <v>1184</v>
      </c>
      <c r="B626" s="298" t="str">
        <f t="shared" si="49"/>
        <v>HPS0110-TA</v>
      </c>
      <c r="C626" s="294" t="str">
        <f>VLOOKUP(LEFT(A626,7),'Tariff Schedule Lookup Table'!$A$8:$G$198,2,FALSE)</f>
        <v>High Pressure Sodium 250</v>
      </c>
      <c r="D626" s="295">
        <f t="shared" si="47"/>
        <v>960</v>
      </c>
      <c r="E626" s="294">
        <f t="shared" si="48"/>
        <v>5</v>
      </c>
      <c r="F626" s="294" t="str">
        <f>VLOOKUP(D626,'Tariff Schedule Lookup Table'!I$7:L$298,2,FALSE)</f>
        <v>HIGH PRESSURE SODIUM 250W (210/220)</v>
      </c>
      <c r="G626" s="294" t="str">
        <f>IF(F626 = "BULKHEADS ETC", "SHARED OR NO POLE", VLOOKUP(D626,'Tariff Schedule Lookup Table'!I$7:L$298,3,FALSE))</f>
        <v>SHARED OR NO POLE</v>
      </c>
      <c r="H626" s="294">
        <f>IF(F626 = "NO CAPITAL", 1, VLOOKUP(D626,'Tariff Schedule Lookup Table'!I$7:L$298,4,FALSE))</f>
        <v>2</v>
      </c>
      <c r="I626" s="296">
        <f>VLOOKUP(G626,'Input data'!$A$68:$B$72,2,FALSE)</f>
        <v>0</v>
      </c>
      <c r="J626" s="296">
        <f>VLOOKUP($B626,'Maintenance Costs'!$A:$AB,22,FALSE)</f>
        <v>27.479100542626629</v>
      </c>
      <c r="K626" s="296">
        <f>VLOOKUP($B626,'Maintenance Costs'!$A:$AB,28,FALSE)</f>
        <v>27.438206041395375</v>
      </c>
      <c r="L626" s="297">
        <f t="shared" si="50"/>
        <v>54.917306584022</v>
      </c>
      <c r="M626">
        <v>76.886972271790043</v>
      </c>
      <c r="N626" s="30">
        <f t="shared" si="51"/>
        <v>-21.969665687768043</v>
      </c>
    </row>
    <row r="627" spans="1:14" ht="22.5" x14ac:dyDescent="0.2">
      <c r="A627" s="299" t="s">
        <v>1449</v>
      </c>
      <c r="B627" s="298" t="str">
        <f t="shared" si="49"/>
        <v>HPS0140-ST</v>
      </c>
      <c r="C627" s="294" t="str">
        <f>VLOOKUP(LEFT(A627,7),'Tariff Schedule Lookup Table'!$A$8:$G$198,2,FALSE)</f>
        <v>High Pressure Sodium 310 (Retrofit)</v>
      </c>
      <c r="D627" s="295">
        <f t="shared" si="47"/>
        <v>70</v>
      </c>
      <c r="E627" s="294">
        <f t="shared" si="48"/>
        <v>5</v>
      </c>
      <c r="F627" s="294" t="str">
        <f>VLOOKUP(D627,'Tariff Schedule Lookup Table'!I$7:L$298,2,FALSE)</f>
        <v>HIGH PRESSURE SODIUM 400W (310/360)</v>
      </c>
      <c r="G627" s="294" t="str">
        <f>IF(F627 = "BULKHEADS ETC", "SHARED OR NO POLE", VLOOKUP(D627,'Tariff Schedule Lookup Table'!I$7:L$298,3,FALSE))</f>
        <v>SHARED OR NO POLE</v>
      </c>
      <c r="H627" s="294">
        <f>IF(F627 = "NO CAPITAL", 1, VLOOKUP(D627,'Tariff Schedule Lookup Table'!I$7:L$298,4,FALSE))</f>
        <v>1</v>
      </c>
      <c r="I627" s="296">
        <f>VLOOKUP(G627,'Input data'!$A$68:$B$72,2,FALSE)</f>
        <v>0</v>
      </c>
      <c r="J627" s="296">
        <f>VLOOKUP($B627,'Maintenance Costs'!$A:$AB,22,FALSE)</f>
        <v>26.264235842626629</v>
      </c>
      <c r="K627" s="296">
        <f>VLOOKUP($B627,'Maintenance Costs'!$A:$AB,28,FALSE)</f>
        <v>20.813388541395373</v>
      </c>
      <c r="L627" s="297">
        <f t="shared" si="50"/>
        <v>47.077624384022002</v>
      </c>
      <c r="M627">
        <v>77.505486271894981</v>
      </c>
      <c r="N627" s="30">
        <f t="shared" si="51"/>
        <v>-30.427861887872979</v>
      </c>
    </row>
    <row r="628" spans="1:14" ht="22.5" x14ac:dyDescent="0.2">
      <c r="A628" s="299" t="s">
        <v>1450</v>
      </c>
      <c r="B628" s="298" t="str">
        <f t="shared" si="49"/>
        <v>HPS0140-ST</v>
      </c>
      <c r="C628" s="294" t="str">
        <f>VLOOKUP(LEFT(A628,7),'Tariff Schedule Lookup Table'!$A$8:$G$198,2,FALSE)</f>
        <v>High Pressure Sodium 310 (Retrofit)</v>
      </c>
      <c r="D628" s="295">
        <f t="shared" si="47"/>
        <v>330</v>
      </c>
      <c r="E628" s="294">
        <f t="shared" si="48"/>
        <v>5</v>
      </c>
      <c r="F628" s="294" t="str">
        <f>VLOOKUP(D628,'Tariff Schedule Lookup Table'!I$7:L$298,2,FALSE)</f>
        <v>HIGH PRESSURE SODIUM 400W (310/360)</v>
      </c>
      <c r="G628" s="294" t="str">
        <f>IF(F628 = "BULKHEADS ETC", "SHARED OR NO POLE", VLOOKUP(D628,'Tariff Schedule Lookup Table'!I$7:L$298,3,FALSE))</f>
        <v>STEEL POLE</v>
      </c>
      <c r="H628" s="294">
        <f>IF(F628 = "NO CAPITAL", 1, VLOOKUP(D628,'Tariff Schedule Lookup Table'!I$7:L$298,4,FALSE))</f>
        <v>1</v>
      </c>
      <c r="I628" s="296">
        <f>VLOOKUP(G628,'Input data'!$A$68:$B$72,2,FALSE)</f>
        <v>9.8748837500000004</v>
      </c>
      <c r="J628" s="296">
        <f>VLOOKUP($B628,'Maintenance Costs'!$A:$AB,22,FALSE)</f>
        <v>26.264235842626629</v>
      </c>
      <c r="K628" s="296">
        <f>VLOOKUP($B628,'Maintenance Costs'!$A:$AB,28,FALSE)</f>
        <v>20.813388541395373</v>
      </c>
      <c r="L628" s="297">
        <f t="shared" si="50"/>
        <v>56.952508134022004</v>
      </c>
      <c r="M628">
        <v>87.380370021894976</v>
      </c>
      <c r="N628" s="30">
        <f t="shared" si="51"/>
        <v>-30.427861887872972</v>
      </c>
    </row>
    <row r="629" spans="1:14" ht="22.5" x14ac:dyDescent="0.2">
      <c r="A629" s="299" t="s">
        <v>1451</v>
      </c>
      <c r="B629" s="298" t="str">
        <f t="shared" si="49"/>
        <v>HPS0140-ST</v>
      </c>
      <c r="C629" s="294" t="str">
        <f>VLOOKUP(LEFT(A629,7),'Tariff Schedule Lookup Table'!$A$8:$G$198,2,FALSE)</f>
        <v>High Pressure Sodium 310 (Retrofit)</v>
      </c>
      <c r="D629" s="295">
        <f t="shared" si="47"/>
        <v>400</v>
      </c>
      <c r="E629" s="294">
        <f t="shared" si="48"/>
        <v>5</v>
      </c>
      <c r="F629" s="294" t="str">
        <f>VLOOKUP(D629,'Tariff Schedule Lookup Table'!I$7:L$298,2,FALSE)</f>
        <v>HIGH PRESSURE SODIUM 400W (310/360)</v>
      </c>
      <c r="G629" s="294" t="str">
        <f>IF(F629 = "BULKHEADS ETC", "SHARED OR NO POLE", VLOOKUP(D629,'Tariff Schedule Lookup Table'!I$7:L$298,3,FALSE))</f>
        <v>STEEL POLE</v>
      </c>
      <c r="H629" s="294">
        <f>IF(F629 = "NO CAPITAL", 1, VLOOKUP(D629,'Tariff Schedule Lookup Table'!I$7:L$298,4,FALSE))</f>
        <v>2</v>
      </c>
      <c r="I629" s="296">
        <f>VLOOKUP(G629,'Input data'!$A$68:$B$72,2,FALSE)</f>
        <v>9.8748837500000004</v>
      </c>
      <c r="J629" s="296">
        <f>VLOOKUP($B629,'Maintenance Costs'!$A:$AB,22,FALSE)</f>
        <v>26.264235842626629</v>
      </c>
      <c r="K629" s="296">
        <f>VLOOKUP($B629,'Maintenance Costs'!$A:$AB,28,FALSE)</f>
        <v>20.813388541395373</v>
      </c>
      <c r="L629" s="297">
        <f t="shared" si="50"/>
        <v>52.015066259021999</v>
      </c>
      <c r="M629">
        <v>82.442928146894985</v>
      </c>
      <c r="N629" s="30">
        <f t="shared" si="51"/>
        <v>-30.427861887872986</v>
      </c>
    </row>
    <row r="630" spans="1:14" ht="22.5" x14ac:dyDescent="0.2">
      <c r="A630" s="299" t="s">
        <v>1452</v>
      </c>
      <c r="B630" s="298" t="str">
        <f t="shared" si="49"/>
        <v>HPS0140-ST</v>
      </c>
      <c r="C630" s="294" t="str">
        <f>VLOOKUP(LEFT(A630,7),'Tariff Schedule Lookup Table'!$A$8:$G$198,2,FALSE)</f>
        <v>High Pressure Sodium 310 (Retrofit)</v>
      </c>
      <c r="D630" s="295">
        <f t="shared" si="47"/>
        <v>1030</v>
      </c>
      <c r="E630" s="294">
        <f t="shared" si="48"/>
        <v>5</v>
      </c>
      <c r="F630" s="294" t="str">
        <f>VLOOKUP(D630,'Tariff Schedule Lookup Table'!I$7:L$298,2,FALSE)</f>
        <v>HIGH PRESSURE SODIUM 400W (310/360)</v>
      </c>
      <c r="G630" s="294" t="str">
        <f>IF(F630 = "BULKHEADS ETC", "SHARED OR NO POLE", VLOOKUP(D630,'Tariff Schedule Lookup Table'!I$7:L$298,3,FALSE))</f>
        <v>SHARED OR NO POLE</v>
      </c>
      <c r="H630" s="294">
        <f>IF(F630 = "NO CAPITAL", 1, VLOOKUP(D630,'Tariff Schedule Lookup Table'!I$7:L$298,4,FALSE))</f>
        <v>2</v>
      </c>
      <c r="I630" s="296">
        <f>VLOOKUP(G630,'Input data'!$A$68:$B$72,2,FALSE)</f>
        <v>0</v>
      </c>
      <c r="J630" s="296">
        <f>VLOOKUP($B630,'Maintenance Costs'!$A:$AB,22,FALSE)</f>
        <v>26.264235842626629</v>
      </c>
      <c r="K630" s="296">
        <f>VLOOKUP($B630,'Maintenance Costs'!$A:$AB,28,FALSE)</f>
        <v>20.813388541395373</v>
      </c>
      <c r="L630" s="297">
        <f t="shared" si="50"/>
        <v>47.077624384022002</v>
      </c>
      <c r="M630">
        <v>77.505486271894981</v>
      </c>
      <c r="N630" s="30">
        <f t="shared" si="51"/>
        <v>-30.427861887872979</v>
      </c>
    </row>
    <row r="631" spans="1:14" x14ac:dyDescent="0.2">
      <c r="A631" s="299" t="s">
        <v>1453</v>
      </c>
      <c r="B631" s="298" t="str">
        <f t="shared" si="49"/>
        <v>HPS0160-ST</v>
      </c>
      <c r="C631" s="294" t="str">
        <f>VLOOKUP(LEFT(A631,7),'Tariff Schedule Lookup Table'!$A$8:$G$198,2,FALSE)</f>
        <v>High Pressure Sodium 360</v>
      </c>
      <c r="D631" s="295">
        <f t="shared" si="47"/>
        <v>70</v>
      </c>
      <c r="E631" s="294">
        <f t="shared" si="48"/>
        <v>5</v>
      </c>
      <c r="F631" s="294" t="str">
        <f>VLOOKUP(D631,'Tariff Schedule Lookup Table'!I$7:L$298,2,FALSE)</f>
        <v>HIGH PRESSURE SODIUM 400W (310/360)</v>
      </c>
      <c r="G631" s="294" t="str">
        <f>IF(F631 = "BULKHEADS ETC", "SHARED OR NO POLE", VLOOKUP(D631,'Tariff Schedule Lookup Table'!I$7:L$298,3,FALSE))</f>
        <v>SHARED OR NO POLE</v>
      </c>
      <c r="H631" s="294">
        <f>IF(F631 = "NO CAPITAL", 1, VLOOKUP(D631,'Tariff Schedule Lookup Table'!I$7:L$298,4,FALSE))</f>
        <v>1</v>
      </c>
      <c r="I631" s="296">
        <f>VLOOKUP(G631,'Input data'!$A$68:$B$72,2,FALSE)</f>
        <v>0</v>
      </c>
      <c r="J631" s="296">
        <f>VLOOKUP($B631,'Maintenance Costs'!$A:$AB,22,FALSE)</f>
        <v>26.666216346086181</v>
      </c>
      <c r="K631" s="296">
        <f>VLOOKUP($B631,'Maintenance Costs'!$A:$AB,28,FALSE)</f>
        <v>22.799484541395373</v>
      </c>
      <c r="L631" s="297">
        <f t="shared" si="50"/>
        <v>49.465700887481553</v>
      </c>
      <c r="M631">
        <v>81.000524735731858</v>
      </c>
      <c r="N631" s="30">
        <f t="shared" si="51"/>
        <v>-31.534823848250305</v>
      </c>
    </row>
    <row r="632" spans="1:14" x14ac:dyDescent="0.2">
      <c r="A632" s="299" t="s">
        <v>1454</v>
      </c>
      <c r="B632" s="298" t="str">
        <f t="shared" si="49"/>
        <v>HPS0160-ST</v>
      </c>
      <c r="C632" s="294" t="str">
        <f>VLOOKUP(LEFT(A632,7),'Tariff Schedule Lookup Table'!$A$8:$G$198,2,FALSE)</f>
        <v>High Pressure Sodium 360</v>
      </c>
      <c r="D632" s="295">
        <f t="shared" si="47"/>
        <v>240</v>
      </c>
      <c r="E632" s="294">
        <f t="shared" si="48"/>
        <v>5</v>
      </c>
      <c r="F632" s="294" t="str">
        <f>VLOOKUP(D632,'Tariff Schedule Lookup Table'!I$7:L$298,2,FALSE)</f>
        <v>HIGH PRESSURE SODIUM 400W (310/360)</v>
      </c>
      <c r="G632" s="294" t="str">
        <f>IF(F632 = "BULKHEADS ETC", "SHARED OR NO POLE", VLOOKUP(D632,'Tariff Schedule Lookup Table'!I$7:L$298,3,FALSE))</f>
        <v>WOOD POLE</v>
      </c>
      <c r="H632" s="294">
        <f>IF(F632 = "NO CAPITAL", 1, VLOOKUP(D632,'Tariff Schedule Lookup Table'!I$7:L$298,4,FALSE))</f>
        <v>1</v>
      </c>
      <c r="I632" s="296">
        <f>VLOOKUP(G632,'Input data'!$A$68:$B$72,2,FALSE)</f>
        <v>10.809914000000001</v>
      </c>
      <c r="J632" s="296">
        <f>VLOOKUP($B632,'Maintenance Costs'!$A:$AB,22,FALSE)</f>
        <v>26.666216346086181</v>
      </c>
      <c r="K632" s="296">
        <f>VLOOKUP($B632,'Maintenance Costs'!$A:$AB,28,FALSE)</f>
        <v>22.799484541395373</v>
      </c>
      <c r="L632" s="297">
        <f t="shared" si="50"/>
        <v>60.275614887481552</v>
      </c>
      <c r="M632">
        <v>91.810438735731864</v>
      </c>
      <c r="N632" s="30">
        <f t="shared" si="51"/>
        <v>-31.534823848250312</v>
      </c>
    </row>
    <row r="633" spans="1:14" x14ac:dyDescent="0.2">
      <c r="A633" s="299" t="s">
        <v>1455</v>
      </c>
      <c r="B633" s="298" t="str">
        <f t="shared" si="49"/>
        <v>HPS0160-ST</v>
      </c>
      <c r="C633" s="294" t="str">
        <f>VLOOKUP(LEFT(A633,7),'Tariff Schedule Lookup Table'!$A$8:$G$198,2,FALSE)</f>
        <v>High Pressure Sodium 360</v>
      </c>
      <c r="D633" s="295">
        <f t="shared" si="47"/>
        <v>330</v>
      </c>
      <c r="E633" s="294">
        <f t="shared" si="48"/>
        <v>5</v>
      </c>
      <c r="F633" s="294" t="str">
        <f>VLOOKUP(D633,'Tariff Schedule Lookup Table'!I$7:L$298,2,FALSE)</f>
        <v>HIGH PRESSURE SODIUM 400W (310/360)</v>
      </c>
      <c r="G633" s="294" t="str">
        <f>IF(F633 = "BULKHEADS ETC", "SHARED OR NO POLE", VLOOKUP(D633,'Tariff Schedule Lookup Table'!I$7:L$298,3,FALSE))</f>
        <v>STEEL POLE</v>
      </c>
      <c r="H633" s="294">
        <f>IF(F633 = "NO CAPITAL", 1, VLOOKUP(D633,'Tariff Schedule Lookup Table'!I$7:L$298,4,FALSE))</f>
        <v>1</v>
      </c>
      <c r="I633" s="296">
        <f>VLOOKUP(G633,'Input data'!$A$68:$B$72,2,FALSE)</f>
        <v>9.8748837500000004</v>
      </c>
      <c r="J633" s="296">
        <f>VLOOKUP($B633,'Maintenance Costs'!$A:$AB,22,FALSE)</f>
        <v>26.666216346086181</v>
      </c>
      <c r="K633" s="296">
        <f>VLOOKUP($B633,'Maintenance Costs'!$A:$AB,28,FALSE)</f>
        <v>22.799484541395373</v>
      </c>
      <c r="L633" s="297">
        <f t="shared" si="50"/>
        <v>59.340584637481555</v>
      </c>
      <c r="M633">
        <v>90.875408485731853</v>
      </c>
      <c r="N633" s="30">
        <f t="shared" si="51"/>
        <v>-31.534823848250298</v>
      </c>
    </row>
    <row r="634" spans="1:14" x14ac:dyDescent="0.2">
      <c r="A634" s="299" t="s">
        <v>1456</v>
      </c>
      <c r="B634" s="298" t="str">
        <f t="shared" si="49"/>
        <v>HPS0160-ST</v>
      </c>
      <c r="C634" s="294" t="str">
        <f>VLOOKUP(LEFT(A634,7),'Tariff Schedule Lookup Table'!$A$8:$G$198,2,FALSE)</f>
        <v>High Pressure Sodium 360</v>
      </c>
      <c r="D634" s="295">
        <f t="shared" si="47"/>
        <v>770</v>
      </c>
      <c r="E634" s="294">
        <f t="shared" si="48"/>
        <v>5</v>
      </c>
      <c r="F634" s="294" t="str">
        <f>VLOOKUP(D634,'Tariff Schedule Lookup Table'!I$7:L$298,2,FALSE)</f>
        <v>HIGH PRESSURE SODIUM 400W (310/360)</v>
      </c>
      <c r="G634" s="294" t="str">
        <f>IF(F634 = "BULKHEADS ETC", "SHARED OR NO POLE", VLOOKUP(D634,'Tariff Schedule Lookup Table'!I$7:L$298,3,FALSE))</f>
        <v>WOOD POLE</v>
      </c>
      <c r="H634" s="294">
        <f>IF(F634 = "NO CAPITAL", 1, VLOOKUP(D634,'Tariff Schedule Lookup Table'!I$7:L$298,4,FALSE))</f>
        <v>2</v>
      </c>
      <c r="I634" s="296">
        <f>VLOOKUP(G634,'Input data'!$A$68:$B$72,2,FALSE)</f>
        <v>10.809914000000001</v>
      </c>
      <c r="J634" s="296">
        <f>VLOOKUP($B634,'Maintenance Costs'!$A:$AB,22,FALSE)</f>
        <v>26.666216346086181</v>
      </c>
      <c r="K634" s="296">
        <f>VLOOKUP($B634,'Maintenance Costs'!$A:$AB,28,FALSE)</f>
        <v>22.799484541395373</v>
      </c>
      <c r="L634" s="297">
        <f t="shared" si="50"/>
        <v>54.870657887481556</v>
      </c>
      <c r="M634">
        <v>86.405481735731854</v>
      </c>
      <c r="N634" s="30">
        <f t="shared" si="51"/>
        <v>-31.534823848250298</v>
      </c>
    </row>
    <row r="635" spans="1:14" x14ac:dyDescent="0.2">
      <c r="A635" s="299" t="s">
        <v>1212</v>
      </c>
      <c r="B635" s="298" t="str">
        <f t="shared" si="49"/>
        <v>HPS0170-ST</v>
      </c>
      <c r="C635" s="294" t="str">
        <f>VLOOKUP(LEFT(A635,7),'Tariff Schedule Lookup Table'!$A$8:$G$198,2,FALSE)</f>
        <v>High Pressure Sodium 400</v>
      </c>
      <c r="D635" s="295">
        <f t="shared" si="47"/>
        <v>70</v>
      </c>
      <c r="E635" s="294">
        <f t="shared" si="48"/>
        <v>5</v>
      </c>
      <c r="F635" s="294" t="str">
        <f>VLOOKUP(D635,'Tariff Schedule Lookup Table'!I$7:L$298,2,FALSE)</f>
        <v>HIGH PRESSURE SODIUM 400W (310/360)</v>
      </c>
      <c r="G635" s="294" t="str">
        <f>IF(F635 = "BULKHEADS ETC", "SHARED OR NO POLE", VLOOKUP(D635,'Tariff Schedule Lookup Table'!I$7:L$298,3,FALSE))</f>
        <v>SHARED OR NO POLE</v>
      </c>
      <c r="H635" s="294">
        <f>IF(F635 = "NO CAPITAL", 1, VLOOKUP(D635,'Tariff Schedule Lookup Table'!I$7:L$298,4,FALSE))</f>
        <v>1</v>
      </c>
      <c r="I635" s="296">
        <f>VLOOKUP(G635,'Input data'!$A$68:$B$72,2,FALSE)</f>
        <v>0</v>
      </c>
      <c r="J635" s="296">
        <f>VLOOKUP($B635,'Maintenance Costs'!$A:$AB,22,FALSE)</f>
        <v>26.828017090382705</v>
      </c>
      <c r="K635" s="296">
        <f>VLOOKUP($B635,'Maintenance Costs'!$A:$AB,28,FALSE)</f>
        <v>22.799484541395373</v>
      </c>
      <c r="L635" s="297">
        <f t="shared" si="50"/>
        <v>49.627501631778074</v>
      </c>
      <c r="M635">
        <v>81.212770437278934</v>
      </c>
      <c r="N635" s="30">
        <f t="shared" si="51"/>
        <v>-31.58526880550086</v>
      </c>
    </row>
    <row r="636" spans="1:14" x14ac:dyDescent="0.2">
      <c r="A636" s="299" t="s">
        <v>1216</v>
      </c>
      <c r="B636" s="298" t="str">
        <f t="shared" si="49"/>
        <v>HPS0170-ST</v>
      </c>
      <c r="C636" s="294" t="str">
        <f>VLOOKUP(LEFT(A636,7),'Tariff Schedule Lookup Table'!$A$8:$G$198,2,FALSE)</f>
        <v>High Pressure Sodium 400</v>
      </c>
      <c r="D636" s="295">
        <f t="shared" si="47"/>
        <v>240</v>
      </c>
      <c r="E636" s="294">
        <f t="shared" si="48"/>
        <v>5</v>
      </c>
      <c r="F636" s="294" t="str">
        <f>VLOOKUP(D636,'Tariff Schedule Lookup Table'!I$7:L$298,2,FALSE)</f>
        <v>HIGH PRESSURE SODIUM 400W (310/360)</v>
      </c>
      <c r="G636" s="294" t="str">
        <f>IF(F636 = "BULKHEADS ETC", "SHARED OR NO POLE", VLOOKUP(D636,'Tariff Schedule Lookup Table'!I$7:L$298,3,FALSE))</f>
        <v>WOOD POLE</v>
      </c>
      <c r="H636" s="294">
        <f>IF(F636 = "NO CAPITAL", 1, VLOOKUP(D636,'Tariff Schedule Lookup Table'!I$7:L$298,4,FALSE))</f>
        <v>1</v>
      </c>
      <c r="I636" s="296">
        <f>VLOOKUP(G636,'Input data'!$A$68:$B$72,2,FALSE)</f>
        <v>10.809914000000001</v>
      </c>
      <c r="J636" s="296">
        <f>VLOOKUP($B636,'Maintenance Costs'!$A:$AB,22,FALSE)</f>
        <v>26.828017090382705</v>
      </c>
      <c r="K636" s="296">
        <f>VLOOKUP($B636,'Maintenance Costs'!$A:$AB,28,FALSE)</f>
        <v>22.799484541395373</v>
      </c>
      <c r="L636" s="297">
        <f t="shared" si="50"/>
        <v>60.437415631778073</v>
      </c>
      <c r="M636">
        <v>92.02268443727894</v>
      </c>
      <c r="N636" s="30">
        <f t="shared" si="51"/>
        <v>-31.585268805500867</v>
      </c>
    </row>
    <row r="637" spans="1:14" x14ac:dyDescent="0.2">
      <c r="A637" s="299" t="s">
        <v>1221</v>
      </c>
      <c r="B637" s="298" t="str">
        <f t="shared" si="49"/>
        <v>HPS0170-ST</v>
      </c>
      <c r="C637" s="294" t="str">
        <f>VLOOKUP(LEFT(A637,7),'Tariff Schedule Lookup Table'!$A$8:$G$198,2,FALSE)</f>
        <v>High Pressure Sodium 400</v>
      </c>
      <c r="D637" s="295">
        <f t="shared" si="47"/>
        <v>330</v>
      </c>
      <c r="E637" s="294">
        <f t="shared" si="48"/>
        <v>5</v>
      </c>
      <c r="F637" s="294" t="str">
        <f>VLOOKUP(D637,'Tariff Schedule Lookup Table'!I$7:L$298,2,FALSE)</f>
        <v>HIGH PRESSURE SODIUM 400W (310/360)</v>
      </c>
      <c r="G637" s="294" t="str">
        <f>IF(F637 = "BULKHEADS ETC", "SHARED OR NO POLE", VLOOKUP(D637,'Tariff Schedule Lookup Table'!I$7:L$298,3,FALSE))</f>
        <v>STEEL POLE</v>
      </c>
      <c r="H637" s="294">
        <f>IF(F637 = "NO CAPITAL", 1, VLOOKUP(D637,'Tariff Schedule Lookup Table'!I$7:L$298,4,FALSE))</f>
        <v>1</v>
      </c>
      <c r="I637" s="296">
        <f>VLOOKUP(G637,'Input data'!$A$68:$B$72,2,FALSE)</f>
        <v>9.8748837500000004</v>
      </c>
      <c r="J637" s="296">
        <f>VLOOKUP($B637,'Maintenance Costs'!$A:$AB,22,FALSE)</f>
        <v>26.828017090382705</v>
      </c>
      <c r="K637" s="296">
        <f>VLOOKUP($B637,'Maintenance Costs'!$A:$AB,28,FALSE)</f>
        <v>22.799484541395373</v>
      </c>
      <c r="L637" s="297">
        <f t="shared" si="50"/>
        <v>59.502385381778076</v>
      </c>
      <c r="M637">
        <v>91.087654187278929</v>
      </c>
      <c r="N637" s="30">
        <f t="shared" si="51"/>
        <v>-31.585268805500853</v>
      </c>
    </row>
    <row r="638" spans="1:14" x14ac:dyDescent="0.2">
      <c r="A638" s="299" t="s">
        <v>1224</v>
      </c>
      <c r="B638" s="298" t="str">
        <f t="shared" si="49"/>
        <v>HPS0170-ST</v>
      </c>
      <c r="C638" s="294" t="str">
        <f>VLOOKUP(LEFT(A638,7),'Tariff Schedule Lookup Table'!$A$8:$G$198,2,FALSE)</f>
        <v>High Pressure Sodium 400</v>
      </c>
      <c r="D638" s="295">
        <f t="shared" si="47"/>
        <v>400</v>
      </c>
      <c r="E638" s="294">
        <f t="shared" si="48"/>
        <v>5</v>
      </c>
      <c r="F638" s="294" t="str">
        <f>VLOOKUP(D638,'Tariff Schedule Lookup Table'!I$7:L$298,2,FALSE)</f>
        <v>HIGH PRESSURE SODIUM 400W (310/360)</v>
      </c>
      <c r="G638" s="294" t="str">
        <f>IF(F638 = "BULKHEADS ETC", "SHARED OR NO POLE", VLOOKUP(D638,'Tariff Schedule Lookup Table'!I$7:L$298,3,FALSE))</f>
        <v>STEEL POLE</v>
      </c>
      <c r="H638" s="294">
        <f>IF(F638 = "NO CAPITAL", 1, VLOOKUP(D638,'Tariff Schedule Lookup Table'!I$7:L$298,4,FALSE))</f>
        <v>2</v>
      </c>
      <c r="I638" s="296">
        <f>VLOOKUP(G638,'Input data'!$A$68:$B$72,2,FALSE)</f>
        <v>9.8748837500000004</v>
      </c>
      <c r="J638" s="296">
        <f>VLOOKUP($B638,'Maintenance Costs'!$A:$AB,22,FALSE)</f>
        <v>26.828017090382705</v>
      </c>
      <c r="K638" s="296">
        <f>VLOOKUP($B638,'Maintenance Costs'!$A:$AB,28,FALSE)</f>
        <v>22.799484541395373</v>
      </c>
      <c r="L638" s="297">
        <f t="shared" si="50"/>
        <v>54.564943506778071</v>
      </c>
      <c r="M638">
        <v>86.150212312278938</v>
      </c>
      <c r="N638" s="30">
        <f t="shared" si="51"/>
        <v>-31.585268805500867</v>
      </c>
    </row>
    <row r="639" spans="1:14" x14ac:dyDescent="0.2">
      <c r="A639" s="299" t="s">
        <v>1457</v>
      </c>
      <c r="B639" s="298" t="str">
        <f t="shared" si="49"/>
        <v>HPS0170-ST</v>
      </c>
      <c r="C639" s="294" t="str">
        <f>VLOOKUP(LEFT(A639,7),'Tariff Schedule Lookup Table'!$A$8:$G$198,2,FALSE)</f>
        <v>High Pressure Sodium 400</v>
      </c>
      <c r="D639" s="295">
        <f t="shared" si="47"/>
        <v>600</v>
      </c>
      <c r="E639" s="294">
        <f t="shared" si="48"/>
        <v>5</v>
      </c>
      <c r="F639" s="294" t="str">
        <f>VLOOKUP(D639,'Tariff Schedule Lookup Table'!I$7:L$298,2,FALSE)</f>
        <v>HIGH PRESSURE SODIUM 400W (310/360)</v>
      </c>
      <c r="G639" s="294" t="str">
        <f>IF(F639 = "BULKHEADS ETC", "SHARED OR NO POLE", VLOOKUP(D639,'Tariff Schedule Lookup Table'!I$7:L$298,3,FALSE))</f>
        <v>R/BOUT COLUMN</v>
      </c>
      <c r="H639" s="294">
        <f>IF(F639 = "NO CAPITAL", 1, VLOOKUP(D639,'Tariff Schedule Lookup Table'!I$7:L$298,4,FALSE))</f>
        <v>4</v>
      </c>
      <c r="I639" s="296">
        <f>VLOOKUP(G639,'Input data'!$A$68:$B$72,2,FALSE)</f>
        <v>9.8748837500000004</v>
      </c>
      <c r="J639" s="296">
        <f>VLOOKUP($B639,'Maintenance Costs'!$A:$AB,22,FALSE)</f>
        <v>26.828017090382705</v>
      </c>
      <c r="K639" s="296">
        <f>VLOOKUP($B639,'Maintenance Costs'!$A:$AB,28,FALSE)</f>
        <v>22.799484541395373</v>
      </c>
      <c r="L639" s="297">
        <f t="shared" si="50"/>
        <v>52.096222569278076</v>
      </c>
      <c r="M639">
        <v>83.681491374778929</v>
      </c>
      <c r="N639" s="30">
        <f t="shared" si="51"/>
        <v>-31.585268805500853</v>
      </c>
    </row>
    <row r="640" spans="1:14" x14ac:dyDescent="0.2">
      <c r="A640" s="299" t="s">
        <v>1458</v>
      </c>
      <c r="B640" s="298" t="str">
        <f t="shared" si="49"/>
        <v>HPS0170-ST</v>
      </c>
      <c r="C640" s="294" t="str">
        <f>VLOOKUP(LEFT(A640,7),'Tariff Schedule Lookup Table'!$A$8:$G$198,2,FALSE)</f>
        <v>High Pressure Sodium 400</v>
      </c>
      <c r="D640" s="295">
        <f t="shared" si="47"/>
        <v>770</v>
      </c>
      <c r="E640" s="294">
        <f t="shared" si="48"/>
        <v>5</v>
      </c>
      <c r="F640" s="294" t="str">
        <f>VLOOKUP(D640,'Tariff Schedule Lookup Table'!I$7:L$298,2,FALSE)</f>
        <v>HIGH PRESSURE SODIUM 400W (310/360)</v>
      </c>
      <c r="G640" s="294" t="str">
        <f>IF(F640 = "BULKHEADS ETC", "SHARED OR NO POLE", VLOOKUP(D640,'Tariff Schedule Lookup Table'!I$7:L$298,3,FALSE))</f>
        <v>WOOD POLE</v>
      </c>
      <c r="H640" s="294">
        <f>IF(F640 = "NO CAPITAL", 1, VLOOKUP(D640,'Tariff Schedule Lookup Table'!I$7:L$298,4,FALSE))</f>
        <v>2</v>
      </c>
      <c r="I640" s="296">
        <f>VLOOKUP(G640,'Input data'!$A$68:$B$72,2,FALSE)</f>
        <v>10.809914000000001</v>
      </c>
      <c r="J640" s="296">
        <f>VLOOKUP($B640,'Maintenance Costs'!$A:$AB,22,FALSE)</f>
        <v>26.828017090382705</v>
      </c>
      <c r="K640" s="296">
        <f>VLOOKUP($B640,'Maintenance Costs'!$A:$AB,28,FALSE)</f>
        <v>22.799484541395373</v>
      </c>
      <c r="L640" s="297">
        <f t="shared" si="50"/>
        <v>55.032458631778077</v>
      </c>
      <c r="M640">
        <v>86.61772743727893</v>
      </c>
      <c r="N640" s="30">
        <f t="shared" si="51"/>
        <v>-31.585268805500853</v>
      </c>
    </row>
    <row r="641" spans="1:14" x14ac:dyDescent="0.2">
      <c r="A641" s="299" t="s">
        <v>1240</v>
      </c>
      <c r="B641" s="298" t="str">
        <f t="shared" si="49"/>
        <v>HPS0170-ST</v>
      </c>
      <c r="C641" s="294" t="str">
        <f>VLOOKUP(LEFT(A641,7),'Tariff Schedule Lookup Table'!$A$8:$G$198,2,FALSE)</f>
        <v>High Pressure Sodium 400</v>
      </c>
      <c r="D641" s="295">
        <f t="shared" si="47"/>
        <v>1030</v>
      </c>
      <c r="E641" s="294">
        <f t="shared" si="48"/>
        <v>5</v>
      </c>
      <c r="F641" s="294" t="str">
        <f>VLOOKUP(D641,'Tariff Schedule Lookup Table'!I$7:L$298,2,FALSE)</f>
        <v>HIGH PRESSURE SODIUM 400W (310/360)</v>
      </c>
      <c r="G641" s="294" t="str">
        <f>IF(F641 = "BULKHEADS ETC", "SHARED OR NO POLE", VLOOKUP(D641,'Tariff Schedule Lookup Table'!I$7:L$298,3,FALSE))</f>
        <v>SHARED OR NO POLE</v>
      </c>
      <c r="H641" s="294">
        <f>IF(F641 = "NO CAPITAL", 1, VLOOKUP(D641,'Tariff Schedule Lookup Table'!I$7:L$298,4,FALSE))</f>
        <v>2</v>
      </c>
      <c r="I641" s="296">
        <f>VLOOKUP(G641,'Input data'!$A$68:$B$72,2,FALSE)</f>
        <v>0</v>
      </c>
      <c r="J641" s="296">
        <f>VLOOKUP($B641,'Maintenance Costs'!$A:$AB,22,FALSE)</f>
        <v>26.828017090382705</v>
      </c>
      <c r="K641" s="296">
        <f>VLOOKUP($B641,'Maintenance Costs'!$A:$AB,28,FALSE)</f>
        <v>22.799484541395373</v>
      </c>
      <c r="L641" s="297">
        <f t="shared" si="50"/>
        <v>49.627501631778074</v>
      </c>
      <c r="M641">
        <v>81.212770437278934</v>
      </c>
      <c r="N641" s="30">
        <f t="shared" si="51"/>
        <v>-31.58526880550086</v>
      </c>
    </row>
    <row r="642" spans="1:14" x14ac:dyDescent="0.2">
      <c r="A642" s="299" t="s">
        <v>1251</v>
      </c>
      <c r="B642" s="298" t="str">
        <f t="shared" si="49"/>
        <v>HPS0170-TA</v>
      </c>
      <c r="C642" s="294" t="str">
        <f>VLOOKUP(LEFT(A642,7),'Tariff Schedule Lookup Table'!$A$8:$G$198,2,FALSE)</f>
        <v>High Pressure Sodium 400</v>
      </c>
      <c r="D642" s="295">
        <f t="shared" si="47"/>
        <v>70</v>
      </c>
      <c r="E642" s="294">
        <f t="shared" si="48"/>
        <v>5</v>
      </c>
      <c r="F642" s="294" t="str">
        <f>VLOOKUP(D642,'Tariff Schedule Lookup Table'!I$7:L$298,2,FALSE)</f>
        <v>HIGH PRESSURE SODIUM 400W (310/360)</v>
      </c>
      <c r="G642" s="294" t="str">
        <f>IF(F642 = "BULKHEADS ETC", "SHARED OR NO POLE", VLOOKUP(D642,'Tariff Schedule Lookup Table'!I$7:L$298,3,FALSE))</f>
        <v>SHARED OR NO POLE</v>
      </c>
      <c r="H642" s="294">
        <f>IF(F642 = "NO CAPITAL", 1, VLOOKUP(D642,'Tariff Schedule Lookup Table'!I$7:L$298,4,FALSE))</f>
        <v>1</v>
      </c>
      <c r="I642" s="296">
        <f>VLOOKUP(G642,'Input data'!$A$68:$B$72,2,FALSE)</f>
        <v>0</v>
      </c>
      <c r="J642" s="296">
        <f>VLOOKUP($B642,'Maintenance Costs'!$A:$AB,22,FALSE)</f>
        <v>28.620242222626629</v>
      </c>
      <c r="K642" s="296">
        <f>VLOOKUP($B642,'Maintenance Costs'!$A:$AB,28,FALSE)</f>
        <v>32.05803804139537</v>
      </c>
      <c r="L642" s="297">
        <f t="shared" si="50"/>
        <v>60.678280264022</v>
      </c>
      <c r="M642">
        <v>84.701403707790035</v>
      </c>
      <c r="N642" s="30">
        <f t="shared" si="51"/>
        <v>-24.023123443768036</v>
      </c>
    </row>
    <row r="643" spans="1:14" x14ac:dyDescent="0.2">
      <c r="A643" s="299" t="s">
        <v>1459</v>
      </c>
      <c r="B643" s="298" t="str">
        <f t="shared" si="49"/>
        <v>HPS0170-TA</v>
      </c>
      <c r="C643" s="294" t="str">
        <f>VLOOKUP(LEFT(A643,7),'Tariff Schedule Lookup Table'!$A$8:$G$198,2,FALSE)</f>
        <v>High Pressure Sodium 400</v>
      </c>
      <c r="D643" s="295">
        <f t="shared" si="47"/>
        <v>240</v>
      </c>
      <c r="E643" s="294">
        <f t="shared" si="48"/>
        <v>5</v>
      </c>
      <c r="F643" s="294" t="str">
        <f>VLOOKUP(D643,'Tariff Schedule Lookup Table'!I$7:L$298,2,FALSE)</f>
        <v>HIGH PRESSURE SODIUM 400W (310/360)</v>
      </c>
      <c r="G643" s="294" t="str">
        <f>IF(F643 = "BULKHEADS ETC", "SHARED OR NO POLE", VLOOKUP(D643,'Tariff Schedule Lookup Table'!I$7:L$298,3,FALSE))</f>
        <v>WOOD POLE</v>
      </c>
      <c r="H643" s="294">
        <f>IF(F643 = "NO CAPITAL", 1, VLOOKUP(D643,'Tariff Schedule Lookup Table'!I$7:L$298,4,FALSE))</f>
        <v>1</v>
      </c>
      <c r="I643" s="296">
        <f>VLOOKUP(G643,'Input data'!$A$68:$B$72,2,FALSE)</f>
        <v>10.809914000000001</v>
      </c>
      <c r="J643" s="296">
        <f>VLOOKUP($B643,'Maintenance Costs'!$A:$AB,22,FALSE)</f>
        <v>28.620242222626629</v>
      </c>
      <c r="K643" s="296">
        <f>VLOOKUP($B643,'Maintenance Costs'!$A:$AB,28,FALSE)</f>
        <v>32.05803804139537</v>
      </c>
      <c r="L643" s="297">
        <f t="shared" si="50"/>
        <v>71.488194264021999</v>
      </c>
      <c r="M643">
        <v>95.511317707790042</v>
      </c>
      <c r="N643" s="30">
        <f t="shared" si="51"/>
        <v>-24.023123443768043</v>
      </c>
    </row>
    <row r="644" spans="1:14" x14ac:dyDescent="0.2">
      <c r="A644" s="299" t="s">
        <v>1460</v>
      </c>
      <c r="B644" s="298" t="str">
        <f t="shared" si="49"/>
        <v>HPS0170-TA</v>
      </c>
      <c r="C644" s="294" t="str">
        <f>VLOOKUP(LEFT(A644,7),'Tariff Schedule Lookup Table'!$A$8:$G$198,2,FALSE)</f>
        <v>High Pressure Sodium 400</v>
      </c>
      <c r="D644" s="295">
        <f t="shared" si="47"/>
        <v>330</v>
      </c>
      <c r="E644" s="294">
        <f t="shared" si="48"/>
        <v>5</v>
      </c>
      <c r="F644" s="294" t="str">
        <f>VLOOKUP(D644,'Tariff Schedule Lookup Table'!I$7:L$298,2,FALSE)</f>
        <v>HIGH PRESSURE SODIUM 400W (310/360)</v>
      </c>
      <c r="G644" s="294" t="str">
        <f>IF(F644 = "BULKHEADS ETC", "SHARED OR NO POLE", VLOOKUP(D644,'Tariff Schedule Lookup Table'!I$7:L$298,3,FALSE))</f>
        <v>STEEL POLE</v>
      </c>
      <c r="H644" s="294">
        <f>IF(F644 = "NO CAPITAL", 1, VLOOKUP(D644,'Tariff Schedule Lookup Table'!I$7:L$298,4,FALSE))</f>
        <v>1</v>
      </c>
      <c r="I644" s="296">
        <f>VLOOKUP(G644,'Input data'!$A$68:$B$72,2,FALSE)</f>
        <v>9.8748837500000004</v>
      </c>
      <c r="J644" s="296">
        <f>VLOOKUP($B644,'Maintenance Costs'!$A:$AB,22,FALSE)</f>
        <v>28.620242222626629</v>
      </c>
      <c r="K644" s="296">
        <f>VLOOKUP($B644,'Maintenance Costs'!$A:$AB,28,FALSE)</f>
        <v>32.05803804139537</v>
      </c>
      <c r="L644" s="297">
        <f t="shared" si="50"/>
        <v>70.553164014022002</v>
      </c>
      <c r="M644">
        <v>94.576287457790031</v>
      </c>
      <c r="N644" s="30">
        <f t="shared" si="51"/>
        <v>-24.023123443768029</v>
      </c>
    </row>
    <row r="645" spans="1:14" x14ac:dyDescent="0.2">
      <c r="A645" s="299" t="s">
        <v>1461</v>
      </c>
      <c r="B645" s="298" t="str">
        <f t="shared" si="49"/>
        <v>HPS0170-TA</v>
      </c>
      <c r="C645" s="294" t="str">
        <f>VLOOKUP(LEFT(A645,7),'Tariff Schedule Lookup Table'!$A$8:$G$198,2,FALSE)</f>
        <v>High Pressure Sodium 400</v>
      </c>
      <c r="D645" s="295">
        <f t="shared" si="47"/>
        <v>400</v>
      </c>
      <c r="E645" s="294">
        <f t="shared" si="48"/>
        <v>5</v>
      </c>
      <c r="F645" s="294" t="str">
        <f>VLOOKUP(D645,'Tariff Schedule Lookup Table'!I$7:L$298,2,FALSE)</f>
        <v>HIGH PRESSURE SODIUM 400W (310/360)</v>
      </c>
      <c r="G645" s="294" t="str">
        <f>IF(F645 = "BULKHEADS ETC", "SHARED OR NO POLE", VLOOKUP(D645,'Tariff Schedule Lookup Table'!I$7:L$298,3,FALSE))</f>
        <v>STEEL POLE</v>
      </c>
      <c r="H645" s="294">
        <f>IF(F645 = "NO CAPITAL", 1, VLOOKUP(D645,'Tariff Schedule Lookup Table'!I$7:L$298,4,FALSE))</f>
        <v>2</v>
      </c>
      <c r="I645" s="296">
        <f>VLOOKUP(G645,'Input data'!$A$68:$B$72,2,FALSE)</f>
        <v>9.8748837500000004</v>
      </c>
      <c r="J645" s="296">
        <f>VLOOKUP($B645,'Maintenance Costs'!$A:$AB,22,FALSE)</f>
        <v>28.620242222626629</v>
      </c>
      <c r="K645" s="296">
        <f>VLOOKUP($B645,'Maintenance Costs'!$A:$AB,28,FALSE)</f>
        <v>32.05803804139537</v>
      </c>
      <c r="L645" s="297">
        <f t="shared" si="50"/>
        <v>65.615722139021997</v>
      </c>
      <c r="M645">
        <v>89.63884558279004</v>
      </c>
      <c r="N645" s="30">
        <f t="shared" si="51"/>
        <v>-24.023123443768043</v>
      </c>
    </row>
    <row r="646" spans="1:14" x14ac:dyDescent="0.2">
      <c r="A646" s="299" t="s">
        <v>1462</v>
      </c>
      <c r="B646" s="298" t="str">
        <f t="shared" si="49"/>
        <v>HPS0170-TA</v>
      </c>
      <c r="C646" s="294" t="str">
        <f>VLOOKUP(LEFT(A646,7),'Tariff Schedule Lookup Table'!$A$8:$G$198,2,FALSE)</f>
        <v>High Pressure Sodium 400</v>
      </c>
      <c r="D646" s="295">
        <f t="shared" si="47"/>
        <v>600</v>
      </c>
      <c r="E646" s="294">
        <f t="shared" si="48"/>
        <v>5</v>
      </c>
      <c r="F646" s="294" t="str">
        <f>VLOOKUP(D646,'Tariff Schedule Lookup Table'!I$7:L$298,2,FALSE)</f>
        <v>HIGH PRESSURE SODIUM 400W (310/360)</v>
      </c>
      <c r="G646" s="294" t="str">
        <f>IF(F646 = "BULKHEADS ETC", "SHARED OR NO POLE", VLOOKUP(D646,'Tariff Schedule Lookup Table'!I$7:L$298,3,FALSE))</f>
        <v>R/BOUT COLUMN</v>
      </c>
      <c r="H646" s="294">
        <f>IF(F646 = "NO CAPITAL", 1, VLOOKUP(D646,'Tariff Schedule Lookup Table'!I$7:L$298,4,FALSE))</f>
        <v>4</v>
      </c>
      <c r="I646" s="296">
        <f>VLOOKUP(G646,'Input data'!$A$68:$B$72,2,FALSE)</f>
        <v>9.8748837500000004</v>
      </c>
      <c r="J646" s="296">
        <f>VLOOKUP($B646,'Maintenance Costs'!$A:$AB,22,FALSE)</f>
        <v>28.620242222626629</v>
      </c>
      <c r="K646" s="296">
        <f>VLOOKUP($B646,'Maintenance Costs'!$A:$AB,28,FALSE)</f>
        <v>32.05803804139537</v>
      </c>
      <c r="L646" s="297">
        <f t="shared" si="50"/>
        <v>63.147001201522002</v>
      </c>
      <c r="M646">
        <v>87.170124645290031</v>
      </c>
      <c r="N646" s="30">
        <f t="shared" si="51"/>
        <v>-24.023123443768029</v>
      </c>
    </row>
    <row r="647" spans="1:14" x14ac:dyDescent="0.2">
      <c r="A647" s="299" t="s">
        <v>1463</v>
      </c>
      <c r="B647" s="298" t="str">
        <f t="shared" si="49"/>
        <v>LPS0030-ST</v>
      </c>
      <c r="C647" s="294" t="str">
        <f>VLOOKUP(LEFT(A647,7),'Tariff Schedule Lookup Table'!$A$8:$G$198,2,FALSE)</f>
        <v>Low Pressure Sodium 55</v>
      </c>
      <c r="D647" s="295">
        <f t="shared" si="47"/>
        <v>40</v>
      </c>
      <c r="E647" s="294">
        <f t="shared" si="48"/>
        <v>5</v>
      </c>
      <c r="F647" s="294" t="str">
        <f>VLOOKUP(D647,'Tariff Schedule Lookup Table'!I$7:L$298,2,FALSE)</f>
        <v>HIGH PRESSURE SODIUM 70W (100)</v>
      </c>
      <c r="G647" s="294" t="str">
        <f>IF(F647 = "BULKHEADS ETC", "SHARED OR NO POLE", VLOOKUP(D647,'Tariff Schedule Lookup Table'!I$7:L$298,3,FALSE))</f>
        <v>SHARED OR NO POLE</v>
      </c>
      <c r="H647" s="294">
        <f>IF(F647 = "NO CAPITAL", 1, VLOOKUP(D647,'Tariff Schedule Lookup Table'!I$7:L$298,4,FALSE))</f>
        <v>1</v>
      </c>
      <c r="I647" s="296">
        <f>VLOOKUP(G647,'Input data'!$A$68:$B$72,2,FALSE)</f>
        <v>0</v>
      </c>
      <c r="J647" s="296">
        <f>VLOOKUP($B647,'Maintenance Costs'!$A:$AB,22,FALSE)</f>
        <v>18.455476319515515</v>
      </c>
      <c r="K647" s="296">
        <f>VLOOKUP($B647,'Maintenance Costs'!$A:$AB,28,FALSE)</f>
        <v>24.124448041395375</v>
      </c>
      <c r="L647" s="297">
        <f t="shared" si="50"/>
        <v>42.579924360910894</v>
      </c>
      <c r="M647">
        <v>65.631765076013707</v>
      </c>
      <c r="N647" s="30">
        <f t="shared" si="51"/>
        <v>-23.051840715102813</v>
      </c>
    </row>
    <row r="648" spans="1:14" x14ac:dyDescent="0.2">
      <c r="A648" s="299" t="s">
        <v>1464</v>
      </c>
      <c r="B648" s="298" t="str">
        <f t="shared" si="49"/>
        <v>LPS0030-ST</v>
      </c>
      <c r="C648" s="294" t="str">
        <f>VLOOKUP(LEFT(A648,7),'Tariff Schedule Lookup Table'!$A$8:$G$198,2,FALSE)</f>
        <v>Low Pressure Sodium 55</v>
      </c>
      <c r="D648" s="295">
        <f t="shared" ref="D648:D689" si="52">1*MID(A648,12,4)</f>
        <v>350</v>
      </c>
      <c r="E648" s="294">
        <f t="shared" ref="E648:E689" si="53">1*(MID(A648,17,3))</f>
        <v>5</v>
      </c>
      <c r="F648" s="294" t="str">
        <f>VLOOKUP(D648,'Tariff Schedule Lookup Table'!I$7:L$298,2,FALSE)</f>
        <v>HIGH PRESSURE SODIUM 70W (100)</v>
      </c>
      <c r="G648" s="294" t="str">
        <f>IF(F648 = "BULKHEADS ETC", "SHARED OR NO POLE", VLOOKUP(D648,'Tariff Schedule Lookup Table'!I$7:L$298,3,FALSE))</f>
        <v>WOOD POLE</v>
      </c>
      <c r="H648" s="294">
        <f>IF(F648 = "NO CAPITAL", 1, VLOOKUP(D648,'Tariff Schedule Lookup Table'!I$7:L$298,4,FALSE))</f>
        <v>1</v>
      </c>
      <c r="I648" s="296">
        <f>VLOOKUP(G648,'Input data'!$A$68:$B$72,2,FALSE)</f>
        <v>10.809914000000001</v>
      </c>
      <c r="J648" s="296">
        <f>VLOOKUP($B648,'Maintenance Costs'!$A:$AB,22,FALSE)</f>
        <v>18.455476319515515</v>
      </c>
      <c r="K648" s="296">
        <f>VLOOKUP($B648,'Maintenance Costs'!$A:$AB,28,FALSE)</f>
        <v>24.124448041395375</v>
      </c>
      <c r="L648" s="297">
        <f t="shared" si="50"/>
        <v>53.389838360910893</v>
      </c>
      <c r="M648">
        <v>76.441679076013713</v>
      </c>
      <c r="N648" s="30">
        <f t="shared" si="51"/>
        <v>-23.05184071510282</v>
      </c>
    </row>
    <row r="649" spans="1:14" x14ac:dyDescent="0.2">
      <c r="A649" s="299" t="s">
        <v>1465</v>
      </c>
      <c r="B649" s="298" t="str">
        <f t="shared" si="49"/>
        <v>LPS0030-ST</v>
      </c>
      <c r="C649" s="294" t="str">
        <f>VLOOKUP(LEFT(A649,7),'Tariff Schedule Lookup Table'!$A$8:$G$198,2,FALSE)</f>
        <v>Low Pressure Sodium 55</v>
      </c>
      <c r="D649" s="295">
        <f t="shared" si="52"/>
        <v>360</v>
      </c>
      <c r="E649" s="294">
        <f t="shared" si="53"/>
        <v>5</v>
      </c>
      <c r="F649" s="294" t="str">
        <f>VLOOKUP(D649,'Tariff Schedule Lookup Table'!I$7:L$298,2,FALSE)</f>
        <v>HIGH PRESSURE SODIUM 70W (100)</v>
      </c>
      <c r="G649" s="294" t="str">
        <f>IF(F649 = "BULKHEADS ETC", "SHARED OR NO POLE", VLOOKUP(D649,'Tariff Schedule Lookup Table'!I$7:L$298,3,FALSE))</f>
        <v>STEEL POLE</v>
      </c>
      <c r="H649" s="294">
        <f>IF(F649 = "NO CAPITAL", 1, VLOOKUP(D649,'Tariff Schedule Lookup Table'!I$7:L$298,4,FALSE))</f>
        <v>1</v>
      </c>
      <c r="I649" s="296">
        <f>VLOOKUP(G649,'Input data'!$A$68:$B$72,2,FALSE)</f>
        <v>9.8748837500000004</v>
      </c>
      <c r="J649" s="296">
        <f>VLOOKUP($B649,'Maintenance Costs'!$A:$AB,22,FALSE)</f>
        <v>18.455476319515515</v>
      </c>
      <c r="K649" s="296">
        <f>VLOOKUP($B649,'Maintenance Costs'!$A:$AB,28,FALSE)</f>
        <v>24.124448041395375</v>
      </c>
      <c r="L649" s="297">
        <f t="shared" si="50"/>
        <v>52.454808110910896</v>
      </c>
      <c r="M649">
        <v>75.506648826013702</v>
      </c>
      <c r="N649" s="30">
        <f t="shared" si="51"/>
        <v>-23.051840715102806</v>
      </c>
    </row>
    <row r="650" spans="1:14" x14ac:dyDescent="0.2">
      <c r="A650" s="299" t="s">
        <v>1466</v>
      </c>
      <c r="B650" s="298" t="str">
        <f t="shared" ref="B650:B689" si="54">LEFT(A650,10)</f>
        <v>LPS0030-ST</v>
      </c>
      <c r="C650" s="294" t="str">
        <f>VLOOKUP(LEFT(A650,7),'Tariff Schedule Lookup Table'!$A$8:$G$198,2,FALSE)</f>
        <v>Low Pressure Sodium 55</v>
      </c>
      <c r="D650" s="295">
        <f t="shared" si="52"/>
        <v>890</v>
      </c>
      <c r="E650" s="294">
        <f t="shared" si="53"/>
        <v>5</v>
      </c>
      <c r="F650" s="294" t="str">
        <f>VLOOKUP(D650,'Tariff Schedule Lookup Table'!I$7:L$298,2,FALSE)</f>
        <v>HIGH PRESSURE SODIUM 70W (100)</v>
      </c>
      <c r="G650" s="294" t="str">
        <f>IF(F650 = "BULKHEADS ETC", "SHARED OR NO POLE", VLOOKUP(D650,'Tariff Schedule Lookup Table'!I$7:L$298,3,FALSE))</f>
        <v>SHARED OR NO POLE</v>
      </c>
      <c r="H650" s="294">
        <f>IF(F650 = "NO CAPITAL", 1, VLOOKUP(D650,'Tariff Schedule Lookup Table'!I$7:L$298,4,FALSE))</f>
        <v>2</v>
      </c>
      <c r="I650" s="296">
        <f>VLOOKUP(G650,'Input data'!$A$68:$B$72,2,FALSE)</f>
        <v>0</v>
      </c>
      <c r="J650" s="296">
        <f>VLOOKUP($B650,'Maintenance Costs'!$A:$AB,22,FALSE)</f>
        <v>18.455476319515515</v>
      </c>
      <c r="K650" s="296">
        <f>VLOOKUP($B650,'Maintenance Costs'!$A:$AB,28,FALSE)</f>
        <v>24.124448041395375</v>
      </c>
      <c r="L650" s="297">
        <f t="shared" ref="L650:L689" si="55">K650+J650+I650/H650</f>
        <v>42.579924360910894</v>
      </c>
      <c r="M650">
        <v>65.631765076013707</v>
      </c>
      <c r="N650" s="30">
        <f t="shared" si="51"/>
        <v>-23.051840715102813</v>
      </c>
    </row>
    <row r="651" spans="1:14" x14ac:dyDescent="0.2">
      <c r="A651" s="299" t="s">
        <v>1467</v>
      </c>
      <c r="B651" s="298" t="str">
        <f t="shared" si="54"/>
        <v>LPS0040-ST</v>
      </c>
      <c r="C651" s="294" t="str">
        <f>VLOOKUP(LEFT(A651,7),'Tariff Schedule Lookup Table'!$A$8:$G$198,2,FALSE)</f>
        <v>Low Pressure Sodium 90/100</v>
      </c>
      <c r="D651" s="295">
        <f t="shared" si="52"/>
        <v>50</v>
      </c>
      <c r="E651" s="294">
        <f t="shared" si="53"/>
        <v>5</v>
      </c>
      <c r="F651" s="294" t="str">
        <f>VLOOKUP(D651,'Tariff Schedule Lookup Table'!I$7:L$298,2,FALSE)</f>
        <v>HIGH PRESSURE SODIUM 150W</v>
      </c>
      <c r="G651" s="294" t="str">
        <f>IF(F651 = "BULKHEADS ETC", "SHARED OR NO POLE", VLOOKUP(D651,'Tariff Schedule Lookup Table'!I$7:L$298,3,FALSE))</f>
        <v>SHARED OR NO POLE</v>
      </c>
      <c r="H651" s="294">
        <f>IF(F651 = "NO CAPITAL", 1, VLOOKUP(D651,'Tariff Schedule Lookup Table'!I$7:L$298,4,FALSE))</f>
        <v>1</v>
      </c>
      <c r="I651" s="296">
        <f>VLOOKUP(G651,'Input data'!$A$68:$B$72,2,FALSE)</f>
        <v>0</v>
      </c>
      <c r="J651" s="296">
        <f>VLOOKUP($B651,'Maintenance Costs'!$A:$AB,22,FALSE)</f>
        <v>18.724246919515515</v>
      </c>
      <c r="K651" s="296">
        <f>VLOOKUP($B651,'Maintenance Costs'!$A:$AB,28,FALSE)</f>
        <v>25.136385541395374</v>
      </c>
      <c r="L651" s="297">
        <f t="shared" si="55"/>
        <v>43.860632460910892</v>
      </c>
      <c r="M651">
        <v>67.463010352013697</v>
      </c>
      <c r="N651" s="30">
        <f t="shared" ref="N651:N689" si="56">L651-M651</f>
        <v>-23.602377891102805</v>
      </c>
    </row>
    <row r="652" spans="1:14" x14ac:dyDescent="0.2">
      <c r="A652" s="299" t="s">
        <v>1468</v>
      </c>
      <c r="B652" s="298" t="str">
        <f t="shared" si="54"/>
        <v>LPS0040-ST</v>
      </c>
      <c r="C652" s="294" t="str">
        <f>VLOOKUP(LEFT(A652,7),'Tariff Schedule Lookup Table'!$A$8:$G$198,2,FALSE)</f>
        <v>Low Pressure Sodium 90/100</v>
      </c>
      <c r="D652" s="295">
        <f t="shared" si="52"/>
        <v>220</v>
      </c>
      <c r="E652" s="294">
        <f t="shared" si="53"/>
        <v>5</v>
      </c>
      <c r="F652" s="294" t="str">
        <f>VLOOKUP(D652,'Tariff Schedule Lookup Table'!I$7:L$298,2,FALSE)</f>
        <v>HIGH PRESSURE SODIUM 150W</v>
      </c>
      <c r="G652" s="294" t="str">
        <f>IF(F652 = "BULKHEADS ETC", "SHARED OR NO POLE", VLOOKUP(D652,'Tariff Schedule Lookup Table'!I$7:L$298,3,FALSE))</f>
        <v>WOOD POLE</v>
      </c>
      <c r="H652" s="294">
        <f>IF(F652 = "NO CAPITAL", 1, VLOOKUP(D652,'Tariff Schedule Lookup Table'!I$7:L$298,4,FALSE))</f>
        <v>1</v>
      </c>
      <c r="I652" s="296">
        <f>VLOOKUP(G652,'Input data'!$A$68:$B$72,2,FALSE)</f>
        <v>10.809914000000001</v>
      </c>
      <c r="J652" s="296">
        <f>VLOOKUP($B652,'Maintenance Costs'!$A:$AB,22,FALSE)</f>
        <v>18.724246919515515</v>
      </c>
      <c r="K652" s="296">
        <f>VLOOKUP($B652,'Maintenance Costs'!$A:$AB,28,FALSE)</f>
        <v>25.136385541395374</v>
      </c>
      <c r="L652" s="297">
        <f t="shared" si="55"/>
        <v>54.670546460910892</v>
      </c>
      <c r="M652">
        <v>78.272924352013703</v>
      </c>
      <c r="N652" s="30">
        <f t="shared" si="56"/>
        <v>-23.602377891102812</v>
      </c>
    </row>
    <row r="653" spans="1:14" x14ac:dyDescent="0.2">
      <c r="A653" s="299" t="s">
        <v>1469</v>
      </c>
      <c r="B653" s="298" t="str">
        <f t="shared" si="54"/>
        <v>LPS0040-ST</v>
      </c>
      <c r="C653" s="294" t="str">
        <f>VLOOKUP(LEFT(A653,7),'Tariff Schedule Lookup Table'!$A$8:$G$198,2,FALSE)</f>
        <v>Low Pressure Sodium 90/100</v>
      </c>
      <c r="D653" s="295">
        <f t="shared" si="52"/>
        <v>310</v>
      </c>
      <c r="E653" s="294">
        <f t="shared" si="53"/>
        <v>5</v>
      </c>
      <c r="F653" s="294" t="str">
        <f>VLOOKUP(D653,'Tariff Schedule Lookup Table'!I$7:L$298,2,FALSE)</f>
        <v>HIGH PRESSURE SODIUM 150W</v>
      </c>
      <c r="G653" s="294" t="str">
        <f>IF(F653 = "BULKHEADS ETC", "SHARED OR NO POLE", VLOOKUP(D653,'Tariff Schedule Lookup Table'!I$7:L$298,3,FALSE))</f>
        <v>STEEL POLE</v>
      </c>
      <c r="H653" s="294">
        <f>IF(F653 = "NO CAPITAL", 1, VLOOKUP(D653,'Tariff Schedule Lookup Table'!I$7:L$298,4,FALSE))</f>
        <v>1</v>
      </c>
      <c r="I653" s="296">
        <f>VLOOKUP(G653,'Input data'!$A$68:$B$72,2,FALSE)</f>
        <v>9.8748837500000004</v>
      </c>
      <c r="J653" s="296">
        <f>VLOOKUP($B653,'Maintenance Costs'!$A:$AB,22,FALSE)</f>
        <v>18.724246919515515</v>
      </c>
      <c r="K653" s="296">
        <f>VLOOKUP($B653,'Maintenance Costs'!$A:$AB,28,FALSE)</f>
        <v>25.136385541395374</v>
      </c>
      <c r="L653" s="297">
        <f t="shared" si="55"/>
        <v>53.735516210910895</v>
      </c>
      <c r="M653">
        <v>77.337894102013692</v>
      </c>
      <c r="N653" s="30">
        <f t="shared" si="56"/>
        <v>-23.602377891102797</v>
      </c>
    </row>
    <row r="654" spans="1:14" x14ac:dyDescent="0.2">
      <c r="A654" s="299" t="s">
        <v>1470</v>
      </c>
      <c r="B654" s="298" t="str">
        <f t="shared" si="54"/>
        <v>LPS0050-ST</v>
      </c>
      <c r="C654" s="294" t="str">
        <f>VLOOKUP(LEFT(A654,7),'Tariff Schedule Lookup Table'!$A$8:$G$198,2,FALSE)</f>
        <v>Low Pressure Sodium 135</v>
      </c>
      <c r="D654" s="295">
        <f t="shared" si="52"/>
        <v>60</v>
      </c>
      <c r="E654" s="294">
        <f t="shared" si="53"/>
        <v>5</v>
      </c>
      <c r="F654" s="294" t="str">
        <f>VLOOKUP(D654,'Tariff Schedule Lookup Table'!I$7:L$298,2,FALSE)</f>
        <v>HIGH PRESSURE SODIUM 250W (210/220)</v>
      </c>
      <c r="G654" s="294" t="str">
        <f>IF(F654 = "BULKHEADS ETC", "SHARED OR NO POLE", VLOOKUP(D654,'Tariff Schedule Lookup Table'!I$7:L$298,3,FALSE))</f>
        <v>SHARED OR NO POLE</v>
      </c>
      <c r="H654" s="294">
        <f>IF(F654 = "NO CAPITAL", 1, VLOOKUP(D654,'Tariff Schedule Lookup Table'!I$7:L$298,4,FALSE))</f>
        <v>1</v>
      </c>
      <c r="I654" s="296">
        <f>VLOOKUP(G654,'Input data'!$A$68:$B$72,2,FALSE)</f>
        <v>0</v>
      </c>
      <c r="J654" s="296">
        <f>VLOOKUP($B654,'Maintenance Costs'!$A:$AB,22,FALSE)</f>
        <v>19.040942879515519</v>
      </c>
      <c r="K654" s="296">
        <f>VLOOKUP($B654,'Maintenance Costs'!$A:$AB,28,FALSE)</f>
        <v>26.202293041395375</v>
      </c>
      <c r="L654" s="297">
        <f t="shared" si="55"/>
        <v>45.243235920910891</v>
      </c>
      <c r="M654">
        <v>69.45216177361371</v>
      </c>
      <c r="N654" s="30">
        <f t="shared" si="56"/>
        <v>-24.208925852702819</v>
      </c>
    </row>
    <row r="655" spans="1:14" x14ac:dyDescent="0.2">
      <c r="A655" s="299" t="s">
        <v>1471</v>
      </c>
      <c r="B655" s="298" t="str">
        <f t="shared" si="54"/>
        <v>LPS0050-ST</v>
      </c>
      <c r="C655" s="294" t="str">
        <f>VLOOKUP(LEFT(A655,7),'Tariff Schedule Lookup Table'!$A$8:$G$198,2,FALSE)</f>
        <v>Low Pressure Sodium 135</v>
      </c>
      <c r="D655" s="295">
        <f t="shared" si="52"/>
        <v>230</v>
      </c>
      <c r="E655" s="294">
        <f t="shared" si="53"/>
        <v>5</v>
      </c>
      <c r="F655" s="294" t="str">
        <f>VLOOKUP(D655,'Tariff Schedule Lookup Table'!I$7:L$298,2,FALSE)</f>
        <v>HIGH PRESSURE SODIUM 250W (210/220)</v>
      </c>
      <c r="G655" s="294" t="str">
        <f>IF(F655 = "BULKHEADS ETC", "SHARED OR NO POLE", VLOOKUP(D655,'Tariff Schedule Lookup Table'!I$7:L$298,3,FALSE))</f>
        <v>WOOD POLE</v>
      </c>
      <c r="H655" s="294">
        <f>IF(F655 = "NO CAPITAL", 1, VLOOKUP(D655,'Tariff Schedule Lookup Table'!I$7:L$298,4,FALSE))</f>
        <v>1</v>
      </c>
      <c r="I655" s="296">
        <f>VLOOKUP(G655,'Input data'!$A$68:$B$72,2,FALSE)</f>
        <v>10.809914000000001</v>
      </c>
      <c r="J655" s="296">
        <f>VLOOKUP($B655,'Maintenance Costs'!$A:$AB,22,FALSE)</f>
        <v>19.040942879515519</v>
      </c>
      <c r="K655" s="296">
        <f>VLOOKUP($B655,'Maintenance Costs'!$A:$AB,28,FALSE)</f>
        <v>26.202293041395375</v>
      </c>
      <c r="L655" s="297">
        <f t="shared" si="55"/>
        <v>56.05314992091089</v>
      </c>
      <c r="M655">
        <v>80.262075773613716</v>
      </c>
      <c r="N655" s="30">
        <f t="shared" si="56"/>
        <v>-24.208925852702826</v>
      </c>
    </row>
    <row r="656" spans="1:14" x14ac:dyDescent="0.2">
      <c r="A656" s="299" t="s">
        <v>1472</v>
      </c>
      <c r="B656" s="298" t="str">
        <f t="shared" si="54"/>
        <v>LPS0050-ST</v>
      </c>
      <c r="C656" s="294" t="str">
        <f>VLOOKUP(LEFT(A656,7),'Tariff Schedule Lookup Table'!$A$8:$G$198,2,FALSE)</f>
        <v>Low Pressure Sodium 135</v>
      </c>
      <c r="D656" s="295">
        <f t="shared" si="52"/>
        <v>320</v>
      </c>
      <c r="E656" s="294">
        <f t="shared" si="53"/>
        <v>5</v>
      </c>
      <c r="F656" s="294" t="str">
        <f>VLOOKUP(D656,'Tariff Schedule Lookup Table'!I$7:L$298,2,FALSE)</f>
        <v>HIGH PRESSURE SODIUM 250W (210/220)</v>
      </c>
      <c r="G656" s="294" t="str">
        <f>IF(F656 = "BULKHEADS ETC", "SHARED OR NO POLE", VLOOKUP(D656,'Tariff Schedule Lookup Table'!I$7:L$298,3,FALSE))</f>
        <v>STEEL POLE</v>
      </c>
      <c r="H656" s="294">
        <f>IF(F656 = "NO CAPITAL", 1, VLOOKUP(D656,'Tariff Schedule Lookup Table'!I$7:L$298,4,FALSE))</f>
        <v>1</v>
      </c>
      <c r="I656" s="296">
        <f>VLOOKUP(G656,'Input data'!$A$68:$B$72,2,FALSE)</f>
        <v>9.8748837500000004</v>
      </c>
      <c r="J656" s="296">
        <f>VLOOKUP($B656,'Maintenance Costs'!$A:$AB,22,FALSE)</f>
        <v>19.040942879515519</v>
      </c>
      <c r="K656" s="296">
        <f>VLOOKUP($B656,'Maintenance Costs'!$A:$AB,28,FALSE)</f>
        <v>26.202293041395375</v>
      </c>
      <c r="L656" s="297">
        <f t="shared" si="55"/>
        <v>55.118119670910893</v>
      </c>
      <c r="M656">
        <v>79.327045523613705</v>
      </c>
      <c r="N656" s="30">
        <f t="shared" si="56"/>
        <v>-24.208925852702812</v>
      </c>
    </row>
    <row r="657" spans="1:14" x14ac:dyDescent="0.2">
      <c r="A657" s="299" t="s">
        <v>1473</v>
      </c>
      <c r="B657" s="298" t="str">
        <f t="shared" si="54"/>
        <v>LPS0060-ST</v>
      </c>
      <c r="C657" s="294" t="str">
        <f>VLOOKUP(LEFT(A657,7),'Tariff Schedule Lookup Table'!$A$8:$G$198,2,FALSE)</f>
        <v>Low Pressure Sodium 150</v>
      </c>
      <c r="D657" s="295">
        <f t="shared" si="52"/>
        <v>60</v>
      </c>
      <c r="E657" s="294">
        <f t="shared" si="53"/>
        <v>5</v>
      </c>
      <c r="F657" s="294" t="str">
        <f>VLOOKUP(D657,'Tariff Schedule Lookup Table'!I$7:L$298,2,FALSE)</f>
        <v>HIGH PRESSURE SODIUM 250W (210/220)</v>
      </c>
      <c r="G657" s="294" t="str">
        <f>IF(F657 = "BULKHEADS ETC", "SHARED OR NO POLE", VLOOKUP(D657,'Tariff Schedule Lookup Table'!I$7:L$298,3,FALSE))</f>
        <v>SHARED OR NO POLE</v>
      </c>
      <c r="H657" s="294">
        <f>IF(F657 = "NO CAPITAL", 1, VLOOKUP(D657,'Tariff Schedule Lookup Table'!I$7:L$298,4,FALSE))</f>
        <v>1</v>
      </c>
      <c r="I657" s="296">
        <f>VLOOKUP(G657,'Input data'!$A$68:$B$72,2,FALSE)</f>
        <v>0</v>
      </c>
      <c r="J657" s="296">
        <f>VLOOKUP($B657,'Maintenance Costs'!$A:$AB,22,FALSE)</f>
        <v>32.491934559515514</v>
      </c>
      <c r="K657" s="296">
        <f>VLOOKUP($B657,'Maintenance Costs'!$A:$AB,28,FALSE)</f>
        <v>26.202293041395375</v>
      </c>
      <c r="L657" s="297">
        <f t="shared" si="55"/>
        <v>58.694227600910892</v>
      </c>
      <c r="M657">
        <v>93.574273519747038</v>
      </c>
      <c r="N657" s="30">
        <f t="shared" si="56"/>
        <v>-34.880045918836146</v>
      </c>
    </row>
    <row r="658" spans="1:14" ht="22.5" x14ac:dyDescent="0.2">
      <c r="A658" s="299" t="s">
        <v>1474</v>
      </c>
      <c r="B658" s="298" t="str">
        <f t="shared" si="54"/>
        <v>MHR0060-ST</v>
      </c>
      <c r="C658" s="294" t="str">
        <f>VLOOKUP(LEFT(A658,7),'Tariff Schedule Lookup Table'!$A$8:$G$198,2,FALSE)</f>
        <v>Metal Hallide (Reactor Control Gear) 250</v>
      </c>
      <c r="D658" s="295">
        <f t="shared" si="52"/>
        <v>60</v>
      </c>
      <c r="E658" s="294">
        <f t="shared" si="53"/>
        <v>5</v>
      </c>
      <c r="F658" s="294" t="str">
        <f>VLOOKUP(D658,'Tariff Schedule Lookup Table'!I$7:L$298,2,FALSE)</f>
        <v>HIGH PRESSURE SODIUM 250W (210/220)</v>
      </c>
      <c r="G658" s="294" t="str">
        <f>IF(F658 = "BULKHEADS ETC", "SHARED OR NO POLE", VLOOKUP(D658,'Tariff Schedule Lookup Table'!I$7:L$298,3,FALSE))</f>
        <v>SHARED OR NO POLE</v>
      </c>
      <c r="H658" s="294">
        <f>IF(F658 = "NO CAPITAL", 1, VLOOKUP(D658,'Tariff Schedule Lookup Table'!I$7:L$298,4,FALSE))</f>
        <v>1</v>
      </c>
      <c r="I658" s="296">
        <f>VLOOKUP(G658,'Input data'!$A$68:$B$72,2,FALSE)</f>
        <v>0</v>
      </c>
      <c r="J658" s="296">
        <f>VLOOKUP($B658,'Maintenance Costs'!$A:$AB,22,FALSE)</f>
        <v>22.332001109197293</v>
      </c>
      <c r="K658" s="296">
        <f>VLOOKUP($B658,'Maintenance Costs'!$A:$AB,28,FALSE)</f>
        <v>25.862282041395371</v>
      </c>
      <c r="L658" s="297">
        <f t="shared" si="55"/>
        <v>48.194283150592668</v>
      </c>
      <c r="M658">
        <v>66.085784264198537</v>
      </c>
      <c r="N658" s="30">
        <f t="shared" si="56"/>
        <v>-17.891501113605869</v>
      </c>
    </row>
    <row r="659" spans="1:14" ht="22.5" x14ac:dyDescent="0.2">
      <c r="A659" s="299" t="s">
        <v>1332</v>
      </c>
      <c r="B659" s="298" t="str">
        <f t="shared" si="54"/>
        <v>MHR0060-ST</v>
      </c>
      <c r="C659" s="294" t="str">
        <f>VLOOKUP(LEFT(A659,7),'Tariff Schedule Lookup Table'!$A$8:$G$198,2,FALSE)</f>
        <v>Metal Hallide (Reactor Control Gear) 250</v>
      </c>
      <c r="D659" s="295">
        <f t="shared" si="52"/>
        <v>320</v>
      </c>
      <c r="E659" s="294">
        <f t="shared" si="53"/>
        <v>5</v>
      </c>
      <c r="F659" s="294" t="str">
        <f>VLOOKUP(D659,'Tariff Schedule Lookup Table'!I$7:L$298,2,FALSE)</f>
        <v>HIGH PRESSURE SODIUM 250W (210/220)</v>
      </c>
      <c r="G659" s="294" t="str">
        <f>IF(F659 = "BULKHEADS ETC", "SHARED OR NO POLE", VLOOKUP(D659,'Tariff Schedule Lookup Table'!I$7:L$298,3,FALSE))</f>
        <v>STEEL POLE</v>
      </c>
      <c r="H659" s="294">
        <f>IF(F659 = "NO CAPITAL", 1, VLOOKUP(D659,'Tariff Schedule Lookup Table'!I$7:L$298,4,FALSE))</f>
        <v>1</v>
      </c>
      <c r="I659" s="296">
        <f>VLOOKUP(G659,'Input data'!$A$68:$B$72,2,FALSE)</f>
        <v>9.8748837500000004</v>
      </c>
      <c r="J659" s="296">
        <f>VLOOKUP($B659,'Maintenance Costs'!$A:$AB,22,FALSE)</f>
        <v>22.332001109197293</v>
      </c>
      <c r="K659" s="296">
        <f>VLOOKUP($B659,'Maintenance Costs'!$A:$AB,28,FALSE)</f>
        <v>25.862282041395371</v>
      </c>
      <c r="L659" s="297">
        <f t="shared" si="55"/>
        <v>58.06916690059267</v>
      </c>
      <c r="M659">
        <v>75.960668014198532</v>
      </c>
      <c r="N659" s="30">
        <f t="shared" si="56"/>
        <v>-17.891501113605862</v>
      </c>
    </row>
    <row r="660" spans="1:14" ht="22.5" x14ac:dyDescent="0.2">
      <c r="A660" s="299" t="s">
        <v>1475</v>
      </c>
      <c r="B660" s="298" t="str">
        <f t="shared" si="54"/>
        <v>MHR0070-ST</v>
      </c>
      <c r="C660" s="294" t="str">
        <f>VLOOKUP(LEFT(A660,7),'Tariff Schedule Lookup Table'!$A$8:$G$198,2,FALSE)</f>
        <v>Metal Hallide (Reactor Control Gear) 400</v>
      </c>
      <c r="D660" s="295">
        <f t="shared" si="52"/>
        <v>60</v>
      </c>
      <c r="E660" s="294">
        <f t="shared" si="53"/>
        <v>5</v>
      </c>
      <c r="F660" s="294" t="str">
        <f>VLOOKUP(D660,'Tariff Schedule Lookup Table'!I$7:L$298,2,FALSE)</f>
        <v>HIGH PRESSURE SODIUM 250W (210/220)</v>
      </c>
      <c r="G660" s="294" t="str">
        <f>IF(F660 = "BULKHEADS ETC", "SHARED OR NO POLE", VLOOKUP(D660,'Tariff Schedule Lookup Table'!I$7:L$298,3,FALSE))</f>
        <v>SHARED OR NO POLE</v>
      </c>
      <c r="H660" s="294">
        <f>IF(F660 = "NO CAPITAL", 1, VLOOKUP(D660,'Tariff Schedule Lookup Table'!I$7:L$298,4,FALSE))</f>
        <v>1</v>
      </c>
      <c r="I660" s="296">
        <f>VLOOKUP(G660,'Input data'!$A$68:$B$72,2,FALSE)</f>
        <v>0</v>
      </c>
      <c r="J660" s="296">
        <f>VLOOKUP($B660,'Maintenance Costs'!$A:$AB,22,FALSE)</f>
        <v>22.430183333197292</v>
      </c>
      <c r="K660" s="296">
        <f>VLOOKUP($B660,'Maintenance Costs'!$A:$AB,28,FALSE)</f>
        <v>25.940538541395373</v>
      </c>
      <c r="L660" s="297">
        <f t="shared" si="55"/>
        <v>48.370721874592661</v>
      </c>
      <c r="M660">
        <v>66.328808655598522</v>
      </c>
      <c r="N660" s="30">
        <f t="shared" si="56"/>
        <v>-17.958086781005861</v>
      </c>
    </row>
    <row r="661" spans="1:14" ht="22.5" x14ac:dyDescent="0.2">
      <c r="A661" s="299" t="s">
        <v>1476</v>
      </c>
      <c r="B661" s="298" t="str">
        <f t="shared" si="54"/>
        <v>MHR0070-ST</v>
      </c>
      <c r="C661" s="294" t="str">
        <f>VLOOKUP(LEFT(A661,7),'Tariff Schedule Lookup Table'!$A$8:$G$198,2,FALSE)</f>
        <v>Metal Hallide (Reactor Control Gear) 400</v>
      </c>
      <c r="D661" s="295">
        <f t="shared" si="52"/>
        <v>320</v>
      </c>
      <c r="E661" s="294">
        <f t="shared" si="53"/>
        <v>5</v>
      </c>
      <c r="F661" s="294" t="str">
        <f>VLOOKUP(D661,'Tariff Schedule Lookup Table'!I$7:L$298,2,FALSE)</f>
        <v>HIGH PRESSURE SODIUM 250W (210/220)</v>
      </c>
      <c r="G661" s="294" t="str">
        <f>IF(F661 = "BULKHEADS ETC", "SHARED OR NO POLE", VLOOKUP(D661,'Tariff Schedule Lookup Table'!I$7:L$298,3,FALSE))</f>
        <v>STEEL POLE</v>
      </c>
      <c r="H661" s="294">
        <f>IF(F661 = "NO CAPITAL", 1, VLOOKUP(D661,'Tariff Schedule Lookup Table'!I$7:L$298,4,FALSE))</f>
        <v>1</v>
      </c>
      <c r="I661" s="296">
        <f>VLOOKUP(G661,'Input data'!$A$68:$B$72,2,FALSE)</f>
        <v>9.8748837500000004</v>
      </c>
      <c r="J661" s="296">
        <f>VLOOKUP($B661,'Maintenance Costs'!$A:$AB,22,FALSE)</f>
        <v>22.430183333197292</v>
      </c>
      <c r="K661" s="296">
        <f>VLOOKUP($B661,'Maintenance Costs'!$A:$AB,28,FALSE)</f>
        <v>25.940538541395373</v>
      </c>
      <c r="L661" s="297">
        <f t="shared" si="55"/>
        <v>58.245605624592663</v>
      </c>
      <c r="M661">
        <v>76.203692405598517</v>
      </c>
      <c r="N661" s="30">
        <f t="shared" si="56"/>
        <v>-17.958086781005854</v>
      </c>
    </row>
    <row r="662" spans="1:14" x14ac:dyDescent="0.2">
      <c r="A662" s="299" t="s">
        <v>987</v>
      </c>
      <c r="B662" s="298" t="str">
        <f t="shared" si="54"/>
        <v>FLU0350-ST</v>
      </c>
      <c r="C662" s="294" t="str">
        <f>VLOOKUP(LEFT(A662,7),'Tariff Schedule Lookup Table'!$A$8:$G$198,2,FALSE)</f>
        <v>Compact Fluorescent 1x42</v>
      </c>
      <c r="D662" s="295">
        <f t="shared" si="52"/>
        <v>1620</v>
      </c>
      <c r="E662" s="294">
        <f t="shared" si="53"/>
        <v>5</v>
      </c>
      <c r="F662" s="294" t="str">
        <f>VLOOKUP(D662,'Tariff Schedule Lookup Table'!I$7:L$298,2,FALSE)</f>
        <v>COMPACT FLUORESCENT 42W</v>
      </c>
      <c r="G662" s="294" t="str">
        <f>IF(F662 = "BULKHEADS ETC", "SHARED OR NO POLE", VLOOKUP(D662,'Tariff Schedule Lookup Table'!I$7:L$298,3,FALSE))</f>
        <v>SHARED OR NO POLE</v>
      </c>
      <c r="H662" s="294">
        <f>IF(F662 = "NO CAPITAL", 1, VLOOKUP(D662,'Tariff Schedule Lookup Table'!I$7:L$298,4,FALSE))</f>
        <v>1</v>
      </c>
      <c r="I662" s="296">
        <f>VLOOKUP(G662,'Input data'!$A$68:$B$72,2,FALSE)</f>
        <v>0</v>
      </c>
      <c r="J662" s="296">
        <f>VLOOKUP($B662,'Maintenance Costs'!$A:$AB,22,FALSE)</f>
        <v>17.273484663393553</v>
      </c>
      <c r="K662" s="296">
        <f>VLOOKUP($B662,'Maintenance Costs'!$A:$AB,28,FALSE)</f>
        <v>20.208924541395373</v>
      </c>
      <c r="L662" s="297">
        <f t="shared" si="55"/>
        <v>37.482409204788922</v>
      </c>
      <c r="M662">
        <v>50.215643679333752</v>
      </c>
      <c r="N662" s="30">
        <f t="shared" si="56"/>
        <v>-12.73323447454483</v>
      </c>
    </row>
    <row r="663" spans="1:14" x14ac:dyDescent="0.2">
      <c r="A663" s="299" t="s">
        <v>1019</v>
      </c>
      <c r="B663" s="298" t="str">
        <f t="shared" si="54"/>
        <v>HPS0020-ST</v>
      </c>
      <c r="C663" s="294" t="str">
        <f>VLOOKUP(LEFT(A663,7),'Tariff Schedule Lookup Table'!$A$8:$G$198,2,FALSE)</f>
        <v>High Pressure Sodium 70</v>
      </c>
      <c r="D663" s="295">
        <f t="shared" si="52"/>
        <v>40</v>
      </c>
      <c r="E663" s="294">
        <f t="shared" si="53"/>
        <v>5</v>
      </c>
      <c r="F663" s="294" t="str">
        <f>VLOOKUP(D663,'Tariff Schedule Lookup Table'!I$7:L$298,2,FALSE)</f>
        <v>HIGH PRESSURE SODIUM 70W (100)</v>
      </c>
      <c r="G663" s="294" t="str">
        <f>IF(F663 = "BULKHEADS ETC", "SHARED OR NO POLE", VLOOKUP(D663,'Tariff Schedule Lookup Table'!I$7:L$298,3,FALSE))</f>
        <v>SHARED OR NO POLE</v>
      </c>
      <c r="H663" s="294">
        <f>IF(F663 = "NO CAPITAL", 1, VLOOKUP(D663,'Tariff Schedule Lookup Table'!I$7:L$298,4,FALSE))</f>
        <v>1</v>
      </c>
      <c r="I663" s="296">
        <f>VLOOKUP(G663,'Input data'!$A$68:$B$72,2,FALSE)</f>
        <v>0</v>
      </c>
      <c r="J663" s="296">
        <f>VLOOKUP($B663,'Maintenance Costs'!$A:$AB,22,FALSE)</f>
        <v>14.608972032752845</v>
      </c>
      <c r="K663" s="296">
        <f>VLOOKUP($B663,'Maintenance Costs'!$A:$AB,28,FALSE)</f>
        <v>20.476076041395373</v>
      </c>
      <c r="L663" s="297">
        <f t="shared" si="55"/>
        <v>35.085048074148219</v>
      </c>
      <c r="M663">
        <v>54.87331009726519</v>
      </c>
      <c r="N663" s="30">
        <f t="shared" si="56"/>
        <v>-19.788262023116971</v>
      </c>
    </row>
    <row r="664" spans="1:14" x14ac:dyDescent="0.2">
      <c r="A664" s="299" t="s">
        <v>1023</v>
      </c>
      <c r="B664" s="298" t="str">
        <f t="shared" si="54"/>
        <v>HPS0020-ST</v>
      </c>
      <c r="C664" s="294" t="str">
        <f>VLOOKUP(LEFT(A664,7),'Tariff Schedule Lookup Table'!$A$8:$G$198,2,FALSE)</f>
        <v>High Pressure Sodium 70</v>
      </c>
      <c r="D664" s="295">
        <f t="shared" si="52"/>
        <v>350</v>
      </c>
      <c r="E664" s="294">
        <f t="shared" si="53"/>
        <v>5</v>
      </c>
      <c r="F664" s="294" t="str">
        <f>VLOOKUP(D664,'Tariff Schedule Lookup Table'!I$7:L$298,2,FALSE)</f>
        <v>HIGH PRESSURE SODIUM 70W (100)</v>
      </c>
      <c r="G664" s="294" t="str">
        <f>IF(F664 = "BULKHEADS ETC", "SHARED OR NO POLE", VLOOKUP(D664,'Tariff Schedule Lookup Table'!I$7:L$298,3,FALSE))</f>
        <v>WOOD POLE</v>
      </c>
      <c r="H664" s="294">
        <f>IF(F664 = "NO CAPITAL", 1, VLOOKUP(D664,'Tariff Schedule Lookup Table'!I$7:L$298,4,FALSE))</f>
        <v>1</v>
      </c>
      <c r="I664" s="296">
        <f>VLOOKUP(G664,'Input data'!$A$68:$B$72,2,FALSE)</f>
        <v>10.809914000000001</v>
      </c>
      <c r="J664" s="296">
        <f>VLOOKUP($B664,'Maintenance Costs'!$A:$AB,22,FALSE)</f>
        <v>14.608972032752845</v>
      </c>
      <c r="K664" s="296">
        <f>VLOOKUP($B664,'Maintenance Costs'!$A:$AB,28,FALSE)</f>
        <v>20.476076041395373</v>
      </c>
      <c r="L664" s="297">
        <f t="shared" si="55"/>
        <v>45.894962074148218</v>
      </c>
      <c r="M664">
        <v>65.683224097265196</v>
      </c>
      <c r="N664" s="30">
        <f t="shared" si="56"/>
        <v>-19.788262023116978</v>
      </c>
    </row>
    <row r="665" spans="1:14" x14ac:dyDescent="0.2">
      <c r="A665" s="299" t="s">
        <v>1027</v>
      </c>
      <c r="B665" s="298" t="str">
        <f t="shared" si="54"/>
        <v>HPS0020-ST</v>
      </c>
      <c r="C665" s="294" t="str">
        <f>VLOOKUP(LEFT(A665,7),'Tariff Schedule Lookup Table'!$A$8:$G$198,2,FALSE)</f>
        <v>High Pressure Sodium 70</v>
      </c>
      <c r="D665" s="295">
        <f t="shared" si="52"/>
        <v>360</v>
      </c>
      <c r="E665" s="294">
        <f t="shared" si="53"/>
        <v>5</v>
      </c>
      <c r="F665" s="294" t="str">
        <f>VLOOKUP(D665,'Tariff Schedule Lookup Table'!I$7:L$298,2,FALSE)</f>
        <v>HIGH PRESSURE SODIUM 70W (100)</v>
      </c>
      <c r="G665" s="294" t="str">
        <f>IF(F665 = "BULKHEADS ETC", "SHARED OR NO POLE", VLOOKUP(D665,'Tariff Schedule Lookup Table'!I$7:L$298,3,FALSE))</f>
        <v>STEEL POLE</v>
      </c>
      <c r="H665" s="294">
        <f>IF(F665 = "NO CAPITAL", 1, VLOOKUP(D665,'Tariff Schedule Lookup Table'!I$7:L$298,4,FALSE))</f>
        <v>1</v>
      </c>
      <c r="I665" s="296">
        <f>VLOOKUP(G665,'Input data'!$A$68:$B$72,2,FALSE)</f>
        <v>9.8748837500000004</v>
      </c>
      <c r="J665" s="296">
        <f>VLOOKUP($B665,'Maintenance Costs'!$A:$AB,22,FALSE)</f>
        <v>14.608972032752845</v>
      </c>
      <c r="K665" s="296">
        <f>VLOOKUP($B665,'Maintenance Costs'!$A:$AB,28,FALSE)</f>
        <v>20.476076041395373</v>
      </c>
      <c r="L665" s="297">
        <f t="shared" si="55"/>
        <v>44.959931824148221</v>
      </c>
      <c r="M665">
        <v>64.748193847265185</v>
      </c>
      <c r="N665" s="30">
        <f t="shared" si="56"/>
        <v>-19.788262023116964</v>
      </c>
    </row>
    <row r="666" spans="1:14" x14ac:dyDescent="0.2">
      <c r="A666" s="299" t="s">
        <v>1031</v>
      </c>
      <c r="B666" s="298" t="str">
        <f t="shared" si="54"/>
        <v>HPS0020-ST</v>
      </c>
      <c r="C666" s="294" t="str">
        <f>VLOOKUP(LEFT(A666,7),'Tariff Schedule Lookup Table'!$A$8:$G$198,2,FALSE)</f>
        <v>High Pressure Sodium 70</v>
      </c>
      <c r="D666" s="295">
        <f t="shared" si="52"/>
        <v>730</v>
      </c>
      <c r="E666" s="294">
        <f t="shared" si="53"/>
        <v>5</v>
      </c>
      <c r="F666" s="294" t="str">
        <f>VLOOKUP(D666,'Tariff Schedule Lookup Table'!I$7:L$298,2,FALSE)</f>
        <v>HIGH PRESSURE SODIUM 70W (100)</v>
      </c>
      <c r="G666" s="294" t="str">
        <f>IF(F666 = "BULKHEADS ETC", "SHARED OR NO POLE", VLOOKUP(D666,'Tariff Schedule Lookup Table'!I$7:L$298,3,FALSE))</f>
        <v>STEEL POLE</v>
      </c>
      <c r="H666" s="294">
        <f>IF(F666 = "NO CAPITAL", 1, VLOOKUP(D666,'Tariff Schedule Lookup Table'!I$7:L$298,4,FALSE))</f>
        <v>2</v>
      </c>
      <c r="I666" s="296">
        <f>VLOOKUP(G666,'Input data'!$A$68:$B$72,2,FALSE)</f>
        <v>9.8748837500000004</v>
      </c>
      <c r="J666" s="296">
        <f>VLOOKUP($B666,'Maintenance Costs'!$A:$AB,22,FALSE)</f>
        <v>14.608972032752845</v>
      </c>
      <c r="K666" s="296">
        <f>VLOOKUP($B666,'Maintenance Costs'!$A:$AB,28,FALSE)</f>
        <v>20.476076041395373</v>
      </c>
      <c r="L666" s="297">
        <f t="shared" si="55"/>
        <v>40.022489949148216</v>
      </c>
      <c r="M666">
        <v>59.810751972265187</v>
      </c>
      <c r="N666" s="30">
        <f t="shared" si="56"/>
        <v>-19.788262023116971</v>
      </c>
    </row>
    <row r="667" spans="1:14" x14ac:dyDescent="0.2">
      <c r="A667" s="299" t="s">
        <v>1038</v>
      </c>
      <c r="B667" s="298" t="str">
        <f t="shared" si="54"/>
        <v>HPS0020-ST</v>
      </c>
      <c r="C667" s="294" t="str">
        <f>VLOOKUP(LEFT(A667,7),'Tariff Schedule Lookup Table'!$A$8:$G$198,2,FALSE)</f>
        <v>High Pressure Sodium 70</v>
      </c>
      <c r="D667" s="295">
        <f t="shared" si="52"/>
        <v>890</v>
      </c>
      <c r="E667" s="294">
        <f t="shared" si="53"/>
        <v>5</v>
      </c>
      <c r="F667" s="294" t="str">
        <f>VLOOKUP(D667,'Tariff Schedule Lookup Table'!I$7:L$298,2,FALSE)</f>
        <v>HIGH PRESSURE SODIUM 70W (100)</v>
      </c>
      <c r="G667" s="294" t="str">
        <f>IF(F667 = "BULKHEADS ETC", "SHARED OR NO POLE", VLOOKUP(D667,'Tariff Schedule Lookup Table'!I$7:L$298,3,FALSE))</f>
        <v>SHARED OR NO POLE</v>
      </c>
      <c r="H667" s="294">
        <f>IF(F667 = "NO CAPITAL", 1, VLOOKUP(D667,'Tariff Schedule Lookup Table'!I$7:L$298,4,FALSE))</f>
        <v>2</v>
      </c>
      <c r="I667" s="296">
        <f>VLOOKUP(G667,'Input data'!$A$68:$B$72,2,FALSE)</f>
        <v>0</v>
      </c>
      <c r="J667" s="296">
        <f>VLOOKUP($B667,'Maintenance Costs'!$A:$AB,22,FALSE)</f>
        <v>14.608972032752845</v>
      </c>
      <c r="K667" s="296">
        <f>VLOOKUP($B667,'Maintenance Costs'!$A:$AB,28,FALSE)</f>
        <v>20.476076041395373</v>
      </c>
      <c r="L667" s="297">
        <f t="shared" si="55"/>
        <v>35.085048074148219</v>
      </c>
      <c r="M667">
        <v>54.87331009726519</v>
      </c>
      <c r="N667" s="30">
        <f t="shared" si="56"/>
        <v>-19.788262023116971</v>
      </c>
    </row>
    <row r="668" spans="1:14" x14ac:dyDescent="0.2">
      <c r="A668" s="299" t="s">
        <v>1062</v>
      </c>
      <c r="B668" s="298" t="str">
        <f t="shared" si="54"/>
        <v>HPS0090-ST</v>
      </c>
      <c r="C668" s="294" t="str">
        <f>VLOOKUP(LEFT(A668,7),'Tariff Schedule Lookup Table'!$A$8:$G$198,2,FALSE)</f>
        <v>High Pressure Sodium 150</v>
      </c>
      <c r="D668" s="295">
        <f t="shared" si="52"/>
        <v>50</v>
      </c>
      <c r="E668" s="294">
        <f t="shared" si="53"/>
        <v>5</v>
      </c>
      <c r="F668" s="294" t="str">
        <f>VLOOKUP(D668,'Tariff Schedule Lookup Table'!I$7:L$298,2,FALSE)</f>
        <v>HIGH PRESSURE SODIUM 150W</v>
      </c>
      <c r="G668" s="294" t="str">
        <f>IF(F668 = "BULKHEADS ETC", "SHARED OR NO POLE", VLOOKUP(D668,'Tariff Schedule Lookup Table'!I$7:L$298,3,FALSE))</f>
        <v>SHARED OR NO POLE</v>
      </c>
      <c r="H668" s="294">
        <f>IF(F668 = "NO CAPITAL", 1, VLOOKUP(D668,'Tariff Schedule Lookup Table'!I$7:L$298,4,FALSE))</f>
        <v>1</v>
      </c>
      <c r="I668" s="296">
        <f>VLOOKUP(G668,'Input data'!$A$68:$B$72,2,FALSE)</f>
        <v>0</v>
      </c>
      <c r="J668" s="296">
        <f>VLOOKUP($B668,'Maintenance Costs'!$A:$AB,22,FALSE)</f>
        <v>26.110000210382704</v>
      </c>
      <c r="K668" s="296">
        <f>VLOOKUP($B668,'Maintenance Costs'!$A:$AB,28,FALSE)</f>
        <v>20.103683041395374</v>
      </c>
      <c r="L668" s="297">
        <f t="shared" si="55"/>
        <v>46.213683251778079</v>
      </c>
      <c r="M668">
        <v>76.246956196478934</v>
      </c>
      <c r="N668" s="30">
        <f t="shared" si="56"/>
        <v>-30.033272944700855</v>
      </c>
    </row>
    <row r="669" spans="1:14" x14ac:dyDescent="0.2">
      <c r="A669" s="299" t="s">
        <v>1066</v>
      </c>
      <c r="B669" s="298" t="str">
        <f t="shared" si="54"/>
        <v>HPS0090-ST</v>
      </c>
      <c r="C669" s="294" t="str">
        <f>VLOOKUP(LEFT(A669,7),'Tariff Schedule Lookup Table'!$A$8:$G$198,2,FALSE)</f>
        <v>High Pressure Sodium 150</v>
      </c>
      <c r="D669" s="295">
        <f t="shared" si="52"/>
        <v>220</v>
      </c>
      <c r="E669" s="294">
        <f t="shared" si="53"/>
        <v>5</v>
      </c>
      <c r="F669" s="294" t="str">
        <f>VLOOKUP(D669,'Tariff Schedule Lookup Table'!I$7:L$298,2,FALSE)</f>
        <v>HIGH PRESSURE SODIUM 150W</v>
      </c>
      <c r="G669" s="294" t="str">
        <f>IF(F669 = "BULKHEADS ETC", "SHARED OR NO POLE", VLOOKUP(D669,'Tariff Schedule Lookup Table'!I$7:L$298,3,FALSE))</f>
        <v>WOOD POLE</v>
      </c>
      <c r="H669" s="294">
        <f>IF(F669 = "NO CAPITAL", 1, VLOOKUP(D669,'Tariff Schedule Lookup Table'!I$7:L$298,4,FALSE))</f>
        <v>1</v>
      </c>
      <c r="I669" s="296">
        <f>VLOOKUP(G669,'Input data'!$A$68:$B$72,2,FALSE)</f>
        <v>10.809914000000001</v>
      </c>
      <c r="J669" s="296">
        <f>VLOOKUP($B669,'Maintenance Costs'!$A:$AB,22,FALSE)</f>
        <v>26.110000210382704</v>
      </c>
      <c r="K669" s="296">
        <f>VLOOKUP($B669,'Maintenance Costs'!$A:$AB,28,FALSE)</f>
        <v>20.103683041395374</v>
      </c>
      <c r="L669" s="297">
        <f t="shared" si="55"/>
        <v>57.023597251778078</v>
      </c>
      <c r="M669">
        <v>87.05687019647894</v>
      </c>
      <c r="N669" s="30">
        <f t="shared" si="56"/>
        <v>-30.033272944700862</v>
      </c>
    </row>
    <row r="670" spans="1:14" x14ac:dyDescent="0.2">
      <c r="A670" s="299" t="s">
        <v>1070</v>
      </c>
      <c r="B670" s="298" t="str">
        <f t="shared" si="54"/>
        <v>HPS0090-ST</v>
      </c>
      <c r="C670" s="294" t="str">
        <f>VLOOKUP(LEFT(A670,7),'Tariff Schedule Lookup Table'!$A$8:$G$198,2,FALSE)</f>
        <v>High Pressure Sodium 150</v>
      </c>
      <c r="D670" s="295">
        <f t="shared" si="52"/>
        <v>310</v>
      </c>
      <c r="E670" s="294">
        <f t="shared" si="53"/>
        <v>5</v>
      </c>
      <c r="F670" s="294" t="str">
        <f>VLOOKUP(D670,'Tariff Schedule Lookup Table'!I$7:L$298,2,FALSE)</f>
        <v>HIGH PRESSURE SODIUM 150W</v>
      </c>
      <c r="G670" s="294" t="str">
        <f>IF(F670 = "BULKHEADS ETC", "SHARED OR NO POLE", VLOOKUP(D670,'Tariff Schedule Lookup Table'!I$7:L$298,3,FALSE))</f>
        <v>STEEL POLE</v>
      </c>
      <c r="H670" s="294">
        <f>IF(F670 = "NO CAPITAL", 1, VLOOKUP(D670,'Tariff Schedule Lookup Table'!I$7:L$298,4,FALSE))</f>
        <v>1</v>
      </c>
      <c r="I670" s="296">
        <f>VLOOKUP(G670,'Input data'!$A$68:$B$72,2,FALSE)</f>
        <v>9.8748837500000004</v>
      </c>
      <c r="J670" s="296">
        <f>VLOOKUP($B670,'Maintenance Costs'!$A:$AB,22,FALSE)</f>
        <v>26.110000210382704</v>
      </c>
      <c r="K670" s="296">
        <f>VLOOKUP($B670,'Maintenance Costs'!$A:$AB,28,FALSE)</f>
        <v>20.103683041395374</v>
      </c>
      <c r="L670" s="297">
        <f t="shared" si="55"/>
        <v>56.088567001778081</v>
      </c>
      <c r="M670">
        <v>86.121839946478929</v>
      </c>
      <c r="N670" s="30">
        <f t="shared" si="56"/>
        <v>-30.033272944700848</v>
      </c>
    </row>
    <row r="671" spans="1:14" x14ac:dyDescent="0.2">
      <c r="A671" s="299" t="s">
        <v>1074</v>
      </c>
      <c r="B671" s="298" t="str">
        <f t="shared" si="54"/>
        <v>HPS0090-ST</v>
      </c>
      <c r="C671" s="294" t="str">
        <f>VLOOKUP(LEFT(A671,7),'Tariff Schedule Lookup Table'!$A$8:$G$198,2,FALSE)</f>
        <v>High Pressure Sodium 150</v>
      </c>
      <c r="D671" s="295">
        <f t="shared" si="52"/>
        <v>690</v>
      </c>
      <c r="E671" s="294">
        <f t="shared" si="53"/>
        <v>5</v>
      </c>
      <c r="F671" s="294" t="str">
        <f>VLOOKUP(D671,'Tariff Schedule Lookup Table'!I$7:L$298,2,FALSE)</f>
        <v>HIGH PRESSURE SODIUM 150W</v>
      </c>
      <c r="G671" s="294" t="str">
        <f>IF(F671 = "BULKHEADS ETC", "SHARED OR NO POLE", VLOOKUP(D671,'Tariff Schedule Lookup Table'!I$7:L$298,3,FALSE))</f>
        <v>STEEL POLE</v>
      </c>
      <c r="H671" s="294">
        <f>IF(F671 = "NO CAPITAL", 1, VLOOKUP(D671,'Tariff Schedule Lookup Table'!I$7:L$298,4,FALSE))</f>
        <v>2</v>
      </c>
      <c r="I671" s="296">
        <f>VLOOKUP(G671,'Input data'!$A$68:$B$72,2,FALSE)</f>
        <v>9.8748837500000004</v>
      </c>
      <c r="J671" s="296">
        <f>VLOOKUP($B671,'Maintenance Costs'!$A:$AB,22,FALSE)</f>
        <v>26.110000210382704</v>
      </c>
      <c r="K671" s="296">
        <f>VLOOKUP($B671,'Maintenance Costs'!$A:$AB,28,FALSE)</f>
        <v>20.103683041395374</v>
      </c>
      <c r="L671" s="297">
        <f t="shared" si="55"/>
        <v>51.151125126778076</v>
      </c>
      <c r="M671">
        <v>81.184398071478938</v>
      </c>
      <c r="N671" s="30">
        <f t="shared" si="56"/>
        <v>-30.033272944700862</v>
      </c>
    </row>
    <row r="672" spans="1:14" x14ac:dyDescent="0.2">
      <c r="A672" s="299" t="s">
        <v>1092</v>
      </c>
      <c r="B672" s="298" t="str">
        <f t="shared" si="54"/>
        <v>HPS0090-TA</v>
      </c>
      <c r="C672" s="294" t="str">
        <f>VLOOKUP(LEFT(A672,7),'Tariff Schedule Lookup Table'!$A$8:$G$198,2,FALSE)</f>
        <v>High Pressure Sodium 150</v>
      </c>
      <c r="D672" s="295">
        <f t="shared" si="52"/>
        <v>220</v>
      </c>
      <c r="E672" s="294">
        <f t="shared" si="53"/>
        <v>5</v>
      </c>
      <c r="F672" s="294" t="str">
        <f>VLOOKUP(D672,'Tariff Schedule Lookup Table'!I$7:L$298,2,FALSE)</f>
        <v>HIGH PRESSURE SODIUM 150W</v>
      </c>
      <c r="G672" s="294" t="str">
        <f>IF(F672 = "BULKHEADS ETC", "SHARED OR NO POLE", VLOOKUP(D672,'Tariff Schedule Lookup Table'!I$7:L$298,3,FALSE))</f>
        <v>WOOD POLE</v>
      </c>
      <c r="H672" s="294">
        <f>IF(F672 = "NO CAPITAL", 1, VLOOKUP(D672,'Tariff Schedule Lookup Table'!I$7:L$298,4,FALSE))</f>
        <v>1</v>
      </c>
      <c r="I672" s="296">
        <f>VLOOKUP(G672,'Input data'!$A$68:$B$72,2,FALSE)</f>
        <v>10.809914000000001</v>
      </c>
      <c r="J672" s="296">
        <f>VLOOKUP($B672,'Maintenance Costs'!$A:$AB,22,FALSE)</f>
        <v>27.628057742626627</v>
      </c>
      <c r="K672" s="296">
        <f>VLOOKUP($B672,'Maintenance Costs'!$A:$AB,28,FALSE)</f>
        <v>26.941682041395374</v>
      </c>
      <c r="L672" s="297">
        <f t="shared" si="55"/>
        <v>65.379653784022011</v>
      </c>
      <c r="M672">
        <v>87.250842211790044</v>
      </c>
      <c r="N672" s="30">
        <f t="shared" si="56"/>
        <v>-21.871188427768033</v>
      </c>
    </row>
    <row r="673" spans="1:14" x14ac:dyDescent="0.2">
      <c r="A673" s="299" t="s">
        <v>1096</v>
      </c>
      <c r="B673" s="298" t="str">
        <f t="shared" si="54"/>
        <v>HPS0090-TA</v>
      </c>
      <c r="C673" s="294" t="str">
        <f>VLOOKUP(LEFT(A673,7),'Tariff Schedule Lookup Table'!$A$8:$G$198,2,FALSE)</f>
        <v>High Pressure Sodium 150</v>
      </c>
      <c r="D673" s="295">
        <f t="shared" si="52"/>
        <v>310</v>
      </c>
      <c r="E673" s="294">
        <f t="shared" si="53"/>
        <v>5</v>
      </c>
      <c r="F673" s="294" t="str">
        <f>VLOOKUP(D673,'Tariff Schedule Lookup Table'!I$7:L$298,2,FALSE)</f>
        <v>HIGH PRESSURE SODIUM 150W</v>
      </c>
      <c r="G673" s="294" t="str">
        <f>IF(F673 = "BULKHEADS ETC", "SHARED OR NO POLE", VLOOKUP(D673,'Tariff Schedule Lookup Table'!I$7:L$298,3,FALSE))</f>
        <v>STEEL POLE</v>
      </c>
      <c r="H673" s="294">
        <f>IF(F673 = "NO CAPITAL", 1, VLOOKUP(D673,'Tariff Schedule Lookup Table'!I$7:L$298,4,FALSE))</f>
        <v>1</v>
      </c>
      <c r="I673" s="296">
        <f>VLOOKUP(G673,'Input data'!$A$68:$B$72,2,FALSE)</f>
        <v>9.8748837500000004</v>
      </c>
      <c r="J673" s="296">
        <f>VLOOKUP($B673,'Maintenance Costs'!$A:$AB,22,FALSE)</f>
        <v>27.628057742626627</v>
      </c>
      <c r="K673" s="296">
        <f>VLOOKUP($B673,'Maintenance Costs'!$A:$AB,28,FALSE)</f>
        <v>26.941682041395374</v>
      </c>
      <c r="L673" s="297">
        <f t="shared" si="55"/>
        <v>64.444623534022</v>
      </c>
      <c r="M673">
        <v>86.315811961790033</v>
      </c>
      <c r="N673" s="30">
        <f t="shared" si="56"/>
        <v>-21.871188427768033</v>
      </c>
    </row>
    <row r="674" spans="1:14" x14ac:dyDescent="0.2">
      <c r="A674" s="299" t="s">
        <v>1116</v>
      </c>
      <c r="B674" s="298" t="str">
        <f t="shared" si="54"/>
        <v>HPS0110-ST</v>
      </c>
      <c r="C674" s="294" t="str">
        <f>VLOOKUP(LEFT(A674,7),'Tariff Schedule Lookup Table'!$A$8:$G$198,2,FALSE)</f>
        <v>High Pressure Sodium 250</v>
      </c>
      <c r="D674" s="295">
        <f t="shared" si="52"/>
        <v>60</v>
      </c>
      <c r="E674" s="294">
        <f t="shared" si="53"/>
        <v>5</v>
      </c>
      <c r="F674" s="294" t="str">
        <f>VLOOKUP(D674,'Tariff Schedule Lookup Table'!I$7:L$298,2,FALSE)</f>
        <v>HIGH PRESSURE SODIUM 250W (210/220)</v>
      </c>
      <c r="G674" s="294" t="str">
        <f>IF(F674 = "BULKHEADS ETC", "SHARED OR NO POLE", VLOOKUP(D674,'Tariff Schedule Lookup Table'!I$7:L$298,3,FALSE))</f>
        <v>SHARED OR NO POLE</v>
      </c>
      <c r="H674" s="294">
        <f>IF(F674 = "NO CAPITAL", 1, VLOOKUP(D674,'Tariff Schedule Lookup Table'!I$7:L$298,4,FALSE))</f>
        <v>1</v>
      </c>
      <c r="I674" s="296">
        <f>VLOOKUP(G674,'Input data'!$A$68:$B$72,2,FALSE)</f>
        <v>0</v>
      </c>
      <c r="J674" s="296">
        <f>VLOOKUP($B674,'Maintenance Costs'!$A:$AB,22,FALSE)</f>
        <v>26.264235842626629</v>
      </c>
      <c r="K674" s="296">
        <f>VLOOKUP($B674,'Maintenance Costs'!$A:$AB,28,FALSE)</f>
        <v>20.813388541395373</v>
      </c>
      <c r="L674" s="297">
        <f t="shared" si="55"/>
        <v>47.077624384022002</v>
      </c>
      <c r="M674">
        <v>77.540582756871061</v>
      </c>
      <c r="N674" s="30">
        <f t="shared" si="56"/>
        <v>-30.462958372849059</v>
      </c>
    </row>
    <row r="675" spans="1:14" x14ac:dyDescent="0.2">
      <c r="A675" s="299" t="s">
        <v>1120</v>
      </c>
      <c r="B675" s="298" t="str">
        <f t="shared" si="54"/>
        <v>HPS0110-ST</v>
      </c>
      <c r="C675" s="294" t="str">
        <f>VLOOKUP(LEFT(A675,7),'Tariff Schedule Lookup Table'!$A$8:$G$198,2,FALSE)</f>
        <v>High Pressure Sodium 250</v>
      </c>
      <c r="D675" s="295">
        <f t="shared" si="52"/>
        <v>230</v>
      </c>
      <c r="E675" s="294">
        <f t="shared" si="53"/>
        <v>5</v>
      </c>
      <c r="F675" s="294" t="str">
        <f>VLOOKUP(D675,'Tariff Schedule Lookup Table'!I$7:L$298,2,FALSE)</f>
        <v>HIGH PRESSURE SODIUM 250W (210/220)</v>
      </c>
      <c r="G675" s="294" t="str">
        <f>IF(F675 = "BULKHEADS ETC", "SHARED OR NO POLE", VLOOKUP(D675,'Tariff Schedule Lookup Table'!I$7:L$298,3,FALSE))</f>
        <v>WOOD POLE</v>
      </c>
      <c r="H675" s="294">
        <f>IF(F675 = "NO CAPITAL", 1, VLOOKUP(D675,'Tariff Schedule Lookup Table'!I$7:L$298,4,FALSE))</f>
        <v>1</v>
      </c>
      <c r="I675" s="296">
        <f>VLOOKUP(G675,'Input data'!$A$68:$B$72,2,FALSE)</f>
        <v>10.809914000000001</v>
      </c>
      <c r="J675" s="296">
        <f>VLOOKUP($B675,'Maintenance Costs'!$A:$AB,22,FALSE)</f>
        <v>26.264235842626629</v>
      </c>
      <c r="K675" s="296">
        <f>VLOOKUP($B675,'Maintenance Costs'!$A:$AB,28,FALSE)</f>
        <v>20.813388541395373</v>
      </c>
      <c r="L675" s="297">
        <f t="shared" si="55"/>
        <v>57.887538384022001</v>
      </c>
      <c r="M675">
        <v>88.350496756871067</v>
      </c>
      <c r="N675" s="30">
        <f t="shared" si="56"/>
        <v>-30.462958372849066</v>
      </c>
    </row>
    <row r="676" spans="1:14" x14ac:dyDescent="0.2">
      <c r="A676" s="299" t="s">
        <v>1124</v>
      </c>
      <c r="B676" s="298" t="str">
        <f t="shared" si="54"/>
        <v>HPS0110-ST</v>
      </c>
      <c r="C676" s="294" t="str">
        <f>VLOOKUP(LEFT(A676,7),'Tariff Schedule Lookup Table'!$A$8:$G$198,2,FALSE)</f>
        <v>High Pressure Sodium 250</v>
      </c>
      <c r="D676" s="295">
        <f t="shared" si="52"/>
        <v>320</v>
      </c>
      <c r="E676" s="294">
        <f t="shared" si="53"/>
        <v>5</v>
      </c>
      <c r="F676" s="294" t="str">
        <f>VLOOKUP(D676,'Tariff Schedule Lookup Table'!I$7:L$298,2,FALSE)</f>
        <v>HIGH PRESSURE SODIUM 250W (210/220)</v>
      </c>
      <c r="G676" s="294" t="str">
        <f>IF(F676 = "BULKHEADS ETC", "SHARED OR NO POLE", VLOOKUP(D676,'Tariff Schedule Lookup Table'!I$7:L$298,3,FALSE))</f>
        <v>STEEL POLE</v>
      </c>
      <c r="H676" s="294">
        <f>IF(F676 = "NO CAPITAL", 1, VLOOKUP(D676,'Tariff Schedule Lookup Table'!I$7:L$298,4,FALSE))</f>
        <v>1</v>
      </c>
      <c r="I676" s="296">
        <f>VLOOKUP(G676,'Input data'!$A$68:$B$72,2,FALSE)</f>
        <v>9.8748837500000004</v>
      </c>
      <c r="J676" s="296">
        <f>VLOOKUP($B676,'Maintenance Costs'!$A:$AB,22,FALSE)</f>
        <v>26.264235842626629</v>
      </c>
      <c r="K676" s="296">
        <f>VLOOKUP($B676,'Maintenance Costs'!$A:$AB,28,FALSE)</f>
        <v>20.813388541395373</v>
      </c>
      <c r="L676" s="297">
        <f t="shared" si="55"/>
        <v>56.952508134022004</v>
      </c>
      <c r="M676">
        <v>87.415466506871056</v>
      </c>
      <c r="N676" s="30">
        <f t="shared" si="56"/>
        <v>-30.462958372849052</v>
      </c>
    </row>
    <row r="677" spans="1:14" x14ac:dyDescent="0.2">
      <c r="A677" s="299" t="s">
        <v>1128</v>
      </c>
      <c r="B677" s="298" t="str">
        <f t="shared" si="54"/>
        <v>HPS0110-ST</v>
      </c>
      <c r="C677" s="294" t="str">
        <f>VLOOKUP(LEFT(A677,7),'Tariff Schedule Lookup Table'!$A$8:$G$198,2,FALSE)</f>
        <v>High Pressure Sodium 250</v>
      </c>
      <c r="D677" s="295">
        <f t="shared" si="52"/>
        <v>390</v>
      </c>
      <c r="E677" s="294">
        <f t="shared" si="53"/>
        <v>5</v>
      </c>
      <c r="F677" s="294" t="str">
        <f>VLOOKUP(D677,'Tariff Schedule Lookup Table'!I$7:L$298,2,FALSE)</f>
        <v>HIGH PRESSURE SODIUM 250W (210/220)</v>
      </c>
      <c r="G677" s="294" t="str">
        <f>IF(F677 = "BULKHEADS ETC", "SHARED OR NO POLE", VLOOKUP(D677,'Tariff Schedule Lookup Table'!I$7:L$298,3,FALSE))</f>
        <v>STEEL POLE</v>
      </c>
      <c r="H677" s="294">
        <f>IF(F677 = "NO CAPITAL", 1, VLOOKUP(D677,'Tariff Schedule Lookup Table'!I$7:L$298,4,FALSE))</f>
        <v>2</v>
      </c>
      <c r="I677" s="296">
        <f>VLOOKUP(G677,'Input data'!$A$68:$B$72,2,FALSE)</f>
        <v>9.8748837500000004</v>
      </c>
      <c r="J677" s="296">
        <f>VLOOKUP($B677,'Maintenance Costs'!$A:$AB,22,FALSE)</f>
        <v>26.264235842626629</v>
      </c>
      <c r="K677" s="296">
        <f>VLOOKUP($B677,'Maintenance Costs'!$A:$AB,28,FALSE)</f>
        <v>20.813388541395373</v>
      </c>
      <c r="L677" s="297">
        <f t="shared" si="55"/>
        <v>52.015066259021999</v>
      </c>
      <c r="M677">
        <v>82.478024631871065</v>
      </c>
      <c r="N677" s="30">
        <f t="shared" si="56"/>
        <v>-30.462958372849066</v>
      </c>
    </row>
    <row r="678" spans="1:14" x14ac:dyDescent="0.2">
      <c r="A678" s="299" t="s">
        <v>1140</v>
      </c>
      <c r="B678" s="298" t="str">
        <f t="shared" si="54"/>
        <v>HPS0110-ST</v>
      </c>
      <c r="C678" s="294" t="str">
        <f>VLOOKUP(LEFT(A678,7),'Tariff Schedule Lookup Table'!$A$8:$G$198,2,FALSE)</f>
        <v>High Pressure Sodium 250</v>
      </c>
      <c r="D678" s="295">
        <f t="shared" si="52"/>
        <v>590</v>
      </c>
      <c r="E678" s="294">
        <f t="shared" si="53"/>
        <v>5</v>
      </c>
      <c r="F678" s="294" t="str">
        <f>VLOOKUP(D678,'Tariff Schedule Lookup Table'!I$7:L$298,2,FALSE)</f>
        <v>HIGH PRESSURE SODIUM 250W (210/220)</v>
      </c>
      <c r="G678" s="294" t="str">
        <f>IF(F678 = "BULKHEADS ETC", "SHARED OR NO POLE", VLOOKUP(D678,'Tariff Schedule Lookup Table'!I$7:L$298,3,FALSE))</f>
        <v>R/BOUT COLUMN</v>
      </c>
      <c r="H678" s="294">
        <f>IF(F678 = "NO CAPITAL", 1, VLOOKUP(D678,'Tariff Schedule Lookup Table'!I$7:L$298,4,FALSE))</f>
        <v>4</v>
      </c>
      <c r="I678" s="296">
        <f>VLOOKUP(G678,'Input data'!$A$68:$B$72,2,FALSE)</f>
        <v>9.8748837500000004</v>
      </c>
      <c r="J678" s="296">
        <f>VLOOKUP($B678,'Maintenance Costs'!$A:$AB,22,FALSE)</f>
        <v>26.264235842626629</v>
      </c>
      <c r="K678" s="296">
        <f>VLOOKUP($B678,'Maintenance Costs'!$A:$AB,28,FALSE)</f>
        <v>20.813388541395373</v>
      </c>
      <c r="L678" s="297">
        <f t="shared" si="55"/>
        <v>49.546345321522004</v>
      </c>
      <c r="M678">
        <v>80.009303694371056</v>
      </c>
      <c r="N678" s="30">
        <f t="shared" si="56"/>
        <v>-30.462958372849052</v>
      </c>
    </row>
    <row r="679" spans="1:14" x14ac:dyDescent="0.2">
      <c r="A679" s="299" t="s">
        <v>1148</v>
      </c>
      <c r="B679" s="298" t="str">
        <f t="shared" si="54"/>
        <v>HPS0110-ST</v>
      </c>
      <c r="C679" s="294" t="str">
        <f>VLOOKUP(LEFT(A679,7),'Tariff Schedule Lookup Table'!$A$8:$G$198,2,FALSE)</f>
        <v>High Pressure Sodium 250</v>
      </c>
      <c r="D679" s="295">
        <f t="shared" si="52"/>
        <v>760</v>
      </c>
      <c r="E679" s="294">
        <f t="shared" si="53"/>
        <v>5</v>
      </c>
      <c r="F679" s="294" t="str">
        <f>VLOOKUP(D679,'Tariff Schedule Lookup Table'!I$7:L$298,2,FALSE)</f>
        <v>HIGH PRESSURE SODIUM 250W (210/220)</v>
      </c>
      <c r="G679" s="294" t="str">
        <f>IF(F679 = "BULKHEADS ETC", "SHARED OR NO POLE", VLOOKUP(D679,'Tariff Schedule Lookup Table'!I$7:L$298,3,FALSE))</f>
        <v>WOOD POLE</v>
      </c>
      <c r="H679" s="294">
        <f>IF(F679 = "NO CAPITAL", 1, VLOOKUP(D679,'Tariff Schedule Lookup Table'!I$7:L$298,4,FALSE))</f>
        <v>2</v>
      </c>
      <c r="I679" s="296">
        <f>VLOOKUP(G679,'Input data'!$A$68:$B$72,2,FALSE)</f>
        <v>10.809914000000001</v>
      </c>
      <c r="J679" s="296">
        <f>VLOOKUP($B679,'Maintenance Costs'!$A:$AB,22,FALSE)</f>
        <v>26.264235842626629</v>
      </c>
      <c r="K679" s="296">
        <f>VLOOKUP($B679,'Maintenance Costs'!$A:$AB,28,FALSE)</f>
        <v>20.813388541395373</v>
      </c>
      <c r="L679" s="297">
        <f t="shared" si="55"/>
        <v>52.482581384022005</v>
      </c>
      <c r="M679">
        <v>82.945539756871057</v>
      </c>
      <c r="N679" s="30">
        <f t="shared" si="56"/>
        <v>-30.462958372849052</v>
      </c>
    </row>
    <row r="680" spans="1:14" x14ac:dyDescent="0.2">
      <c r="A680" s="299" t="s">
        <v>1153</v>
      </c>
      <c r="B680" s="298" t="str">
        <f t="shared" si="54"/>
        <v>HPS0110-ST</v>
      </c>
      <c r="C680" s="294" t="str">
        <f>VLOOKUP(LEFT(A680,7),'Tariff Schedule Lookup Table'!$A$8:$G$198,2,FALSE)</f>
        <v>High Pressure Sodium 250</v>
      </c>
      <c r="D680" s="295">
        <f t="shared" si="52"/>
        <v>960</v>
      </c>
      <c r="E680" s="294">
        <f t="shared" si="53"/>
        <v>5</v>
      </c>
      <c r="F680" s="294" t="str">
        <f>VLOOKUP(D680,'Tariff Schedule Lookup Table'!I$7:L$298,2,FALSE)</f>
        <v>HIGH PRESSURE SODIUM 250W (210/220)</v>
      </c>
      <c r="G680" s="294" t="str">
        <f>IF(F680 = "BULKHEADS ETC", "SHARED OR NO POLE", VLOOKUP(D680,'Tariff Schedule Lookup Table'!I$7:L$298,3,FALSE))</f>
        <v>SHARED OR NO POLE</v>
      </c>
      <c r="H680" s="294">
        <f>IF(F680 = "NO CAPITAL", 1, VLOOKUP(D680,'Tariff Schedule Lookup Table'!I$7:L$298,4,FALSE))</f>
        <v>2</v>
      </c>
      <c r="I680" s="296">
        <f>VLOOKUP(G680,'Input data'!$A$68:$B$72,2,FALSE)</f>
        <v>0</v>
      </c>
      <c r="J680" s="296">
        <f>VLOOKUP($B680,'Maintenance Costs'!$A:$AB,22,FALSE)</f>
        <v>26.264235842626629</v>
      </c>
      <c r="K680" s="296">
        <f>VLOOKUP($B680,'Maintenance Costs'!$A:$AB,28,FALSE)</f>
        <v>20.813388541395373</v>
      </c>
      <c r="L680" s="297">
        <f t="shared" si="55"/>
        <v>47.077624384022002</v>
      </c>
      <c r="M680">
        <v>77.540582756871061</v>
      </c>
      <c r="N680" s="30">
        <f t="shared" si="56"/>
        <v>-30.462958372849059</v>
      </c>
    </row>
    <row r="681" spans="1:14" x14ac:dyDescent="0.2">
      <c r="A681" s="299" t="s">
        <v>1170</v>
      </c>
      <c r="B681" s="298" t="str">
        <f t="shared" si="54"/>
        <v>HPS0110-TA</v>
      </c>
      <c r="C681" s="294" t="str">
        <f>VLOOKUP(LEFT(A681,7),'Tariff Schedule Lookup Table'!$A$8:$G$198,2,FALSE)</f>
        <v>High Pressure Sodium 250</v>
      </c>
      <c r="D681" s="295">
        <f t="shared" si="52"/>
        <v>60</v>
      </c>
      <c r="E681" s="294">
        <f t="shared" si="53"/>
        <v>5</v>
      </c>
      <c r="F681" s="294" t="str">
        <f>VLOOKUP(D681,'Tariff Schedule Lookup Table'!I$7:L$298,2,FALSE)</f>
        <v>HIGH PRESSURE SODIUM 250W (210/220)</v>
      </c>
      <c r="G681" s="294" t="str">
        <f>IF(F681 = "BULKHEADS ETC", "SHARED OR NO POLE", VLOOKUP(D681,'Tariff Schedule Lookup Table'!I$7:L$298,3,FALSE))</f>
        <v>SHARED OR NO POLE</v>
      </c>
      <c r="H681" s="294">
        <f>IF(F681 = "NO CAPITAL", 1, VLOOKUP(D681,'Tariff Schedule Lookup Table'!I$7:L$298,4,FALSE))</f>
        <v>1</v>
      </c>
      <c r="I681" s="296">
        <f>VLOOKUP(G681,'Input data'!$A$68:$B$72,2,FALSE)</f>
        <v>0</v>
      </c>
      <c r="J681" s="296">
        <f>VLOOKUP($B681,'Maintenance Costs'!$A:$AB,22,FALSE)</f>
        <v>27.479100542626629</v>
      </c>
      <c r="K681" s="296">
        <f>VLOOKUP($B681,'Maintenance Costs'!$A:$AB,28,FALSE)</f>
        <v>27.438206041395375</v>
      </c>
      <c r="L681" s="297">
        <f t="shared" si="55"/>
        <v>54.917306584022</v>
      </c>
      <c r="M681">
        <v>76.886972271790043</v>
      </c>
      <c r="N681" s="30">
        <f t="shared" si="56"/>
        <v>-21.969665687768043</v>
      </c>
    </row>
    <row r="682" spans="1:14" x14ac:dyDescent="0.2">
      <c r="A682" s="299" t="s">
        <v>1174</v>
      </c>
      <c r="B682" s="298" t="str">
        <f t="shared" si="54"/>
        <v>HPS0110-TA</v>
      </c>
      <c r="C682" s="294" t="str">
        <f>VLOOKUP(LEFT(A682,7),'Tariff Schedule Lookup Table'!$A$8:$G$198,2,FALSE)</f>
        <v>High Pressure Sodium 250</v>
      </c>
      <c r="D682" s="295">
        <f t="shared" si="52"/>
        <v>230</v>
      </c>
      <c r="E682" s="294">
        <f t="shared" si="53"/>
        <v>5</v>
      </c>
      <c r="F682" s="294" t="str">
        <f>VLOOKUP(D682,'Tariff Schedule Lookup Table'!I$7:L$298,2,FALSE)</f>
        <v>HIGH PRESSURE SODIUM 250W (210/220)</v>
      </c>
      <c r="G682" s="294" t="str">
        <f>IF(F682 = "BULKHEADS ETC", "SHARED OR NO POLE", VLOOKUP(D682,'Tariff Schedule Lookup Table'!I$7:L$298,3,FALSE))</f>
        <v>WOOD POLE</v>
      </c>
      <c r="H682" s="294">
        <f>IF(F682 = "NO CAPITAL", 1, VLOOKUP(D682,'Tariff Schedule Lookup Table'!I$7:L$298,4,FALSE))</f>
        <v>1</v>
      </c>
      <c r="I682" s="296">
        <f>VLOOKUP(G682,'Input data'!$A$68:$B$72,2,FALSE)</f>
        <v>10.809914000000001</v>
      </c>
      <c r="J682" s="296">
        <f>VLOOKUP($B682,'Maintenance Costs'!$A:$AB,22,FALSE)</f>
        <v>27.479100542626629</v>
      </c>
      <c r="K682" s="296">
        <f>VLOOKUP($B682,'Maintenance Costs'!$A:$AB,28,FALSE)</f>
        <v>27.438206041395375</v>
      </c>
      <c r="L682" s="297">
        <f t="shared" si="55"/>
        <v>65.727220584022007</v>
      </c>
      <c r="M682">
        <v>87.696886271790049</v>
      </c>
      <c r="N682" s="30">
        <f t="shared" si="56"/>
        <v>-21.969665687768043</v>
      </c>
    </row>
    <row r="683" spans="1:14" x14ac:dyDescent="0.2">
      <c r="A683" s="299" t="s">
        <v>1178</v>
      </c>
      <c r="B683" s="298" t="str">
        <f t="shared" si="54"/>
        <v>HPS0110-TA</v>
      </c>
      <c r="C683" s="294" t="str">
        <f>VLOOKUP(LEFT(A683,7),'Tariff Schedule Lookup Table'!$A$8:$G$198,2,FALSE)</f>
        <v>High Pressure Sodium 250</v>
      </c>
      <c r="D683" s="295">
        <f t="shared" si="52"/>
        <v>320</v>
      </c>
      <c r="E683" s="294">
        <f t="shared" si="53"/>
        <v>5</v>
      </c>
      <c r="F683" s="294" t="str">
        <f>VLOOKUP(D683,'Tariff Schedule Lookup Table'!I$7:L$298,2,FALSE)</f>
        <v>HIGH PRESSURE SODIUM 250W (210/220)</v>
      </c>
      <c r="G683" s="294" t="str">
        <f>IF(F683 = "BULKHEADS ETC", "SHARED OR NO POLE", VLOOKUP(D683,'Tariff Schedule Lookup Table'!I$7:L$298,3,FALSE))</f>
        <v>STEEL POLE</v>
      </c>
      <c r="H683" s="294">
        <f>IF(F683 = "NO CAPITAL", 1, VLOOKUP(D683,'Tariff Schedule Lookup Table'!I$7:L$298,4,FALSE))</f>
        <v>1</v>
      </c>
      <c r="I683" s="296">
        <f>VLOOKUP(G683,'Input data'!$A$68:$B$72,2,FALSE)</f>
        <v>9.8748837500000004</v>
      </c>
      <c r="J683" s="296">
        <f>VLOOKUP($B683,'Maintenance Costs'!$A:$AB,22,FALSE)</f>
        <v>27.479100542626629</v>
      </c>
      <c r="K683" s="296">
        <f>VLOOKUP($B683,'Maintenance Costs'!$A:$AB,28,FALSE)</f>
        <v>27.438206041395375</v>
      </c>
      <c r="L683" s="297">
        <f t="shared" si="55"/>
        <v>64.792190334021996</v>
      </c>
      <c r="M683">
        <v>86.761856021790038</v>
      </c>
      <c r="N683" s="30">
        <f t="shared" si="56"/>
        <v>-21.969665687768043</v>
      </c>
    </row>
    <row r="684" spans="1:14" x14ac:dyDescent="0.2">
      <c r="A684" s="299" t="s">
        <v>1212</v>
      </c>
      <c r="B684" s="298" t="str">
        <f t="shared" si="54"/>
        <v>HPS0170-ST</v>
      </c>
      <c r="C684" s="294" t="str">
        <f>VLOOKUP(LEFT(A684,7),'Tariff Schedule Lookup Table'!$A$8:$G$198,2,FALSE)</f>
        <v>High Pressure Sodium 400</v>
      </c>
      <c r="D684" s="295">
        <f t="shared" si="52"/>
        <v>70</v>
      </c>
      <c r="E684" s="294">
        <f t="shared" si="53"/>
        <v>5</v>
      </c>
      <c r="F684" s="294" t="str">
        <f>VLOOKUP(D684,'Tariff Schedule Lookup Table'!I$7:L$298,2,FALSE)</f>
        <v>HIGH PRESSURE SODIUM 400W (310/360)</v>
      </c>
      <c r="G684" s="294" t="str">
        <f>IF(F684 = "BULKHEADS ETC", "SHARED OR NO POLE", VLOOKUP(D684,'Tariff Schedule Lookup Table'!I$7:L$298,3,FALSE))</f>
        <v>SHARED OR NO POLE</v>
      </c>
      <c r="H684" s="294">
        <f>IF(F684 = "NO CAPITAL", 1, VLOOKUP(D684,'Tariff Schedule Lookup Table'!I$7:L$298,4,FALSE))</f>
        <v>1</v>
      </c>
      <c r="I684" s="296">
        <f>VLOOKUP(G684,'Input data'!$A$68:$B$72,2,FALSE)</f>
        <v>0</v>
      </c>
      <c r="J684" s="296">
        <f>VLOOKUP($B684,'Maintenance Costs'!$A:$AB,22,FALSE)</f>
        <v>26.828017090382705</v>
      </c>
      <c r="K684" s="296">
        <f>VLOOKUP($B684,'Maintenance Costs'!$A:$AB,28,FALSE)</f>
        <v>22.799484541395373</v>
      </c>
      <c r="L684" s="297">
        <f t="shared" si="55"/>
        <v>49.627501631778074</v>
      </c>
      <c r="M684">
        <v>81.212770437278934</v>
      </c>
      <c r="N684" s="30">
        <f t="shared" si="56"/>
        <v>-31.58526880550086</v>
      </c>
    </row>
    <row r="685" spans="1:14" x14ac:dyDescent="0.2">
      <c r="A685" s="299" t="s">
        <v>1216</v>
      </c>
      <c r="B685" s="298" t="str">
        <f t="shared" si="54"/>
        <v>HPS0170-ST</v>
      </c>
      <c r="C685" s="294" t="str">
        <f>VLOOKUP(LEFT(A685,7),'Tariff Schedule Lookup Table'!$A$8:$G$198,2,FALSE)</f>
        <v>High Pressure Sodium 400</v>
      </c>
      <c r="D685" s="295">
        <f t="shared" si="52"/>
        <v>240</v>
      </c>
      <c r="E685" s="294">
        <f t="shared" si="53"/>
        <v>5</v>
      </c>
      <c r="F685" s="294" t="str">
        <f>VLOOKUP(D685,'Tariff Schedule Lookup Table'!I$7:L$298,2,FALSE)</f>
        <v>HIGH PRESSURE SODIUM 400W (310/360)</v>
      </c>
      <c r="G685" s="294" t="str">
        <f>IF(F685 = "BULKHEADS ETC", "SHARED OR NO POLE", VLOOKUP(D685,'Tariff Schedule Lookup Table'!I$7:L$298,3,FALSE))</f>
        <v>WOOD POLE</v>
      </c>
      <c r="H685" s="294">
        <f>IF(F685 = "NO CAPITAL", 1, VLOOKUP(D685,'Tariff Schedule Lookup Table'!I$7:L$298,4,FALSE))</f>
        <v>1</v>
      </c>
      <c r="I685" s="296">
        <f>VLOOKUP(G685,'Input data'!$A$68:$B$72,2,FALSE)</f>
        <v>10.809914000000001</v>
      </c>
      <c r="J685" s="296">
        <f>VLOOKUP($B685,'Maintenance Costs'!$A:$AB,22,FALSE)</f>
        <v>26.828017090382705</v>
      </c>
      <c r="K685" s="296">
        <f>VLOOKUP($B685,'Maintenance Costs'!$A:$AB,28,FALSE)</f>
        <v>22.799484541395373</v>
      </c>
      <c r="L685" s="297">
        <f t="shared" si="55"/>
        <v>60.437415631778073</v>
      </c>
      <c r="M685">
        <v>92.02268443727894</v>
      </c>
      <c r="N685" s="30">
        <f t="shared" si="56"/>
        <v>-31.585268805500867</v>
      </c>
    </row>
    <row r="686" spans="1:14" x14ac:dyDescent="0.2">
      <c r="A686" s="299" t="s">
        <v>1221</v>
      </c>
      <c r="B686" s="298" t="str">
        <f t="shared" si="54"/>
        <v>HPS0170-ST</v>
      </c>
      <c r="C686" s="294" t="str">
        <f>VLOOKUP(LEFT(A686,7),'Tariff Schedule Lookup Table'!$A$8:$G$198,2,FALSE)</f>
        <v>High Pressure Sodium 400</v>
      </c>
      <c r="D686" s="295">
        <f t="shared" si="52"/>
        <v>330</v>
      </c>
      <c r="E686" s="294">
        <f t="shared" si="53"/>
        <v>5</v>
      </c>
      <c r="F686" s="294" t="str">
        <f>VLOOKUP(D686,'Tariff Schedule Lookup Table'!I$7:L$298,2,FALSE)</f>
        <v>HIGH PRESSURE SODIUM 400W (310/360)</v>
      </c>
      <c r="G686" s="294" t="str">
        <f>IF(F686 = "BULKHEADS ETC", "SHARED OR NO POLE", VLOOKUP(D686,'Tariff Schedule Lookup Table'!I$7:L$298,3,FALSE))</f>
        <v>STEEL POLE</v>
      </c>
      <c r="H686" s="294">
        <f>IF(F686 = "NO CAPITAL", 1, VLOOKUP(D686,'Tariff Schedule Lookup Table'!I$7:L$298,4,FALSE))</f>
        <v>1</v>
      </c>
      <c r="I686" s="296">
        <f>VLOOKUP(G686,'Input data'!$A$68:$B$72,2,FALSE)</f>
        <v>9.8748837500000004</v>
      </c>
      <c r="J686" s="296">
        <f>VLOOKUP($B686,'Maintenance Costs'!$A:$AB,22,FALSE)</f>
        <v>26.828017090382705</v>
      </c>
      <c r="K686" s="296">
        <f>VLOOKUP($B686,'Maintenance Costs'!$A:$AB,28,FALSE)</f>
        <v>22.799484541395373</v>
      </c>
      <c r="L686" s="297">
        <f t="shared" si="55"/>
        <v>59.502385381778076</v>
      </c>
      <c r="M686">
        <v>91.087654187278929</v>
      </c>
      <c r="N686" s="30">
        <f t="shared" si="56"/>
        <v>-31.585268805500853</v>
      </c>
    </row>
    <row r="687" spans="1:14" ht="22.5" x14ac:dyDescent="0.2">
      <c r="A687" s="299" t="s">
        <v>1474</v>
      </c>
      <c r="B687" s="298" t="str">
        <f t="shared" si="54"/>
        <v>MHR0060-ST</v>
      </c>
      <c r="C687" s="294" t="str">
        <f>VLOOKUP(LEFT(A687,7),'Tariff Schedule Lookup Table'!$A$8:$G$198,2,FALSE)</f>
        <v>Metal Hallide (Reactor Control Gear) 250</v>
      </c>
      <c r="D687" s="295">
        <f t="shared" si="52"/>
        <v>60</v>
      </c>
      <c r="E687" s="294">
        <f t="shared" si="53"/>
        <v>5</v>
      </c>
      <c r="F687" s="294" t="str">
        <f>VLOOKUP(D687,'Tariff Schedule Lookup Table'!I$7:L$298,2,FALSE)</f>
        <v>HIGH PRESSURE SODIUM 250W (210/220)</v>
      </c>
      <c r="G687" s="294" t="str">
        <f>IF(F687 = "BULKHEADS ETC", "SHARED OR NO POLE", VLOOKUP(D687,'Tariff Schedule Lookup Table'!I$7:L$298,3,FALSE))</f>
        <v>SHARED OR NO POLE</v>
      </c>
      <c r="H687" s="294">
        <f>IF(F687 = "NO CAPITAL", 1, VLOOKUP(D687,'Tariff Schedule Lookup Table'!I$7:L$298,4,FALSE))</f>
        <v>1</v>
      </c>
      <c r="I687" s="296">
        <f>VLOOKUP(G687,'Input data'!$A$68:$B$72,2,FALSE)</f>
        <v>0</v>
      </c>
      <c r="J687" s="296">
        <f>VLOOKUP($B687,'Maintenance Costs'!$A:$AB,22,FALSE)</f>
        <v>22.332001109197293</v>
      </c>
      <c r="K687" s="296">
        <f>VLOOKUP($B687,'Maintenance Costs'!$A:$AB,28,FALSE)</f>
        <v>25.862282041395371</v>
      </c>
      <c r="L687" s="297">
        <f t="shared" si="55"/>
        <v>48.194283150592668</v>
      </c>
      <c r="M687">
        <v>66.085784264198537</v>
      </c>
      <c r="N687" s="30">
        <f t="shared" si="56"/>
        <v>-17.891501113605869</v>
      </c>
    </row>
    <row r="688" spans="1:14" ht="22.5" x14ac:dyDescent="0.2">
      <c r="A688" s="299" t="s">
        <v>1332</v>
      </c>
      <c r="B688" s="298" t="str">
        <f t="shared" si="54"/>
        <v>MHR0060-ST</v>
      </c>
      <c r="C688" s="294" t="str">
        <f>VLOOKUP(LEFT(A688,7),'Tariff Schedule Lookup Table'!$A$8:$G$198,2,FALSE)</f>
        <v>Metal Hallide (Reactor Control Gear) 250</v>
      </c>
      <c r="D688" s="295">
        <f t="shared" si="52"/>
        <v>320</v>
      </c>
      <c r="E688" s="294">
        <f t="shared" si="53"/>
        <v>5</v>
      </c>
      <c r="F688" s="294" t="str">
        <f>VLOOKUP(D688,'Tariff Schedule Lookup Table'!I$7:L$298,2,FALSE)</f>
        <v>HIGH PRESSURE SODIUM 250W (210/220)</v>
      </c>
      <c r="G688" s="294" t="str">
        <f>IF(F688 = "BULKHEADS ETC", "SHARED OR NO POLE", VLOOKUP(D688,'Tariff Schedule Lookup Table'!I$7:L$298,3,FALSE))</f>
        <v>STEEL POLE</v>
      </c>
      <c r="H688" s="294">
        <f>IF(F688 = "NO CAPITAL", 1, VLOOKUP(D688,'Tariff Schedule Lookup Table'!I$7:L$298,4,FALSE))</f>
        <v>1</v>
      </c>
      <c r="I688" s="296">
        <f>VLOOKUP(G688,'Input data'!$A$68:$B$72,2,FALSE)</f>
        <v>9.8748837500000004</v>
      </c>
      <c r="J688" s="296">
        <f>VLOOKUP($B688,'Maintenance Costs'!$A:$AB,22,FALSE)</f>
        <v>22.332001109197293</v>
      </c>
      <c r="K688" s="296">
        <f>VLOOKUP($B688,'Maintenance Costs'!$A:$AB,28,FALSE)</f>
        <v>25.862282041395371</v>
      </c>
      <c r="L688" s="297">
        <f t="shared" si="55"/>
        <v>58.06916690059267</v>
      </c>
      <c r="M688">
        <v>75.960668014198532</v>
      </c>
      <c r="N688" s="30">
        <f t="shared" si="56"/>
        <v>-17.891501113605862</v>
      </c>
    </row>
    <row r="689" spans="1:14" x14ac:dyDescent="0.2">
      <c r="A689" s="299" t="s">
        <v>1411</v>
      </c>
      <c r="B689" s="298" t="str">
        <f t="shared" si="54"/>
        <v>MVA0190-ST</v>
      </c>
      <c r="C689" s="294" t="str">
        <f>VLOOKUP(LEFT(A689,7),'Tariff Schedule Lookup Table'!$A$8:$G$198,2,FALSE)</f>
        <v>Mercury Vapour 250</v>
      </c>
      <c r="D689" s="295">
        <f t="shared" si="52"/>
        <v>290</v>
      </c>
      <c r="E689" s="294">
        <f t="shared" si="53"/>
        <v>5</v>
      </c>
      <c r="F689" s="294" t="str">
        <f>VLOOKUP(D689,'Tariff Schedule Lookup Table'!I$7:L$298,2,FALSE)</f>
        <v xml:space="preserve">MERCURY VAPOUR 250W </v>
      </c>
      <c r="G689" s="294" t="str">
        <f>IF(F689 = "BULKHEADS ETC", "SHARED OR NO POLE", VLOOKUP(D689,'Tariff Schedule Lookup Table'!I$7:L$298,3,FALSE))</f>
        <v>STEEL POLE</v>
      </c>
      <c r="H689" s="294">
        <f>IF(F689 = "NO CAPITAL", 1, VLOOKUP(D689,'Tariff Schedule Lookup Table'!I$7:L$298,4,FALSE))</f>
        <v>1</v>
      </c>
      <c r="I689" s="296">
        <f>VLOOKUP(G689,'Input data'!$A$68:$B$72,2,FALSE)</f>
        <v>9.8748837500000004</v>
      </c>
      <c r="J689" s="296">
        <f>VLOOKUP($B689,'Maintenance Costs'!$A:$AB,22,FALSE)</f>
        <v>21.284971165737741</v>
      </c>
      <c r="K689" s="296">
        <f>VLOOKUP($B689,'Maintenance Costs'!$A:$AB,28,FALSE)</f>
        <v>19.307625541395375</v>
      </c>
      <c r="L689" s="297">
        <f t="shared" si="55"/>
        <v>50.467480457133114</v>
      </c>
      <c r="M689">
        <v>60.012654618103873</v>
      </c>
      <c r="N689" s="30">
        <f t="shared" si="56"/>
        <v>-9.5451741609707597</v>
      </c>
    </row>
  </sheetData>
  <mergeCells count="2">
    <mergeCell ref="A5:L5"/>
    <mergeCell ref="G1:H1"/>
  </mergeCells>
  <phoneticPr fontId="2" type="noConversion"/>
  <pageMargins left="0.75" right="0.75" top="1" bottom="1" header="0.5" footer="0.5"/>
  <pageSetup paperSize="9" scale="1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M8" sqref="M8"/>
    </sheetView>
  </sheetViews>
  <sheetFormatPr defaultRowHeight="12.75" x14ac:dyDescent="0.2"/>
  <sheetData>
    <row r="1" spans="1:9" x14ac:dyDescent="0.2">
      <c r="A1" t="s">
        <v>282</v>
      </c>
      <c r="B1">
        <v>42</v>
      </c>
      <c r="C1" t="s">
        <v>890</v>
      </c>
      <c r="D1">
        <v>1</v>
      </c>
      <c r="E1">
        <v>55274</v>
      </c>
      <c r="F1">
        <v>29.43457057371235</v>
      </c>
      <c r="G1">
        <f>E1*F1</f>
        <v>1626966.4538913765</v>
      </c>
    </row>
    <row r="2" spans="1:9" x14ac:dyDescent="0.2">
      <c r="A2" t="s">
        <v>176</v>
      </c>
      <c r="B2">
        <v>70</v>
      </c>
      <c r="C2" t="s">
        <v>890</v>
      </c>
      <c r="D2">
        <v>1</v>
      </c>
      <c r="E2">
        <v>27453</v>
      </c>
      <c r="F2">
        <v>29.863570573712344</v>
      </c>
      <c r="G2">
        <f t="shared" ref="G2:G5" si="0">E2*F2</f>
        <v>819844.60296012496</v>
      </c>
    </row>
    <row r="3" spans="1:9" x14ac:dyDescent="0.2">
      <c r="A3" t="s">
        <v>184</v>
      </c>
      <c r="B3">
        <v>250</v>
      </c>
      <c r="C3" t="s">
        <v>891</v>
      </c>
      <c r="D3">
        <v>1</v>
      </c>
      <c r="E3">
        <v>21897</v>
      </c>
      <c r="F3">
        <v>30.405237240379016</v>
      </c>
      <c r="G3">
        <f t="shared" si="0"/>
        <v>665783.4798525793</v>
      </c>
    </row>
    <row r="4" spans="1:9" x14ac:dyDescent="0.2">
      <c r="A4" t="s">
        <v>226</v>
      </c>
      <c r="B4">
        <v>80</v>
      </c>
      <c r="C4" t="s">
        <v>890</v>
      </c>
      <c r="D4">
        <v>1</v>
      </c>
      <c r="E4">
        <v>20536</v>
      </c>
      <c r="F4">
        <v>24.997237240379015</v>
      </c>
      <c r="G4">
        <f t="shared" si="0"/>
        <v>513343.26396842342</v>
      </c>
    </row>
    <row r="5" spans="1:9" x14ac:dyDescent="0.2">
      <c r="A5" t="s">
        <v>181</v>
      </c>
      <c r="B5">
        <v>150</v>
      </c>
      <c r="C5" t="s">
        <v>891</v>
      </c>
      <c r="D5">
        <v>1</v>
      </c>
      <c r="E5">
        <v>9205</v>
      </c>
      <c r="F5">
        <v>29.265570573712345</v>
      </c>
      <c r="G5">
        <f t="shared" si="0"/>
        <v>269389.57713102212</v>
      </c>
    </row>
    <row r="6" spans="1:9" x14ac:dyDescent="0.2">
      <c r="E6">
        <f>SUM(E1:E5)</f>
        <v>134365</v>
      </c>
      <c r="G6">
        <f>SUM(G1:G5)</f>
        <v>3895327.3778035268</v>
      </c>
      <c r="I6">
        <f>G6/E6</f>
        <v>28.990640254556819</v>
      </c>
    </row>
    <row r="7" spans="1:9" x14ac:dyDescent="0.2">
      <c r="I7">
        <f>I6*150000</f>
        <v>4348596.0381835224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Input data</vt:lpstr>
      <vt:lpstr>Lamp Stock</vt:lpstr>
      <vt:lpstr>Other Maintenance</vt:lpstr>
      <vt:lpstr>Maintenance Costs</vt:lpstr>
      <vt:lpstr>Tariff Schedule Lookup Table</vt:lpstr>
      <vt:lpstr>Public Lighting Charges</vt:lpstr>
      <vt:lpstr>Sheet1</vt:lpstr>
      <vt:lpstr>data</vt:lpstr>
      <vt:lpstr>'Input data'!Print_Area</vt:lpstr>
      <vt:lpstr>'Maintenance Costs'!Print_Area</vt:lpstr>
      <vt:lpstr>'Other Maintenance'!Print_Area</vt:lpstr>
      <vt:lpstr>'Maintenance Costs'!Print_Titles</vt:lpstr>
    </vt:vector>
  </TitlesOfParts>
  <Company>Country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aphilp</dc:creator>
  <cp:lastModifiedBy>Moffitt, Shannon</cp:lastModifiedBy>
  <cp:lastPrinted>2008-04-09T00:19:40Z</cp:lastPrinted>
  <dcterms:created xsi:type="dcterms:W3CDTF">2006-11-23T22:01:31Z</dcterms:created>
  <dcterms:modified xsi:type="dcterms:W3CDTF">2014-12-03T03:58:49Z</dcterms:modified>
</cp:coreProperties>
</file>